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EstaPasta_de_trabalho"/>
  <mc:AlternateContent xmlns:mc="http://schemas.openxmlformats.org/markup-compatibility/2006">
    <mc:Choice Requires="x15">
      <x15ac:absPath xmlns:x15ac="http://schemas.microsoft.com/office/spreadsheetml/2010/11/ac" url="C:\Users\Compras02\Desktop\Licitações 2025\CONCORRÊNCIA\CONCORRÊNCIA 002-2025 - CONST. ELEVATÓRIA DE ESGOTO - 08-12-25\"/>
    </mc:Choice>
  </mc:AlternateContent>
  <xr:revisionPtr revIDLastSave="0" documentId="8_{C47B452D-1897-4943-BC31-61DDF5A84C85}" xr6:coauthVersionLast="47" xr6:coauthVersionMax="47" xr10:uidLastSave="{00000000-0000-0000-0000-000000000000}"/>
  <workbookProtection workbookAlgorithmName="SHA-512" workbookHashValue="+81K8CM8Yy9ny9/BpfpNaiGbUsqhuvvOzfhyJcIstbPhX82L7AyJDGwlK96w8ptrtudCsiEZR23N6mZg2ONSYw==" workbookSaltValue="3WLUHY29muGphXIEi0xgtA==" workbookSpinCount="100000" lockStructure="1"/>
  <bookViews>
    <workbookView xWindow="4935" yWindow="300" windowWidth="18855" windowHeight="14700" tabRatio="801" activeTab="1"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BM!$C$15:$C$231</definedName>
    <definedName name="_xlnm._FilterDatabase" localSheetId="6" hidden="1">CÁLCULO!$C$15:$C$231</definedName>
    <definedName name="_xlnm._FilterDatabase" localSheetId="8" hidden="1">CRONO!$G$13:$G$118</definedName>
    <definedName name="_xlnm._FilterDatabase" localSheetId="7" hidden="1">CRONOPLE!$A$13:$A$79</definedName>
    <definedName name="_xlnm._FilterDatabase" localSheetId="5" hidden="1">EVENTOS!$A$13:$A$72</definedName>
    <definedName name="_xlnm._FilterDatabase" localSheetId="4" hidden="1">ORÇAMENTO!$L$15:$L$231</definedName>
    <definedName name="_xlnm._FilterDatabase" localSheetId="10" hidden="1">PLE!$A$13:$A$81</definedName>
    <definedName name="_xlnm._FilterDatabase" localSheetId="9" hidden="1">QCI!$C$13:$C$16</definedName>
    <definedName name="_xlnm._FilterDatabase" localSheetId="12" hidden="1">RRE!$D$13:$D$21</definedName>
    <definedName name="ACOMPANHAMENTO" hidden="1">MENU!$J$4</definedName>
    <definedName name="AdmLocal" hidden="1">CÁLCULO!$A$11</definedName>
    <definedName name="_xlnm.Print_Area" localSheetId="3">BDI!$J$1:$S$132</definedName>
    <definedName name="_xlnm.Print_Area" localSheetId="11">BM!$D$1:$O$246</definedName>
    <definedName name="_xlnm.Print_Area" localSheetId="6">CÁLCULO!$E$6:$AA$239</definedName>
    <definedName name="_xlnm.Print_Area" localSheetId="8">CRONO!$I$1:$AG$118</definedName>
    <definedName name="_xlnm.Print_Area" localSheetId="5">EVENTOS!$C$2:$Z$72</definedName>
    <definedName name="_xlnm.Print_Area" localSheetId="1">MENU!$A$1:$I$25</definedName>
    <definedName name="_xlnm.Print_Area" localSheetId="13">OFÍCIO!$A$1:$G$56</definedName>
    <definedName name="_xlnm.Print_Area" localSheetId="4">ORÇAMENTO!$O$1:$Y$248</definedName>
    <definedName name="_xlnm.Print_Area" localSheetId="10">PLE!$B$3:$AG$82</definedName>
    <definedName name="_xlnm.Print_Area" localSheetId="9">QCI!$D$1:$O$28</definedName>
    <definedName name="_xlnm.Print_Area" localSheetId="12">RRE!$E$1:$P$40</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BM!$C$15:$C$231</definedName>
    <definedName name="BM.firstrow" hidden="1">BM!$15:$15</definedName>
    <definedName name="BM.FormulaMed" hidden="1">BM!$AO$7</definedName>
    <definedName name="BM.lastrow" hidden="1">BM!$231:$231</definedName>
    <definedName name="BM.LinhaPadrão" hidden="1">BM!$14:$14</definedName>
    <definedName name="BM.MaxMed" hidden="1">IF(RegimeExecucao="Global",1,BM!$G1)</definedName>
    <definedName name="BM.MCAIXA.Filter" hidden="1">BM!$C$15:$Z$231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CÁLCULO!$C$15:$C$231</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CÁLCULO!$231:$231</definedName>
    <definedName name="CÁLCULO.LinhaPadrão" hidden="1">CÁLCULO!$14:$14</definedName>
    <definedName name="CÁLCULO.margemrow" hidden="1">CÁLCULO!$239:$239</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CÁLCULO!$231:$231</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CÁLCULO!$231:$231</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CÁLCULO!$231:$231</definedName>
    <definedName name="CÁLCULO.nEvento" hidden="1">CÁLCULO!$M$12</definedName>
    <definedName name="CÁLCULO.NúmeroDeEventos" hidden="1">IF(AUTOEVENTO&lt;&gt;"manual",MAX(CÁLCULO!$M$15:$M$231),MAX(OFFSET(EVENTOS!$C$1:$C$65,1,0)))</definedName>
    <definedName name="CÁLCULO.NúmeroDeFrentes" hidden="1">COLUMN(CÁLCULO!$AA$15)-COLUMN(CÁLCULO!$Q$15)</definedName>
    <definedName name="CÁLCULO.Título" hidden="1">CÁLCULO!$F$6</definedName>
    <definedName name="CÁLCULO.TotalAdmLocal" hidden="1">IF(AUTOEVENTO="manual",SUMIF(CÁLCULO!$M$15:$M$231,1,ORÇAMENTO!$X$15:$X$231),0)</definedName>
    <definedName name="CRONO.ColAux" hidden="1">CRONO!$M:$R</definedName>
    <definedName name="CRONO.ColunaPadrão" hidden="1">CRONO!$E:$E</definedName>
    <definedName name="CRONO.Erro" hidden="1">CRONO!$K$10</definedName>
    <definedName name="CRONO.Filtro" hidden="1">CRONO!$G$13:$G$118</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CRONO!$101:$101</definedName>
    <definedName name="CRONO.lastrow2" hidden="1">CRONO!$113:$113</definedName>
    <definedName name="CRONO.LinhaPadrão" hidden="1">CRONO!$1:$3</definedName>
    <definedName name="CRONO.LinhasNecessarias" hidden="1">COUNTIF(QCI!$B$13:$B$15,"Manual")+COUNTIF(QCI!$B$13:$B$15,"SemiAuto")+COUNT(ORÇAMENTO.ListaCrono)</definedName>
    <definedName name="CRONO.margemrow" hidden="1">CRONO!$118:$118</definedName>
    <definedName name="CRONO.MaxParc" hidden="1">CRONO!$H1048576+CRONO!A1</definedName>
    <definedName name="CRONO.NivelExibicao" hidden="1">CRONO!$H$10</definedName>
    <definedName name="CRONO.Parcela1" hidden="1">CRONO!$U$12:$U$13</definedName>
    <definedName name="CRONO.ParcelaFinal" hidden="1">MATCH(100%,CRONO!$U$107:$AG$107,0)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margemrow" hidden="1">CRONOPLE!$81:$81</definedName>
    <definedName name="CRONOPLE.Título" hidden="1">CRONOPLE!$G$2</definedName>
    <definedName name="CRONOPLE.ValorDoEvento" hidden="1">SUMIF(CÁLCULO!$M$15:$M$231,CRONOPLE!$B1,OFFSET(CÁLCULO!$AA$15:$AA$231,0,CRONOPLE!A$12))</definedName>
    <definedName name="DADOS.ColAux" hidden="1">DADOS!$G:$AR</definedName>
    <definedName name="DADOS.Erro" hidden="1">DADOS!$D$1</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BM!$D$234</definedName>
    <definedName name="Import.BMAFAcumulado" hidden="1">OFFSET(BM!$R$15,1,0):OFFSET(BM!$R$231,-1,0)</definedName>
    <definedName name="Import.BMArred" hidden="1">BM!$A$9</definedName>
    <definedName name="Import.CNPJ" hidden="1">DADOS!$C$39</definedName>
    <definedName name="Import.Código" hidden="1">OFFSET(ORÇAMENTO!$Q$15,1,0):OFFSET(ORÇAMENTO!$Q$231,-1,0)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OFFSET(ORÇAMENTO!$U$15,1,0):OFFSET(ORÇAMENTO!$U$231,-1,0)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OFFSET(ORÇAMENTO!$R$15,1,0):OFFSET(ORÇAMENTO!$R$231,-1,0)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OFFSET(ORÇAMENTO!$P$15,1,0):OFFSET(ORÇAMENTO!$P$231,-1,0)</definedName>
    <definedName name="Import.FrenteDeObra" hidden="1">CÁLCULO!$Q$12:OFFSET(CÁLCULO!$AA$12,0,-1)</definedName>
    <definedName name="Import.MacrosserviçoAdmLocal" hidden="1">CRONO!$H$112</definedName>
    <definedName name="Import.Município" hidden="1">DADOS!$C$6</definedName>
    <definedName name="Import.Nível" hidden="1">OFFSET(ORÇAMENTO!$M$15,1,0):OFFSET(ORÇAMENTO!$M$231,-1,0)</definedName>
    <definedName name="Import.Ofício.Dest" hidden="1">OFÍCIO!$B$11</definedName>
    <definedName name="Import.Ofício.GIGOV" hidden="1">OFÍCIO!$C$11</definedName>
    <definedName name="Import.Ofício.Num" hidden="1">OFÍCIO!$C$6</definedName>
    <definedName name="Import.OpcaoBDI" hidden="1">OFFSET(ORÇAMENTO!$V$15,1,0):OFFSET(ORÇAMENTO!$V$231,-1,0)</definedName>
    <definedName name="Import.ORÇAMENTO.DivRecurso" hidden="1">OFFSET(ORÇAMENTO!$Y$15,1,0):OFFSET(ORÇAMENTO!$Y$231,-1,0)</definedName>
    <definedName name="Import.ORÇAMENTO.Obs" hidden="1">ORÇAMENTO!$O$237</definedName>
    <definedName name="Import.PLE" hidden="1">OFFSET(PLE!$G$15,1,1):OFFSET(PLE!$AG$65,-1,-1)</definedName>
    <definedName name="Import.PLE.Datas" hidden="1">PLE!$I$68:$AF$68</definedName>
    <definedName name="Import.PLQ" hidden="1">OFFSET(CÁLCULO!$P$15,1,1):OFFSET(CÁLCULO!$AA$231,-1,-1)</definedName>
    <definedName name="Import.PLQ.MemCalc" hidden="1">OFFSET(CÁLCULO!$I$15,1,0):OFFSET(CÁLCULO!$I$231,-1,0)</definedName>
    <definedName name="Import.PLQ.nAgrupEvent" hidden="1">OFFSET(CÁLCULO!$K$15,1,0):OFFSET(CÁLCULO!$K$231,-1,0)</definedName>
    <definedName name="Import.POArred" hidden="1">ORÇAMENTO!$AF$7:$AF$11</definedName>
    <definedName name="IMport.Prefeito" hidden="1">DADOS!$C$28:$C$29</definedName>
    <definedName name="Import.Proponente" hidden="1">DADOS!$C$5</definedName>
    <definedName name="Import.QCI.Divisao" hidden="1">OFFSET(QCI!$V$13,1,0):OFFSET(QCI!$V$15,-1,0)</definedName>
    <definedName name="Import.QCI.ItemInv" hidden="1">OFFSET(QCI!$E$13,1,0):OFFSET(QCI!$E$15,-1,0)</definedName>
    <definedName name="Import.QCI.Obs" hidden="1">QCI!$D$19</definedName>
    <definedName name="Import.QCI.Qtde" hidden="1">OFFSET(QCI!$I$13,1,0):OFFSET(QCI!$I$15,-1,0)</definedName>
    <definedName name="Import.QCI.Situacao" hidden="1">OFFSET(QCI!$H$13,1,0):OFFSET(QCI!$H$15,-1,0)</definedName>
    <definedName name="Import.QCI.SubItemInv" hidden="1">OFFSET(QCI!$F$13,1,0):OFFSET(QCI!$F$15,-1,0)</definedName>
    <definedName name="Import.QCICP" hidden="1">OFFSET(QCI!$W$13,1,0):OFFSET(QCI!$W$15,-1,0)</definedName>
    <definedName name="Import.QCIDesc" hidden="1">OFFSET(QCI!$R$13,1,0):OFFSET(QCI!$R$15,-1,0)</definedName>
    <definedName name="Import.QCIInv" hidden="1">OFFSET(QCI!$U$13,1,0):OFFSET(QCI!$U$15,-1,0)</definedName>
    <definedName name="Import.QCILote" hidden="1">OFFSET(QCI!$T$13,1,0):OFFSET(QCI!$T$15,-1,0)</definedName>
    <definedName name="Import.QCIOutros" hidden="1">OFFSET(QCI!$X$13,1,0):OFFSET(QCI!$X$15,-1,0)</definedName>
    <definedName name="Import.Quantidade" hidden="1">OFFSET(ORÇAMENTO!$AJ$15,1,0):OFFSET(ORÇAMENTO!$AJ$231,-1,0)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RRE!$M$38:$O$40</definedName>
    <definedName name="Import.RRE.Obs" hidden="1">RRE!$E$22</definedName>
    <definedName name="Import.RRE.Social" hidden="1">RRE!$F$38:$G$40</definedName>
    <definedName name="Import.SICONV" hidden="1">DADOS!$C$8</definedName>
    <definedName name="Import.TipoArredondamento" hidden="1">DADOS!$C$31</definedName>
    <definedName name="Import.TransfereGOV" hidden="1">DADOS!$C$8</definedName>
    <definedName name="Import.Unidade" hidden="1">OFFSET(ORÇAMENTO!$S$15,1,0):OFFSET(ORÇAMENTO!$S$231,-1,0)</definedName>
    <definedName name="Import.UnitarioLicitado" hidden="1">OFFSET(ORÇAMENTO!$AL$15,1,0):OFFSET(ORÇAMENTO!$AL$231,-1,0)</definedName>
    <definedName name="ListaTgov.Unidades" hidden="1">DADOS!$AQ$3:$AQ$220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ORÇAMENTO!$L$15:$L$231</definedName>
    <definedName name="ORÇAMENTO.firstrow" hidden="1">ORÇAMENTO!$15:$15</definedName>
    <definedName name="ORÇAMENTO.Fonte" hidden="1">ORÇAMENTO!$P1</definedName>
    <definedName name="ORÇAMENTO.lastrow" hidden="1">ORÇAMENTO!$231:$231</definedName>
    <definedName name="ORÇAMENTO.LinhaPadrão" hidden="1">ORÇAMENTO!$14:$14</definedName>
    <definedName name="ORÇAMENTO.ListaCrono" hidden="1">OFFSET(ORÇAMENTO!$AD$15,1,0):OFFSET(ORÇAMENTO!$AD$231,-1,0)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OFFSET(ORÇAMENTO!$P$15,1,0):OFFSET(ORÇAMENTO!$S$231,-1,0)</definedName>
    <definedName name="ORÇAMENTO.PasteFormat2" hidden="1">OFFSET(ORÇAMENTO!$U$15,1,0):OFFSET(ORÇAMENTO!$V$231,-1,0)</definedName>
    <definedName name="ORÇAMENTO.PrecoUnitarioLicitado" hidden="1">ORÇAMENTO!$AL1</definedName>
    <definedName name="ORÇAMENTO.QuantBM" hidden="1">ORÇAMENTO!$AJ1</definedName>
    <definedName name="ORÇAMENTO.RangeQuant" hidden="1">OFFSET(ORÇAMENTO!$T$15,1,0):OFFSET(ORÇAMENTO!$T$231,-1,0)</definedName>
    <definedName name="ORÇAMENTO.SumCPMANUAL" hidden="1">SUMIF(ORÇAMENTO!$Z$15:$Z$231,"CP",ORÇAMENTO!$AA$15:$AA$231)</definedName>
    <definedName name="ORÇAMENTO.SumINVMANUAL" hidden="1">SUMIF(ORÇAMENTO!$Z$15:$Z$231,"RP",ORÇAMENTO!$X$15:$X$231)+SUMIF(ORÇAMENTO!$Z$15:$Z$231,"CP",ORÇAMENTO!$X$15:$X$231)+SUMIF(ORÇAMENTO!$Z$15:$Z$231,"OU",ORÇAMENTO!$X$15:$X$231)</definedName>
    <definedName name="ORÇAMENTO.SumOUTROSMANUAL" hidden="1">SUMIF(ORÇAMENTO!$Z$15:$Z$231,"OU",ORÇAMENTO!$AB$15:$AB$231)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SUMIF(CÁLCULO!$M$15:$M$231,PLE!$B1,OFFSET(CÁLCULO!$AA$15:$AA$231,0,PLE!A$12))</definedName>
    <definedName name="PO.ValoresBDI" hidden="1">OFFSET(ORÇAMENTO!$AH$15,1,0):OFFSET(ORÇAMENTO!$AH$231,-1,0)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(COUNTIF(QCI!$B$13:$B$15,"Manual")+COUNTIF(QCI!$B$13:$B$15,"SemiAuto"))&gt;0</definedName>
    <definedName name="QCI.Filtro" hidden="1">QCI!$C$13:$C$16</definedName>
    <definedName name="QCI.firstrow" hidden="1">QCI!$13:$13</definedName>
    <definedName name="QCI.InvManual" hidden="1">ROUND(QCI!$U1,2)</definedName>
    <definedName name="QCI.ItemInvestimento" hidden="1">OFFSET(DADOS!$G$2,1,0,COUNTA(DADOS!$G:$G)-1,1)</definedName>
    <definedName name="QCI.lastrow" hidden="1">QCI!$15:$15</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SUMIF(QCI!$B$13:$B$15,"Manual",QCI!$AA$13:$AA$15)</definedName>
    <definedName name="QCI.SumINVMANUAL" hidden="1">SUMIF(QCI!$B$13:$B$15,"Manual",QCI!$O$13:$O$15)</definedName>
    <definedName name="QCI.SumOUTROSMANUAL" hidden="1">SUMIF(QCI!$B$13:$B$15,"Manual",QCI!$AB$13:$AB$15)</definedName>
    <definedName name="QCI.SumREPASSEMANUAL" hidden="1">QCI.SumINVMANUAL-QCI.CPManual-QCI.OutrosManual</definedName>
    <definedName name="QCI.Título" hidden="1">QCI!$F$1</definedName>
    <definedName name="QCI.TotalCP" hidden="1">QCI!$M$15</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RRE!$Y$17:$Z$18</definedName>
    <definedName name="RRE.Filtro" hidden="1">RRE!$D$13:$D$19</definedName>
    <definedName name="RRE.firstrow" hidden="1">RRE!$13:$13</definedName>
    <definedName name="RRE.lastrow" hidden="1">RRE!$15:$15</definedName>
    <definedName name="RRE.LinhaPadrão" hidden="1">RRE!$12:$12</definedName>
    <definedName name="RRE.MaxCPAcum" hidden="1">RRE!$AD$17</definedName>
    <definedName name="RRE.MaxCPAnt" hidden="1">RRE!$AC$17</definedName>
    <definedName name="RRE.MaxOUAcum" hidden="1">RRE!$AD$18</definedName>
    <definedName name="RRE.MaxOUAnt" hidden="1">RRE!$AC$18</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66" i="5" l="1"/>
  <c r="A165" i="5"/>
  <c r="A99" i="5" l="1"/>
  <c r="A108" i="5"/>
  <c r="A107" i="5"/>
  <c r="A106" i="5"/>
  <c r="A105" i="5"/>
  <c r="A104" i="5"/>
  <c r="A103" i="5"/>
  <c r="A102" i="5"/>
  <c r="A101" i="5"/>
  <c r="A100" i="5"/>
  <c r="A98" i="5"/>
  <c r="A225" i="5" l="1"/>
  <c r="A224" i="5"/>
  <c r="A223" i="5"/>
  <c r="A222" i="5"/>
  <c r="A221" i="5"/>
  <c r="A83" i="5" l="1"/>
  <c r="A82" i="5"/>
  <c r="A112" i="5" l="1"/>
  <c r="A111" i="5"/>
  <c r="A27" i="5"/>
  <c r="A26" i="5"/>
  <c r="A189" i="5"/>
  <c r="A175" i="5"/>
  <c r="A174" i="5"/>
  <c r="A178" i="5"/>
  <c r="A177" i="5"/>
  <c r="A229" i="5"/>
  <c r="A230" i="5"/>
  <c r="A228" i="5"/>
  <c r="A227" i="5"/>
  <c r="A142" i="5"/>
  <c r="A132" i="5"/>
  <c r="A163" i="5"/>
  <c r="A162" i="5"/>
  <c r="A161" i="5"/>
  <c r="A160" i="5"/>
  <c r="A159" i="5"/>
  <c r="A158" i="5"/>
  <c r="A157" i="5"/>
  <c r="A156" i="5"/>
  <c r="A155" i="5"/>
  <c r="A154" i="5"/>
  <c r="A153" i="5"/>
  <c r="A152" i="5"/>
  <c r="A151" i="5"/>
  <c r="A150" i="5"/>
  <c r="A149" i="5"/>
  <c r="A148" i="5"/>
  <c r="A147" i="5"/>
  <c r="A146" i="5"/>
  <c r="H14" i="13"/>
  <c r="G14" i="13"/>
  <c r="S14" i="11"/>
  <c r="J14" i="11"/>
  <c r="I14" i="13" s="1"/>
  <c r="D14" i="11"/>
  <c r="E14" i="13" s="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A226"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8" i="5"/>
  <c r="A187" i="5"/>
  <c r="A186" i="5"/>
  <c r="A185" i="5"/>
  <c r="A184" i="5"/>
  <c r="A183" i="5"/>
  <c r="A182" i="5"/>
  <c r="A181" i="5"/>
  <c r="A180" i="5"/>
  <c r="A179" i="5"/>
  <c r="A176" i="5"/>
  <c r="A173" i="5"/>
  <c r="A172" i="5"/>
  <c r="A171" i="5"/>
  <c r="A170" i="5"/>
  <c r="A169" i="5"/>
  <c r="A168" i="5"/>
  <c r="A167" i="5"/>
  <c r="A164" i="5"/>
  <c r="A145" i="5"/>
  <c r="A144" i="5"/>
  <c r="A143" i="5"/>
  <c r="A141" i="5"/>
  <c r="A140" i="5"/>
  <c r="A139" i="5"/>
  <c r="A138" i="5"/>
  <c r="A137" i="5"/>
  <c r="A136" i="5"/>
  <c r="A135" i="5"/>
  <c r="A134" i="5"/>
  <c r="A133" i="5"/>
  <c r="A131" i="5"/>
  <c r="A130" i="5"/>
  <c r="A129" i="5"/>
  <c r="A128" i="5"/>
  <c r="A127" i="5"/>
  <c r="A126" i="5"/>
  <c r="A125" i="5"/>
  <c r="A124" i="5"/>
  <c r="A123" i="5"/>
  <c r="A122" i="5"/>
  <c r="A121" i="5"/>
  <c r="A120" i="5"/>
  <c r="A119" i="5"/>
  <c r="A118" i="5"/>
  <c r="A117" i="5"/>
  <c r="A116" i="5"/>
  <c r="A115" i="5"/>
  <c r="A114" i="5"/>
  <c r="A113" i="5"/>
  <c r="A110" i="5"/>
  <c r="A109" i="5"/>
  <c r="A97" i="5"/>
  <c r="A96" i="5"/>
  <c r="A95" i="5"/>
  <c r="A94" i="5"/>
  <c r="A93" i="5"/>
  <c r="A92" i="5"/>
  <c r="A91" i="5"/>
  <c r="A90" i="5"/>
  <c r="A89" i="5"/>
  <c r="A88" i="5"/>
  <c r="A87" i="5"/>
  <c r="A86" i="5"/>
  <c r="A85" i="5"/>
  <c r="A84"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5" i="5"/>
  <c r="A24" i="5"/>
  <c r="A23" i="5"/>
  <c r="A22" i="5"/>
  <c r="A21" i="5"/>
  <c r="A20" i="5"/>
  <c r="A19" i="5"/>
  <c r="A18" i="5"/>
  <c r="A17" i="5"/>
  <c r="C16" i="5"/>
  <c r="AE16" i="5" s="1"/>
  <c r="A16" i="5"/>
  <c r="C153" i="3"/>
  <c r="C151" i="3"/>
  <c r="B16" i="5" l="1"/>
  <c r="F16" i="6"/>
  <c r="N16" i="5"/>
  <c r="F16" i="5"/>
  <c r="G16" i="5"/>
  <c r="H16" i="5"/>
  <c r="C17" i="5"/>
  <c r="W16" i="5"/>
  <c r="H16" i="12" s="1"/>
  <c r="I16" i="5"/>
  <c r="A16" i="12"/>
  <c r="B16" i="6"/>
  <c r="B20" i="8"/>
  <c r="A12" i="6"/>
  <c r="E16" i="12" l="1"/>
  <c r="B23" i="8"/>
  <c r="T64" i="7" a="1"/>
  <c r="T64" i="7" s="1"/>
  <c r="Y64" i="7" a="1"/>
  <c r="Y64" i="7" s="1"/>
  <c r="S64" i="7" a="1"/>
  <c r="S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X64" i="7" a="1"/>
  <c r="X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W64" i="7" a="1"/>
  <c r="W64" i="7" s="1"/>
  <c r="P64" i="7" a="1"/>
  <c r="P64" i="7" s="1"/>
  <c r="J64" i="7" a="1"/>
  <c r="J64" i="7" s="1"/>
  <c r="T63" i="7" a="1"/>
  <c r="T63" i="7" s="1"/>
  <c r="N63" i="7" a="1"/>
  <c r="N63" i="7" s="1"/>
  <c r="H63" i="7" a="1"/>
  <c r="H63" i="7" s="1"/>
  <c r="X62" i="7" a="1"/>
  <c r="X62" i="7" s="1"/>
  <c r="R62" i="7" a="1"/>
  <c r="R62" i="7" s="1"/>
  <c r="L62" i="7" a="1"/>
  <c r="L62" i="7" s="1"/>
  <c r="E62" i="7" a="1"/>
  <c r="E62" i="7" s="1"/>
  <c r="O64" i="7" a="1"/>
  <c r="O64" i="7" s="1"/>
  <c r="F64" i="7"/>
  <c r="P62" i="7" a="1"/>
  <c r="P62" i="7" s="1"/>
  <c r="M61" i="7" a="1"/>
  <c r="M61" i="7" s="1"/>
  <c r="E61" i="7" a="1"/>
  <c r="E61" i="7" s="1"/>
  <c r="N60" i="7" a="1"/>
  <c r="N60" i="7" s="1"/>
  <c r="W59" i="7" a="1"/>
  <c r="W59" i="7" s="1"/>
  <c r="J59" i="7" a="1"/>
  <c r="J59" i="7" s="1"/>
  <c r="S58" i="7" a="1"/>
  <c r="S58" i="7" s="1"/>
  <c r="E58" i="7" a="1"/>
  <c r="E58" i="7" s="1"/>
  <c r="S63" i="7" a="1"/>
  <c r="S63" i="7" s="1"/>
  <c r="K63" i="7" a="1"/>
  <c r="K63" i="7" s="1"/>
  <c r="T61" i="7" a="1"/>
  <c r="T61" i="7" s="1"/>
  <c r="T60" i="7" a="1"/>
  <c r="T60" i="7" s="1"/>
  <c r="F60" i="7"/>
  <c r="P59" i="7" a="1"/>
  <c r="P59" i="7" s="1"/>
  <c r="Y58" i="7" a="1"/>
  <c r="Y58" i="7" s="1"/>
  <c r="L58" i="7" a="1"/>
  <c r="L58" i="7" s="1"/>
  <c r="U57" i="7" a="1"/>
  <c r="U57" i="7" s="1"/>
  <c r="O57" i="7" a="1"/>
  <c r="O57" i="7" s="1"/>
  <c r="I57" i="7" a="1"/>
  <c r="I57" i="7" s="1"/>
  <c r="Y56" i="7" a="1"/>
  <c r="Y56" i="7" s="1"/>
  <c r="S56" i="7" a="1"/>
  <c r="S56" i="7" s="1"/>
  <c r="M56" i="7" a="1"/>
  <c r="M56" i="7" s="1"/>
  <c r="F56" i="7"/>
  <c r="W55" i="7" a="1"/>
  <c r="W55" i="7" s="1"/>
  <c r="Q55" i="7" a="1"/>
  <c r="Q55" i="7" s="1"/>
  <c r="K55" i="7" a="1"/>
  <c r="K55" i="7" s="1"/>
  <c r="U54" i="7" a="1"/>
  <c r="U54" i="7" s="1"/>
  <c r="O54" i="7" a="1"/>
  <c r="O54" i="7" s="1"/>
  <c r="I54" i="7" a="1"/>
  <c r="I54" i="7" s="1"/>
  <c r="Y53" i="7" a="1"/>
  <c r="Y53" i="7" s="1"/>
  <c r="S53" i="7" a="1"/>
  <c r="S53" i="7" s="1"/>
  <c r="M53" i="7" a="1"/>
  <c r="M53" i="7" s="1"/>
  <c r="F53" i="7"/>
  <c r="W52" i="7" a="1"/>
  <c r="W52" i="7" s="1"/>
  <c r="Q52" i="7" a="1"/>
  <c r="Q52" i="7" s="1"/>
  <c r="K52" i="7" a="1"/>
  <c r="K52" i="7" s="1"/>
  <c r="U51" i="7" a="1"/>
  <c r="U51" i="7" s="1"/>
  <c r="O51" i="7" a="1"/>
  <c r="O51" i="7" s="1"/>
  <c r="I51" i="7" a="1"/>
  <c r="I51" i="7" s="1"/>
  <c r="Y50" i="7" a="1"/>
  <c r="Y50" i="7" s="1"/>
  <c r="S50" i="7" a="1"/>
  <c r="S50" i="7" s="1"/>
  <c r="M50" i="7" a="1"/>
  <c r="M50" i="7" s="1"/>
  <c r="F50" i="7"/>
  <c r="W49" i="7" a="1"/>
  <c r="W49" i="7" s="1"/>
  <c r="Q49" i="7" a="1"/>
  <c r="Q49" i="7" s="1"/>
  <c r="K49" i="7" a="1"/>
  <c r="K49" i="7" s="1"/>
  <c r="U48" i="7" a="1"/>
  <c r="U48" i="7" s="1"/>
  <c r="O48" i="7" a="1"/>
  <c r="O48" i="7" s="1"/>
  <c r="I48" i="7" a="1"/>
  <c r="I48" i="7" s="1"/>
  <c r="Y47" i="7" a="1"/>
  <c r="Y47" i="7" s="1"/>
  <c r="S47" i="7" a="1"/>
  <c r="S47" i="7" s="1"/>
  <c r="M47" i="7" a="1"/>
  <c r="M47" i="7" s="1"/>
  <c r="F47" i="7"/>
  <c r="W46" i="7" a="1"/>
  <c r="W46" i="7" s="1"/>
  <c r="Q46" i="7" a="1"/>
  <c r="Q46" i="7" s="1"/>
  <c r="K46" i="7" a="1"/>
  <c r="K46" i="7" s="1"/>
  <c r="U45" i="7" a="1"/>
  <c r="U45" i="7" s="1"/>
  <c r="O45" i="7" a="1"/>
  <c r="O45" i="7" s="1"/>
  <c r="I45" i="7" a="1"/>
  <c r="I45" i="7" s="1"/>
  <c r="Y44" i="7" a="1"/>
  <c r="Y44" i="7" s="1"/>
  <c r="S44" i="7" a="1"/>
  <c r="S44" i="7" s="1"/>
  <c r="M44" i="7" a="1"/>
  <c r="M44" i="7" s="1"/>
  <c r="F44" i="7"/>
  <c r="W43" i="7" a="1"/>
  <c r="W43" i="7" s="1"/>
  <c r="Q43" i="7" a="1"/>
  <c r="Q43" i="7" s="1"/>
  <c r="K43" i="7" a="1"/>
  <c r="K43" i="7" s="1"/>
  <c r="N64" i="7" a="1"/>
  <c r="N64" i="7" s="1"/>
  <c r="W62" i="7" a="1"/>
  <c r="W62" i="7" s="1"/>
  <c r="O62" i="7" a="1"/>
  <c r="O62" i="7" s="1"/>
  <c r="L61" i="7" a="1"/>
  <c r="L61" i="7" s="1"/>
  <c r="M60" i="7" a="1"/>
  <c r="M60" i="7" s="1"/>
  <c r="V59" i="7" a="1"/>
  <c r="V59" i="7" s="1"/>
  <c r="I59" i="7" a="1"/>
  <c r="I59" i="7" s="1"/>
  <c r="R58" i="7" a="1"/>
  <c r="R58" i="7" s="1"/>
  <c r="K58" i="7" a="1"/>
  <c r="K58" i="7" s="1"/>
  <c r="R63" i="7" a="1"/>
  <c r="R63" i="7" s="1"/>
  <c r="S61" i="7" a="1"/>
  <c r="S61" i="7" s="1"/>
  <c r="S60" i="7" a="1"/>
  <c r="S60" i="7" s="1"/>
  <c r="E60" i="7" a="1"/>
  <c r="E60" i="7" s="1"/>
  <c r="O59" i="7" a="1"/>
  <c r="O59" i="7" s="1"/>
  <c r="X58" i="7" a="1"/>
  <c r="X58" i="7" s="1"/>
  <c r="Q58" i="7" a="1"/>
  <c r="Q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T42" i="7" a="1"/>
  <c r="T42" i="7" s="1"/>
  <c r="N42" i="7" a="1"/>
  <c r="N42" i="7" s="1"/>
  <c r="H42" i="7" a="1"/>
  <c r="H42" i="7" s="1"/>
  <c r="X41" i="7" a="1"/>
  <c r="X41" i="7" s="1"/>
  <c r="R41" i="7" a="1"/>
  <c r="R41" i="7" s="1"/>
  <c r="L41" i="7" a="1"/>
  <c r="L41" i="7" s="1"/>
  <c r="E41" i="7" a="1"/>
  <c r="E41" i="7" s="1"/>
  <c r="V40" i="7" a="1"/>
  <c r="V40" i="7" s="1"/>
  <c r="P40" i="7" a="1"/>
  <c r="P40" i="7" s="1"/>
  <c r="J40" i="7" a="1"/>
  <c r="J40" i="7" s="1"/>
  <c r="T39" i="7" a="1"/>
  <c r="T39" i="7" s="1"/>
  <c r="N39" i="7" a="1"/>
  <c r="N39" i="7" s="1"/>
  <c r="H39" i="7" a="1"/>
  <c r="H39" i="7" s="1"/>
  <c r="X38" i="7" a="1"/>
  <c r="X38" i="7" s="1"/>
  <c r="R38" i="7" a="1"/>
  <c r="R38" i="7" s="1"/>
  <c r="L38" i="7" a="1"/>
  <c r="L38" i="7" s="1"/>
  <c r="E38" i="7" a="1"/>
  <c r="E38" i="7" s="1"/>
  <c r="V37" i="7" a="1"/>
  <c r="V37" i="7" s="1"/>
  <c r="P37" i="7" a="1"/>
  <c r="P37" i="7" s="1"/>
  <c r="V64" i="7" a="1"/>
  <c r="V64" i="7" s="1"/>
  <c r="M64" i="7" a="1"/>
  <c r="M64" i="7" s="1"/>
  <c r="V62" i="7" a="1"/>
  <c r="V62" i="7" s="1"/>
  <c r="J61" i="7" a="1"/>
  <c r="J61" i="7" s="1"/>
  <c r="Y60" i="7" a="1"/>
  <c r="Y60" i="7" s="1"/>
  <c r="L60" i="7" a="1"/>
  <c r="L60" i="7" s="1"/>
  <c r="U59" i="7" a="1"/>
  <c r="U59" i="7" s="1"/>
  <c r="H59" i="7" a="1"/>
  <c r="H59" i="7" s="1"/>
  <c r="W58" i="7" a="1"/>
  <c r="W58" i="7" s="1"/>
  <c r="J58" i="7" a="1"/>
  <c r="J58" i="7" s="1"/>
  <c r="Y63" i="7" a="1"/>
  <c r="Y63" i="7" s="1"/>
  <c r="Q63" i="7" a="1"/>
  <c r="Q63" i="7" s="1"/>
  <c r="F63" i="7"/>
  <c r="R60" i="7" a="1"/>
  <c r="R60" i="7" s="1"/>
  <c r="N59" i="7" a="1"/>
  <c r="N59" i="7" s="1"/>
  <c r="F59" i="7"/>
  <c r="P58" i="7" a="1"/>
  <c r="P58" i="7" s="1"/>
  <c r="Y57" i="7" a="1"/>
  <c r="Y57" i="7" s="1"/>
  <c r="S57" i="7" a="1"/>
  <c r="S57" i="7" s="1"/>
  <c r="M57" i="7" a="1"/>
  <c r="M57" i="7" s="1"/>
  <c r="F57" i="7"/>
  <c r="W56" i="7" a="1"/>
  <c r="W56" i="7" s="1"/>
  <c r="Q56" i="7" a="1"/>
  <c r="Q56" i="7" s="1"/>
  <c r="K56" i="7" a="1"/>
  <c r="K56" i="7" s="1"/>
  <c r="U55" i="7" a="1"/>
  <c r="U55" i="7" s="1"/>
  <c r="O55" i="7" a="1"/>
  <c r="O55" i="7" s="1"/>
  <c r="I55" i="7" a="1"/>
  <c r="I55" i="7" s="1"/>
  <c r="Y54" i="7" a="1"/>
  <c r="Y54" i="7" s="1"/>
  <c r="S54" i="7" a="1"/>
  <c r="S54" i="7" s="1"/>
  <c r="M54" i="7" a="1"/>
  <c r="M54" i="7" s="1"/>
  <c r="F54" i="7"/>
  <c r="W53" i="7" a="1"/>
  <c r="W53" i="7" s="1"/>
  <c r="Q53" i="7" a="1"/>
  <c r="Q53" i="7" s="1"/>
  <c r="K53" i="7" a="1"/>
  <c r="K53" i="7" s="1"/>
  <c r="U52" i="7" a="1"/>
  <c r="U52" i="7" s="1"/>
  <c r="O52" i="7" a="1"/>
  <c r="O52" i="7" s="1"/>
  <c r="I52" i="7" a="1"/>
  <c r="I52" i="7" s="1"/>
  <c r="Y51" i="7" a="1"/>
  <c r="Y51" i="7" s="1"/>
  <c r="S51" i="7" a="1"/>
  <c r="S51" i="7" s="1"/>
  <c r="M51" i="7" a="1"/>
  <c r="M51" i="7" s="1"/>
  <c r="F51" i="7"/>
  <c r="W50" i="7" a="1"/>
  <c r="W50" i="7" s="1"/>
  <c r="Q50" i="7" a="1"/>
  <c r="Q50" i="7" s="1"/>
  <c r="K50" i="7" a="1"/>
  <c r="K50" i="7" s="1"/>
  <c r="U49" i="7" a="1"/>
  <c r="U49" i="7" s="1"/>
  <c r="O49" i="7" a="1"/>
  <c r="O49" i="7" s="1"/>
  <c r="I49" i="7" a="1"/>
  <c r="I49" i="7" s="1"/>
  <c r="Y48" i="7" a="1"/>
  <c r="Y48" i="7" s="1"/>
  <c r="S48" i="7" a="1"/>
  <c r="S48" i="7" s="1"/>
  <c r="M48" i="7" a="1"/>
  <c r="M48" i="7" s="1"/>
  <c r="F48" i="7"/>
  <c r="W47" i="7" a="1"/>
  <c r="W47" i="7" s="1"/>
  <c r="Q47" i="7" a="1"/>
  <c r="Q47" i="7" s="1"/>
  <c r="K47" i="7" a="1"/>
  <c r="K47" i="7" s="1"/>
  <c r="U46" i="7" a="1"/>
  <c r="U46" i="7" s="1"/>
  <c r="O46" i="7" a="1"/>
  <c r="O46" i="7" s="1"/>
  <c r="I46" i="7" a="1"/>
  <c r="I46" i="7" s="1"/>
  <c r="Y45" i="7" a="1"/>
  <c r="Y45" i="7" s="1"/>
  <c r="S45" i="7" a="1"/>
  <c r="S45" i="7" s="1"/>
  <c r="M45" i="7" a="1"/>
  <c r="M45" i="7" s="1"/>
  <c r="F45" i="7"/>
  <c r="W44" i="7" a="1"/>
  <c r="W44" i="7" s="1"/>
  <c r="Q44" i="7" a="1"/>
  <c r="Q44" i="7" s="1"/>
  <c r="K44" i="7" a="1"/>
  <c r="K44" i="7" s="1"/>
  <c r="U43" i="7" a="1"/>
  <c r="U43" i="7" s="1"/>
  <c r="O43" i="7" a="1"/>
  <c r="O43" i="7" s="1"/>
  <c r="I43" i="7" a="1"/>
  <c r="I43" i="7" s="1"/>
  <c r="Y42" i="7" a="1"/>
  <c r="Y42" i="7" s="1"/>
  <c r="S42" i="7" a="1"/>
  <c r="S42" i="7" s="1"/>
  <c r="M42" i="7" a="1"/>
  <c r="M42" i="7" s="1"/>
  <c r="F42" i="7"/>
  <c r="W41" i="7" a="1"/>
  <c r="W41" i="7" s="1"/>
  <c r="Q41" i="7" a="1"/>
  <c r="Q41" i="7" s="1"/>
  <c r="K41" i="7" a="1"/>
  <c r="K41" i="7" s="1"/>
  <c r="X63" i="7" a="1"/>
  <c r="X63" i="7" s="1"/>
  <c r="E63" i="7" a="1"/>
  <c r="E63" i="7" s="1"/>
  <c r="P61" i="7" a="1"/>
  <c r="P61" i="7" s="1"/>
  <c r="W54" i="7" a="1"/>
  <c r="W54" i="7" s="1"/>
  <c r="K54" i="7" a="1"/>
  <c r="K54" i="7" s="1"/>
  <c r="U53" i="7" a="1"/>
  <c r="U53" i="7" s="1"/>
  <c r="I53" i="7" a="1"/>
  <c r="I53" i="7" s="1"/>
  <c r="S52" i="7" a="1"/>
  <c r="S52" i="7" s="1"/>
  <c r="F52" i="7"/>
  <c r="X48" i="7" a="1"/>
  <c r="X48" i="7" s="1"/>
  <c r="L48" i="7" a="1"/>
  <c r="L48" i="7" s="1"/>
  <c r="V47" i="7" a="1"/>
  <c r="V47" i="7" s="1"/>
  <c r="J47" i="7" a="1"/>
  <c r="J47" i="7" s="1"/>
  <c r="T46" i="7" a="1"/>
  <c r="T46" i="7" s="1"/>
  <c r="H46" i="7" a="1"/>
  <c r="H46" i="7" s="1"/>
  <c r="H41" i="7" a="1"/>
  <c r="H41" i="7" s="1"/>
  <c r="T40" i="7" a="1"/>
  <c r="T40" i="7" s="1"/>
  <c r="L40" i="7" a="1"/>
  <c r="L40" i="7" s="1"/>
  <c r="F37" i="7"/>
  <c r="U36" i="7" a="1"/>
  <c r="U36" i="7" s="1"/>
  <c r="S35" i="7" a="1"/>
  <c r="S35" i="7" s="1"/>
  <c r="Y34" i="7" a="1"/>
  <c r="Y34" i="7" s="1"/>
  <c r="Q34" i="7" a="1"/>
  <c r="Q34" i="7" s="1"/>
  <c r="W33" i="7" a="1"/>
  <c r="W33" i="7" s="1"/>
  <c r="O33" i="7" a="1"/>
  <c r="O33" i="7" s="1"/>
  <c r="U32" i="7" a="1"/>
  <c r="U32" i="7" s="1"/>
  <c r="M32" i="7" a="1"/>
  <c r="M32" i="7" s="1"/>
  <c r="S31" i="7" a="1"/>
  <c r="S31" i="7" s="1"/>
  <c r="K31" i="7" a="1"/>
  <c r="K31" i="7" s="1"/>
  <c r="Q30" i="7" a="1"/>
  <c r="Q30" i="7" s="1"/>
  <c r="I30" i="7" a="1"/>
  <c r="I30" i="7" s="1"/>
  <c r="O29" i="7" a="1"/>
  <c r="O29" i="7" s="1"/>
  <c r="J62" i="7" a="1"/>
  <c r="J62" i="7" s="1"/>
  <c r="X60" i="7" a="1"/>
  <c r="X60" i="7" s="1"/>
  <c r="K60" i="7" a="1"/>
  <c r="K60" i="7" s="1"/>
  <c r="T59" i="7" a="1"/>
  <c r="T59" i="7" s="1"/>
  <c r="P57" i="7" a="1"/>
  <c r="P57" i="7" s="1"/>
  <c r="N56" i="7" a="1"/>
  <c r="N56" i="7" s="1"/>
  <c r="X55" i="7" a="1"/>
  <c r="X55" i="7" s="1"/>
  <c r="L55" i="7" a="1"/>
  <c r="L55" i="7" s="1"/>
  <c r="Q51" i="7" a="1"/>
  <c r="Q51" i="7" s="1"/>
  <c r="O50" i="7" a="1"/>
  <c r="O50" i="7" s="1"/>
  <c r="Y49" i="7" a="1"/>
  <c r="Y49" i="7" s="1"/>
  <c r="M49" i="7" a="1"/>
  <c r="M49" i="7" s="1"/>
  <c r="R45" i="7" a="1"/>
  <c r="R45" i="7" s="1"/>
  <c r="E45" i="7" a="1"/>
  <c r="E45" i="7" s="1"/>
  <c r="P44" i="7" a="1"/>
  <c r="P44" i="7" s="1"/>
  <c r="N43" i="7" a="1"/>
  <c r="N43" i="7" s="1"/>
  <c r="P42" i="7" a="1"/>
  <c r="P42" i="7" s="1"/>
  <c r="P41" i="7" a="1"/>
  <c r="P41" i="7" s="1"/>
  <c r="F41" i="7"/>
  <c r="K40" i="7" a="1"/>
  <c r="K40" i="7" s="1"/>
  <c r="X39" i="7" a="1"/>
  <c r="X39" i="7" s="1"/>
  <c r="P39" i="7" a="1"/>
  <c r="P39" i="7" s="1"/>
  <c r="E39" i="7" a="1"/>
  <c r="E39" i="7" s="1"/>
  <c r="T38" i="7" a="1"/>
  <c r="T38" i="7" s="1"/>
  <c r="J38" i="7" a="1"/>
  <c r="J38" i="7" s="1"/>
  <c r="X37" i="7" a="1"/>
  <c r="X37" i="7" s="1"/>
  <c r="N37" i="7" a="1"/>
  <c r="N37" i="7" s="1"/>
  <c r="T36" i="7" a="1"/>
  <c r="T36" i="7" s="1"/>
  <c r="L36" i="7" a="1"/>
  <c r="L36" i="7" s="1"/>
  <c r="R35" i="7" a="1"/>
  <c r="R35" i="7" s="1"/>
  <c r="J35" i="7" a="1"/>
  <c r="J35" i="7" s="1"/>
  <c r="P34" i="7" a="1"/>
  <c r="P34" i="7" s="1"/>
  <c r="H34" i="7" a="1"/>
  <c r="H34" i="7" s="1"/>
  <c r="N33" i="7" a="1"/>
  <c r="N33" i="7" s="1"/>
  <c r="E33" i="7" a="1"/>
  <c r="E33" i="7" s="1"/>
  <c r="L32" i="7" a="1"/>
  <c r="L32" i="7" s="1"/>
  <c r="J31" i="7" a="1"/>
  <c r="J31" i="7" s="1"/>
  <c r="X30" i="7" a="1"/>
  <c r="X30" i="7" s="1"/>
  <c r="H30" i="7" a="1"/>
  <c r="H30" i="7" s="1"/>
  <c r="V29" i="7" a="1"/>
  <c r="V29" i="7" s="1"/>
  <c r="E29" i="7" a="1"/>
  <c r="E29" i="7" s="1"/>
  <c r="W63" i="7" a="1"/>
  <c r="W63" i="7" s="1"/>
  <c r="O61" i="7" a="1"/>
  <c r="O61" i="7" s="1"/>
  <c r="S59" i="7" a="1"/>
  <c r="S59" i="7" s="1"/>
  <c r="E59" i="7" a="1"/>
  <c r="E59" i="7" s="1"/>
  <c r="O58" i="7" a="1"/>
  <c r="O58" i="7" s="1"/>
  <c r="V54" i="7" a="1"/>
  <c r="V54" i="7" s="1"/>
  <c r="J54" i="7" a="1"/>
  <c r="J54" i="7" s="1"/>
  <c r="T53" i="7" a="1"/>
  <c r="T53" i="7" s="1"/>
  <c r="H53" i="7" a="1"/>
  <c r="H53" i="7" s="1"/>
  <c r="R52" i="7" a="1"/>
  <c r="R52" i="7" s="1"/>
  <c r="E52" i="7" a="1"/>
  <c r="E52" i="7" s="1"/>
  <c r="W48" i="7" a="1"/>
  <c r="W48" i="7" s="1"/>
  <c r="K48" i="7" a="1"/>
  <c r="K48" i="7" s="1"/>
  <c r="U47" i="7" a="1"/>
  <c r="U47" i="7" s="1"/>
  <c r="I47" i="7" a="1"/>
  <c r="I47" i="7" s="1"/>
  <c r="S46" i="7" a="1"/>
  <c r="S46" i="7" s="1"/>
  <c r="F46" i="7"/>
  <c r="X42" i="7" a="1"/>
  <c r="X42" i="7" s="1"/>
  <c r="O42" i="7" a="1"/>
  <c r="O42" i="7" s="1"/>
  <c r="S40" i="7" a="1"/>
  <c r="S40" i="7" s="1"/>
  <c r="I40" i="7" a="1"/>
  <c r="I40" i="7" s="1"/>
  <c r="O39" i="7" a="1"/>
  <c r="O39" i="7" s="1"/>
  <c r="S38" i="7" a="1"/>
  <c r="S38" i="7" s="1"/>
  <c r="W37" i="7" a="1"/>
  <c r="W37" i="7" s="1"/>
  <c r="E37" i="7" a="1"/>
  <c r="E37" i="7" s="1"/>
  <c r="S36" i="7" a="1"/>
  <c r="S36" i="7" s="1"/>
  <c r="Q35" i="7" a="1"/>
  <c r="Q35" i="7" s="1"/>
  <c r="X34" i="7" a="1"/>
  <c r="X34" i="7" s="1"/>
  <c r="O34" i="7" a="1"/>
  <c r="O34" i="7" s="1"/>
  <c r="I62" i="7" a="1"/>
  <c r="I62" i="7" s="1"/>
  <c r="W60" i="7" a="1"/>
  <c r="W60" i="7" s="1"/>
  <c r="J60" i="7" a="1"/>
  <c r="J60" i="7" s="1"/>
  <c r="X57" i="7" a="1"/>
  <c r="X57" i="7" s="1"/>
  <c r="L57" i="7" a="1"/>
  <c r="L57" i="7" s="1"/>
  <c r="V56" i="7" a="1"/>
  <c r="V56" i="7" s="1"/>
  <c r="J56" i="7" a="1"/>
  <c r="J56" i="7" s="1"/>
  <c r="T55" i="7" a="1"/>
  <c r="T55" i="7" s="1"/>
  <c r="H55" i="7" a="1"/>
  <c r="H55" i="7" s="1"/>
  <c r="P51" i="7" a="1"/>
  <c r="P51" i="7" s="1"/>
  <c r="N50" i="7" a="1"/>
  <c r="N50" i="7" s="1"/>
  <c r="X49" i="7" a="1"/>
  <c r="X49" i="7" s="1"/>
  <c r="L49" i="7" a="1"/>
  <c r="L49" i="7" s="1"/>
  <c r="Q45" i="7" a="1"/>
  <c r="Q45" i="7" s="1"/>
  <c r="O44" i="7" a="1"/>
  <c r="O44" i="7" s="1"/>
  <c r="Y43" i="7" a="1"/>
  <c r="Y43" i="7" s="1"/>
  <c r="M43" i="7" a="1"/>
  <c r="M43" i="7" s="1"/>
  <c r="O41" i="7" a="1"/>
  <c r="O41" i="7" s="1"/>
  <c r="W39" i="7" a="1"/>
  <c r="W39" i="7" s="1"/>
  <c r="M39" i="7" a="1"/>
  <c r="M39" i="7" s="1"/>
  <c r="Q38" i="7" a="1"/>
  <c r="Q38" i="7" s="1"/>
  <c r="I38" i="7" a="1"/>
  <c r="I38" i="7" s="1"/>
  <c r="U37" i="7" a="1"/>
  <c r="U37" i="7" s="1"/>
  <c r="M37" i="7" a="1"/>
  <c r="M37" i="7" s="1"/>
  <c r="K36" i="7" a="1"/>
  <c r="K36" i="7" s="1"/>
  <c r="Y35" i="7" a="1"/>
  <c r="Y35" i="7" s="1"/>
  <c r="U64" i="7" a="1"/>
  <c r="U64" i="7" s="1"/>
  <c r="L63" i="7" a="1"/>
  <c r="L63" i="7" s="1"/>
  <c r="F61" i="7"/>
  <c r="P60" i="7" a="1"/>
  <c r="P60" i="7" s="1"/>
  <c r="X54" i="7" a="1"/>
  <c r="X54" i="7" s="1"/>
  <c r="L54" i="7" a="1"/>
  <c r="L54" i="7" s="1"/>
  <c r="V53" i="7" a="1"/>
  <c r="V53" i="7" s="1"/>
  <c r="J53" i="7" a="1"/>
  <c r="J53" i="7" s="1"/>
  <c r="T52" i="7" a="1"/>
  <c r="T52" i="7" s="1"/>
  <c r="H52" i="7" a="1"/>
  <c r="H52" i="7" s="1"/>
  <c r="P48" i="7" a="1"/>
  <c r="P48" i="7" s="1"/>
  <c r="N47" i="7" a="1"/>
  <c r="N47" i="7" s="1"/>
  <c r="X46" i="7" a="1"/>
  <c r="X46" i="7" s="1"/>
  <c r="L46" i="7" a="1"/>
  <c r="L46" i="7" s="1"/>
  <c r="T41" i="7" a="1"/>
  <c r="T41" i="7" s="1"/>
  <c r="I41" i="7" a="1"/>
  <c r="I41" i="7" s="1"/>
  <c r="U40" i="7" a="1"/>
  <c r="U40" i="7" s="1"/>
  <c r="M40" i="7" a="1"/>
  <c r="M40" i="7" s="1"/>
  <c r="I39" i="7" a="1"/>
  <c r="I39" i="7" s="1"/>
  <c r="M38" i="7" a="1"/>
  <c r="M38" i="7" s="1"/>
  <c r="Q37" i="7" a="1"/>
  <c r="Q37" i="7" s="1"/>
  <c r="H37" i="7" a="1"/>
  <c r="H37" i="7" s="1"/>
  <c r="N36" i="7" a="1"/>
  <c r="N36" i="7" s="1"/>
  <c r="E36" i="7" a="1"/>
  <c r="E36" i="7" s="1"/>
  <c r="L35" i="7" a="1"/>
  <c r="L35" i="7" s="1"/>
  <c r="J34" i="7" a="1"/>
  <c r="J34" i="7" s="1"/>
  <c r="K62" i="7" a="1"/>
  <c r="K62" i="7" s="1"/>
  <c r="U61" i="7" a="1"/>
  <c r="U61" i="7" s="1"/>
  <c r="O60" i="7" a="1"/>
  <c r="O60" i="7" s="1"/>
  <c r="X59" i="7" a="1"/>
  <c r="X59" i="7" s="1"/>
  <c r="K59" i="7" a="1"/>
  <c r="K59" i="7" s="1"/>
  <c r="T58" i="7" a="1"/>
  <c r="T58" i="7" s="1"/>
  <c r="F58" i="7"/>
  <c r="Q57" i="7" a="1"/>
  <c r="Q57" i="7" s="1"/>
  <c r="O56" i="7" a="1"/>
  <c r="O56" i="7" s="1"/>
  <c r="Y55" i="7" a="1"/>
  <c r="Y55" i="7" s="1"/>
  <c r="M55" i="7" a="1"/>
  <c r="M55" i="7" s="1"/>
  <c r="R51" i="7" a="1"/>
  <c r="R51" i="7" s="1"/>
  <c r="E51" i="7" a="1"/>
  <c r="E51" i="7" s="1"/>
  <c r="P50" i="7" a="1"/>
  <c r="P50" i="7" s="1"/>
  <c r="N49" i="7" a="1"/>
  <c r="N49" i="7" s="1"/>
  <c r="V45" i="7" a="1"/>
  <c r="V45" i="7" s="1"/>
  <c r="J45" i="7" a="1"/>
  <c r="J45" i="7" s="1"/>
  <c r="T44" i="7" a="1"/>
  <c r="T44" i="7" s="1"/>
  <c r="H44" i="7" a="1"/>
  <c r="H44" i="7" s="1"/>
  <c r="R43" i="7" a="1"/>
  <c r="R43" i="7" s="1"/>
  <c r="E43" i="7" a="1"/>
  <c r="E43" i="7" s="1"/>
  <c r="Q42" i="7" a="1"/>
  <c r="Q42" i="7" s="1"/>
  <c r="E42" i="7" a="1"/>
  <c r="E42" i="7" s="1"/>
  <c r="S41" i="7" a="1"/>
  <c r="S41" i="7" s="1"/>
  <c r="Y39" i="7" a="1"/>
  <c r="Y39" i="7" s="1"/>
  <c r="Q39" i="7" a="1"/>
  <c r="Q39" i="7" s="1"/>
  <c r="F39" i="7"/>
  <c r="U38" i="7" a="1"/>
  <c r="U38" i="7" s="1"/>
  <c r="K38" i="7" a="1"/>
  <c r="K38" i="7" s="1"/>
  <c r="Y37" i="7" a="1"/>
  <c r="Y37" i="7" s="1"/>
  <c r="O37" i="7" a="1"/>
  <c r="O37" i="7" s="1"/>
  <c r="V36" i="7" a="1"/>
  <c r="V36" i="7" s="1"/>
  <c r="M36" i="7" a="1"/>
  <c r="M36" i="7" s="1"/>
  <c r="T35" i="7" a="1"/>
  <c r="T35" i="7" s="1"/>
  <c r="K35" i="7" a="1"/>
  <c r="K35" i="7" s="1"/>
  <c r="R34" i="7" a="1"/>
  <c r="R34" i="7" s="1"/>
  <c r="I34" i="7" a="1"/>
  <c r="I34" i="7" s="1"/>
  <c r="P33" i="7" a="1"/>
  <c r="P33" i="7" s="1"/>
  <c r="F33" i="7"/>
  <c r="Y61" i="7" a="1"/>
  <c r="Y61" i="7" s="1"/>
  <c r="V60" i="7" a="1"/>
  <c r="V60" i="7" s="1"/>
  <c r="P56" i="7" a="1"/>
  <c r="P56" i="7" s="1"/>
  <c r="N55" i="7" a="1"/>
  <c r="N55" i="7" s="1"/>
  <c r="I50" i="7" a="1"/>
  <c r="I50" i="7" s="1"/>
  <c r="H47" i="7" a="1"/>
  <c r="H47" i="7" s="1"/>
  <c r="E46" i="7" a="1"/>
  <c r="E46" i="7" s="1"/>
  <c r="F43" i="7"/>
  <c r="J42" i="7" a="1"/>
  <c r="J42" i="7" s="1"/>
  <c r="U39" i="7" a="1"/>
  <c r="U39" i="7" s="1"/>
  <c r="Y38" i="7" a="1"/>
  <c r="Y38" i="7" s="1"/>
  <c r="F38" i="7"/>
  <c r="K37" i="7" a="1"/>
  <c r="K37" i="7" s="1"/>
  <c r="Q36" i="7" a="1"/>
  <c r="Q36" i="7" s="1"/>
  <c r="W35" i="7" a="1"/>
  <c r="W35" i="7" s="1"/>
  <c r="I35" i="7" a="1"/>
  <c r="I35" i="7" s="1"/>
  <c r="T34" i="7" a="1"/>
  <c r="T34" i="7" s="1"/>
  <c r="R33" i="7" a="1"/>
  <c r="R33" i="7" s="1"/>
  <c r="H33" i="7" a="1"/>
  <c r="H33" i="7" s="1"/>
  <c r="R32" i="7" a="1"/>
  <c r="R32" i="7" s="1"/>
  <c r="I32" i="7" a="1"/>
  <c r="I32" i="7" s="1"/>
  <c r="V31" i="7" a="1"/>
  <c r="V31" i="7" s="1"/>
  <c r="M31" i="7" a="1"/>
  <c r="M31" i="7" s="1"/>
  <c r="Y30" i="7" a="1"/>
  <c r="Y30" i="7" s="1"/>
  <c r="O30" i="7" a="1"/>
  <c r="O30" i="7" s="1"/>
  <c r="R29" i="7" a="1"/>
  <c r="R29" i="7" s="1"/>
  <c r="I29" i="7" a="1"/>
  <c r="I29" i="7" s="1"/>
  <c r="V28" i="7" a="1"/>
  <c r="V28" i="7" s="1"/>
  <c r="O28" i="7" a="1"/>
  <c r="O28" i="7" s="1"/>
  <c r="I28" i="7" a="1"/>
  <c r="I28" i="7" s="1"/>
  <c r="Y27" i="7" a="1"/>
  <c r="Y27" i="7" s="1"/>
  <c r="S27" i="7" a="1"/>
  <c r="S27" i="7" s="1"/>
  <c r="M27" i="7" a="1"/>
  <c r="M27" i="7" s="1"/>
  <c r="F27" i="7"/>
  <c r="W26" i="7" a="1"/>
  <c r="W26" i="7" s="1"/>
  <c r="Q26" i="7" a="1"/>
  <c r="Q26" i="7" s="1"/>
  <c r="K26" i="7" a="1"/>
  <c r="K26" i="7" s="1"/>
  <c r="U25" i="7" a="1"/>
  <c r="U25" i="7" s="1"/>
  <c r="O25" i="7" a="1"/>
  <c r="O25" i="7" s="1"/>
  <c r="I25" i="7" a="1"/>
  <c r="I25" i="7" s="1"/>
  <c r="Y24" i="7" a="1"/>
  <c r="Y24" i="7" s="1"/>
  <c r="S24" i="7" a="1"/>
  <c r="S24" i="7" s="1"/>
  <c r="M24" i="7" a="1"/>
  <c r="M24" i="7" s="1"/>
  <c r="F24" i="7"/>
  <c r="W23" i="7" a="1"/>
  <c r="W23" i="7" s="1"/>
  <c r="Q23" i="7" a="1"/>
  <c r="Q23" i="7" s="1"/>
  <c r="K23" i="7" a="1"/>
  <c r="K23" i="7" s="1"/>
  <c r="U22" i="7" a="1"/>
  <c r="U22" i="7" s="1"/>
  <c r="O22" i="7" a="1"/>
  <c r="O22" i="7" s="1"/>
  <c r="I22" i="7" a="1"/>
  <c r="I22" i="7" s="1"/>
  <c r="Y21" i="7" a="1"/>
  <c r="Y21" i="7" s="1"/>
  <c r="S21" i="7" a="1"/>
  <c r="S21" i="7" s="1"/>
  <c r="M21" i="7" a="1"/>
  <c r="M21" i="7" s="1"/>
  <c r="F21" i="7"/>
  <c r="W20" i="7" a="1"/>
  <c r="W20" i="7" s="1"/>
  <c r="Q20" i="7" a="1"/>
  <c r="Q20" i="7" s="1"/>
  <c r="K20" i="7" a="1"/>
  <c r="K20" i="7" s="1"/>
  <c r="U19" i="7" a="1"/>
  <c r="U19" i="7" s="1"/>
  <c r="O19" i="7" a="1"/>
  <c r="O19" i="7" s="1"/>
  <c r="I19" i="7" a="1"/>
  <c r="I19" i="7" s="1"/>
  <c r="Y18" i="7" a="1"/>
  <c r="Y18" i="7" s="1"/>
  <c r="S18" i="7" a="1"/>
  <c r="S18" i="7" s="1"/>
  <c r="M18" i="7" a="1"/>
  <c r="M18" i="7" s="1"/>
  <c r="F18" i="7"/>
  <c r="W17" i="7" a="1"/>
  <c r="W17" i="7" s="1"/>
  <c r="Q17" i="7" a="1"/>
  <c r="Q17" i="7" s="1"/>
  <c r="K17" i="7" a="1"/>
  <c r="K17" i="7" s="1"/>
  <c r="U16" i="7" a="1"/>
  <c r="U16" i="7" s="1"/>
  <c r="O16" i="7" a="1"/>
  <c r="O16" i="7" s="1"/>
  <c r="I16" i="7" a="1"/>
  <c r="I16" i="7" s="1"/>
  <c r="U60" i="7" a="1"/>
  <c r="U60" i="7" s="1"/>
  <c r="Q59" i="7" a="1"/>
  <c r="Q59" i="7" s="1"/>
  <c r="M58" i="7" a="1"/>
  <c r="M58" i="7" s="1"/>
  <c r="K57" i="7" a="1"/>
  <c r="K57" i="7" s="1"/>
  <c r="E54" i="7" a="1"/>
  <c r="E54" i="7" s="1"/>
  <c r="J51" i="7" a="1"/>
  <c r="J51" i="7" s="1"/>
  <c r="F49" i="7"/>
  <c r="E48" i="7" a="1"/>
  <c r="E48" i="7" s="1"/>
  <c r="I42" i="7" a="1"/>
  <c r="I42" i="7" s="1"/>
  <c r="J41" i="7" a="1"/>
  <c r="J41" i="7" s="1"/>
  <c r="N40" i="7" a="1"/>
  <c r="N40" i="7" s="1"/>
  <c r="S39" i="7" a="1"/>
  <c r="S39" i="7" s="1"/>
  <c r="W38" i="7" a="1"/>
  <c r="W38" i="7" s="1"/>
  <c r="J37" i="7" a="1"/>
  <c r="J37" i="7" s="1"/>
  <c r="E34" i="7" a="1"/>
  <c r="E34" i="7" s="1"/>
  <c r="Q32" i="7" a="1"/>
  <c r="Q32" i="7" s="1"/>
  <c r="U31" i="7" a="1"/>
  <c r="U31" i="7" s="1"/>
  <c r="N30" i="7" a="1"/>
  <c r="N30" i="7" s="1"/>
  <c r="Q29" i="7" a="1"/>
  <c r="Q29" i="7" s="1"/>
  <c r="M63" i="7" a="1"/>
  <c r="M63" i="7" s="1"/>
  <c r="M59" i="7" a="1"/>
  <c r="M59" i="7" s="1"/>
  <c r="I58" i="7" a="1"/>
  <c r="I58" i="7" s="1"/>
  <c r="I56" i="7" a="1"/>
  <c r="I56" i="7" s="1"/>
  <c r="F55" i="7"/>
  <c r="H50" i="7" a="1"/>
  <c r="H50" i="7" s="1"/>
  <c r="X43" i="7" a="1"/>
  <c r="X43" i="7" s="1"/>
  <c r="W42" i="7" a="1"/>
  <c r="W42" i="7" s="1"/>
  <c r="I37" i="7" a="1"/>
  <c r="I37" i="7" s="1"/>
  <c r="P36" i="7" a="1"/>
  <c r="P36" i="7" s="1"/>
  <c r="V35" i="7" a="1"/>
  <c r="V35" i="7" s="1"/>
  <c r="H35" i="7" a="1"/>
  <c r="H35" i="7" s="1"/>
  <c r="S34" i="7" a="1"/>
  <c r="S34" i="7" s="1"/>
  <c r="Q33" i="7" a="1"/>
  <c r="Q33" i="7" s="1"/>
  <c r="H32" i="7" a="1"/>
  <c r="H32" i="7" s="1"/>
  <c r="L31" i="7" a="1"/>
  <c r="L31" i="7" s="1"/>
  <c r="W30" i="7" a="1"/>
  <c r="W30" i="7" s="1"/>
  <c r="M30" i="7" a="1"/>
  <c r="M30" i="7" s="1"/>
  <c r="H29" i="7" a="1"/>
  <c r="H29" i="7" s="1"/>
  <c r="U28" i="7" a="1"/>
  <c r="U28" i="7" s="1"/>
  <c r="N28" i="7" a="1"/>
  <c r="N28" i="7" s="1"/>
  <c r="H28" i="7" a="1"/>
  <c r="H28" i="7" s="1"/>
  <c r="X27" i="7" a="1"/>
  <c r="X27" i="7" s="1"/>
  <c r="R27" i="7" a="1"/>
  <c r="R27" i="7" s="1"/>
  <c r="L27" i="7" a="1"/>
  <c r="L27" i="7" s="1"/>
  <c r="E27" i="7" a="1"/>
  <c r="E27" i="7" s="1"/>
  <c r="V26" i="7" a="1"/>
  <c r="V26" i="7" s="1"/>
  <c r="P26" i="7" a="1"/>
  <c r="P26" i="7" s="1"/>
  <c r="J26" i="7" a="1"/>
  <c r="J26" i="7" s="1"/>
  <c r="T25" i="7" a="1"/>
  <c r="T25" i="7" s="1"/>
  <c r="N25" i="7" a="1"/>
  <c r="N25" i="7" s="1"/>
  <c r="H25" i="7" a="1"/>
  <c r="H25" i="7" s="1"/>
  <c r="X24" i="7" a="1"/>
  <c r="X24" i="7" s="1"/>
  <c r="R24" i="7" a="1"/>
  <c r="R24" i="7" s="1"/>
  <c r="L24" i="7" a="1"/>
  <c r="L24" i="7" s="1"/>
  <c r="E24" i="7" a="1"/>
  <c r="E24" i="7" s="1"/>
  <c r="V23" i="7" a="1"/>
  <c r="V23" i="7" s="1"/>
  <c r="P23" i="7" a="1"/>
  <c r="P23" i="7" s="1"/>
  <c r="J23" i="7" a="1"/>
  <c r="J23" i="7" s="1"/>
  <c r="T22" i="7" a="1"/>
  <c r="T22" i="7" s="1"/>
  <c r="N22" i="7" a="1"/>
  <c r="N22" i="7" s="1"/>
  <c r="H22" i="7" a="1"/>
  <c r="H22" i="7" s="1"/>
  <c r="X21" i="7" a="1"/>
  <c r="X21" i="7" s="1"/>
  <c r="R21" i="7" a="1"/>
  <c r="R21" i="7" s="1"/>
  <c r="L21" i="7" a="1"/>
  <c r="L21" i="7" s="1"/>
  <c r="E21" i="7" a="1"/>
  <c r="E21" i="7" s="1"/>
  <c r="V20" i="7" a="1"/>
  <c r="V20" i="7" s="1"/>
  <c r="P20" i="7" a="1"/>
  <c r="P20" i="7" s="1"/>
  <c r="J20" i="7" a="1"/>
  <c r="J20" i="7" s="1"/>
  <c r="T19" i="7" a="1"/>
  <c r="T19" i="7" s="1"/>
  <c r="N19" i="7" a="1"/>
  <c r="N19" i="7" s="1"/>
  <c r="H19" i="7" a="1"/>
  <c r="H19" i="7" s="1"/>
  <c r="X18" i="7" a="1"/>
  <c r="X18" i="7" s="1"/>
  <c r="R18" i="7" a="1"/>
  <c r="R18" i="7" s="1"/>
  <c r="L18" i="7" a="1"/>
  <c r="L18" i="7" s="1"/>
  <c r="E18" i="7" a="1"/>
  <c r="E18" i="7" s="1"/>
  <c r="V17" i="7" a="1"/>
  <c r="V17" i="7" s="1"/>
  <c r="P17" i="7" a="1"/>
  <c r="P17" i="7" s="1"/>
  <c r="J17" i="7" a="1"/>
  <c r="J17" i="7" s="1"/>
  <c r="T16" i="7" a="1"/>
  <c r="T16" i="7" s="1"/>
  <c r="N16" i="7" a="1"/>
  <c r="N16" i="7" s="1"/>
  <c r="H16" i="7" a="1"/>
  <c r="H16" i="7" s="1"/>
  <c r="V61" i="7" a="1"/>
  <c r="V61" i="7" s="1"/>
  <c r="Q60" i="7" a="1"/>
  <c r="Q60" i="7" s="1"/>
  <c r="J57" i="7" a="1"/>
  <c r="J57" i="7" s="1"/>
  <c r="Y52" i="7" a="1"/>
  <c r="Y52" i="7" s="1"/>
  <c r="X51" i="7" a="1"/>
  <c r="X51" i="7" s="1"/>
  <c r="E49" i="7" a="1"/>
  <c r="E49" i="7" s="1"/>
  <c r="X45" i="7" a="1"/>
  <c r="X45" i="7" s="1"/>
  <c r="V44" i="7" a="1"/>
  <c r="V44" i="7" s="1"/>
  <c r="Y41" i="7" a="1"/>
  <c r="Y41" i="7" s="1"/>
  <c r="H40" i="7" a="1"/>
  <c r="H40" i="7" s="1"/>
  <c r="R39" i="7" a="1"/>
  <c r="R39" i="7" s="1"/>
  <c r="V38" i="7" a="1"/>
  <c r="V38" i="7" s="1"/>
  <c r="O36" i="7" a="1"/>
  <c r="O36" i="7" s="1"/>
  <c r="F35" i="7"/>
  <c r="P32" i="7" a="1"/>
  <c r="P32" i="7" s="1"/>
  <c r="F32" i="7"/>
  <c r="T31" i="7" a="1"/>
  <c r="T31" i="7" s="1"/>
  <c r="I31" i="7" a="1"/>
  <c r="I31" i="7" s="1"/>
  <c r="P29" i="7" a="1"/>
  <c r="P29" i="7" s="1"/>
  <c r="F29" i="7"/>
  <c r="N61" i="7" a="1"/>
  <c r="N61" i="7" s="1"/>
  <c r="L59" i="7" a="1"/>
  <c r="L59" i="7" s="1"/>
  <c r="H58" i="7" a="1"/>
  <c r="H58" i="7" s="1"/>
  <c r="H56" i="7" a="1"/>
  <c r="H56" i="7" s="1"/>
  <c r="E55" i="7" a="1"/>
  <c r="E55" i="7" s="1"/>
  <c r="V50" i="7" a="1"/>
  <c r="V50" i="7" s="1"/>
  <c r="Y46" i="7" a="1"/>
  <c r="Y46" i="7" s="1"/>
  <c r="T43" i="7" a="1"/>
  <c r="T43" i="7" s="1"/>
  <c r="V42" i="7" a="1"/>
  <c r="V42" i="7" s="1"/>
  <c r="U35" i="7" a="1"/>
  <c r="U35" i="7" s="1"/>
  <c r="E35" i="7" a="1"/>
  <c r="E35" i="7" s="1"/>
  <c r="N34" i="7" a="1"/>
  <c r="N34" i="7" s="1"/>
  <c r="Y33" i="7" a="1"/>
  <c r="Y33" i="7" s="1"/>
  <c r="M33" i="7" a="1"/>
  <c r="M33" i="7" s="1"/>
  <c r="E32" i="7" a="1"/>
  <c r="E32" i="7" s="1"/>
  <c r="V30" i="7" a="1"/>
  <c r="V30" i="7" s="1"/>
  <c r="L30" i="7" a="1"/>
  <c r="L30" i="7" s="1"/>
  <c r="Y29" i="7" a="1"/>
  <c r="Y29" i="7" s="1"/>
  <c r="T28" i="7" a="1"/>
  <c r="T28" i="7" s="1"/>
  <c r="M28" i="7" a="1"/>
  <c r="M28" i="7" s="1"/>
  <c r="F28" i="7"/>
  <c r="W27" i="7" a="1"/>
  <c r="W27" i="7" s="1"/>
  <c r="Q27" i="7" a="1"/>
  <c r="Q27" i="7" s="1"/>
  <c r="K27" i="7" a="1"/>
  <c r="K27" i="7" s="1"/>
  <c r="U26" i="7" a="1"/>
  <c r="U26" i="7" s="1"/>
  <c r="O26" i="7" a="1"/>
  <c r="O26" i="7" s="1"/>
  <c r="I26" i="7" a="1"/>
  <c r="I26" i="7" s="1"/>
  <c r="Y25" i="7" a="1"/>
  <c r="Y25" i="7" s="1"/>
  <c r="S25" i="7" a="1"/>
  <c r="S25" i="7" s="1"/>
  <c r="M25" i="7" a="1"/>
  <c r="M25" i="7" s="1"/>
  <c r="F25" i="7"/>
  <c r="W24" i="7" a="1"/>
  <c r="W24" i="7" s="1"/>
  <c r="Q24" i="7" a="1"/>
  <c r="Q24" i="7" s="1"/>
  <c r="K24" i="7" a="1"/>
  <c r="K24" i="7" s="1"/>
  <c r="U23" i="7" a="1"/>
  <c r="U23" i="7" s="1"/>
  <c r="O23" i="7" a="1"/>
  <c r="O23" i="7" s="1"/>
  <c r="I23" i="7" a="1"/>
  <c r="I23" i="7" s="1"/>
  <c r="Y22" i="7" a="1"/>
  <c r="Y22" i="7" s="1"/>
  <c r="S22" i="7" a="1"/>
  <c r="S22" i="7" s="1"/>
  <c r="M22" i="7" a="1"/>
  <c r="M22" i="7" s="1"/>
  <c r="F22" i="7"/>
  <c r="W21" i="7" a="1"/>
  <c r="W21" i="7" s="1"/>
  <c r="Q21" i="7" a="1"/>
  <c r="Q21" i="7" s="1"/>
  <c r="K21" i="7" a="1"/>
  <c r="K21" i="7" s="1"/>
  <c r="U20" i="7" a="1"/>
  <c r="U20" i="7" s="1"/>
  <c r="O20" i="7" a="1"/>
  <c r="O20" i="7" s="1"/>
  <c r="I20" i="7" a="1"/>
  <c r="I20" i="7" s="1"/>
  <c r="Y19" i="7" a="1"/>
  <c r="Y19" i="7" s="1"/>
  <c r="S19" i="7" a="1"/>
  <c r="S19" i="7" s="1"/>
  <c r="M19" i="7" a="1"/>
  <c r="M19" i="7" s="1"/>
  <c r="F19" i="7"/>
  <c r="W18" i="7" a="1"/>
  <c r="W18" i="7" s="1"/>
  <c r="Q18" i="7" a="1"/>
  <c r="Q18" i="7" s="1"/>
  <c r="K18" i="7" a="1"/>
  <c r="K18" i="7" s="1"/>
  <c r="U17" i="7" a="1"/>
  <c r="U17" i="7" s="1"/>
  <c r="O17" i="7" a="1"/>
  <c r="O17" i="7" s="1"/>
  <c r="I17" i="7" a="1"/>
  <c r="I17" i="7" s="1"/>
  <c r="Y16" i="7" a="1"/>
  <c r="Y16" i="7" s="1"/>
  <c r="S16" i="7" a="1"/>
  <c r="S16" i="7" s="1"/>
  <c r="M16" i="7" a="1"/>
  <c r="M16" i="7" s="1"/>
  <c r="F16" i="7"/>
  <c r="I64" i="7" a="1"/>
  <c r="I64" i="7" s="1"/>
  <c r="U62" i="7" a="1"/>
  <c r="U62" i="7" s="1"/>
  <c r="I60" i="7" a="1"/>
  <c r="I60" i="7" s="1"/>
  <c r="E57" i="7" a="1"/>
  <c r="E57" i="7" s="1"/>
  <c r="X52" i="7" a="1"/>
  <c r="X52" i="7" s="1"/>
  <c r="W51" i="7" a="1"/>
  <c r="W51" i="7" s="1"/>
  <c r="T49" i="7" a="1"/>
  <c r="T49" i="7" s="1"/>
  <c r="V48" i="7" a="1"/>
  <c r="V48" i="7" s="1"/>
  <c r="W45" i="7" a="1"/>
  <c r="W45" i="7" s="1"/>
  <c r="U44" i="7" a="1"/>
  <c r="U44" i="7" s="1"/>
  <c r="U42" i="7" a="1"/>
  <c r="U42" i="7" s="1"/>
  <c r="V41" i="7" a="1"/>
  <c r="V41" i="7" s="1"/>
  <c r="Y40" i="7" a="1"/>
  <c r="Y40" i="7" s="1"/>
  <c r="F40" i="7"/>
  <c r="L39" i="7" a="1"/>
  <c r="L39" i="7" s="1"/>
  <c r="P38" i="7" a="1"/>
  <c r="P38" i="7" s="1"/>
  <c r="T37" i="7" a="1"/>
  <c r="T37" i="7" s="1"/>
  <c r="Y36" i="7" a="1"/>
  <c r="Y36" i="7" s="1"/>
  <c r="J36" i="7" a="1"/>
  <c r="J36" i="7" s="1"/>
  <c r="Y32" i="7" a="1"/>
  <c r="Y32" i="7" s="1"/>
  <c r="O32" i="7" a="1"/>
  <c r="O32" i="7" s="1"/>
  <c r="R31" i="7" a="1"/>
  <c r="R31" i="7" s="1"/>
  <c r="H31" i="7" a="1"/>
  <c r="H31" i="7" s="1"/>
  <c r="U30" i="7" a="1"/>
  <c r="U30" i="7" s="1"/>
  <c r="X29" i="7" a="1"/>
  <c r="X29" i="7" s="1"/>
  <c r="N29" i="7" a="1"/>
  <c r="N29" i="7" s="1"/>
  <c r="J48" i="7" a="1"/>
  <c r="J48" i="7" s="1"/>
  <c r="N44" i="7" a="1"/>
  <c r="N44" i="7" s="1"/>
  <c r="N41" i="7" a="1"/>
  <c r="N41" i="7" s="1"/>
  <c r="N38" i="7" a="1"/>
  <c r="N38" i="7" s="1"/>
  <c r="X36" i="7" a="1"/>
  <c r="X36" i="7" s="1"/>
  <c r="L33" i="7" a="1"/>
  <c r="L33" i="7" s="1"/>
  <c r="S32" i="7" a="1"/>
  <c r="S32" i="7" s="1"/>
  <c r="W31" i="7" a="1"/>
  <c r="W31" i="7" s="1"/>
  <c r="E30" i="7" a="1"/>
  <c r="E30" i="7" s="1"/>
  <c r="J29" i="7" a="1"/>
  <c r="J29" i="7" s="1"/>
  <c r="P28" i="7" a="1"/>
  <c r="P28" i="7" s="1"/>
  <c r="N27" i="7" a="1"/>
  <c r="N27" i="7" s="1"/>
  <c r="X26" i="7" a="1"/>
  <c r="X26" i="7" s="1"/>
  <c r="L26" i="7" a="1"/>
  <c r="L26" i="7" s="1"/>
  <c r="Q22" i="7" a="1"/>
  <c r="Q22" i="7" s="1"/>
  <c r="O21" i="7" a="1"/>
  <c r="O21" i="7" s="1"/>
  <c r="Y20" i="7" a="1"/>
  <c r="Y20" i="7" s="1"/>
  <c r="M20" i="7" a="1"/>
  <c r="M20" i="7" s="1"/>
  <c r="R16" i="7" a="1"/>
  <c r="R16" i="7" s="1"/>
  <c r="E16" i="7" a="1"/>
  <c r="E16" i="7" s="1"/>
  <c r="H61" i="7" a="1"/>
  <c r="H61" i="7" s="1"/>
  <c r="V58" i="7" a="1"/>
  <c r="V58" i="7" s="1"/>
  <c r="N53" i="7" a="1"/>
  <c r="N53" i="7" s="1"/>
  <c r="L51" i="7" a="1"/>
  <c r="L51" i="7" s="1"/>
  <c r="S49" i="7" a="1"/>
  <c r="S49" i="7" s="1"/>
  <c r="M46" i="7" a="1"/>
  <c r="M46" i="7" s="1"/>
  <c r="M41" i="7" a="1"/>
  <c r="M41" i="7" s="1"/>
  <c r="O35" i="7" a="1"/>
  <c r="O35" i="7" s="1"/>
  <c r="L34" i="7" a="1"/>
  <c r="L34" i="7" s="1"/>
  <c r="Q31" i="7" a="1"/>
  <c r="Q31" i="7" s="1"/>
  <c r="T30" i="7" a="1"/>
  <c r="T30" i="7" s="1"/>
  <c r="V25" i="7" a="1"/>
  <c r="V25" i="7" s="1"/>
  <c r="J25" i="7" a="1"/>
  <c r="J25" i="7" s="1"/>
  <c r="T24" i="7" a="1"/>
  <c r="T24" i="7" s="1"/>
  <c r="H24" i="7" a="1"/>
  <c r="H24" i="7" s="1"/>
  <c r="R23" i="7" a="1"/>
  <c r="R23" i="7" s="1"/>
  <c r="E23" i="7" a="1"/>
  <c r="E23" i="7" s="1"/>
  <c r="W19" i="7" a="1"/>
  <c r="W19" i="7" s="1"/>
  <c r="K19" i="7" a="1"/>
  <c r="K19" i="7" s="1"/>
  <c r="U18" i="7" a="1"/>
  <c r="U18" i="7" s="1"/>
  <c r="I18" i="7" a="1"/>
  <c r="I18" i="7" s="1"/>
  <c r="S17" i="7" a="1"/>
  <c r="S17" i="7" s="1"/>
  <c r="F17" i="7"/>
  <c r="U56" i="7" a="1"/>
  <c r="U56" i="7" s="1"/>
  <c r="R54" i="7" a="1"/>
  <c r="R54" i="7" s="1"/>
  <c r="T47" i="7" a="1"/>
  <c r="T47" i="7" s="1"/>
  <c r="J44" i="7" a="1"/>
  <c r="J44" i="7" s="1"/>
  <c r="R42" i="7" a="1"/>
  <c r="R42" i="7" s="1"/>
  <c r="V39" i="7" a="1"/>
  <c r="V39" i="7" s="1"/>
  <c r="H38" i="7" a="1"/>
  <c r="H38" i="7" s="1"/>
  <c r="W36" i="7" a="1"/>
  <c r="W36" i="7" s="1"/>
  <c r="K34" i="7" a="1"/>
  <c r="K34" i="7" s="1"/>
  <c r="K33" i="7" a="1"/>
  <c r="K33" i="7" s="1"/>
  <c r="N32" i="7" a="1"/>
  <c r="N32" i="7" s="1"/>
  <c r="P31" i="7" a="1"/>
  <c r="P31" i="7" s="1"/>
  <c r="S30" i="7" a="1"/>
  <c r="S30" i="7" s="1"/>
  <c r="W29" i="7" a="1"/>
  <c r="W29" i="7" s="1"/>
  <c r="L28" i="7" a="1"/>
  <c r="L28" i="7" s="1"/>
  <c r="V27" i="7" a="1"/>
  <c r="V27" i="7" s="1"/>
  <c r="J27" i="7" a="1"/>
  <c r="J27" i="7" s="1"/>
  <c r="T26" i="7" a="1"/>
  <c r="T26" i="7" s="1"/>
  <c r="H26" i="7" a="1"/>
  <c r="H26" i="7" s="1"/>
  <c r="P22" i="7" a="1"/>
  <c r="P22" i="7" s="1"/>
  <c r="N21" i="7" a="1"/>
  <c r="N21" i="7" s="1"/>
  <c r="X20" i="7" a="1"/>
  <c r="X20" i="7" s="1"/>
  <c r="L20" i="7" a="1"/>
  <c r="L20" i="7" s="1"/>
  <c r="Q16" i="7" a="1"/>
  <c r="Q16" i="7" s="1"/>
  <c r="U58" i="7" a="1"/>
  <c r="U58" i="7" s="1"/>
  <c r="K51" i="7" a="1"/>
  <c r="K51" i="7" s="1"/>
  <c r="R49" i="7" a="1"/>
  <c r="R49" i="7" s="1"/>
  <c r="L42" i="7" a="1"/>
  <c r="L42" i="7" s="1"/>
  <c r="R36" i="7" a="1"/>
  <c r="R36" i="7" s="1"/>
  <c r="N35" i="7" a="1"/>
  <c r="N35" i="7" s="1"/>
  <c r="K32" i="7" a="1"/>
  <c r="K32" i="7" s="1"/>
  <c r="O31" i="7" a="1"/>
  <c r="O31" i="7" s="1"/>
  <c r="R25" i="7" a="1"/>
  <c r="R25" i="7" s="1"/>
  <c r="E25" i="7" a="1"/>
  <c r="E25" i="7" s="1"/>
  <c r="P24" i="7" a="1"/>
  <c r="P24" i="7" s="1"/>
  <c r="N23" i="7" a="1"/>
  <c r="N23" i="7" s="1"/>
  <c r="V19" i="7" a="1"/>
  <c r="V19" i="7" s="1"/>
  <c r="J19" i="7" a="1"/>
  <c r="J19" i="7" s="1"/>
  <c r="T18" i="7" a="1"/>
  <c r="T18" i="7" s="1"/>
  <c r="H18" i="7" a="1"/>
  <c r="H18" i="7" s="1"/>
  <c r="R17" i="7" a="1"/>
  <c r="R17" i="7" s="1"/>
  <c r="E17" i="7" a="1"/>
  <c r="E17" i="7" s="1"/>
  <c r="N58" i="7" a="1"/>
  <c r="N58" i="7" s="1"/>
  <c r="T56" i="7" a="1"/>
  <c r="T56" i="7" s="1"/>
  <c r="Q54" i="7" a="1"/>
  <c r="Q54" i="7" s="1"/>
  <c r="N52" i="7" a="1"/>
  <c r="N52" i="7" s="1"/>
  <c r="P47" i="7" a="1"/>
  <c r="P47" i="7" s="1"/>
  <c r="I44" i="7" a="1"/>
  <c r="I44" i="7" s="1"/>
  <c r="X40" i="7" a="1"/>
  <c r="X40" i="7" s="1"/>
  <c r="K39" i="7" a="1"/>
  <c r="K39" i="7" s="1"/>
  <c r="M35" i="7" a="1"/>
  <c r="M35" i="7" s="1"/>
  <c r="F34" i="7"/>
  <c r="J33" i="7" a="1"/>
  <c r="J33" i="7" s="1"/>
  <c r="R30" i="7" a="1"/>
  <c r="R30" i="7" s="1"/>
  <c r="U29" i="7" a="1"/>
  <c r="U29" i="7" s="1"/>
  <c r="Y28" i="7" a="1"/>
  <c r="Y28" i="7" s="1"/>
  <c r="K28" i="7" a="1"/>
  <c r="K28" i="7" s="1"/>
  <c r="U27" i="7" a="1"/>
  <c r="U27" i="7" s="1"/>
  <c r="I27" i="7" a="1"/>
  <c r="I27" i="7" s="1"/>
  <c r="S26" i="7" a="1"/>
  <c r="S26" i="7" s="1"/>
  <c r="F26" i="7"/>
  <c r="X22" i="7" a="1"/>
  <c r="X22" i="7" s="1"/>
  <c r="L22" i="7" a="1"/>
  <c r="L22" i="7" s="1"/>
  <c r="V21" i="7" a="1"/>
  <c r="V21" i="7" s="1"/>
  <c r="J21" i="7" a="1"/>
  <c r="J21" i="7" s="1"/>
  <c r="T20" i="7" a="1"/>
  <c r="T20" i="7" s="1"/>
  <c r="H20" i="7" a="1"/>
  <c r="H20" i="7" s="1"/>
  <c r="P16" i="7" a="1"/>
  <c r="P16" i="7" s="1"/>
  <c r="R59" i="7" a="1"/>
  <c r="R59" i="7" s="1"/>
  <c r="R55" i="7" a="1"/>
  <c r="R55" i="7" s="1"/>
  <c r="Q48" i="7" a="1"/>
  <c r="Q48" i="7" s="1"/>
  <c r="H43" i="7" a="1"/>
  <c r="H43" i="7" s="1"/>
  <c r="E40" i="7" a="1"/>
  <c r="E40" i="7" s="1"/>
  <c r="O38" i="7" a="1"/>
  <c r="O38" i="7" s="1"/>
  <c r="X35" i="7" a="1"/>
  <c r="X35" i="7" s="1"/>
  <c r="S33" i="7" a="1"/>
  <c r="S33" i="7" s="1"/>
  <c r="V32" i="7" a="1"/>
  <c r="V32" i="7" s="1"/>
  <c r="E31" i="7" a="1"/>
  <c r="E31" i="7" s="1"/>
  <c r="F30" i="7"/>
  <c r="K29" i="7" a="1"/>
  <c r="K29" i="7" s="1"/>
  <c r="R28" i="7" a="1"/>
  <c r="R28" i="7" s="1"/>
  <c r="O27" i="7" a="1"/>
  <c r="O27" i="7" s="1"/>
  <c r="Y26" i="7" a="1"/>
  <c r="Y26" i="7" s="1"/>
  <c r="M26" i="7" a="1"/>
  <c r="M26" i="7" s="1"/>
  <c r="R22" i="7" a="1"/>
  <c r="R22" i="7" s="1"/>
  <c r="E22" i="7" a="1"/>
  <c r="E22" i="7" s="1"/>
  <c r="P21" i="7" a="1"/>
  <c r="P21" i="7" s="1"/>
  <c r="N20" i="7" a="1"/>
  <c r="N20" i="7" s="1"/>
  <c r="V16" i="7" a="1"/>
  <c r="V16" i="7" s="1"/>
  <c r="J16" i="7" a="1"/>
  <c r="J16" i="7" s="1"/>
  <c r="V57" i="7" a="1"/>
  <c r="V57" i="7" s="1"/>
  <c r="U50" i="7" a="1"/>
  <c r="U50" i="7" s="1"/>
  <c r="K45" i="7" a="1"/>
  <c r="K45" i="7" s="1"/>
  <c r="U34" i="7" a="1"/>
  <c r="U34" i="7" s="1"/>
  <c r="S29" i="7" a="1"/>
  <c r="S29" i="7" s="1"/>
  <c r="J28" i="7" a="1"/>
  <c r="J28" i="7" s="1"/>
  <c r="F23" i="7"/>
  <c r="H21" i="7" a="1"/>
  <c r="H21" i="7" s="1"/>
  <c r="X16" i="7" a="1"/>
  <c r="X16" i="7" s="1"/>
  <c r="R57" i="7" a="1"/>
  <c r="R57" i="7" s="1"/>
  <c r="J39" i="7" a="1"/>
  <c r="J39" i="7" s="1"/>
  <c r="M34" i="7" a="1"/>
  <c r="M34" i="7" s="1"/>
  <c r="T32" i="7" a="1"/>
  <c r="T32" i="7" s="1"/>
  <c r="M29" i="7" a="1"/>
  <c r="M29" i="7" s="1"/>
  <c r="H27" i="7" a="1"/>
  <c r="H27" i="7" s="1"/>
  <c r="E26" i="7" a="1"/>
  <c r="E26" i="7" s="1"/>
  <c r="Y23" i="7" a="1"/>
  <c r="Y23" i="7" s="1"/>
  <c r="E20" i="7" a="1"/>
  <c r="E20" i="7" s="1"/>
  <c r="Y17" i="7" a="1"/>
  <c r="Y17" i="7" s="1"/>
  <c r="H64" i="7" a="1"/>
  <c r="H64" i="7" s="1"/>
  <c r="H60" i="7" a="1"/>
  <c r="H60" i="7" s="1"/>
  <c r="P53" i="7" a="1"/>
  <c r="P53" i="7" s="1"/>
  <c r="T50" i="7" a="1"/>
  <c r="T50" i="7" s="1"/>
  <c r="O47" i="7" a="1"/>
  <c r="O47" i="7" s="1"/>
  <c r="U41" i="7" a="1"/>
  <c r="U41" i="7" s="1"/>
  <c r="I36" i="7" a="1"/>
  <c r="I36" i="7" s="1"/>
  <c r="J32" i="7" a="1"/>
  <c r="J32" i="7" s="1"/>
  <c r="L29" i="7" a="1"/>
  <c r="L29" i="7" s="1"/>
  <c r="E28" i="7" a="1"/>
  <c r="E28" i="7" s="1"/>
  <c r="W16" i="7" a="1"/>
  <c r="W16" i="7" s="1"/>
  <c r="O53" i="7" a="1"/>
  <c r="O53" i="7" s="1"/>
  <c r="H36" i="7" a="1"/>
  <c r="H36" i="7" s="1"/>
  <c r="X33" i="7" a="1"/>
  <c r="X33" i="7" s="1"/>
  <c r="X23" i="7" a="1"/>
  <c r="X23" i="7" s="1"/>
  <c r="W22" i="7" a="1"/>
  <c r="W22" i="7" s="1"/>
  <c r="X17" i="7" a="1"/>
  <c r="X17" i="7" s="1"/>
  <c r="J50" i="7" a="1"/>
  <c r="J50" i="7" s="1"/>
  <c r="S43" i="7" a="1"/>
  <c r="S43" i="7" s="1"/>
  <c r="F36" i="7"/>
  <c r="V33" i="7" a="1"/>
  <c r="V33" i="7" s="1"/>
  <c r="P30" i="7" a="1"/>
  <c r="P30" i="7" s="1"/>
  <c r="X25" i="7" a="1"/>
  <c r="X25" i="7" s="1"/>
  <c r="V24" i="7" a="1"/>
  <c r="V24" i="7" s="1"/>
  <c r="U21" i="7" a="1"/>
  <c r="U21" i="7" s="1"/>
  <c r="X19" i="7" a="1"/>
  <c r="X19" i="7" s="1"/>
  <c r="V18" i="7" a="1"/>
  <c r="V18" i="7" s="1"/>
  <c r="T17" i="7" a="1"/>
  <c r="T17" i="7" s="1"/>
  <c r="W57" i="7" a="1"/>
  <c r="W57" i="7" s="1"/>
  <c r="V51" i="7" a="1"/>
  <c r="V51" i="7" s="1"/>
  <c r="L45" i="7" a="1"/>
  <c r="L45" i="7" s="1"/>
  <c r="K42" i="7" a="1"/>
  <c r="K42" i="7" s="1"/>
  <c r="W34" i="7" a="1"/>
  <c r="W34" i="7" s="1"/>
  <c r="X32" i="7" a="1"/>
  <c r="X32" i="7" s="1"/>
  <c r="Q28" i="7" a="1"/>
  <c r="Q28" i="7" s="1"/>
  <c r="L25" i="7" a="1"/>
  <c r="L25" i="7" s="1"/>
  <c r="J24" i="7" a="1"/>
  <c r="J24" i="7" s="1"/>
  <c r="I21" i="7" a="1"/>
  <c r="I21" i="7" s="1"/>
  <c r="L19" i="7" a="1"/>
  <c r="L19" i="7" s="1"/>
  <c r="J18" i="7" a="1"/>
  <c r="J18" i="7" s="1"/>
  <c r="H17" i="7" a="1"/>
  <c r="H17" i="7" s="1"/>
  <c r="L43" i="7" a="1"/>
  <c r="L43" i="7" s="1"/>
  <c r="Y31" i="7" a="1"/>
  <c r="Y31" i="7" s="1"/>
  <c r="P25" i="7" a="1"/>
  <c r="P25" i="7" s="1"/>
  <c r="S23" i="7" a="1"/>
  <c r="S23" i="7" s="1"/>
  <c r="O18" i="7" a="1"/>
  <c r="O18" i="7" s="1"/>
  <c r="X31" i="7" a="1"/>
  <c r="X31" i="7" s="1"/>
  <c r="M23" i="7" a="1"/>
  <c r="M23" i="7" s="1"/>
  <c r="F20" i="7"/>
  <c r="K16" i="7" a="1"/>
  <c r="K16" i="7" s="1"/>
  <c r="M52" i="7" a="1"/>
  <c r="M52" i="7" s="1"/>
  <c r="V34" i="7" a="1"/>
  <c r="V34" i="7" s="1"/>
  <c r="N31" i="7" a="1"/>
  <c r="N31" i="7" s="1"/>
  <c r="X28" i="7" a="1"/>
  <c r="X28" i="7" s="1"/>
  <c r="K25" i="7" a="1"/>
  <c r="K25" i="7" s="1"/>
  <c r="T21" i="7" a="1"/>
  <c r="T21" i="7" s="1"/>
  <c r="N18" i="7" a="1"/>
  <c r="N18" i="7" s="1"/>
  <c r="Q62" i="7" a="1"/>
  <c r="Q62" i="7" s="1"/>
  <c r="R46" i="7" a="1"/>
  <c r="R46" i="7" s="1"/>
  <c r="W28" i="7" a="1"/>
  <c r="W28" i="7" s="1"/>
  <c r="L23" i="7" a="1"/>
  <c r="L23" i="7" s="1"/>
  <c r="R19" i="7" a="1"/>
  <c r="R19" i="7" s="1"/>
  <c r="L52" i="7" a="1"/>
  <c r="L52" i="7" s="1"/>
  <c r="N46" i="7" a="1"/>
  <c r="N46" i="7" s="1"/>
  <c r="S37" i="7" a="1"/>
  <c r="S37" i="7" s="1"/>
  <c r="U33" i="7" a="1"/>
  <c r="U33" i="7" s="1"/>
  <c r="F31" i="7"/>
  <c r="S28" i="7" a="1"/>
  <c r="S28" i="7" s="1"/>
  <c r="R26" i="7" a="1"/>
  <c r="R26" i="7" s="1"/>
  <c r="U24" i="7" a="1"/>
  <c r="U24" i="7" s="1"/>
  <c r="H23" i="7" a="1"/>
  <c r="H23" i="7" s="1"/>
  <c r="N17" i="7" a="1"/>
  <c r="N17" i="7" s="1"/>
  <c r="P54" i="7" a="1"/>
  <c r="P54" i="7" s="1"/>
  <c r="O40" i="7" a="1"/>
  <c r="O40" i="7" s="1"/>
  <c r="Q25" i="7" a="1"/>
  <c r="Q25" i="7" s="1"/>
  <c r="K22" i="7" a="1"/>
  <c r="K22" i="7" s="1"/>
  <c r="R20" i="7" a="1"/>
  <c r="R20" i="7" s="1"/>
  <c r="P18" i="7" a="1"/>
  <c r="P18" i="7" s="1"/>
  <c r="H49" i="7" a="1"/>
  <c r="H49" i="7" s="1"/>
  <c r="L37" i="7" a="1"/>
  <c r="L37" i="7" s="1"/>
  <c r="O24" i="7" a="1"/>
  <c r="O24" i="7" s="1"/>
  <c r="J22" i="7" a="1"/>
  <c r="J22" i="7" s="1"/>
  <c r="E19" i="7" a="1"/>
  <c r="E19" i="7" s="1"/>
  <c r="R48" i="7" a="1"/>
  <c r="R48" i="7" s="1"/>
  <c r="T27" i="7" a="1"/>
  <c r="T27" i="7" s="1"/>
  <c r="N24" i="7" a="1"/>
  <c r="N24" i="7" s="1"/>
  <c r="S55" i="7" a="1"/>
  <c r="S55" i="7" s="1"/>
  <c r="W40" i="7" a="1"/>
  <c r="W40" i="7" s="1"/>
  <c r="K30" i="7" a="1"/>
  <c r="K30" i="7" s="1"/>
  <c r="P27" i="7" a="1"/>
  <c r="P27" i="7" s="1"/>
  <c r="R40" i="7" a="1"/>
  <c r="R40" i="7" s="1"/>
  <c r="P35" i="7" a="1"/>
  <c r="P35" i="7" s="1"/>
  <c r="I24" i="7" a="1"/>
  <c r="I24" i="7" s="1"/>
  <c r="I61" i="7" a="1"/>
  <c r="I61" i="7" s="1"/>
  <c r="T29" i="7" a="1"/>
  <c r="T29" i="7" s="1"/>
  <c r="T23" i="7" a="1"/>
  <c r="T23" i="7" s="1"/>
  <c r="P19" i="7" a="1"/>
  <c r="P19" i="7" s="1"/>
  <c r="T33" i="7" a="1"/>
  <c r="T33" i="7" s="1"/>
  <c r="V22" i="7" a="1"/>
  <c r="V22" i="7" s="1"/>
  <c r="Y59" i="7" a="1"/>
  <c r="Y59" i="7" s="1"/>
  <c r="M17" i="7" a="1"/>
  <c r="M17" i="7" s="1"/>
  <c r="Q40" i="7" a="1"/>
  <c r="Q40" i="7" s="1"/>
  <c r="I33" i="7" a="1"/>
  <c r="I33" i="7" s="1"/>
  <c r="J30" i="7" a="1"/>
  <c r="J30" i="7" s="1"/>
  <c r="L16" i="7" a="1"/>
  <c r="L16" i="7" s="1"/>
  <c r="P45" i="7" a="1"/>
  <c r="P45" i="7" s="1"/>
  <c r="R37" i="7" a="1"/>
  <c r="R37" i="7" s="1"/>
  <c r="S20" i="7" a="1"/>
  <c r="S20" i="7" s="1"/>
  <c r="L17" i="7" a="1"/>
  <c r="L17" i="7" s="1"/>
  <c r="W25" i="7" a="1"/>
  <c r="W25" i="7" s="1"/>
  <c r="W32" i="7" a="1"/>
  <c r="W32" i="7" s="1"/>
  <c r="Q19" i="7" a="1"/>
  <c r="Q19" i="7" s="1"/>
  <c r="A16" i="6"/>
  <c r="N26" i="7" a="1"/>
  <c r="N26" i="7" s="1"/>
  <c r="E16" i="5"/>
  <c r="AD16" i="5"/>
  <c r="D16" i="6"/>
  <c r="A17" i="12"/>
  <c r="B17" i="6"/>
  <c r="B17" i="5"/>
  <c r="W17" i="5"/>
  <c r="H17" i="12" s="1"/>
  <c r="H17" i="5"/>
  <c r="AE17" i="5"/>
  <c r="N17" i="5"/>
  <c r="I17" i="5"/>
  <c r="C18" i="5"/>
  <c r="G17" i="5"/>
  <c r="F17" i="5"/>
  <c r="C147" i="3"/>
  <c r="C149" i="3"/>
  <c r="C145" i="3"/>
  <c r="C143" i="3"/>
  <c r="C141" i="3"/>
  <c r="AC231" i="5" a="1"/>
  <c r="AC231" i="5" s="1"/>
  <c r="U11" i="4"/>
  <c r="U10" i="4"/>
  <c r="U94" i="4"/>
  <c r="Y26" i="4"/>
  <c r="Z26" i="4" s="1"/>
  <c r="Y106" i="4"/>
  <c r="Z106" i="4" s="1"/>
  <c r="Y66" i="4"/>
  <c r="Z66" i="4" s="1"/>
  <c r="R64" i="4"/>
  <c r="R63" i="4"/>
  <c r="R23" i="4"/>
  <c r="R24" i="4"/>
  <c r="C133" i="3"/>
  <c r="M16" i="6" l="1"/>
  <c r="H16" i="6"/>
  <c r="T16" i="5" s="1"/>
  <c r="G16" i="6"/>
  <c r="N16" i="6"/>
  <c r="E17" i="12"/>
  <c r="F17" i="6"/>
  <c r="E17" i="5"/>
  <c r="E18" i="5" s="1"/>
  <c r="A18" i="12"/>
  <c r="B18" i="6"/>
  <c r="F18" i="5"/>
  <c r="K18" i="5"/>
  <c r="H18" i="5"/>
  <c r="G18" i="5"/>
  <c r="J18" i="5"/>
  <c r="C19" i="5"/>
  <c r="D18" i="5"/>
  <c r="B18" i="12" s="1"/>
  <c r="B18" i="5"/>
  <c r="AE18" i="5"/>
  <c r="AD18" i="5"/>
  <c r="N18" i="5"/>
  <c r="B14" i="11"/>
  <c r="A14" i="13"/>
  <c r="AD17" i="5"/>
  <c r="A17" i="6"/>
  <c r="D17" i="6"/>
  <c r="B26" i="8"/>
  <c r="X26" i="4"/>
  <c r="X106" i="4"/>
  <c r="X66" i="4"/>
  <c r="C137" i="3"/>
  <c r="C135" i="3"/>
  <c r="C132" i="3"/>
  <c r="G16" i="12" l="1"/>
  <c r="A19" i="12"/>
  <c r="B19" i="6"/>
  <c r="J19" i="5"/>
  <c r="F19" i="5"/>
  <c r="E19" i="5"/>
  <c r="K19" i="5"/>
  <c r="D19" i="5"/>
  <c r="B19" i="12" s="1"/>
  <c r="B19" i="5"/>
  <c r="AD19" i="5"/>
  <c r="N19" i="5"/>
  <c r="AE19" i="5"/>
  <c r="C20" i="5"/>
  <c r="H19" i="5"/>
  <c r="G19" i="5"/>
  <c r="D18" i="6"/>
  <c r="A18" i="6" s="1"/>
  <c r="G14" i="11"/>
  <c r="F14" i="13" s="1"/>
  <c r="C14" i="13"/>
  <c r="K14" i="11"/>
  <c r="J14" i="13" s="1"/>
  <c r="G17" i="6"/>
  <c r="N17" i="6"/>
  <c r="M17" i="6"/>
  <c r="H17" i="6"/>
  <c r="T17" i="5" s="1"/>
  <c r="B29" i="8"/>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G17" i="12" l="1"/>
  <c r="D19" i="6"/>
  <c r="A19" i="6" s="1"/>
  <c r="B32" i="8"/>
  <c r="A20" i="12"/>
  <c r="B20" i="6"/>
  <c r="AD20" i="5"/>
  <c r="B20" i="5"/>
  <c r="AE20" i="5"/>
  <c r="N20" i="5"/>
  <c r="K20" i="5"/>
  <c r="J20" i="5"/>
  <c r="F20" i="5"/>
  <c r="E20" i="5"/>
  <c r="C21" i="5"/>
  <c r="G20" i="5"/>
  <c r="D20" i="5"/>
  <c r="B20" i="12" s="1"/>
  <c r="H20" i="5"/>
  <c r="N18" i="6"/>
  <c r="J4" i="15"/>
  <c r="AB13" i="12" a="1"/>
  <c r="AB13" i="12" s="1"/>
  <c r="I69" i="10"/>
  <c r="A21" i="12" l="1"/>
  <c r="B21" i="6"/>
  <c r="F21" i="5"/>
  <c r="H21" i="5"/>
  <c r="AE21" i="5"/>
  <c r="AD21" i="5"/>
  <c r="G21" i="5"/>
  <c r="N21" i="5"/>
  <c r="E21" i="5"/>
  <c r="K21" i="5"/>
  <c r="D21" i="5"/>
  <c r="B21" i="12" s="1"/>
  <c r="B21" i="5"/>
  <c r="C22" i="5" s="1"/>
  <c r="J21" i="5"/>
  <c r="B35" i="8"/>
  <c r="N19" i="6"/>
  <c r="D20" i="6"/>
  <c r="AL14" i="13"/>
  <c r="AK14" i="13"/>
  <c r="AJ14" i="13"/>
  <c r="AN14" i="13"/>
  <c r="AO14" i="13"/>
  <c r="AM14" i="13"/>
  <c r="P7" i="13"/>
  <c r="K14" i="13"/>
  <c r="F8" i="7"/>
  <c r="F10" i="12" a="1"/>
  <c r="F10" i="12" s="1"/>
  <c r="M8" i="12" a="1"/>
  <c r="M8" i="12" s="1"/>
  <c r="H113" i="8" a="1"/>
  <c r="H113" i="8" s="1"/>
  <c r="H111" i="8" a="1"/>
  <c r="H111" i="8" s="1"/>
  <c r="F7" i="6" a="1"/>
  <c r="F7" i="6" s="1"/>
  <c r="F6" i="6" a="1"/>
  <c r="F6" i="6" s="1"/>
  <c r="Q1" i="6" a="1"/>
  <c r="Q1" i="6" s="1"/>
  <c r="O1" i="6" a="1"/>
  <c r="O1" i="6" s="1"/>
  <c r="C11" i="7" a="1"/>
  <c r="C11" i="7" s="1"/>
  <c r="G22" i="15" a="1"/>
  <c r="G22" i="15" s="1"/>
  <c r="C22" i="15" a="1"/>
  <c r="C22" i="15" s="1"/>
  <c r="C122" i="3"/>
  <c r="C120" i="3"/>
  <c r="B38" i="8" l="1"/>
  <c r="A22" i="12"/>
  <c r="B22" i="6"/>
  <c r="B22" i="5"/>
  <c r="C23" i="5" s="1"/>
  <c r="AE22" i="5"/>
  <c r="AD22" i="5"/>
  <c r="N22" i="5"/>
  <c r="G22" i="5"/>
  <c r="H22" i="5"/>
  <c r="F22" i="5"/>
  <c r="E22" i="5"/>
  <c r="A20" i="6"/>
  <c r="N20" i="6" s="1"/>
  <c r="D21" i="6"/>
  <c r="R1" i="6" a="1"/>
  <c r="R1" i="6" s="1"/>
  <c r="S67" i="4"/>
  <c r="U67" i="4" s="1"/>
  <c r="S107" i="4"/>
  <c r="U107" i="4" s="1"/>
  <c r="S27" i="4"/>
  <c r="U27" i="4" s="1"/>
  <c r="C124" i="3"/>
  <c r="A21" i="6" l="1"/>
  <c r="N21" i="6" s="1"/>
  <c r="D22" i="6"/>
  <c r="A23" i="12"/>
  <c r="B23" i="6"/>
  <c r="AD23" i="5"/>
  <c r="B23" i="5"/>
  <c r="C24" i="5"/>
  <c r="AE23" i="5"/>
  <c r="H23" i="5"/>
  <c r="G23" i="5"/>
  <c r="E23" i="5"/>
  <c r="F23" i="5"/>
  <c r="N23" i="5"/>
  <c r="B41" i="8"/>
  <c r="S1" i="6" a="1"/>
  <c r="S1" i="6" s="1"/>
  <c r="H67" i="9"/>
  <c r="A22" i="6" l="1"/>
  <c r="N22" i="6" s="1"/>
  <c r="D23" i="6"/>
  <c r="A24" i="12"/>
  <c r="B24" i="6"/>
  <c r="F24" i="5"/>
  <c r="B24" i="5"/>
  <c r="AE24" i="5"/>
  <c r="AD24" i="5"/>
  <c r="N24" i="5"/>
  <c r="J24" i="5"/>
  <c r="C25" i="5"/>
  <c r="C26" i="5" s="1"/>
  <c r="K24" i="5"/>
  <c r="H24" i="5"/>
  <c r="E24" i="5"/>
  <c r="D24" i="5"/>
  <c r="B24" i="12" s="1"/>
  <c r="G24" i="5"/>
  <c r="B44" i="8"/>
  <c r="T1" i="6" a="1"/>
  <c r="T1" i="6" s="1"/>
  <c r="C94" i="3"/>
  <c r="C92" i="3"/>
  <c r="AD26" i="5" l="1"/>
  <c r="B26" i="6"/>
  <c r="D26" i="5"/>
  <c r="B26" i="12" s="1"/>
  <c r="K26" i="5"/>
  <c r="A26" i="12"/>
  <c r="AE26" i="5"/>
  <c r="N26" i="5"/>
  <c r="C27" i="5"/>
  <c r="J26" i="5"/>
  <c r="A23" i="6"/>
  <c r="N23" i="6" s="1"/>
  <c r="D24" i="6"/>
  <c r="A25" i="12"/>
  <c r="B25" i="6"/>
  <c r="J25" i="5"/>
  <c r="K25" i="5"/>
  <c r="H25" i="5"/>
  <c r="H26" i="5" s="1"/>
  <c r="F25" i="5"/>
  <c r="F26" i="5" s="1"/>
  <c r="D25" i="5"/>
  <c r="B25" i="12" s="1"/>
  <c r="G25" i="5"/>
  <c r="G26" i="5" s="1"/>
  <c r="E25" i="5"/>
  <c r="E26" i="5" s="1"/>
  <c r="B25" i="5"/>
  <c r="B26" i="5" s="1"/>
  <c r="AD25" i="5"/>
  <c r="N25" i="5"/>
  <c r="AE25" i="5"/>
  <c r="B47" i="8"/>
  <c r="U1" i="6" a="1"/>
  <c r="U1" i="6" s="1"/>
  <c r="C98" i="3"/>
  <c r="F27" i="5" l="1"/>
  <c r="AE27" i="5"/>
  <c r="N27" i="5"/>
  <c r="J27" i="5"/>
  <c r="H27" i="5"/>
  <c r="A27" i="12"/>
  <c r="G27" i="5"/>
  <c r="E27" i="5"/>
  <c r="D27" i="5"/>
  <c r="B27" i="12" s="1"/>
  <c r="B27" i="6"/>
  <c r="AD27" i="5"/>
  <c r="B27" i="5"/>
  <c r="K27" i="5"/>
  <c r="D26" i="6"/>
  <c r="C28" i="5"/>
  <c r="J28" i="5" s="1"/>
  <c r="A24" i="6"/>
  <c r="B50" i="8"/>
  <c r="D25" i="6"/>
  <c r="V1" i="6" a="1"/>
  <c r="V1" i="6" s="1"/>
  <c r="C5" i="14"/>
  <c r="E2" i="12"/>
  <c r="K28" i="5" l="1"/>
  <c r="D28" i="5"/>
  <c r="B28" i="12" s="1"/>
  <c r="E28" i="5"/>
  <c r="F28" i="5"/>
  <c r="B28" i="6"/>
  <c r="AD28" i="5"/>
  <c r="A28" i="12"/>
  <c r="G28" i="5"/>
  <c r="H28" i="5"/>
  <c r="C29" i="5"/>
  <c r="K29" i="5" s="1"/>
  <c r="B28" i="5"/>
  <c r="N28" i="5"/>
  <c r="D28" i="6" s="1"/>
  <c r="AE28" i="5"/>
  <c r="H26" i="6"/>
  <c r="T26" i="5" s="1"/>
  <c r="D27" i="6"/>
  <c r="A25" i="6"/>
  <c r="A26" i="6" s="1"/>
  <c r="B53" i="8"/>
  <c r="W1" i="6" a="1"/>
  <c r="W1" i="6" s="1"/>
  <c r="S12" i="11"/>
  <c r="A27" i="6" l="1"/>
  <c r="A28" i="6" s="1"/>
  <c r="AD29" i="5"/>
  <c r="N29" i="5"/>
  <c r="D29" i="6" s="1"/>
  <c r="AE29" i="5"/>
  <c r="G29" i="5"/>
  <c r="D29" i="5"/>
  <c r="B29" i="12" s="1"/>
  <c r="F29" i="5"/>
  <c r="B29" i="6"/>
  <c r="A29" i="12"/>
  <c r="H29" i="5"/>
  <c r="E29" i="5"/>
  <c r="C30" i="5"/>
  <c r="J29" i="5"/>
  <c r="B29" i="5"/>
  <c r="H27" i="6"/>
  <c r="T27" i="5" s="1"/>
  <c r="G26" i="12"/>
  <c r="B56" i="8"/>
  <c r="X1" i="6" a="1"/>
  <c r="X1" i="6" s="1"/>
  <c r="C1" i="7" a="1"/>
  <c r="C1" i="7" s="1"/>
  <c r="D40" i="2"/>
  <c r="D39" i="2"/>
  <c r="D41" i="2"/>
  <c r="D37" i="2"/>
  <c r="D38" i="2"/>
  <c r="D36" i="2"/>
  <c r="F30" i="5" l="1"/>
  <c r="C31" i="5"/>
  <c r="A31" i="12" s="1"/>
  <c r="N30" i="5"/>
  <c r="D30" i="6" s="1"/>
  <c r="AE30" i="5"/>
  <c r="B30" i="5"/>
  <c r="B30" i="6"/>
  <c r="J30" i="5"/>
  <c r="A30" i="12"/>
  <c r="K30" i="5"/>
  <c r="G30" i="5"/>
  <c r="H30" i="5"/>
  <c r="AD30" i="5"/>
  <c r="D30" i="5"/>
  <c r="B30" i="12" s="1"/>
  <c r="E30" i="5"/>
  <c r="G27" i="12"/>
  <c r="B59" i="8"/>
  <c r="A29"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E31" i="5" l="1"/>
  <c r="F31" i="5"/>
  <c r="N31" i="5"/>
  <c r="D31" i="6" s="1"/>
  <c r="C32" i="5"/>
  <c r="C33" i="5" s="1"/>
  <c r="H31" i="5"/>
  <c r="D31" i="5"/>
  <c r="B31" i="12" s="1"/>
  <c r="J31" i="5"/>
  <c r="K31" i="5"/>
  <c r="G31" i="5"/>
  <c r="AE31" i="5"/>
  <c r="B31" i="5"/>
  <c r="B31" i="6"/>
  <c r="AD31" i="5"/>
  <c r="A30" i="6"/>
  <c r="H28" i="6"/>
  <c r="T28" i="5" s="1"/>
  <c r="G28" i="12" s="1"/>
  <c r="H22" i="6"/>
  <c r="T22" i="5" s="1"/>
  <c r="G22" i="12" s="1"/>
  <c r="H30" i="6"/>
  <c r="T30" i="5" s="1"/>
  <c r="G30" i="12" s="1"/>
  <c r="B62" i="8"/>
  <c r="H24" i="6"/>
  <c r="T24" i="5" s="1"/>
  <c r="G24" i="12" s="1"/>
  <c r="H29" i="6"/>
  <c r="T29" i="5" s="1"/>
  <c r="G29" i="12" s="1"/>
  <c r="H25" i="6"/>
  <c r="T25" i="5" s="1"/>
  <c r="G25" i="12" s="1"/>
  <c r="Z1" i="6" a="1"/>
  <c r="Z1" i="6" s="1"/>
  <c r="D27" i="2"/>
  <c r="D15" i="2"/>
  <c r="D35" i="2"/>
  <c r="D3" i="2"/>
  <c r="B32" i="5" l="1"/>
  <c r="B33" i="5" s="1"/>
  <c r="D32" i="5"/>
  <c r="B32" i="12" s="1"/>
  <c r="G32" i="5"/>
  <c r="G33" i="5" s="1"/>
  <c r="J32" i="5"/>
  <c r="AE32" i="5"/>
  <c r="K32" i="5"/>
  <c r="AD32" i="5"/>
  <c r="B32" i="6"/>
  <c r="E32" i="5"/>
  <c r="E33" i="5" s="1"/>
  <c r="N32" i="5"/>
  <c r="D32" i="6" s="1"/>
  <c r="H32" i="5"/>
  <c r="H33" i="5" s="1"/>
  <c r="A32" i="12"/>
  <c r="F32" i="5"/>
  <c r="F33" i="5" s="1"/>
  <c r="A31" i="6"/>
  <c r="H19" i="6"/>
  <c r="T19" i="5" s="1"/>
  <c r="G19" i="12" s="1"/>
  <c r="H23" i="6"/>
  <c r="T23" i="5" s="1"/>
  <c r="G23" i="12" s="1"/>
  <c r="H21" i="6"/>
  <c r="T21" i="5" s="1"/>
  <c r="G21" i="12" s="1"/>
  <c r="H20" i="6"/>
  <c r="T20" i="5" s="1"/>
  <c r="G20" i="12" s="1"/>
  <c r="H31" i="6"/>
  <c r="T31" i="5" s="1"/>
  <c r="G31" i="12" s="1"/>
  <c r="A33" i="12"/>
  <c r="B33" i="6"/>
  <c r="J33" i="5"/>
  <c r="AE33" i="5"/>
  <c r="AD33" i="5"/>
  <c r="N33" i="5"/>
  <c r="K33" i="5"/>
  <c r="C34" i="5"/>
  <c r="D33" i="5"/>
  <c r="B33" i="12" s="1"/>
  <c r="B65" i="8"/>
  <c r="H10" i="7"/>
  <c r="A34" i="12" l="1"/>
  <c r="B34" i="6"/>
  <c r="AD34" i="5"/>
  <c r="B34" i="5"/>
  <c r="C35" i="5"/>
  <c r="H34" i="5"/>
  <c r="G34" i="5"/>
  <c r="F34" i="5"/>
  <c r="AE34" i="5"/>
  <c r="E34" i="5"/>
  <c r="D34" i="5"/>
  <c r="B34" i="12" s="1"/>
  <c r="N34" i="5"/>
  <c r="K34" i="5"/>
  <c r="J34" i="5"/>
  <c r="B68" i="8"/>
  <c r="D33" i="6"/>
  <c r="H32" i="6"/>
  <c r="T32" i="5" s="1"/>
  <c r="G32" i="12" s="1"/>
  <c r="A32" i="6"/>
  <c r="AG113" i="8"/>
  <c r="B71" i="8" l="1"/>
  <c r="D34" i="6"/>
  <c r="A35" i="12"/>
  <c r="B35" i="6"/>
  <c r="F35" i="5"/>
  <c r="B35" i="5"/>
  <c r="C36" i="5"/>
  <c r="AE35" i="5"/>
  <c r="AD35" i="5"/>
  <c r="N35" i="5"/>
  <c r="G35" i="5"/>
  <c r="J35" i="5"/>
  <c r="H35" i="5"/>
  <c r="K35" i="5"/>
  <c r="E35" i="5"/>
  <c r="D35" i="5"/>
  <c r="B35" i="12" s="1"/>
  <c r="A33" i="6"/>
  <c r="H33" i="6"/>
  <c r="T33" i="5" s="1"/>
  <c r="G33" i="12" s="1"/>
  <c r="C103" i="3"/>
  <c r="C100" i="3"/>
  <c r="C96" i="3"/>
  <c r="A34" i="6" l="1"/>
  <c r="D35" i="6"/>
  <c r="H34" i="6"/>
  <c r="T34" i="5" s="1"/>
  <c r="G34" i="12" s="1"/>
  <c r="A36" i="12"/>
  <c r="B36" i="6"/>
  <c r="J36" i="5"/>
  <c r="K36" i="5"/>
  <c r="AE36" i="5"/>
  <c r="C37" i="5"/>
  <c r="H36" i="5"/>
  <c r="G36" i="5"/>
  <c r="D36" i="5"/>
  <c r="B36" i="12" s="1"/>
  <c r="B36" i="5"/>
  <c r="F36" i="5"/>
  <c r="E36" i="5"/>
  <c r="AD36" i="5"/>
  <c r="N36" i="5"/>
  <c r="B74" i="8"/>
  <c r="C93" i="3"/>
  <c r="D36" i="6" l="1"/>
  <c r="B77" i="8"/>
  <c r="H35" i="6"/>
  <c r="T35" i="5" s="1"/>
  <c r="G35" i="12" s="1"/>
  <c r="A37" i="12"/>
  <c r="B37" i="6"/>
  <c r="AD37" i="5"/>
  <c r="B37" i="5"/>
  <c r="E37" i="5"/>
  <c r="J37" i="5"/>
  <c r="D37" i="5"/>
  <c r="B37" i="12" s="1"/>
  <c r="H37" i="5"/>
  <c r="AE37" i="5"/>
  <c r="N37" i="5"/>
  <c r="K37" i="5"/>
  <c r="G37" i="5"/>
  <c r="F37" i="5"/>
  <c r="A35" i="6"/>
  <c r="C112" i="3"/>
  <c r="C108" i="3"/>
  <c r="C70" i="3"/>
  <c r="L26" i="13"/>
  <c r="L25" i="13" s="1"/>
  <c r="C84" i="3"/>
  <c r="A36" i="6" l="1"/>
  <c r="B80" i="8"/>
  <c r="D37" i="6"/>
  <c r="H36" i="6"/>
  <c r="T36" i="5" s="1"/>
  <c r="G36" i="12" s="1"/>
  <c r="C38" i="5"/>
  <c r="C56" i="3"/>
  <c r="A37" i="6" l="1"/>
  <c r="H37" i="6"/>
  <c r="T37" i="5" s="1"/>
  <c r="G37" i="12" s="1"/>
  <c r="B83" i="8"/>
  <c r="A38" i="12"/>
  <c r="B38" i="6"/>
  <c r="F38" i="5"/>
  <c r="E38" i="5"/>
  <c r="N38" i="5"/>
  <c r="B38" i="5"/>
  <c r="AD38" i="5"/>
  <c r="AE38" i="5"/>
  <c r="C39" i="5"/>
  <c r="H38" i="5"/>
  <c r="G38" i="5"/>
  <c r="Q13" i="6"/>
  <c r="A1" i="7"/>
  <c r="V70" i="7" a="1"/>
  <c r="V70" i="7" s="1"/>
  <c r="Y5" i="7"/>
  <c r="X5" i="7"/>
  <c r="P5" i="7"/>
  <c r="C60" i="3"/>
  <c r="S4" i="8"/>
  <c r="F5" i="7"/>
  <c r="B86" i="8" l="1"/>
  <c r="D38" i="6"/>
  <c r="A39" i="12"/>
  <c r="B39" i="6"/>
  <c r="AD39" i="5"/>
  <c r="B39" i="5"/>
  <c r="AE39" i="5"/>
  <c r="N39" i="5"/>
  <c r="D39" i="5"/>
  <c r="B39" i="12" s="1"/>
  <c r="K39" i="5"/>
  <c r="J39" i="5"/>
  <c r="E39" i="5"/>
  <c r="G39" i="5"/>
  <c r="C40" i="5"/>
  <c r="F39" i="5"/>
  <c r="H39" i="5"/>
  <c r="R13" i="6"/>
  <c r="S13" i="6" s="1"/>
  <c r="V71" i="7"/>
  <c r="V72" i="7"/>
  <c r="N5" i="7"/>
  <c r="O5" i="7"/>
  <c r="A38" i="6" l="1"/>
  <c r="B89" i="8"/>
  <c r="A40" i="12"/>
  <c r="B40" i="6"/>
  <c r="F40" i="5"/>
  <c r="H40" i="5"/>
  <c r="G40" i="5"/>
  <c r="E40" i="5"/>
  <c r="D40" i="5"/>
  <c r="B40" i="12" s="1"/>
  <c r="AD40" i="5"/>
  <c r="K40" i="5"/>
  <c r="N40" i="5"/>
  <c r="B40" i="5"/>
  <c r="AE40" i="5"/>
  <c r="J40" i="5"/>
  <c r="C41" i="5"/>
  <c r="H38" i="6"/>
  <c r="T38" i="5" s="1"/>
  <c r="G38" i="12" s="1"/>
  <c r="D39" i="6"/>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A39" i="6" l="1"/>
  <c r="D40" i="6"/>
  <c r="B92" i="8"/>
  <c r="A41" i="12"/>
  <c r="B41" i="6"/>
  <c r="J41" i="5"/>
  <c r="B41" i="5"/>
  <c r="H41" i="5"/>
  <c r="AE41" i="5"/>
  <c r="AD41" i="5"/>
  <c r="N41" i="5"/>
  <c r="C42" i="5"/>
  <c r="K41" i="5"/>
  <c r="G41" i="5"/>
  <c r="F41" i="5"/>
  <c r="D41" i="5"/>
  <c r="B41" i="12" s="1"/>
  <c r="E41" i="5"/>
  <c r="H39" i="6"/>
  <c r="T39" i="5" s="1"/>
  <c r="G39" i="12" s="1"/>
  <c r="U13" i="6"/>
  <c r="V77" i="9"/>
  <c r="V78" i="9"/>
  <c r="L70" i="7" a="1"/>
  <c r="L72" i="7" s="1"/>
  <c r="D68" i="7"/>
  <c r="C5" i="7"/>
  <c r="A40" i="6" l="1"/>
  <c r="B95" i="8"/>
  <c r="B42" i="6"/>
  <c r="A42" i="12"/>
  <c r="AD42" i="5"/>
  <c r="B42" i="5"/>
  <c r="C43" i="5"/>
  <c r="H42" i="5"/>
  <c r="G42" i="5"/>
  <c r="F42" i="5"/>
  <c r="AE42" i="5"/>
  <c r="E42" i="5"/>
  <c r="N42" i="5"/>
  <c r="D42" i="5"/>
  <c r="B42" i="12" s="1"/>
  <c r="K42" i="5"/>
  <c r="J42" i="5"/>
  <c r="D41" i="6"/>
  <c r="H40" i="6"/>
  <c r="T40" i="5" s="1"/>
  <c r="G40" i="12" s="1"/>
  <c r="V13" i="6"/>
  <c r="L70" i="7"/>
  <c r="L71" i="7"/>
  <c r="C69" i="3"/>
  <c r="C86" i="3"/>
  <c r="C81" i="3"/>
  <c r="C80" i="3"/>
  <c r="C79" i="3"/>
  <c r="C76" i="3"/>
  <c r="C75" i="3"/>
  <c r="C74" i="3"/>
  <c r="C67" i="3"/>
  <c r="C65" i="3"/>
  <c r="C64" i="3"/>
  <c r="C61" i="3"/>
  <c r="C62" i="3"/>
  <c r="C59" i="3"/>
  <c r="C58" i="3"/>
  <c r="C72" i="3"/>
  <c r="S108" i="4" a="1"/>
  <c r="S108" i="4" s="1"/>
  <c r="S68" i="4" a="1"/>
  <c r="S68" i="4" s="1"/>
  <c r="S28" i="4" a="1"/>
  <c r="S28" i="4" s="1"/>
  <c r="A43" i="12" l="1"/>
  <c r="B43" i="6"/>
  <c r="F43" i="5"/>
  <c r="J43" i="5"/>
  <c r="C44" i="5"/>
  <c r="B43" i="5"/>
  <c r="AE43" i="5"/>
  <c r="G43" i="5"/>
  <c r="AD43" i="5"/>
  <c r="N43" i="5"/>
  <c r="K43" i="5"/>
  <c r="H43" i="5"/>
  <c r="E43" i="5"/>
  <c r="D43" i="5"/>
  <c r="B43" i="12" s="1"/>
  <c r="H41" i="6"/>
  <c r="T41" i="5" s="1"/>
  <c r="G41" i="12" s="1"/>
  <c r="A41" i="6"/>
  <c r="B98" i="8"/>
  <c r="D42" i="6"/>
  <c r="X108" i="4"/>
  <c r="Y28" i="4"/>
  <c r="X68" i="4"/>
  <c r="W13" i="6"/>
  <c r="X28" i="4"/>
  <c r="Z108" i="4"/>
  <c r="Y108" i="4"/>
  <c r="Z68" i="4"/>
  <c r="Y68" i="4"/>
  <c r="Z28" i="4"/>
  <c r="E28" i="14"/>
  <c r="C15" i="14"/>
  <c r="L4" i="13"/>
  <c r="I5" i="12"/>
  <c r="F4" i="11"/>
  <c r="D7" i="10"/>
  <c r="K8" i="8"/>
  <c r="L5" i="4"/>
  <c r="C14" i="15"/>
  <c r="C52" i="3"/>
  <c r="G10" i="6" a="1"/>
  <c r="G10" i="6" s="1"/>
  <c r="Q5" i="5" a="1"/>
  <c r="Q5" i="5" s="1"/>
  <c r="F9" i="5"/>
  <c r="F8" i="5"/>
  <c r="P85" i="4"/>
  <c r="C51" i="3"/>
  <c r="C47" i="3"/>
  <c r="C43" i="3"/>
  <c r="C41" i="3"/>
  <c r="C39" i="3"/>
  <c r="E2" i="15"/>
  <c r="C34" i="3"/>
  <c r="C32" i="3"/>
  <c r="AX13" i="6"/>
  <c r="AX12" i="6" s="1"/>
  <c r="AB13" i="6"/>
  <c r="AB12" i="6" s="1"/>
  <c r="AM13" i="6"/>
  <c r="AM12" i="6" s="1"/>
  <c r="H12" i="10"/>
  <c r="H11" i="10" s="1"/>
  <c r="BG15" i="6"/>
  <c r="BF15" i="6"/>
  <c r="BE15" i="6"/>
  <c r="BD15" i="6"/>
  <c r="BC15" i="6"/>
  <c r="BB15" i="6"/>
  <c r="BA15" i="6"/>
  <c r="AZ15" i="6"/>
  <c r="AY15" i="6"/>
  <c r="AX15" i="6"/>
  <c r="G12" i="9"/>
  <c r="C20" i="3"/>
  <c r="C22" i="3"/>
  <c r="C24" i="3"/>
  <c r="C26" i="3"/>
  <c r="C28" i="3"/>
  <c r="C19" i="3"/>
  <c r="C15" i="3"/>
  <c r="C14" i="3"/>
  <c r="C12" i="3"/>
  <c r="I27" i="11"/>
  <c r="I26" i="11"/>
  <c r="AA116" i="8" a="1"/>
  <c r="T237" i="6" a="1"/>
  <c r="T239" i="6" s="1"/>
  <c r="I237" i="6" a="1"/>
  <c r="I238" i="6" s="1"/>
  <c r="C2" i="4"/>
  <c r="Z7" i="11"/>
  <c r="V12" i="8"/>
  <c r="E12" i="8"/>
  <c r="A14" i="5"/>
  <c r="C14" i="5" s="1"/>
  <c r="AV15" i="6"/>
  <c r="AU15" i="6"/>
  <c r="AT15" i="6"/>
  <c r="AS15" i="6"/>
  <c r="AR15" i="6"/>
  <c r="AQ15" i="6"/>
  <c r="AP15" i="6"/>
  <c r="AO15" i="6"/>
  <c r="AN15" i="6"/>
  <c r="AM15" i="6"/>
  <c r="D12" i="11"/>
  <c r="A12" i="11" s="1"/>
  <c r="L30" i="13"/>
  <c r="C8" i="4"/>
  <c r="C9" i="4"/>
  <c r="C10" i="4"/>
  <c r="C11" i="4"/>
  <c r="C12" i="4"/>
  <c r="C13" i="4"/>
  <c r="L37" i="13"/>
  <c r="B1" i="8"/>
  <c r="C10" i="15"/>
  <c r="E24" i="15"/>
  <c r="E22" i="15"/>
  <c r="G18" i="15"/>
  <c r="E18" i="15"/>
  <c r="C18" i="15"/>
  <c r="C12" i="15"/>
  <c r="E12" i="15"/>
  <c r="G10" i="15"/>
  <c r="E10" i="15"/>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5" i="4"/>
  <c r="R65" i="4"/>
  <c r="N75" i="4"/>
  <c r="J78" i="4"/>
  <c r="J80" i="4"/>
  <c r="J85" i="4"/>
  <c r="K90" i="4" a="1"/>
  <c r="K92" i="4" s="1"/>
  <c r="J101" i="4"/>
  <c r="R101" i="4"/>
  <c r="J102" i="4"/>
  <c r="R102" i="4"/>
  <c r="R103" i="4"/>
  <c r="R104" i="4"/>
  <c r="J105" i="4"/>
  <c r="R105" i="4"/>
  <c r="N115" i="4"/>
  <c r="J118" i="4"/>
  <c r="J120" i="4"/>
  <c r="J125" i="4"/>
  <c r="K130" i="4" a="1"/>
  <c r="K131" i="4" s="1"/>
  <c r="E1" i="12"/>
  <c r="D5" i="12"/>
  <c r="F5" i="12"/>
  <c r="J5" i="12"/>
  <c r="O5" i="12"/>
  <c r="A7" i="12"/>
  <c r="I7" i="12"/>
  <c r="D8" i="12"/>
  <c r="E8" i="12"/>
  <c r="F8" i="12"/>
  <c r="I8" i="12"/>
  <c r="J12" i="12"/>
  <c r="Q12" i="12"/>
  <c r="V13" i="12"/>
  <c r="W13" i="12"/>
  <c r="X13" i="12"/>
  <c r="D15" i="12"/>
  <c r="AB15" i="12"/>
  <c r="D240" i="12"/>
  <c r="E241" i="12"/>
  <c r="K243" i="12" a="1"/>
  <c r="K245" i="12" s="1"/>
  <c r="E10" i="6"/>
  <c r="I10" i="6"/>
  <c r="K10" i="6"/>
  <c r="S10" i="6"/>
  <c r="U10" i="6"/>
  <c r="O13" i="6"/>
  <c r="O15" i="6" s="1"/>
  <c r="O11" i="6" s="1"/>
  <c r="B15" i="6"/>
  <c r="C15" i="6"/>
  <c r="D15" i="6"/>
  <c r="E15" i="6"/>
  <c r="B231" i="6"/>
  <c r="C231" i="6"/>
  <c r="F235" i="6"/>
  <c r="S5" i="8"/>
  <c r="Z7" i="8"/>
  <c r="AF7" i="8"/>
  <c r="I8" i="8"/>
  <c r="L8" i="8"/>
  <c r="U8" i="8"/>
  <c r="Z8" i="8"/>
  <c r="AF8" i="8"/>
  <c r="E13" i="8"/>
  <c r="V13" i="8"/>
  <c r="W13" i="8" s="1"/>
  <c r="X13" i="8" s="1"/>
  <c r="Y13" i="8" s="1"/>
  <c r="Z13" i="8" s="1"/>
  <c r="AA13" i="8" s="1"/>
  <c r="AB13" i="8" s="1"/>
  <c r="AC13" i="8" s="1"/>
  <c r="AD13" i="8" s="1"/>
  <c r="AE13" i="8" s="1"/>
  <c r="AF13" i="8" s="1"/>
  <c r="T103" i="8"/>
  <c r="T108" i="8"/>
  <c r="I114" i="8"/>
  <c r="B1" i="9"/>
  <c r="E12" i="9"/>
  <c r="I2" i="2"/>
  <c r="K2" i="2"/>
  <c r="M2" i="2"/>
  <c r="O2" i="2"/>
  <c r="Q2" i="2"/>
  <c r="S2" i="2"/>
  <c r="U2" i="2"/>
  <c r="W2" i="2"/>
  <c r="Y2" i="2"/>
  <c r="AA2" i="2"/>
  <c r="AC2" i="2"/>
  <c r="AE2" i="2"/>
  <c r="AG2" i="2"/>
  <c r="AI2" i="2"/>
  <c r="AK2" i="2"/>
  <c r="AM2" i="2"/>
  <c r="AO2" i="2"/>
  <c r="B9" i="2"/>
  <c r="C8" i="3"/>
  <c r="C9" i="3"/>
  <c r="C18" i="14"/>
  <c r="C19" i="14"/>
  <c r="B22" i="14"/>
  <c r="B24" i="14"/>
  <c r="B30" i="14"/>
  <c r="B54" i="14"/>
  <c r="B55" i="14"/>
  <c r="O5" i="5"/>
  <c r="R5" i="5"/>
  <c r="S5" i="5"/>
  <c r="O241" i="5"/>
  <c r="M15" i="5"/>
  <c r="N15" i="5"/>
  <c r="O15" i="5"/>
  <c r="O244" i="5"/>
  <c r="T246" i="5" a="1"/>
  <c r="T246" i="5" s="1"/>
  <c r="B1" i="10"/>
  <c r="H4" i="10"/>
  <c r="V6" i="10"/>
  <c r="AE6" i="10"/>
  <c r="B7" i="10"/>
  <c r="H7" i="10"/>
  <c r="O7" i="10"/>
  <c r="V7" i="10"/>
  <c r="AE7" i="10"/>
  <c r="F12" i="10"/>
  <c r="F11" i="10" s="1"/>
  <c r="B77" i="10"/>
  <c r="W79" i="10" a="1"/>
  <c r="W80" i="10" s="1"/>
  <c r="D4" i="11"/>
  <c r="G4" i="11"/>
  <c r="J4" i="11"/>
  <c r="M6" i="11"/>
  <c r="D7" i="11"/>
  <c r="L7" i="11"/>
  <c r="M7" i="11"/>
  <c r="N7" i="11"/>
  <c r="J12" i="11"/>
  <c r="I12" i="13" s="1"/>
  <c r="L13" i="11"/>
  <c r="L9" i="11" s="1"/>
  <c r="D24" i="11"/>
  <c r="F1" i="13"/>
  <c r="E4" i="13"/>
  <c r="I4" i="13"/>
  <c r="P4" i="13"/>
  <c r="M6" i="13"/>
  <c r="E7" i="13"/>
  <c r="I7" i="13"/>
  <c r="M7" i="13"/>
  <c r="N7" i="13"/>
  <c r="M11" i="13"/>
  <c r="Y11" i="13"/>
  <c r="G12" i="13"/>
  <c r="H12" i="13"/>
  <c r="J16" i="13"/>
  <c r="AC2" i="13" s="1"/>
  <c r="E26" i="13"/>
  <c r="E30" i="13"/>
  <c r="F31" i="13"/>
  <c r="M31" i="13"/>
  <c r="E32" i="13"/>
  <c r="F32" i="13"/>
  <c r="L32" i="13"/>
  <c r="M32" i="13"/>
  <c r="M33" i="13"/>
  <c r="L34" i="13"/>
  <c r="M34" i="13"/>
  <c r="E37" i="13"/>
  <c r="E39" i="13"/>
  <c r="L39" i="13"/>
  <c r="E40" i="13"/>
  <c r="L40" i="13"/>
  <c r="D238" i="12"/>
  <c r="K130" i="4"/>
  <c r="O8" i="5"/>
  <c r="A44" i="12" l="1"/>
  <c r="B44" i="6"/>
  <c r="J44" i="5"/>
  <c r="K44" i="5"/>
  <c r="AE44" i="5"/>
  <c r="C45" i="5"/>
  <c r="H44" i="5"/>
  <c r="G44" i="5"/>
  <c r="F44" i="5"/>
  <c r="D44" i="5"/>
  <c r="B44" i="12" s="1"/>
  <c r="E44" i="5"/>
  <c r="B44" i="5"/>
  <c r="AD44" i="5"/>
  <c r="N44" i="5"/>
  <c r="H42" i="6"/>
  <c r="T42" i="5" s="1"/>
  <c r="G42" i="12" s="1"/>
  <c r="A42" i="6"/>
  <c r="D43" i="6"/>
  <c r="U108" i="4"/>
  <c r="U68" i="4"/>
  <c r="U28" i="4"/>
  <c r="A11" i="6"/>
  <c r="A15" i="6" s="1" a="1"/>
  <c r="A15" i="6" s="1"/>
  <c r="B14" i="6"/>
  <c r="S109" i="4"/>
  <c r="S69" i="4"/>
  <c r="S29" i="4"/>
  <c r="C34" i="4"/>
  <c r="C45" i="4"/>
  <c r="AY13" i="6"/>
  <c r="AY12" i="6" s="1"/>
  <c r="K50" i="4"/>
  <c r="N9" i="10"/>
  <c r="C33" i="4"/>
  <c r="C48" i="4"/>
  <c r="C27" i="4"/>
  <c r="A16" i="4"/>
  <c r="W12" i="8"/>
  <c r="X13" i="6"/>
  <c r="O7" i="11"/>
  <c r="AC13" i="12"/>
  <c r="K69" i="10"/>
  <c r="W82" i="10"/>
  <c r="E12" i="13"/>
  <c r="C47" i="4"/>
  <c r="C23" i="4"/>
  <c r="A30" i="4"/>
  <c r="A31" i="4" s="1"/>
  <c r="C31" i="4" s="1"/>
  <c r="C46" i="4"/>
  <c r="C28" i="4"/>
  <c r="K246" i="12"/>
  <c r="C21" i="4"/>
  <c r="C22" i="4"/>
  <c r="K132" i="4"/>
  <c r="B39" i="14"/>
  <c r="W81" i="10"/>
  <c r="K243" i="12"/>
  <c r="T248" i="5"/>
  <c r="B37" i="14"/>
  <c r="C14" i="14"/>
  <c r="O7" i="13"/>
  <c r="T238" i="6"/>
  <c r="P125" i="4"/>
  <c r="I117" i="8"/>
  <c r="I239" i="6"/>
  <c r="I237" i="6"/>
  <c r="AC13" i="6"/>
  <c r="AC12" i="6" s="1"/>
  <c r="AN13" i="6"/>
  <c r="AN12" i="6" s="1"/>
  <c r="B14" i="5"/>
  <c r="F14" i="5"/>
  <c r="G15" i="9"/>
  <c r="H15" i="10"/>
  <c r="S110" i="4"/>
  <c r="I12" i="10"/>
  <c r="H12" i="9"/>
  <c r="S30" i="4"/>
  <c r="A36" i="4"/>
  <c r="C35" i="4"/>
  <c r="C24" i="4"/>
  <c r="AA117" i="8"/>
  <c r="AA118" i="8"/>
  <c r="AA116" i="8"/>
  <c r="P45" i="4"/>
  <c r="K14" i="5"/>
  <c r="J14" i="5"/>
  <c r="H14" i="5"/>
  <c r="A14" i="12"/>
  <c r="D14" i="5"/>
  <c r="B14" i="12" s="1"/>
  <c r="AD14" i="5"/>
  <c r="E14" i="5"/>
  <c r="G14" i="5"/>
  <c r="AE14" i="5"/>
  <c r="N14" i="5"/>
  <c r="E244" i="12"/>
  <c r="B80" i="10"/>
  <c r="F238" i="6"/>
  <c r="O247" i="5"/>
  <c r="D27" i="11"/>
  <c r="W79" i="10"/>
  <c r="A4" i="4"/>
  <c r="K51" i="4"/>
  <c r="K244" i="12"/>
  <c r="S70" i="4"/>
  <c r="K91" i="4"/>
  <c r="T237" i="6"/>
  <c r="K90" i="4"/>
  <c r="T247" i="5"/>
  <c r="A43" i="6" l="1"/>
  <c r="A45" i="12"/>
  <c r="B45" i="6"/>
  <c r="AD45" i="5"/>
  <c r="B45" i="5"/>
  <c r="E45" i="5"/>
  <c r="J45" i="5"/>
  <c r="D45" i="5"/>
  <c r="B45" i="12" s="1"/>
  <c r="K45" i="5"/>
  <c r="C46" i="5"/>
  <c r="H45" i="5"/>
  <c r="AE45" i="5"/>
  <c r="N45" i="5"/>
  <c r="G45" i="5"/>
  <c r="F45" i="5"/>
  <c r="AC16" i="6"/>
  <c r="AC17" i="6"/>
  <c r="D44" i="6"/>
  <c r="BC16" i="6"/>
  <c r="AY16" i="6"/>
  <c r="BD16" i="6"/>
  <c r="AN16" i="6"/>
  <c r="AX16" i="6"/>
  <c r="AO16" i="6"/>
  <c r="BG16" i="6"/>
  <c r="BE16" i="6"/>
  <c r="BF16" i="6"/>
  <c r="AV16" i="6"/>
  <c r="BA16" i="6"/>
  <c r="AS16" i="6"/>
  <c r="BB16" i="6"/>
  <c r="AR16" i="6"/>
  <c r="AU16" i="6"/>
  <c r="AX17" i="6"/>
  <c r="AN17" i="6"/>
  <c r="AT16" i="6"/>
  <c r="AP16" i="6"/>
  <c r="AS17" i="6"/>
  <c r="AQ16" i="6"/>
  <c r="AY17" i="6"/>
  <c r="AM16" i="6"/>
  <c r="AO17" i="6"/>
  <c r="AZ16" i="6"/>
  <c r="AZ17" i="6"/>
  <c r="BE17" i="6"/>
  <c r="AR17" i="6"/>
  <c r="AM17" i="6"/>
  <c r="BD17" i="6"/>
  <c r="AQ17" i="6"/>
  <c r="AV17" i="6"/>
  <c r="BG17" i="6"/>
  <c r="BF17" i="6"/>
  <c r="M18" i="6"/>
  <c r="BA17" i="6"/>
  <c r="AP17" i="6"/>
  <c r="AU17" i="6"/>
  <c r="AT17" i="6"/>
  <c r="BB17" i="6"/>
  <c r="BC17" i="6"/>
  <c r="AB17" i="6"/>
  <c r="AB16" i="6"/>
  <c r="H43" i="6"/>
  <c r="T43" i="5" s="1"/>
  <c r="G43" i="12" s="1"/>
  <c r="U97" i="4"/>
  <c r="T101" i="4" s="1"/>
  <c r="U57" i="4"/>
  <c r="C15" i="7" a="1"/>
  <c r="C15" i="7" s="1"/>
  <c r="B10" i="9"/>
  <c r="M69" i="10"/>
  <c r="M74" i="10" s="1" a="1"/>
  <c r="M74"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AZ12" i="6" s="1"/>
  <c r="C30" i="4"/>
  <c r="C16" i="4"/>
  <c r="A17" i="4"/>
  <c r="X12" i="8"/>
  <c r="AD13" i="12"/>
  <c r="Y13" i="6"/>
  <c r="B42" i="14"/>
  <c r="AD13" i="6"/>
  <c r="AD12" i="6" s="1"/>
  <c r="AO13" i="6"/>
  <c r="AO12" i="6" s="1"/>
  <c r="B8" i="14"/>
  <c r="I10" i="13"/>
  <c r="I11" i="10"/>
  <c r="J12" i="10"/>
  <c r="D14" i="6"/>
  <c r="C4" i="4"/>
  <c r="A5" i="4"/>
  <c r="C36" i="4"/>
  <c r="A37" i="4"/>
  <c r="C37" i="4" s="1"/>
  <c r="AH99" i="5" l="1"/>
  <c r="AN99" i="5" s="1"/>
  <c r="AH165" i="5"/>
  <c r="AH166" i="5"/>
  <c r="AH107" i="5"/>
  <c r="AH104" i="5"/>
  <c r="AH101" i="5"/>
  <c r="AH106" i="5"/>
  <c r="AH103" i="5"/>
  <c r="AH100" i="5"/>
  <c r="AH105" i="5"/>
  <c r="AH108" i="5"/>
  <c r="AH98" i="5"/>
  <c r="AH102" i="5"/>
  <c r="AH224" i="5"/>
  <c r="AH225" i="5"/>
  <c r="AH222" i="5"/>
  <c r="AH223" i="5"/>
  <c r="AN223" i="5" s="1"/>
  <c r="AH221" i="5"/>
  <c r="AN221" i="5" s="1"/>
  <c r="AH82" i="5"/>
  <c r="AH83" i="5"/>
  <c r="AH112" i="5"/>
  <c r="AH111" i="5"/>
  <c r="AH189" i="5"/>
  <c r="AH27" i="5"/>
  <c r="AH26" i="5"/>
  <c r="AH175" i="5"/>
  <c r="AH174" i="5"/>
  <c r="AH178" i="5"/>
  <c r="AH229" i="5"/>
  <c r="AH177" i="5"/>
  <c r="AH142" i="5"/>
  <c r="AH228" i="5"/>
  <c r="AH230" i="5"/>
  <c r="AH227" i="5"/>
  <c r="AN227" i="5" s="1"/>
  <c r="AH132" i="5"/>
  <c r="AH162" i="5"/>
  <c r="AH159" i="5"/>
  <c r="AH156" i="5"/>
  <c r="AH158" i="5"/>
  <c r="AH163" i="5"/>
  <c r="AH157" i="5"/>
  <c r="AH161" i="5"/>
  <c r="AH160" i="5"/>
  <c r="AH154" i="5"/>
  <c r="AH151" i="5"/>
  <c r="AH148" i="5"/>
  <c r="AH153" i="5"/>
  <c r="AH155" i="5"/>
  <c r="AH152" i="5"/>
  <c r="AH146" i="5"/>
  <c r="AN146" i="5" s="1"/>
  <c r="AH150" i="5"/>
  <c r="AH147" i="5"/>
  <c r="AH149" i="5"/>
  <c r="H18" i="6"/>
  <c r="T18" i="5" s="1"/>
  <c r="G18" i="12" s="1"/>
  <c r="A44" i="6"/>
  <c r="U54" i="4"/>
  <c r="T61" i="4" s="1"/>
  <c r="M23" i="6"/>
  <c r="AC23" i="6" s="1"/>
  <c r="M21" i="6"/>
  <c r="AN21" i="6" s="1"/>
  <c r="M20" i="6"/>
  <c r="AD20" i="6" s="1"/>
  <c r="M19" i="6"/>
  <c r="AD19" i="6" s="1"/>
  <c r="AD16" i="6"/>
  <c r="AD17" i="6"/>
  <c r="H44" i="6"/>
  <c r="T44" i="5" s="1"/>
  <c r="A46" i="12"/>
  <c r="B46" i="6"/>
  <c r="F46" i="5"/>
  <c r="K46" i="5"/>
  <c r="J46" i="5"/>
  <c r="E46" i="5"/>
  <c r="C47" i="5"/>
  <c r="H46" i="5"/>
  <c r="D46" i="5"/>
  <c r="B46" i="12" s="1"/>
  <c r="G46" i="5"/>
  <c r="AE46" i="5"/>
  <c r="AD46" i="5"/>
  <c r="N46" i="5"/>
  <c r="B46" i="5"/>
  <c r="E38" i="12"/>
  <c r="F38" i="6"/>
  <c r="G38" i="6"/>
  <c r="E22" i="12"/>
  <c r="F22" i="6"/>
  <c r="E23" i="12"/>
  <c r="F23" i="6"/>
  <c r="G22" i="6"/>
  <c r="G23" i="6"/>
  <c r="D45" i="6"/>
  <c r="AX18" i="6"/>
  <c r="AZ18" i="6"/>
  <c r="AO18" i="6"/>
  <c r="AN18" i="6"/>
  <c r="AM18" i="6"/>
  <c r="AY18" i="6"/>
  <c r="B15" i="9"/>
  <c r="B16" i="9" s="1"/>
  <c r="AH219" i="5"/>
  <c r="AH217" i="5"/>
  <c r="AH214" i="5"/>
  <c r="AH211" i="5"/>
  <c r="AH208" i="5"/>
  <c r="AH205" i="5"/>
  <c r="AH215" i="5"/>
  <c r="AH212" i="5"/>
  <c r="AH209" i="5"/>
  <c r="AH206" i="5"/>
  <c r="AH201" i="5"/>
  <c r="AH192" i="5"/>
  <c r="AH182" i="5"/>
  <c r="AH169" i="5"/>
  <c r="AH140" i="5"/>
  <c r="AH122" i="5"/>
  <c r="AH113" i="5"/>
  <c r="AH97" i="5"/>
  <c r="AH94" i="5"/>
  <c r="AH91" i="5"/>
  <c r="AH88" i="5"/>
  <c r="AH85" i="5"/>
  <c r="AH80" i="5"/>
  <c r="AH77" i="5"/>
  <c r="AH74" i="5"/>
  <c r="AH73" i="5"/>
  <c r="AH70" i="5"/>
  <c r="AH67" i="5"/>
  <c r="AH64" i="5"/>
  <c r="AH61" i="5"/>
  <c r="AH58" i="5"/>
  <c r="AH55" i="5"/>
  <c r="AH52" i="5"/>
  <c r="AH49" i="5"/>
  <c r="AH46" i="5"/>
  <c r="AH43" i="5"/>
  <c r="AH40" i="5"/>
  <c r="AH35" i="5"/>
  <c r="AH32" i="5"/>
  <c r="AH29" i="5"/>
  <c r="AH24" i="5"/>
  <c r="AH21" i="5"/>
  <c r="AH18" i="5"/>
  <c r="AH218" i="5"/>
  <c r="AH216" i="5"/>
  <c r="AH213" i="5"/>
  <c r="AH210" i="5"/>
  <c r="AH207" i="5"/>
  <c r="AH194" i="5"/>
  <c r="AH184" i="5"/>
  <c r="AH171" i="5"/>
  <c r="AH141" i="5"/>
  <c r="AH133" i="5"/>
  <c r="AH124" i="5"/>
  <c r="AH115" i="5"/>
  <c r="AH220" i="5"/>
  <c r="AH196" i="5"/>
  <c r="AH186" i="5"/>
  <c r="AH173" i="5"/>
  <c r="AH144" i="5"/>
  <c r="AH135" i="5"/>
  <c r="AH126" i="5"/>
  <c r="AH117" i="5"/>
  <c r="AH204" i="5"/>
  <c r="AH198" i="5"/>
  <c r="AH188" i="5"/>
  <c r="AH179" i="5"/>
  <c r="AH164" i="5"/>
  <c r="AH137" i="5"/>
  <c r="AH128" i="5"/>
  <c r="AH119" i="5"/>
  <c r="AH109" i="5"/>
  <c r="AN109" i="5" s="1"/>
  <c r="AH95" i="5"/>
  <c r="AH92" i="5"/>
  <c r="AH89" i="5"/>
  <c r="AH86" i="5"/>
  <c r="AH81" i="5"/>
  <c r="AH197" i="5"/>
  <c r="AH187" i="5"/>
  <c r="AH176" i="5"/>
  <c r="AH145" i="5"/>
  <c r="AH136" i="5"/>
  <c r="AH127" i="5"/>
  <c r="AH118" i="5"/>
  <c r="AH203" i="5"/>
  <c r="AH202" i="5"/>
  <c r="AH167" i="5"/>
  <c r="AH130" i="5"/>
  <c r="AH116" i="5"/>
  <c r="AH114" i="5"/>
  <c r="AH170" i="5"/>
  <c r="AH90" i="5"/>
  <c r="AH31" i="5"/>
  <c r="AH226" i="5"/>
  <c r="AH200" i="5"/>
  <c r="AH185" i="5"/>
  <c r="AH183" i="5"/>
  <c r="AH87" i="5"/>
  <c r="AH72" i="5"/>
  <c r="AH63" i="5"/>
  <c r="AH54" i="5"/>
  <c r="AH45" i="5"/>
  <c r="AH37" i="5"/>
  <c r="AH28" i="5"/>
  <c r="AH17" i="5"/>
  <c r="AN17" i="5" s="1"/>
  <c r="AH62" i="5"/>
  <c r="AH79" i="5"/>
  <c r="AH129" i="5"/>
  <c r="AH65" i="5"/>
  <c r="AH56" i="5"/>
  <c r="AH47" i="5"/>
  <c r="AH38" i="5"/>
  <c r="AH30" i="5"/>
  <c r="AH19" i="5"/>
  <c r="AH193" i="5"/>
  <c r="AH53" i="5"/>
  <c r="AH44" i="5"/>
  <c r="AH36" i="5"/>
  <c r="AH16" i="5"/>
  <c r="AN16" i="5" s="1"/>
  <c r="AH172" i="5"/>
  <c r="AH75" i="5"/>
  <c r="AH120" i="5"/>
  <c r="AH76" i="5"/>
  <c r="AH57" i="5"/>
  <c r="AH48" i="5"/>
  <c r="AH199" i="5"/>
  <c r="AH181" i="5"/>
  <c r="AH143" i="5"/>
  <c r="AH96" i="5"/>
  <c r="AH71" i="5"/>
  <c r="AH66" i="5"/>
  <c r="AH110" i="5"/>
  <c r="AN110" i="5" s="1"/>
  <c r="AH195" i="5"/>
  <c r="AH138" i="5"/>
  <c r="AH78" i="5"/>
  <c r="AH39" i="5"/>
  <c r="AH180" i="5"/>
  <c r="AH139" i="5"/>
  <c r="AH125" i="5"/>
  <c r="AH123" i="5"/>
  <c r="AH93" i="5"/>
  <c r="AH84" i="5"/>
  <c r="AH69" i="5"/>
  <c r="AH60" i="5"/>
  <c r="AH51" i="5"/>
  <c r="AH42" i="5"/>
  <c r="AH34" i="5"/>
  <c r="AH23" i="5"/>
  <c r="AH25" i="5"/>
  <c r="AH121" i="5"/>
  <c r="AH191" i="5"/>
  <c r="AH190" i="5"/>
  <c r="AH168" i="5"/>
  <c r="AH134" i="5"/>
  <c r="AH131" i="5"/>
  <c r="AH68" i="5"/>
  <c r="AH59" i="5"/>
  <c r="AH50" i="5"/>
  <c r="AH41" i="5"/>
  <c r="AH33" i="5"/>
  <c r="AH22" i="5"/>
  <c r="AH20" i="5"/>
  <c r="M22" i="6"/>
  <c r="T57" i="4"/>
  <c r="T97" i="4"/>
  <c r="T105" i="4"/>
  <c r="T106" i="4"/>
  <c r="U106" i="4" s="1"/>
  <c r="T104" i="4"/>
  <c r="T103" i="4"/>
  <c r="T102" i="4"/>
  <c r="T22" i="4"/>
  <c r="T23" i="4"/>
  <c r="T24" i="4"/>
  <c r="T25" i="4"/>
  <c r="T26" i="4"/>
  <c r="U26" i="4" s="1"/>
  <c r="T17" i="4"/>
  <c r="V8" i="5" a="1"/>
  <c r="V8" i="5" s="1"/>
  <c r="O69" i="10"/>
  <c r="J12" i="9"/>
  <c r="AH14" i="5"/>
  <c r="W14" i="5" s="1"/>
  <c r="H14" i="12" s="1"/>
  <c r="BA13" i="6"/>
  <c r="BA12" i="6" s="1"/>
  <c r="A18" i="4"/>
  <c r="C17" i="4"/>
  <c r="Y12" i="8"/>
  <c r="AE13" i="12"/>
  <c r="Z13" i="6"/>
  <c r="AE13" i="6"/>
  <c r="AP13" i="6"/>
  <c r="AP12" i="6" s="1"/>
  <c r="K12" i="10"/>
  <c r="J11" i="10"/>
  <c r="C5" i="4"/>
  <c r="A6" i="4"/>
  <c r="N26" i="6" l="1"/>
  <c r="N27" i="6"/>
  <c r="AC18" i="6"/>
  <c r="AB18" i="6"/>
  <c r="AD18" i="6"/>
  <c r="A45" i="6"/>
  <c r="N45" i="6" s="1"/>
  <c r="N44" i="6"/>
  <c r="N24" i="6"/>
  <c r="N25" i="6"/>
  <c r="N28" i="6"/>
  <c r="N29" i="6"/>
  <c r="N30" i="6"/>
  <c r="N31" i="6"/>
  <c r="N32" i="6"/>
  <c r="N33" i="6"/>
  <c r="N34" i="6"/>
  <c r="N35" i="6"/>
  <c r="N36" i="6"/>
  <c r="N37" i="6"/>
  <c r="N38" i="6"/>
  <c r="N39" i="6"/>
  <c r="N40" i="6"/>
  <c r="N41" i="6"/>
  <c r="N42" i="6"/>
  <c r="N43" i="6"/>
  <c r="M24" i="6"/>
  <c r="T66" i="4"/>
  <c r="U66" i="4" s="1"/>
  <c r="T63" i="4"/>
  <c r="T65" i="4"/>
  <c r="T64" i="4"/>
  <c r="T62" i="4"/>
  <c r="AY19" i="6"/>
  <c r="AC19" i="6"/>
  <c r="AY23" i="6"/>
  <c r="AX19" i="6"/>
  <c r="AZ19" i="6"/>
  <c r="AB23" i="6"/>
  <c r="AO23" i="6"/>
  <c r="AZ23" i="6"/>
  <c r="AN23" i="6"/>
  <c r="AX23" i="6"/>
  <c r="AN19" i="6"/>
  <c r="AO19" i="6"/>
  <c r="AM19" i="6"/>
  <c r="AM23" i="6"/>
  <c r="AD23" i="6"/>
  <c r="AB19" i="6"/>
  <c r="AP21" i="6"/>
  <c r="BA23" i="6"/>
  <c r="BA18" i="6"/>
  <c r="AP19" i="6"/>
  <c r="AZ21" i="6"/>
  <c r="AX21" i="6"/>
  <c r="AZ20" i="6"/>
  <c r="AC20" i="6"/>
  <c r="AN20" i="6"/>
  <c r="AY20" i="6"/>
  <c r="AB21" i="6"/>
  <c r="AM20" i="6"/>
  <c r="AX20" i="6"/>
  <c r="AD21" i="6"/>
  <c r="AM21" i="6"/>
  <c r="AB20" i="6"/>
  <c r="AC21" i="6"/>
  <c r="AO20" i="6"/>
  <c r="AY21" i="6"/>
  <c r="AO21" i="6"/>
  <c r="BA19" i="6"/>
  <c r="D46" i="6"/>
  <c r="BA20" i="6"/>
  <c r="AO22" i="6"/>
  <c r="AX22" i="6"/>
  <c r="BA22" i="6"/>
  <c r="AY22" i="6"/>
  <c r="AZ22" i="6"/>
  <c r="AM22" i="6"/>
  <c r="AP22" i="6"/>
  <c r="AN22" i="6"/>
  <c r="AB22" i="6"/>
  <c r="AC22" i="6"/>
  <c r="W38" i="5"/>
  <c r="H38" i="12" s="1"/>
  <c r="AD22" i="6"/>
  <c r="W23" i="5"/>
  <c r="H23" i="12" s="1"/>
  <c r="AP18" i="6"/>
  <c r="B17" i="9"/>
  <c r="BA21" i="6"/>
  <c r="H45" i="6"/>
  <c r="T45" i="5" s="1"/>
  <c r="A47" i="12"/>
  <c r="B47" i="6"/>
  <c r="J47" i="5"/>
  <c r="F47" i="5"/>
  <c r="AD47" i="5"/>
  <c r="E47" i="5"/>
  <c r="D47" i="5"/>
  <c r="B47" i="12" s="1"/>
  <c r="N47" i="5"/>
  <c r="K47" i="5"/>
  <c r="B47" i="5"/>
  <c r="AE47" i="5"/>
  <c r="C48" i="5"/>
  <c r="H47" i="5"/>
  <c r="G47" i="5"/>
  <c r="G44" i="12"/>
  <c r="AP20" i="6"/>
  <c r="W22" i="5"/>
  <c r="H22" i="12" s="1"/>
  <c r="AP23" i="6"/>
  <c r="U7" i="4"/>
  <c r="H68" i="10"/>
  <c r="O74" i="10" a="1"/>
  <c r="O74" i="10" s="1"/>
  <c r="Q69" i="10"/>
  <c r="Q74" i="10" s="1" a="1"/>
  <c r="Q74" i="10" s="1"/>
  <c r="K12" i="9"/>
  <c r="AN14" i="5"/>
  <c r="BB13" i="6"/>
  <c r="AF13" i="6"/>
  <c r="AF12" i="6" s="1"/>
  <c r="AE12" i="6"/>
  <c r="A19" i="4"/>
  <c r="C19" i="4" s="1"/>
  <c r="X29" i="4" s="1"/>
  <c r="C18" i="4"/>
  <c r="Z12" i="8"/>
  <c r="AF13" i="12"/>
  <c r="AQ13" i="6"/>
  <c r="AQ22" i="6" s="1"/>
  <c r="L12" i="10"/>
  <c r="A7" i="4"/>
  <c r="C7" i="4" s="1"/>
  <c r="C6" i="4"/>
  <c r="AY24" i="6" l="1"/>
  <c r="M26" i="6"/>
  <c r="AE26" i="6" s="1"/>
  <c r="M27" i="6"/>
  <c r="AE27" i="6" s="1"/>
  <c r="A46" i="6"/>
  <c r="N46" i="6" s="1"/>
  <c r="BA24" i="6"/>
  <c r="AP24" i="6"/>
  <c r="AN24" i="6"/>
  <c r="AX24" i="6"/>
  <c r="AO24" i="6"/>
  <c r="AM24" i="6"/>
  <c r="AB24" i="6"/>
  <c r="AZ24" i="6"/>
  <c r="AD24" i="6"/>
  <c r="AC24" i="6"/>
  <c r="M28" i="6"/>
  <c r="AF28" i="6" s="1"/>
  <c r="M38" i="6"/>
  <c r="BB38" i="6" s="1"/>
  <c r="M32" i="6"/>
  <c r="AE32" i="6" s="1"/>
  <c r="M30" i="6"/>
  <c r="AE30" i="6" s="1"/>
  <c r="M37" i="6"/>
  <c r="BB37" i="6" s="1"/>
  <c r="M31" i="6"/>
  <c r="M36" i="6"/>
  <c r="AE36" i="6" s="1"/>
  <c r="M34" i="6"/>
  <c r="AE34" i="6" s="1"/>
  <c r="M35" i="6"/>
  <c r="AF35" i="6" s="1"/>
  <c r="M33" i="6"/>
  <c r="AE33" i="6" s="1"/>
  <c r="M25" i="6"/>
  <c r="AE25" i="6" s="1"/>
  <c r="M29" i="6"/>
  <c r="AE16" i="6"/>
  <c r="AE17" i="6"/>
  <c r="AE18" i="6"/>
  <c r="AE19" i="6"/>
  <c r="AE20" i="6"/>
  <c r="AE21" i="6"/>
  <c r="AE22" i="6"/>
  <c r="AE23" i="6"/>
  <c r="AE24" i="6"/>
  <c r="D47" i="6"/>
  <c r="H46" i="6"/>
  <c r="T46" i="5" s="1"/>
  <c r="AF16" i="6"/>
  <c r="AF17" i="6"/>
  <c r="AF18" i="6"/>
  <c r="AF19" i="6"/>
  <c r="AF20" i="6"/>
  <c r="AF21" i="6"/>
  <c r="AF22" i="6"/>
  <c r="AF23" i="6"/>
  <c r="AF24" i="6"/>
  <c r="BB24" i="6"/>
  <c r="BB23" i="6"/>
  <c r="BB18" i="6"/>
  <c r="BB21" i="6"/>
  <c r="BB20" i="6"/>
  <c r="BB19" i="6"/>
  <c r="G45" i="12"/>
  <c r="A48" i="12"/>
  <c r="B48" i="6"/>
  <c r="AD48" i="5"/>
  <c r="B48" i="5"/>
  <c r="AE48" i="5"/>
  <c r="N48" i="5"/>
  <c r="D48" i="5"/>
  <c r="B48" i="12" s="1"/>
  <c r="K48" i="5"/>
  <c r="E48" i="5"/>
  <c r="J48" i="5"/>
  <c r="F48" i="5"/>
  <c r="C49" i="5"/>
  <c r="H48" i="5"/>
  <c r="G48" i="5"/>
  <c r="BB22" i="6"/>
  <c r="AQ23" i="6"/>
  <c r="AQ19" i="6"/>
  <c r="AQ21" i="6"/>
  <c r="AQ20" i="6"/>
  <c r="AQ18" i="6"/>
  <c r="AQ24" i="6"/>
  <c r="B18" i="9"/>
  <c r="S69" i="10"/>
  <c r="S74" i="10" s="1" a="1"/>
  <c r="S74" i="10" s="1"/>
  <c r="L12" i="9"/>
  <c r="BB12" i="6"/>
  <c r="AQ12" i="6"/>
  <c r="AG13" i="6"/>
  <c r="AG12" i="6" s="1"/>
  <c r="BC13" i="6"/>
  <c r="AA12" i="8"/>
  <c r="AG13" i="12"/>
  <c r="AR13" i="6"/>
  <c r="L11" i="10"/>
  <c r="M12" i="10"/>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U29" i="4" s="1"/>
  <c r="Y65" i="4"/>
  <c r="Y109" i="4"/>
  <c r="Z104" i="4"/>
  <c r="Y69" i="4"/>
  <c r="X25" i="4"/>
  <c r="Z25" i="4"/>
  <c r="X22" i="4"/>
  <c r="X63" i="4"/>
  <c r="Y25" i="4"/>
  <c r="Y22" i="4"/>
  <c r="Z65" i="4"/>
  <c r="X69" i="4"/>
  <c r="Y61" i="4"/>
  <c r="X102" i="4"/>
  <c r="X104" i="4"/>
  <c r="X64" i="4"/>
  <c r="Y105" i="4"/>
  <c r="Y63" i="4"/>
  <c r="Z22" i="4"/>
  <c r="Z101" i="4"/>
  <c r="Z64" i="4"/>
  <c r="X24" i="4"/>
  <c r="Y23" i="4"/>
  <c r="AG26" i="6" l="1"/>
  <c r="AG27" i="6"/>
  <c r="AX27" i="6"/>
  <c r="AR27" i="6"/>
  <c r="AQ27" i="6"/>
  <c r="BC27" i="6"/>
  <c r="AP27" i="6"/>
  <c r="BB27" i="6"/>
  <c r="AM27" i="6"/>
  <c r="BA27" i="6"/>
  <c r="AZ27" i="6"/>
  <c r="AY27" i="6"/>
  <c r="AN27" i="6"/>
  <c r="AO27" i="6"/>
  <c r="AB27" i="6"/>
  <c r="AC27" i="6"/>
  <c r="AD27" i="6"/>
  <c r="AZ26" i="6"/>
  <c r="AQ26" i="6"/>
  <c r="BA26" i="6"/>
  <c r="AM26" i="6"/>
  <c r="AN26" i="6"/>
  <c r="AR26" i="6"/>
  <c r="BC26" i="6"/>
  <c r="AY26" i="6"/>
  <c r="AP26" i="6"/>
  <c r="AX26" i="6"/>
  <c r="BB26" i="6"/>
  <c r="AO26" i="6"/>
  <c r="AB26" i="6"/>
  <c r="AC26" i="6"/>
  <c r="AD26" i="6"/>
  <c r="AF27" i="6"/>
  <c r="AF26" i="6"/>
  <c r="A47" i="6"/>
  <c r="N47" i="6" s="1"/>
  <c r="AQ28" i="6"/>
  <c r="M39" i="6"/>
  <c r="AF39" i="6" s="1"/>
  <c r="AQ30" i="6"/>
  <c r="BB34" i="6"/>
  <c r="AQ34" i="6"/>
  <c r="AF34" i="6"/>
  <c r="AQ35" i="6"/>
  <c r="BB36" i="6"/>
  <c r="AF37" i="6"/>
  <c r="AQ32" i="6"/>
  <c r="AQ37" i="6"/>
  <c r="AF32" i="6"/>
  <c r="BB32" i="6"/>
  <c r="AQ38" i="6"/>
  <c r="AF38" i="6"/>
  <c r="AQ36" i="6"/>
  <c r="AF25" i="6"/>
  <c r="AQ25" i="6"/>
  <c r="AF36" i="6"/>
  <c r="BB25" i="6"/>
  <c r="AE35" i="6"/>
  <c r="AE28" i="6"/>
  <c r="BB35" i="6"/>
  <c r="BB28" i="6"/>
  <c r="AE38" i="6"/>
  <c r="AF33" i="6"/>
  <c r="AC37" i="6"/>
  <c r="AX37" i="6"/>
  <c r="AB37" i="6"/>
  <c r="AZ37" i="6"/>
  <c r="BA37" i="6"/>
  <c r="AO37" i="6"/>
  <c r="AN37" i="6"/>
  <c r="AY37" i="6"/>
  <c r="AM37" i="6"/>
  <c r="AD37" i="6"/>
  <c r="AP37" i="6"/>
  <c r="AZ29" i="6"/>
  <c r="AC29" i="6"/>
  <c r="AP29" i="6"/>
  <c r="AY29" i="6"/>
  <c r="AB29" i="6"/>
  <c r="AM29" i="6"/>
  <c r="AD29" i="6"/>
  <c r="AO29" i="6"/>
  <c r="AX29" i="6"/>
  <c r="BA29" i="6"/>
  <c r="AN29" i="6"/>
  <c r="AC30" i="6"/>
  <c r="AN30" i="6"/>
  <c r="BA30" i="6"/>
  <c r="AD30" i="6"/>
  <c r="AX30" i="6"/>
  <c r="AB30" i="6"/>
  <c r="AP30" i="6"/>
  <c r="AY30" i="6"/>
  <c r="AZ30" i="6"/>
  <c r="AO30" i="6"/>
  <c r="AM30" i="6"/>
  <c r="AQ33" i="6"/>
  <c r="AF30" i="6"/>
  <c r="AC32" i="6"/>
  <c r="AD32" i="6"/>
  <c r="AP32" i="6"/>
  <c r="BA32" i="6"/>
  <c r="AZ32" i="6"/>
  <c r="AN32" i="6"/>
  <c r="AM32" i="6"/>
  <c r="AO32" i="6"/>
  <c r="AB32" i="6"/>
  <c r="AY32" i="6"/>
  <c r="AX32" i="6"/>
  <c r="AC31" i="6"/>
  <c r="BA31" i="6"/>
  <c r="AP31" i="6"/>
  <c r="AX31" i="6"/>
  <c r="AN31" i="6"/>
  <c r="AB31" i="6"/>
  <c r="AO31" i="6"/>
  <c r="AD31" i="6"/>
  <c r="AZ31" i="6"/>
  <c r="AY31" i="6"/>
  <c r="AM31" i="6"/>
  <c r="AF31" i="6"/>
  <c r="BB31" i="6"/>
  <c r="AF29" i="6"/>
  <c r="AE31" i="6"/>
  <c r="AC25" i="6"/>
  <c r="AO25" i="6"/>
  <c r="AN25" i="6"/>
  <c r="AX25" i="6"/>
  <c r="AZ25" i="6"/>
  <c r="BA25" i="6"/>
  <c r="AY25" i="6"/>
  <c r="AD25" i="6"/>
  <c r="AM25" i="6"/>
  <c r="AP25" i="6"/>
  <c r="AB25" i="6"/>
  <c r="AD33" i="6"/>
  <c r="AC33" i="6"/>
  <c r="AN33" i="6"/>
  <c r="AY33" i="6"/>
  <c r="AB33" i="6"/>
  <c r="AP33" i="6"/>
  <c r="AO33" i="6"/>
  <c r="AX33" i="6"/>
  <c r="AZ33" i="6"/>
  <c r="BA33" i="6"/>
  <c r="AM33" i="6"/>
  <c r="BB33" i="6"/>
  <c r="AE29" i="6"/>
  <c r="AC38" i="6"/>
  <c r="AB38" i="6"/>
  <c r="AY38" i="6"/>
  <c r="BA38" i="6"/>
  <c r="AM38" i="6"/>
  <c r="AN38" i="6"/>
  <c r="AP38" i="6"/>
  <c r="AZ38" i="6"/>
  <c r="AO38" i="6"/>
  <c r="AD38" i="6"/>
  <c r="AX38" i="6"/>
  <c r="AQ31" i="6"/>
  <c r="AQ29" i="6"/>
  <c r="AO35" i="6"/>
  <c r="AN35" i="6"/>
  <c r="AZ35" i="6"/>
  <c r="AX35" i="6"/>
  <c r="AB35" i="6"/>
  <c r="BA35" i="6"/>
  <c r="AP35" i="6"/>
  <c r="AC35" i="6"/>
  <c r="AD35" i="6"/>
  <c r="AM35" i="6"/>
  <c r="AY35" i="6"/>
  <c r="AX28" i="6"/>
  <c r="AB28" i="6"/>
  <c r="AC28" i="6"/>
  <c r="AD28" i="6"/>
  <c r="AO28" i="6"/>
  <c r="AN28" i="6"/>
  <c r="AM28" i="6"/>
  <c r="AZ28" i="6"/>
  <c r="AY28" i="6"/>
  <c r="BA28" i="6"/>
  <c r="AP28" i="6"/>
  <c r="BB30" i="6"/>
  <c r="AD34" i="6"/>
  <c r="AO34" i="6"/>
  <c r="AZ34" i="6"/>
  <c r="AX34" i="6"/>
  <c r="AC34" i="6"/>
  <c r="BA34" i="6"/>
  <c r="AM34" i="6"/>
  <c r="AN34" i="6"/>
  <c r="AP34" i="6"/>
  <c r="AY34" i="6"/>
  <c r="AB34" i="6"/>
  <c r="AE37" i="6"/>
  <c r="AD36" i="6"/>
  <c r="AO36" i="6"/>
  <c r="AB36" i="6"/>
  <c r="AC36" i="6"/>
  <c r="AP36" i="6"/>
  <c r="AN36" i="6"/>
  <c r="AX36" i="6"/>
  <c r="AM36" i="6"/>
  <c r="BA36" i="6"/>
  <c r="AZ36" i="6"/>
  <c r="AY36" i="6"/>
  <c r="BB29" i="6"/>
  <c r="AR20" i="6"/>
  <c r="AR28" i="6"/>
  <c r="AR35" i="6"/>
  <c r="AR33" i="6"/>
  <c r="AR34" i="6"/>
  <c r="AR18" i="6"/>
  <c r="AR31" i="6"/>
  <c r="AR30" i="6"/>
  <c r="AR21" i="6"/>
  <c r="AR38" i="6"/>
  <c r="AR25" i="6"/>
  <c r="AR24" i="6"/>
  <c r="AR23" i="6"/>
  <c r="AR19" i="6"/>
  <c r="AR32" i="6"/>
  <c r="AR37" i="6"/>
  <c r="AR22" i="6"/>
  <c r="AR36" i="6"/>
  <c r="AR29" i="6"/>
  <c r="BC35" i="6"/>
  <c r="BC34" i="6"/>
  <c r="BC31" i="6"/>
  <c r="BC25" i="6"/>
  <c r="BC30" i="6"/>
  <c r="BC18" i="6"/>
  <c r="BC20" i="6"/>
  <c r="BC33" i="6"/>
  <c r="BC28" i="6"/>
  <c r="BC19" i="6"/>
  <c r="BC37" i="6"/>
  <c r="BC38" i="6"/>
  <c r="BC24" i="6"/>
  <c r="BC21" i="6"/>
  <c r="BC32" i="6"/>
  <c r="BC23" i="6"/>
  <c r="BC36" i="6"/>
  <c r="BC22" i="6"/>
  <c r="BC29" i="6"/>
  <c r="D48" i="6"/>
  <c r="AG16" i="6"/>
  <c r="AG17" i="6"/>
  <c r="AG18" i="6"/>
  <c r="AG19" i="6"/>
  <c r="AG20" i="6"/>
  <c r="AG21" i="6"/>
  <c r="AG22" i="6"/>
  <c r="AG23" i="6"/>
  <c r="AG24" i="6"/>
  <c r="AG25" i="6"/>
  <c r="AG28" i="6"/>
  <c r="AG29" i="6"/>
  <c r="AG30" i="6"/>
  <c r="AG31" i="6"/>
  <c r="AG32" i="6"/>
  <c r="AG33" i="6"/>
  <c r="AG34" i="6"/>
  <c r="AG35" i="6"/>
  <c r="AG36" i="6"/>
  <c r="AG37" i="6"/>
  <c r="AG38" i="6"/>
  <c r="G46" i="12"/>
  <c r="H47" i="6"/>
  <c r="T47" i="5" s="1"/>
  <c r="B19" i="9"/>
  <c r="A49" i="12"/>
  <c r="B49" i="6"/>
  <c r="F49" i="5"/>
  <c r="H49" i="5"/>
  <c r="AE49" i="5"/>
  <c r="N49" i="5"/>
  <c r="K49" i="5"/>
  <c r="G49" i="5"/>
  <c r="E49" i="5"/>
  <c r="D49" i="5"/>
  <c r="B49" i="12" s="1"/>
  <c r="AD49" i="5"/>
  <c r="B49" i="5"/>
  <c r="J49" i="5"/>
  <c r="C50" i="5"/>
  <c r="U69" i="4"/>
  <c r="U65" i="4"/>
  <c r="U103" i="4"/>
  <c r="U61" i="4"/>
  <c r="U105" i="4"/>
  <c r="U64" i="4"/>
  <c r="U102" i="4"/>
  <c r="U62" i="4"/>
  <c r="U21" i="4"/>
  <c r="U23" i="4"/>
  <c r="U104" i="4"/>
  <c r="U101" i="4"/>
  <c r="U24" i="4"/>
  <c r="U25" i="4"/>
  <c r="U22" i="4"/>
  <c r="U63" i="4"/>
  <c r="U109" i="4"/>
  <c r="K112" i="4" s="1"/>
  <c r="U69" i="10"/>
  <c r="U74" i="10" s="1" a="1"/>
  <c r="U74" i="10" s="1"/>
  <c r="M12" i="9"/>
  <c r="BC12" i="6"/>
  <c r="AR12" i="6"/>
  <c r="AH13" i="6"/>
  <c r="AH12" i="6" s="1"/>
  <c r="BD13" i="6"/>
  <c r="BD27" i="6" s="1"/>
  <c r="AB12" i="8"/>
  <c r="AH13" i="12"/>
  <c r="AS13" i="6"/>
  <c r="AS27" i="6" s="1"/>
  <c r="M11" i="10"/>
  <c r="N12" i="10"/>
  <c r="AS26" i="6" l="1"/>
  <c r="BD26" i="6"/>
  <c r="AH26" i="6"/>
  <c r="AH27" i="6"/>
  <c r="A48" i="6"/>
  <c r="N48" i="6" s="1"/>
  <c r="AR39" i="6"/>
  <c r="BA39" i="6"/>
  <c r="AN39" i="6"/>
  <c r="AY39" i="6"/>
  <c r="BC39" i="6"/>
  <c r="AP39" i="6"/>
  <c r="AO39" i="6"/>
  <c r="AD39" i="6"/>
  <c r="M47" i="6"/>
  <c r="AO47" i="6" s="1"/>
  <c r="AM39" i="6"/>
  <c r="AQ39" i="6"/>
  <c r="AX39" i="6"/>
  <c r="AZ39" i="6"/>
  <c r="AG39" i="6"/>
  <c r="AC39" i="6"/>
  <c r="AB39" i="6"/>
  <c r="AE39" i="6"/>
  <c r="M41" i="6"/>
  <c r="BD41" i="6" s="1"/>
  <c r="M45" i="6"/>
  <c r="AS45" i="6" s="1"/>
  <c r="M44" i="6"/>
  <c r="AH44" i="6" s="1"/>
  <c r="M42" i="6"/>
  <c r="AS42" i="6" s="1"/>
  <c r="M40" i="6"/>
  <c r="AH40" i="6" s="1"/>
  <c r="BB39" i="6"/>
  <c r="M43" i="6"/>
  <c r="AH43" i="6" s="1"/>
  <c r="M46" i="6"/>
  <c r="AH46" i="6" s="1"/>
  <c r="G47" i="12"/>
  <c r="A50" i="12"/>
  <c r="B50" i="6"/>
  <c r="J50" i="5"/>
  <c r="B50" i="5"/>
  <c r="AE50" i="5"/>
  <c r="G50" i="5"/>
  <c r="AD50" i="5"/>
  <c r="N50" i="5"/>
  <c r="C51" i="5"/>
  <c r="F50" i="5"/>
  <c r="H50" i="5"/>
  <c r="K50" i="5"/>
  <c r="E50" i="5"/>
  <c r="D50" i="5"/>
  <c r="B50" i="12" s="1"/>
  <c r="D49" i="6"/>
  <c r="AH16" i="6"/>
  <c r="AH17" i="6"/>
  <c r="AH18" i="6"/>
  <c r="AH19" i="6"/>
  <c r="AH20" i="6"/>
  <c r="AH21" i="6"/>
  <c r="AH22" i="6"/>
  <c r="AH23" i="6"/>
  <c r="AH24" i="6"/>
  <c r="AH25" i="6"/>
  <c r="AH28" i="6"/>
  <c r="AH29" i="6"/>
  <c r="AH30" i="6"/>
  <c r="AH31" i="6"/>
  <c r="AH32" i="6"/>
  <c r="AH33" i="6"/>
  <c r="AH34" i="6"/>
  <c r="AH35" i="6"/>
  <c r="AH36" i="6"/>
  <c r="AH37" i="6"/>
  <c r="AH38" i="6"/>
  <c r="AH39" i="6"/>
  <c r="B20" i="9"/>
  <c r="H48" i="6"/>
  <c r="T48" i="5" s="1"/>
  <c r="BD33" i="6"/>
  <c r="BD28" i="6"/>
  <c r="BD21" i="6"/>
  <c r="BD19" i="6"/>
  <c r="BD25" i="6"/>
  <c r="BD18" i="6"/>
  <c r="BD24" i="6"/>
  <c r="BD38" i="6"/>
  <c r="BD31" i="6"/>
  <c r="BD37" i="6"/>
  <c r="BD32" i="6"/>
  <c r="BD34" i="6"/>
  <c r="BD35" i="6"/>
  <c r="BD20" i="6"/>
  <c r="BD30" i="6"/>
  <c r="BD23" i="6"/>
  <c r="BD22" i="6"/>
  <c r="BD36" i="6"/>
  <c r="BD29" i="6"/>
  <c r="BD39" i="6"/>
  <c r="AS21" i="6"/>
  <c r="AS24" i="6"/>
  <c r="AS19" i="6"/>
  <c r="AS38" i="6"/>
  <c r="AS28" i="6"/>
  <c r="AS35" i="6"/>
  <c r="AS20" i="6"/>
  <c r="AS32" i="6"/>
  <c r="AS37" i="6"/>
  <c r="AS18" i="6"/>
  <c r="AS31" i="6"/>
  <c r="AS23" i="6"/>
  <c r="AS33" i="6"/>
  <c r="AS30" i="6"/>
  <c r="AS34" i="6"/>
  <c r="AS25" i="6"/>
  <c r="AS36" i="6"/>
  <c r="AS22" i="6"/>
  <c r="AS29" i="6"/>
  <c r="AS39" i="6"/>
  <c r="AB10" i="12"/>
  <c r="W69" i="10"/>
  <c r="W74" i="10" s="1" a="1"/>
  <c r="W74" i="10" s="1"/>
  <c r="N12" i="9"/>
  <c r="J72" i="4"/>
  <c r="U8" i="4"/>
  <c r="BD12" i="6"/>
  <c r="AS12" i="6"/>
  <c r="AI13" i="6"/>
  <c r="AI12" i="6" s="1"/>
  <c r="BE13" i="6"/>
  <c r="AC12" i="8"/>
  <c r="AI13" i="12"/>
  <c r="K72" i="4"/>
  <c r="J112" i="4"/>
  <c r="AT13" i="6"/>
  <c r="O12" i="10"/>
  <c r="N11" i="10"/>
  <c r="K32" i="4"/>
  <c r="J32" i="4"/>
  <c r="AT27" i="6" l="1"/>
  <c r="AT26" i="6"/>
  <c r="BE26" i="6"/>
  <c r="BE27" i="6"/>
  <c r="AI26" i="6"/>
  <c r="AI27" i="6"/>
  <c r="M48" i="6"/>
  <c r="BA48" i="6" s="1"/>
  <c r="A49" i="6"/>
  <c r="N49" i="6" s="1"/>
  <c r="AS44" i="6"/>
  <c r="AH41" i="6"/>
  <c r="BD45" i="6"/>
  <c r="AS41" i="6"/>
  <c r="BD44" i="6"/>
  <c r="AD47" i="6"/>
  <c r="AR47" i="6"/>
  <c r="AH47" i="6"/>
  <c r="BA47" i="6"/>
  <c r="AS47" i="6"/>
  <c r="AX47" i="6"/>
  <c r="AE47" i="6"/>
  <c r="AF47" i="6"/>
  <c r="AP47" i="6"/>
  <c r="AG47" i="6"/>
  <c r="AB47" i="6"/>
  <c r="BB47" i="6"/>
  <c r="AY47" i="6"/>
  <c r="AQ47" i="6"/>
  <c r="AM47" i="6"/>
  <c r="AC47" i="6"/>
  <c r="BD47" i="6"/>
  <c r="AZ47" i="6"/>
  <c r="AN47" i="6"/>
  <c r="BC47" i="6"/>
  <c r="BD46" i="6"/>
  <c r="AH42" i="6"/>
  <c r="AS43" i="6"/>
  <c r="AH45" i="6"/>
  <c r="BD43" i="6"/>
  <c r="BD40" i="6"/>
  <c r="AS40" i="6"/>
  <c r="BB46" i="6"/>
  <c r="AG46" i="6"/>
  <c r="AR46" i="6"/>
  <c r="BC46" i="6"/>
  <c r="AB46" i="6"/>
  <c r="AD46" i="6"/>
  <c r="AF46" i="6"/>
  <c r="AY46" i="6"/>
  <c r="AO46" i="6"/>
  <c r="AN46" i="6"/>
  <c r="AX46" i="6"/>
  <c r="AZ46" i="6"/>
  <c r="AM46" i="6"/>
  <c r="AC46" i="6"/>
  <c r="AP46" i="6"/>
  <c r="BA46" i="6"/>
  <c r="AE46" i="6"/>
  <c r="AQ46" i="6"/>
  <c r="AY43" i="6"/>
  <c r="AQ43" i="6"/>
  <c r="AE43" i="6"/>
  <c r="BA43" i="6"/>
  <c r="AD43" i="6"/>
  <c r="AX43" i="6"/>
  <c r="AP43" i="6"/>
  <c r="AG43" i="6"/>
  <c r="AB43" i="6"/>
  <c r="AR43" i="6"/>
  <c r="AN43" i="6"/>
  <c r="BC43" i="6"/>
  <c r="AC43" i="6"/>
  <c r="AO43" i="6"/>
  <c r="AZ43" i="6"/>
  <c r="BB43" i="6"/>
  <c r="AM43" i="6"/>
  <c r="AF43" i="6"/>
  <c r="AQ40" i="6"/>
  <c r="AG40" i="6"/>
  <c r="AM40" i="6"/>
  <c r="AZ40" i="6"/>
  <c r="AR40" i="6"/>
  <c r="AC40" i="6"/>
  <c r="AF40" i="6"/>
  <c r="AP40" i="6"/>
  <c r="AO40" i="6"/>
  <c r="AE40" i="6"/>
  <c r="AY40" i="6"/>
  <c r="BB40" i="6"/>
  <c r="AD40" i="6"/>
  <c r="AX40" i="6"/>
  <c r="BC40" i="6"/>
  <c r="BA40" i="6"/>
  <c r="AN40" i="6"/>
  <c r="AB40" i="6"/>
  <c r="AQ42" i="6"/>
  <c r="AF42" i="6"/>
  <c r="AZ42" i="6"/>
  <c r="AC42" i="6"/>
  <c r="AE42" i="6"/>
  <c r="AO42" i="6"/>
  <c r="AN42" i="6"/>
  <c r="AR42" i="6"/>
  <c r="AG42" i="6"/>
  <c r="AB42" i="6"/>
  <c r="AX42" i="6"/>
  <c r="AP42" i="6"/>
  <c r="AY42" i="6"/>
  <c r="BC42" i="6"/>
  <c r="BA42" i="6"/>
  <c r="BB42" i="6"/>
  <c r="AM42" i="6"/>
  <c r="AD42" i="6"/>
  <c r="AF44" i="6"/>
  <c r="AY44" i="6"/>
  <c r="AP44" i="6"/>
  <c r="AR44" i="6"/>
  <c r="AB44" i="6"/>
  <c r="AM44" i="6"/>
  <c r="AZ44" i="6"/>
  <c r="AN44" i="6"/>
  <c r="AG44" i="6"/>
  <c r="BB44" i="6"/>
  <c r="AO44" i="6"/>
  <c r="AE44" i="6"/>
  <c r="BA44" i="6"/>
  <c r="AD44" i="6"/>
  <c r="BC44" i="6"/>
  <c r="AC44" i="6"/>
  <c r="AQ44" i="6"/>
  <c r="AX44" i="6"/>
  <c r="AF45" i="6"/>
  <c r="AB45" i="6"/>
  <c r="AC45" i="6"/>
  <c r="AD45" i="6"/>
  <c r="AN45" i="6"/>
  <c r="AE45" i="6"/>
  <c r="AX45" i="6"/>
  <c r="BB45" i="6"/>
  <c r="BA45" i="6"/>
  <c r="AR45" i="6"/>
  <c r="BC45" i="6"/>
  <c r="AM45" i="6"/>
  <c r="AZ45" i="6"/>
  <c r="AY45" i="6"/>
  <c r="AQ45" i="6"/>
  <c r="AG45" i="6"/>
  <c r="AO45" i="6"/>
  <c r="AP45" i="6"/>
  <c r="BB41" i="6"/>
  <c r="BA41" i="6"/>
  <c r="AX41" i="6"/>
  <c r="AO41" i="6"/>
  <c r="AG41" i="6"/>
  <c r="AZ41" i="6"/>
  <c r="AY41" i="6"/>
  <c r="AR41" i="6"/>
  <c r="AN41" i="6"/>
  <c r="AD41" i="6"/>
  <c r="AP41" i="6"/>
  <c r="AM41" i="6"/>
  <c r="AQ41" i="6"/>
  <c r="AB41" i="6"/>
  <c r="AF41" i="6"/>
  <c r="BC41" i="6"/>
  <c r="AE41" i="6"/>
  <c r="AC41" i="6"/>
  <c r="BD42" i="6"/>
  <c r="AS46" i="6"/>
  <c r="AT25" i="6"/>
  <c r="AT23" i="6"/>
  <c r="AT37" i="6"/>
  <c r="AT41" i="6"/>
  <c r="AT35" i="6"/>
  <c r="AT21" i="6"/>
  <c r="AT31" i="6"/>
  <c r="AT24" i="6"/>
  <c r="AT18" i="6"/>
  <c r="AT30" i="6"/>
  <c r="AT20" i="6"/>
  <c r="AT32" i="6"/>
  <c r="AT38" i="6"/>
  <c r="AT19" i="6"/>
  <c r="AT28" i="6"/>
  <c r="AT33" i="6"/>
  <c r="AT34" i="6"/>
  <c r="AT40" i="6"/>
  <c r="AT39" i="6"/>
  <c r="AT42" i="6"/>
  <c r="AT44" i="6"/>
  <c r="AT22" i="6"/>
  <c r="AT36" i="6"/>
  <c r="AT43" i="6"/>
  <c r="AT29" i="6"/>
  <c r="AT46" i="6"/>
  <c r="AT45" i="6"/>
  <c r="AT47" i="6"/>
  <c r="A51" i="12"/>
  <c r="B51" i="6"/>
  <c r="AD51" i="5"/>
  <c r="B51" i="5"/>
  <c r="C52" i="5"/>
  <c r="H51" i="5"/>
  <c r="G51" i="5"/>
  <c r="F51" i="5"/>
  <c r="AE51" i="5"/>
  <c r="E51" i="5"/>
  <c r="D51" i="5"/>
  <c r="B51" i="12" s="1"/>
  <c r="N51" i="5"/>
  <c r="K51" i="5"/>
  <c r="J51" i="5"/>
  <c r="D50" i="6"/>
  <c r="G48" i="12"/>
  <c r="H49" i="6"/>
  <c r="T49" i="5" s="1"/>
  <c r="BE41" i="6"/>
  <c r="BE18" i="6"/>
  <c r="BE30" i="6"/>
  <c r="BE28" i="6"/>
  <c r="BE25" i="6"/>
  <c r="BE24" i="6"/>
  <c r="BE35" i="6"/>
  <c r="BE19" i="6"/>
  <c r="BE20" i="6"/>
  <c r="BE38" i="6"/>
  <c r="BE37" i="6"/>
  <c r="BE34" i="6"/>
  <c r="BE33" i="6"/>
  <c r="BE31" i="6"/>
  <c r="BE32" i="6"/>
  <c r="BE23" i="6"/>
  <c r="BE21" i="6"/>
  <c r="BE29" i="6"/>
  <c r="BE44" i="6"/>
  <c r="BE42" i="6"/>
  <c r="BE36" i="6"/>
  <c r="BE40" i="6"/>
  <c r="BE22" i="6"/>
  <c r="BE43" i="6"/>
  <c r="BE39" i="6"/>
  <c r="BE45" i="6"/>
  <c r="BE47" i="6"/>
  <c r="BE46" i="6"/>
  <c r="AI16" i="6"/>
  <c r="AI17" i="6"/>
  <c r="AI18" i="6"/>
  <c r="AI19" i="6"/>
  <c r="AI20" i="6"/>
  <c r="AI21" i="6"/>
  <c r="AI22" i="6"/>
  <c r="AI23" i="6"/>
  <c r="AI24" i="6"/>
  <c r="AI25" i="6"/>
  <c r="AI28" i="6"/>
  <c r="AI29" i="6"/>
  <c r="AI30" i="6"/>
  <c r="AI31" i="6"/>
  <c r="AI32" i="6"/>
  <c r="AI33" i="6"/>
  <c r="AI34" i="6"/>
  <c r="AI35" i="6"/>
  <c r="AI36" i="6"/>
  <c r="AI37" i="6"/>
  <c r="AI38" i="6"/>
  <c r="AI39" i="6"/>
  <c r="AI40" i="6"/>
  <c r="AI41" i="6"/>
  <c r="AI42" i="6"/>
  <c r="AI43" i="6"/>
  <c r="AI44" i="6"/>
  <c r="AI45" i="6"/>
  <c r="AI46" i="6"/>
  <c r="AI47" i="6"/>
  <c r="B21" i="9"/>
  <c r="O12" i="9"/>
  <c r="Y69" i="10"/>
  <c r="Y74" i="10" s="1" a="1"/>
  <c r="Y74" i="10" s="1"/>
  <c r="T11" i="11"/>
  <c r="BE12" i="6"/>
  <c r="AT12" i="6"/>
  <c r="AJ13" i="6"/>
  <c r="AJ12" i="6" s="1"/>
  <c r="BF13" i="6"/>
  <c r="AD12" i="8"/>
  <c r="AJ13" i="12"/>
  <c r="AU13" i="6"/>
  <c r="P12" i="10"/>
  <c r="O11" i="10"/>
  <c r="AU26" i="6" l="1"/>
  <c r="AU27" i="6"/>
  <c r="AJ26" i="6"/>
  <c r="AJ27" i="6"/>
  <c r="BF26" i="6"/>
  <c r="BF27" i="6"/>
  <c r="AY48" i="6"/>
  <c r="AS48" i="6"/>
  <c r="AO48" i="6"/>
  <c r="AB48" i="6"/>
  <c r="AH48" i="6"/>
  <c r="AE48" i="6"/>
  <c r="AP48" i="6"/>
  <c r="BD48" i="6"/>
  <c r="AU48" i="6"/>
  <c r="AN48" i="6"/>
  <c r="AR48" i="6"/>
  <c r="AM48" i="6"/>
  <c r="AI48" i="6"/>
  <c r="AT48" i="6"/>
  <c r="BC48" i="6"/>
  <c r="AD48" i="6"/>
  <c r="M49" i="6"/>
  <c r="AZ49" i="6" s="1"/>
  <c r="AZ48" i="6"/>
  <c r="AX48" i="6"/>
  <c r="BE48" i="6"/>
  <c r="BB48" i="6"/>
  <c r="AG48" i="6"/>
  <c r="AF48" i="6"/>
  <c r="AC48" i="6"/>
  <c r="AQ48" i="6"/>
  <c r="BF23" i="6"/>
  <c r="BF20" i="6"/>
  <c r="BF34" i="6"/>
  <c r="BF19" i="6"/>
  <c r="BF32" i="6"/>
  <c r="BF33" i="6"/>
  <c r="BF37" i="6"/>
  <c r="BF28" i="6"/>
  <c r="BF24" i="6"/>
  <c r="BF25" i="6"/>
  <c r="BF41" i="6"/>
  <c r="BF30" i="6"/>
  <c r="BF35" i="6"/>
  <c r="BF21" i="6"/>
  <c r="BF18" i="6"/>
  <c r="BF38" i="6"/>
  <c r="BF31" i="6"/>
  <c r="BF44" i="6"/>
  <c r="BF43" i="6"/>
  <c r="BF39" i="6"/>
  <c r="BF40" i="6"/>
  <c r="BF22" i="6"/>
  <c r="BF42" i="6"/>
  <c r="BF29" i="6"/>
  <c r="BF36" i="6"/>
  <c r="BF45" i="6"/>
  <c r="BF46" i="6"/>
  <c r="BF47" i="6"/>
  <c r="B22" i="9"/>
  <c r="H50" i="6"/>
  <c r="T50" i="5" s="1"/>
  <c r="G49" i="12"/>
  <c r="A50" i="6"/>
  <c r="N50" i="6" s="1"/>
  <c r="AJ16" i="6"/>
  <c r="AJ17" i="6"/>
  <c r="AJ18" i="6"/>
  <c r="AJ19" i="6"/>
  <c r="AJ20" i="6"/>
  <c r="AJ21" i="6"/>
  <c r="AJ22" i="6"/>
  <c r="AJ23" i="6"/>
  <c r="AJ24" i="6"/>
  <c r="AJ25" i="6"/>
  <c r="AJ28" i="6"/>
  <c r="AJ29" i="6"/>
  <c r="AJ30" i="6"/>
  <c r="AJ31" i="6"/>
  <c r="AJ32" i="6"/>
  <c r="AJ33" i="6"/>
  <c r="AJ34" i="6"/>
  <c r="AJ35" i="6"/>
  <c r="AJ36" i="6"/>
  <c r="AJ37" i="6"/>
  <c r="AJ38" i="6"/>
  <c r="AJ39" i="6"/>
  <c r="AJ40" i="6"/>
  <c r="AJ41" i="6"/>
  <c r="AJ42" i="6"/>
  <c r="AJ43" i="6"/>
  <c r="AJ44" i="6"/>
  <c r="AJ45" i="6"/>
  <c r="AJ46" i="6"/>
  <c r="AJ47" i="6"/>
  <c r="AJ48" i="6"/>
  <c r="D51" i="6"/>
  <c r="A52" i="12"/>
  <c r="B52" i="6"/>
  <c r="F52" i="5"/>
  <c r="J52" i="5"/>
  <c r="C53" i="5"/>
  <c r="G52" i="5"/>
  <c r="B52" i="5"/>
  <c r="AE52" i="5"/>
  <c r="H52" i="5"/>
  <c r="AD52" i="5"/>
  <c r="N52" i="5"/>
  <c r="K52" i="5"/>
  <c r="E52" i="5"/>
  <c r="D52" i="5"/>
  <c r="B52" i="12" s="1"/>
  <c r="AU38" i="6"/>
  <c r="AU33" i="6"/>
  <c r="AU19" i="6"/>
  <c r="AU31" i="6"/>
  <c r="AU34" i="6"/>
  <c r="AU23" i="6"/>
  <c r="AU32" i="6"/>
  <c r="AU28" i="6"/>
  <c r="AU18" i="6"/>
  <c r="AU41" i="6"/>
  <c r="AU44" i="6"/>
  <c r="AU21" i="6"/>
  <c r="AU20" i="6"/>
  <c r="AU30" i="6"/>
  <c r="AU25" i="6"/>
  <c r="AU35" i="6"/>
  <c r="AU24" i="6"/>
  <c r="AU37" i="6"/>
  <c r="AU42" i="6"/>
  <c r="AU40" i="6"/>
  <c r="AU39" i="6"/>
  <c r="AU43" i="6"/>
  <c r="AU36" i="6"/>
  <c r="AU22" i="6"/>
  <c r="AU29" i="6"/>
  <c r="AU45" i="6"/>
  <c r="AU47" i="6"/>
  <c r="AU46" i="6"/>
  <c r="BF48" i="6"/>
  <c r="P12" i="9"/>
  <c r="AA69" i="10"/>
  <c r="AA74" i="10" s="1" a="1"/>
  <c r="AA74" i="10" s="1"/>
  <c r="BF12" i="6"/>
  <c r="AU12" i="6"/>
  <c r="AK13" i="6"/>
  <c r="BG13" i="6"/>
  <c r="AE12" i="8"/>
  <c r="AK13" i="12"/>
  <c r="AV13" i="6"/>
  <c r="Q12" i="10"/>
  <c r="P11" i="10"/>
  <c r="BG27" i="6" l="1"/>
  <c r="BG26" i="6"/>
  <c r="AV26" i="6"/>
  <c r="AV27" i="6"/>
  <c r="BE49" i="6"/>
  <c r="AE49" i="6"/>
  <c r="BD49" i="6"/>
  <c r="AR49" i="6"/>
  <c r="BF49" i="6"/>
  <c r="AH49" i="6"/>
  <c r="AQ49" i="6"/>
  <c r="AD49" i="6"/>
  <c r="AT49" i="6"/>
  <c r="AP49" i="6"/>
  <c r="AJ49" i="6"/>
  <c r="AY49" i="6"/>
  <c r="BB49" i="6"/>
  <c r="AX49" i="6"/>
  <c r="BC49" i="6"/>
  <c r="AN49" i="6"/>
  <c r="BG49" i="6"/>
  <c r="AF49" i="6"/>
  <c r="AG49" i="6"/>
  <c r="BA49" i="6"/>
  <c r="AC49" i="6"/>
  <c r="AU49" i="6"/>
  <c r="AB49" i="6"/>
  <c r="AO49" i="6"/>
  <c r="AS49" i="6"/>
  <c r="AM49" i="6"/>
  <c r="AI49" i="6"/>
  <c r="AV35" i="6"/>
  <c r="AV37" i="6"/>
  <c r="AV24" i="6"/>
  <c r="AV21" i="6"/>
  <c r="AV20" i="6"/>
  <c r="AV28" i="6"/>
  <c r="AV34" i="6"/>
  <c r="AV30" i="6"/>
  <c r="AV23" i="6"/>
  <c r="AV25" i="6"/>
  <c r="AV32" i="6"/>
  <c r="AV33" i="6"/>
  <c r="AV19" i="6"/>
  <c r="AV31" i="6"/>
  <c r="AV38" i="6"/>
  <c r="AV41" i="6"/>
  <c r="AV18" i="6"/>
  <c r="AV39" i="6"/>
  <c r="AV44" i="6"/>
  <c r="AV29" i="6"/>
  <c r="AV22" i="6"/>
  <c r="AV36" i="6"/>
  <c r="AV43" i="6"/>
  <c r="AV40" i="6"/>
  <c r="AV42" i="6"/>
  <c r="AV45" i="6"/>
  <c r="AV47" i="6"/>
  <c r="AV46" i="6"/>
  <c r="AV48" i="6"/>
  <c r="A51" i="6"/>
  <c r="M51" i="6" s="1"/>
  <c r="AU51" i="6" s="1"/>
  <c r="B23" i="9"/>
  <c r="G50" i="12"/>
  <c r="BG31" i="6"/>
  <c r="BG20" i="6"/>
  <c r="BG38" i="6"/>
  <c r="BG30" i="6"/>
  <c r="BG41" i="6"/>
  <c r="BG24" i="6"/>
  <c r="BG23" i="6"/>
  <c r="BG18" i="6"/>
  <c r="BG32" i="6"/>
  <c r="BG28" i="6"/>
  <c r="BG34" i="6"/>
  <c r="BG19" i="6"/>
  <c r="BG25" i="6"/>
  <c r="BG33" i="6"/>
  <c r="BG21" i="6"/>
  <c r="BG35" i="6"/>
  <c r="BG37" i="6"/>
  <c r="BG43" i="6"/>
  <c r="BG40" i="6"/>
  <c r="BG22" i="6"/>
  <c r="BG29" i="6"/>
  <c r="BG36" i="6"/>
  <c r="BG42" i="6"/>
  <c r="BG44" i="6"/>
  <c r="BG39" i="6"/>
  <c r="BG45" i="6"/>
  <c r="BG46" i="6"/>
  <c r="BG47" i="6"/>
  <c r="BG48" i="6"/>
  <c r="A53" i="12"/>
  <c r="B53" i="6"/>
  <c r="J53" i="5"/>
  <c r="K53" i="5"/>
  <c r="C54" i="5"/>
  <c r="H53" i="5"/>
  <c r="G53" i="5"/>
  <c r="AE53" i="5"/>
  <c r="F53" i="5"/>
  <c r="B53" i="5"/>
  <c r="E53" i="5"/>
  <c r="D53" i="5"/>
  <c r="B53" i="12" s="1"/>
  <c r="AD53" i="5"/>
  <c r="N53" i="5"/>
  <c r="H51" i="6"/>
  <c r="T51" i="5" s="1"/>
  <c r="M50" i="6"/>
  <c r="AE50" i="6" s="1"/>
  <c r="D52" i="6"/>
  <c r="AV49" i="6"/>
  <c r="AK12" i="6"/>
  <c r="Q12" i="9"/>
  <c r="AC69" i="10"/>
  <c r="AC74" i="10" s="1" a="1"/>
  <c r="AC74" i="10" s="1"/>
  <c r="BG12" i="6"/>
  <c r="AV12" i="6"/>
  <c r="AF12" i="8"/>
  <c r="AL13" i="12"/>
  <c r="Q11" i="10"/>
  <c r="R12" i="10"/>
  <c r="AK26" i="6" l="1"/>
  <c r="AK27" i="6"/>
  <c r="AB50" i="6"/>
  <c r="AH50" i="6"/>
  <c r="AG50" i="6"/>
  <c r="AJ50" i="6"/>
  <c r="N51" i="6"/>
  <c r="A52" i="6"/>
  <c r="N52" i="6" s="1"/>
  <c r="BA51" i="6"/>
  <c r="AJ51" i="6"/>
  <c r="AY51" i="6"/>
  <c r="G51" i="12"/>
  <c r="AZ50" i="6"/>
  <c r="AU50" i="6"/>
  <c r="AM50" i="6"/>
  <c r="AT50" i="6"/>
  <c r="AV50" i="6"/>
  <c r="AS50" i="6"/>
  <c r="BC50" i="6"/>
  <c r="AY50" i="6"/>
  <c r="AQ50" i="6"/>
  <c r="AN50" i="6"/>
  <c r="AP50" i="6"/>
  <c r="BF50" i="6"/>
  <c r="BA50" i="6"/>
  <c r="BE50" i="6"/>
  <c r="AO50" i="6"/>
  <c r="BG50" i="6"/>
  <c r="AX50" i="6"/>
  <c r="AI50" i="6"/>
  <c r="BB50" i="6"/>
  <c r="AR50" i="6"/>
  <c r="BD50" i="6"/>
  <c r="AB51" i="6"/>
  <c r="AS51" i="6"/>
  <c r="AX51" i="6"/>
  <c r="AC50" i="6"/>
  <c r="AP51" i="6"/>
  <c r="BE51" i="6"/>
  <c r="AF51" i="6"/>
  <c r="BB51" i="6"/>
  <c r="BF51" i="6"/>
  <c r="D53" i="6"/>
  <c r="AF50" i="6"/>
  <c r="AI51" i="6"/>
  <c r="AM51" i="6"/>
  <c r="AV51" i="6"/>
  <c r="AC51" i="6"/>
  <c r="AG51" i="6"/>
  <c r="A54" i="12"/>
  <c r="B54" i="6"/>
  <c r="AD54" i="5"/>
  <c r="B54" i="5"/>
  <c r="E54" i="5"/>
  <c r="H54" i="5"/>
  <c r="D54" i="5"/>
  <c r="B54" i="12" s="1"/>
  <c r="C55" i="5"/>
  <c r="K54" i="5"/>
  <c r="AE54" i="5"/>
  <c r="N54" i="5"/>
  <c r="J54" i="5"/>
  <c r="G54" i="5"/>
  <c r="F54" i="5"/>
  <c r="B24" i="9"/>
  <c r="AK16" i="6"/>
  <c r="AK17" i="6"/>
  <c r="AK18" i="6"/>
  <c r="AK19" i="6"/>
  <c r="AK20" i="6"/>
  <c r="AK21" i="6"/>
  <c r="AK22" i="6"/>
  <c r="AK23" i="6"/>
  <c r="AK24" i="6"/>
  <c r="AK25" i="6"/>
  <c r="AK28" i="6"/>
  <c r="AK29" i="6"/>
  <c r="AK30" i="6"/>
  <c r="AK31" i="6"/>
  <c r="AK32" i="6"/>
  <c r="AK33" i="6"/>
  <c r="AK34" i="6"/>
  <c r="AK35" i="6"/>
  <c r="AK36" i="6"/>
  <c r="AK37" i="6"/>
  <c r="AK38" i="6"/>
  <c r="AK39" i="6"/>
  <c r="AK40" i="6"/>
  <c r="AK41" i="6"/>
  <c r="AK42" i="6"/>
  <c r="AK43" i="6"/>
  <c r="AK44" i="6"/>
  <c r="AK45" i="6"/>
  <c r="AK46" i="6"/>
  <c r="AK47" i="6"/>
  <c r="AK48" i="6"/>
  <c r="AK49" i="6"/>
  <c r="AK50" i="6"/>
  <c r="AT51" i="6"/>
  <c r="AD50" i="6"/>
  <c r="AZ51" i="6"/>
  <c r="AQ51" i="6"/>
  <c r="AD51" i="6"/>
  <c r="BG51" i="6"/>
  <c r="AR51" i="6"/>
  <c r="BC51" i="6"/>
  <c r="AK51" i="6"/>
  <c r="BD51" i="6"/>
  <c r="AH51" i="6"/>
  <c r="AN51" i="6"/>
  <c r="H52" i="6"/>
  <c r="T52" i="5" s="1"/>
  <c r="AO51" i="6"/>
  <c r="AE51" i="6"/>
  <c r="R12" i="9"/>
  <c r="AE69" i="10"/>
  <c r="AE74" i="10" s="1" a="1"/>
  <c r="AE74" i="10" s="1"/>
  <c r="AM13" i="12"/>
  <c r="R11" i="10"/>
  <c r="S12" i="10"/>
  <c r="J51" i="12" l="1" a="1"/>
  <c r="J51" i="12" s="1"/>
  <c r="J26" i="12" a="1"/>
  <c r="J26" i="12" s="1"/>
  <c r="L26" i="12" a="1"/>
  <c r="L26" i="12" s="1"/>
  <c r="L27" i="12" a="1"/>
  <c r="L27" i="12" s="1"/>
  <c r="J27" i="12" a="1"/>
  <c r="J27" i="12" s="1"/>
  <c r="M52" i="6"/>
  <c r="BB52" i="6" s="1"/>
  <c r="A53" i="6"/>
  <c r="N53" i="6" s="1"/>
  <c r="L51" i="12" a="1"/>
  <c r="L51" i="12" s="1"/>
  <c r="L49" i="12" a="1"/>
  <c r="L49" i="12" s="1"/>
  <c r="L47" i="12" a="1"/>
  <c r="L47" i="12" s="1"/>
  <c r="J50" i="12" a="1"/>
  <c r="J50" i="12" s="1"/>
  <c r="J53" i="12" a="1"/>
  <c r="J53" i="12" s="1"/>
  <c r="L53" i="12" a="1"/>
  <c r="L53" i="12" s="1"/>
  <c r="G52" i="12"/>
  <c r="D54" i="6"/>
  <c r="J54" i="12" a="1"/>
  <c r="J54" i="12" s="1"/>
  <c r="L54" i="12" a="1"/>
  <c r="L54" i="12" s="1"/>
  <c r="A55" i="12"/>
  <c r="B55" i="6"/>
  <c r="F55" i="5"/>
  <c r="K55" i="5"/>
  <c r="J55" i="5"/>
  <c r="C56" i="5"/>
  <c r="B55" i="5"/>
  <c r="H55" i="5"/>
  <c r="E55" i="5"/>
  <c r="D55" i="5"/>
  <c r="B55" i="12" s="1"/>
  <c r="G55" i="5"/>
  <c r="AE55" i="5"/>
  <c r="AD55" i="5"/>
  <c r="N55" i="5"/>
  <c r="L18" i="12" a="1"/>
  <c r="L18" i="12" s="1"/>
  <c r="L19" i="12" a="1"/>
  <c r="L19" i="12" s="1"/>
  <c r="J18" i="12" a="1"/>
  <c r="J18" i="12" s="1"/>
  <c r="J19" i="12" a="1"/>
  <c r="J19" i="12" s="1"/>
  <c r="L20" i="12" a="1"/>
  <c r="L20" i="12" s="1"/>
  <c r="J20" i="12" a="1"/>
  <c r="J20" i="12" s="1"/>
  <c r="J33" i="12" a="1"/>
  <c r="J33" i="12" s="1"/>
  <c r="J28" i="12" a="1"/>
  <c r="J28" i="12" s="1"/>
  <c r="L42" i="12" a="1"/>
  <c r="L42" i="12" s="1"/>
  <c r="L37" i="12" a="1"/>
  <c r="L37" i="12" s="1"/>
  <c r="J42" i="12" a="1"/>
  <c r="J42" i="12" s="1"/>
  <c r="L34" i="12" a="1"/>
  <c r="L34" i="12" s="1"/>
  <c r="L31" i="12" a="1"/>
  <c r="L31" i="12" s="1"/>
  <c r="L28" i="12" a="1"/>
  <c r="L28" i="12" s="1"/>
  <c r="J24" i="12" a="1"/>
  <c r="J24" i="12" s="1"/>
  <c r="L24" i="12" a="1"/>
  <c r="L24" i="12" s="1"/>
  <c r="L25" i="12" a="1"/>
  <c r="L25" i="12" s="1"/>
  <c r="J37" i="12" a="1"/>
  <c r="J37" i="12" s="1"/>
  <c r="J31" i="12" a="1"/>
  <c r="J31" i="12" s="1"/>
  <c r="J25" i="12" a="1"/>
  <c r="J25" i="12" s="1"/>
  <c r="J41" i="12" a="1"/>
  <c r="J41" i="12" s="1"/>
  <c r="J34" i="12" a="1"/>
  <c r="J34" i="12" s="1"/>
  <c r="L39" i="12" a="1"/>
  <c r="L39" i="12" s="1"/>
  <c r="L35" i="12" a="1"/>
  <c r="L35" i="12" s="1"/>
  <c r="J35" i="12" a="1"/>
  <c r="J35" i="12" s="1"/>
  <c r="J30" i="12" a="1"/>
  <c r="J30" i="12" s="1"/>
  <c r="L40" i="12" a="1"/>
  <c r="L40" i="12" s="1"/>
  <c r="L33" i="12" a="1"/>
  <c r="L33" i="12" s="1"/>
  <c r="L41" i="12" a="1"/>
  <c r="L41" i="12" s="1"/>
  <c r="J39" i="12" a="1"/>
  <c r="J39" i="12" s="1"/>
  <c r="L30" i="12" a="1"/>
  <c r="L30" i="12" s="1"/>
  <c r="L32" i="12" a="1"/>
  <c r="L32" i="12" s="1"/>
  <c r="J44" i="12" a="1"/>
  <c r="J44" i="12" s="1"/>
  <c r="J29" i="12" a="1"/>
  <c r="J29" i="12" s="1"/>
  <c r="J32" i="12" a="1"/>
  <c r="J32" i="12" s="1"/>
  <c r="J21" i="12" a="1"/>
  <c r="J21" i="12" s="1"/>
  <c r="L29" i="12" a="1"/>
  <c r="L29" i="12" s="1"/>
  <c r="L44" i="12" a="1"/>
  <c r="L44" i="12" s="1"/>
  <c r="J45" i="12" a="1"/>
  <c r="J45" i="12" s="1"/>
  <c r="L36" i="12" a="1"/>
  <c r="L36" i="12" s="1"/>
  <c r="J36" i="12" a="1"/>
  <c r="J36" i="12" s="1"/>
  <c r="J40" i="12" a="1"/>
  <c r="J40" i="12" s="1"/>
  <c r="L21" i="12" a="1"/>
  <c r="L21" i="12" s="1"/>
  <c r="L43" i="12" a="1"/>
  <c r="L43" i="12" s="1"/>
  <c r="J43" i="12" a="1"/>
  <c r="J43" i="12" s="1"/>
  <c r="L46" i="12" a="1"/>
  <c r="L46" i="12" s="1"/>
  <c r="J47" i="12" a="1"/>
  <c r="J47" i="12" s="1"/>
  <c r="J46" i="12" a="1"/>
  <c r="J46" i="12" s="1"/>
  <c r="L45" i="12" a="1"/>
  <c r="L45" i="12" s="1"/>
  <c r="L50" i="12" a="1"/>
  <c r="L50" i="12" s="1"/>
  <c r="J52" i="12" a="1"/>
  <c r="J52" i="12" s="1"/>
  <c r="J49" i="12" a="1"/>
  <c r="J49" i="12" s="1"/>
  <c r="J48" i="12" a="1"/>
  <c r="J48" i="12" s="1"/>
  <c r="L48" i="12" a="1"/>
  <c r="L48" i="12" s="1"/>
  <c r="L52" i="12" a="1"/>
  <c r="L52" i="12" s="1"/>
  <c r="B25" i="9"/>
  <c r="H53" i="6"/>
  <c r="T53" i="5" s="1"/>
  <c r="J14" i="12" a="1"/>
  <c r="J14" i="12" s="1"/>
  <c r="L14" i="12" a="1"/>
  <c r="L14" i="12" s="1"/>
  <c r="S12" i="9"/>
  <c r="AO7" i="12"/>
  <c r="T12" i="10"/>
  <c r="S11" i="10"/>
  <c r="K51" i="12" l="1"/>
  <c r="K26" i="12"/>
  <c r="K27" i="12"/>
  <c r="K49" i="12"/>
  <c r="AX52" i="6"/>
  <c r="AI52" i="6"/>
  <c r="BA52" i="6"/>
  <c r="AU52" i="6"/>
  <c r="AG52" i="6"/>
  <c r="AK52" i="6"/>
  <c r="AJ52" i="6"/>
  <c r="AS52" i="6"/>
  <c r="AC52" i="6"/>
  <c r="BE52" i="6"/>
  <c r="AM52" i="6"/>
  <c r="AZ52" i="6"/>
  <c r="BD52" i="6"/>
  <c r="AD52" i="6"/>
  <c r="AF52" i="6"/>
  <c r="AR52" i="6"/>
  <c r="AV52" i="6"/>
  <c r="AY52" i="6"/>
  <c r="AB52" i="6"/>
  <c r="AN52" i="6"/>
  <c r="AQ52" i="6"/>
  <c r="AE52" i="6"/>
  <c r="AO52" i="6"/>
  <c r="BF52" i="6"/>
  <c r="AT52" i="6"/>
  <c r="BG52" i="6"/>
  <c r="BC52" i="6"/>
  <c r="AH52" i="6"/>
  <c r="AP52" i="6"/>
  <c r="K50" i="12"/>
  <c r="M53" i="6"/>
  <c r="AY53" i="6" s="1"/>
  <c r="A54" i="6"/>
  <c r="M54" i="6" s="1"/>
  <c r="BG54" i="6" s="1"/>
  <c r="K47" i="12"/>
  <c r="K44" i="12"/>
  <c r="K41" i="12"/>
  <c r="K36" i="12"/>
  <c r="K29" i="12"/>
  <c r="K53" i="12"/>
  <c r="K32" i="12"/>
  <c r="K30" i="12"/>
  <c r="K48" i="12"/>
  <c r="K42" i="12"/>
  <c r="K45" i="12"/>
  <c r="K20" i="12"/>
  <c r="G53" i="12"/>
  <c r="K37" i="12"/>
  <c r="H54" i="6"/>
  <c r="T54" i="5" s="1"/>
  <c r="K33" i="12"/>
  <c r="K25" i="12"/>
  <c r="K46" i="12"/>
  <c r="K40" i="12"/>
  <c r="K24" i="12"/>
  <c r="L55" i="12" a="1"/>
  <c r="L55" i="12" s="1"/>
  <c r="J55" i="12" a="1"/>
  <c r="J55" i="12" s="1"/>
  <c r="K54" i="12"/>
  <c r="K35" i="12"/>
  <c r="K31" i="12"/>
  <c r="D55" i="6"/>
  <c r="K43" i="12"/>
  <c r="K52" i="12"/>
  <c r="K19" i="12"/>
  <c r="A56" i="12"/>
  <c r="B56" i="6"/>
  <c r="J56" i="5"/>
  <c r="F56" i="5"/>
  <c r="K56" i="5"/>
  <c r="E56" i="5"/>
  <c r="N56" i="5"/>
  <c r="D56" i="5"/>
  <c r="B56" i="12" s="1"/>
  <c r="B56" i="5"/>
  <c r="AD56" i="5"/>
  <c r="AE56" i="5"/>
  <c r="C57" i="5"/>
  <c r="H56" i="5"/>
  <c r="G56" i="5"/>
  <c r="K28" i="12"/>
  <c r="K21" i="12"/>
  <c r="B26" i="9"/>
  <c r="K34" i="12"/>
  <c r="K39" i="12"/>
  <c r="K18" i="12"/>
  <c r="T12" i="9"/>
  <c r="K14" i="12"/>
  <c r="U12" i="10"/>
  <c r="T11" i="10"/>
  <c r="AN53" i="6" l="1"/>
  <c r="AD53" i="6"/>
  <c r="AI53" i="6"/>
  <c r="BC53" i="6"/>
  <c r="AP53" i="6"/>
  <c r="AU53" i="6"/>
  <c r="AH53" i="6"/>
  <c r="BG53" i="6"/>
  <c r="BE53" i="6"/>
  <c r="AC53" i="6"/>
  <c r="AZ53" i="6"/>
  <c r="AV53" i="6"/>
  <c r="A55" i="6"/>
  <c r="M55" i="6" s="1"/>
  <c r="AO55" i="6" s="1"/>
  <c r="AO53" i="6"/>
  <c r="BD53" i="6"/>
  <c r="N54" i="6"/>
  <c r="AB53" i="6"/>
  <c r="AT53" i="6"/>
  <c r="AS53" i="6"/>
  <c r="AR53" i="6"/>
  <c r="AM53" i="6"/>
  <c r="BF53" i="6"/>
  <c r="BA53" i="6"/>
  <c r="AK53" i="6"/>
  <c r="AG53" i="6"/>
  <c r="BB53" i="6"/>
  <c r="AX53" i="6"/>
  <c r="AJ53" i="6"/>
  <c r="AF53" i="6"/>
  <c r="AE53" i="6"/>
  <c r="AQ53" i="6"/>
  <c r="AX54" i="6"/>
  <c r="AY54" i="6"/>
  <c r="AV54" i="6"/>
  <c r="AP54" i="6"/>
  <c r="BC54" i="6"/>
  <c r="BF54" i="6"/>
  <c r="AT54" i="6"/>
  <c r="AU54" i="6"/>
  <c r="G54" i="12"/>
  <c r="AC54" i="6"/>
  <c r="AG54" i="6"/>
  <c r="AD54" i="6"/>
  <c r="K55" i="12"/>
  <c r="AZ54" i="6"/>
  <c r="AQ54" i="6"/>
  <c r="AM54" i="6"/>
  <c r="BD54" i="6"/>
  <c r="AN54" i="6"/>
  <c r="BA54" i="6"/>
  <c r="AE54" i="6"/>
  <c r="AO54" i="6"/>
  <c r="AB54" i="6"/>
  <c r="AR54" i="6"/>
  <c r="B27" i="9"/>
  <c r="D56" i="6"/>
  <c r="A57" i="12"/>
  <c r="B57" i="6"/>
  <c r="AD57" i="5"/>
  <c r="B57" i="5"/>
  <c r="C58" i="5" s="1"/>
  <c r="AE57" i="5"/>
  <c r="N57" i="5"/>
  <c r="D57" i="5"/>
  <c r="B57" i="12" s="1"/>
  <c r="F57" i="5"/>
  <c r="K57" i="5"/>
  <c r="J57" i="5"/>
  <c r="G57" i="5"/>
  <c r="E57" i="5"/>
  <c r="H57" i="5"/>
  <c r="AH54" i="6"/>
  <c r="BB54" i="6"/>
  <c r="BE54" i="6"/>
  <c r="H55" i="6"/>
  <c r="T55" i="5" s="1"/>
  <c r="AK54" i="6"/>
  <c r="AF54" i="6"/>
  <c r="J56" i="12" a="1"/>
  <c r="J56" i="12" s="1"/>
  <c r="L56" i="12" a="1"/>
  <c r="L56" i="12" s="1"/>
  <c r="AJ54" i="6"/>
  <c r="AI54" i="6"/>
  <c r="AS54" i="6"/>
  <c r="U12" i="9"/>
  <c r="V12" i="10"/>
  <c r="U11" i="10"/>
  <c r="A56" i="6" l="1"/>
  <c r="M56" i="6" s="1"/>
  <c r="AY56" i="6" s="1"/>
  <c r="N55" i="6"/>
  <c r="AS55" i="6"/>
  <c r="BG55" i="6"/>
  <c r="AU55" i="6"/>
  <c r="AX55" i="6"/>
  <c r="AQ55" i="6"/>
  <c r="BF55" i="6"/>
  <c r="AY55" i="6"/>
  <c r="AZ55" i="6"/>
  <c r="AV55" i="6"/>
  <c r="BC55" i="6"/>
  <c r="AN55" i="6"/>
  <c r="BE55" i="6"/>
  <c r="BA55" i="6"/>
  <c r="BB55" i="6"/>
  <c r="AR55" i="6"/>
  <c r="AD55" i="6"/>
  <c r="AK55" i="6"/>
  <c r="AG55" i="6"/>
  <c r="AH55" i="6"/>
  <c r="AJ55" i="6"/>
  <c r="AF55" i="6"/>
  <c r="AP55" i="6"/>
  <c r="AM55" i="6"/>
  <c r="AC55" i="6"/>
  <c r="AI55" i="6"/>
  <c r="D57" i="6"/>
  <c r="AT55" i="6"/>
  <c r="BD55" i="6"/>
  <c r="AB55" i="6"/>
  <c r="A58" i="12"/>
  <c r="B58" i="6"/>
  <c r="W58" i="5"/>
  <c r="H58" i="12" s="1"/>
  <c r="F58" i="5"/>
  <c r="H58" i="5"/>
  <c r="G58" i="5"/>
  <c r="N58" i="5"/>
  <c r="E58" i="5"/>
  <c r="AD58" i="5"/>
  <c r="B58" i="5"/>
  <c r="AE58" i="5"/>
  <c r="C59" i="5"/>
  <c r="B28" i="9"/>
  <c r="AE55" i="6"/>
  <c r="G55" i="12"/>
  <c r="L57" i="12" a="1"/>
  <c r="L57" i="12" s="1"/>
  <c r="J57" i="12" a="1"/>
  <c r="J57" i="12" s="1"/>
  <c r="K56" i="12"/>
  <c r="H56" i="6"/>
  <c r="T56" i="5" s="1"/>
  <c r="V12" i="9"/>
  <c r="W12" i="10"/>
  <c r="V11" i="10"/>
  <c r="N56" i="6" l="1"/>
  <c r="A57" i="6"/>
  <c r="N57" i="6" s="1"/>
  <c r="K57" i="12"/>
  <c r="BA56" i="6"/>
  <c r="AR56" i="6"/>
  <c r="AZ56" i="6"/>
  <c r="AF56" i="6"/>
  <c r="G56" i="12"/>
  <c r="AE56" i="6"/>
  <c r="AI56" i="6"/>
  <c r="E58" i="12"/>
  <c r="F58" i="6"/>
  <c r="AD56" i="6"/>
  <c r="A59" i="12"/>
  <c r="B59" i="6"/>
  <c r="J59" i="5"/>
  <c r="B59" i="5"/>
  <c r="AE59" i="5"/>
  <c r="C60" i="5"/>
  <c r="AD59" i="5"/>
  <c r="N59" i="5"/>
  <c r="E59" i="5"/>
  <c r="G59" i="5"/>
  <c r="F59" i="5"/>
  <c r="K59" i="5"/>
  <c r="H59" i="5"/>
  <c r="D59" i="5"/>
  <c r="B59" i="12" s="1"/>
  <c r="D58" i="6"/>
  <c r="A58" i="6" s="1"/>
  <c r="BF56" i="6"/>
  <c r="AB56" i="6"/>
  <c r="AO56" i="6"/>
  <c r="BE56" i="6"/>
  <c r="AM56" i="6"/>
  <c r="AN56" i="6"/>
  <c r="AG56" i="6"/>
  <c r="AT56" i="6"/>
  <c r="BC56" i="6"/>
  <c r="AV56" i="6"/>
  <c r="AS56" i="6"/>
  <c r="AC56" i="6"/>
  <c r="AH56" i="6"/>
  <c r="B29" i="9"/>
  <c r="H57" i="6"/>
  <c r="T57" i="5" s="1"/>
  <c r="BB56" i="6"/>
  <c r="BD56" i="6"/>
  <c r="AP56" i="6"/>
  <c r="BG56" i="6"/>
  <c r="AJ56" i="6"/>
  <c r="AQ56" i="6"/>
  <c r="AX56" i="6"/>
  <c r="AK56" i="6"/>
  <c r="AU56" i="6"/>
  <c r="W12" i="9"/>
  <c r="W11" i="10"/>
  <c r="X12" i="10"/>
  <c r="M57" i="6" l="1"/>
  <c r="AT57" i="6" s="1"/>
  <c r="B30" i="9"/>
  <c r="A60" i="12"/>
  <c r="AD60" i="5"/>
  <c r="B60" i="5"/>
  <c r="B60" i="6"/>
  <c r="C61" i="5"/>
  <c r="H60" i="5"/>
  <c r="G60" i="5"/>
  <c r="F60" i="5"/>
  <c r="AE60" i="5"/>
  <c r="E60" i="5"/>
  <c r="N60" i="5"/>
  <c r="D60" i="5"/>
  <c r="B60" i="12" s="1"/>
  <c r="K60" i="5"/>
  <c r="J60" i="5"/>
  <c r="D59" i="6"/>
  <c r="A59" i="6" s="1"/>
  <c r="G57" i="12"/>
  <c r="H58" i="6"/>
  <c r="T58" i="5" s="1"/>
  <c r="G58" i="6"/>
  <c r="N58" i="6"/>
  <c r="M58" i="6"/>
  <c r="BB58" i="6" s="1"/>
  <c r="L59" i="12" a="1"/>
  <c r="L59" i="12" s="1"/>
  <c r="J59" i="12" a="1"/>
  <c r="J59" i="12" s="1"/>
  <c r="X12" i="9"/>
  <c r="Y12" i="10"/>
  <c r="X11" i="10"/>
  <c r="AV57" i="6" l="1"/>
  <c r="AI57" i="6"/>
  <c r="AM57" i="6"/>
  <c r="AK57" i="6"/>
  <c r="AH57" i="6"/>
  <c r="BD57" i="6"/>
  <c r="AZ57" i="6"/>
  <c r="AD57" i="6"/>
  <c r="BE57" i="6"/>
  <c r="AX57" i="6"/>
  <c r="AP57" i="6"/>
  <c r="AE57" i="6"/>
  <c r="AJ57" i="6"/>
  <c r="AG57" i="6"/>
  <c r="AB57" i="6"/>
  <c r="BB57" i="6"/>
  <c r="BC57" i="6"/>
  <c r="AY57" i="6"/>
  <c r="AC57" i="6"/>
  <c r="AN57" i="6"/>
  <c r="AQ57" i="6"/>
  <c r="BF57" i="6"/>
  <c r="AU57" i="6"/>
  <c r="AR57" i="6"/>
  <c r="AO57" i="6"/>
  <c r="AS57" i="6"/>
  <c r="AF57" i="6"/>
  <c r="BG57" i="6"/>
  <c r="BA57" i="6"/>
  <c r="K59" i="12"/>
  <c r="AO58" i="6"/>
  <c r="BF58" i="6"/>
  <c r="G58" i="12"/>
  <c r="AJ58" i="6"/>
  <c r="M59" i="6"/>
  <c r="AV59" i="6" s="1"/>
  <c r="N59" i="6"/>
  <c r="H59" i="6"/>
  <c r="T59" i="5" s="1"/>
  <c r="AX58" i="6"/>
  <c r="J60" i="12" a="1"/>
  <c r="J60" i="12" s="1"/>
  <c r="L60" i="12" a="1"/>
  <c r="L60" i="12" s="1"/>
  <c r="BD58" i="6"/>
  <c r="AT58" i="6"/>
  <c r="BA58" i="6"/>
  <c r="AK58" i="6"/>
  <c r="AY58" i="6"/>
  <c r="AB58" i="6"/>
  <c r="AG58" i="6"/>
  <c r="AC58" i="6"/>
  <c r="BG58" i="6"/>
  <c r="AM58" i="6"/>
  <c r="BE58" i="6"/>
  <c r="AH58" i="6"/>
  <c r="B31" i="9"/>
  <c r="AN58" i="6"/>
  <c r="BC58" i="6"/>
  <c r="AP58" i="6"/>
  <c r="AD58" i="6"/>
  <c r="AQ58" i="6"/>
  <c r="AE58" i="6"/>
  <c r="AU58" i="6"/>
  <c r="AS58" i="6"/>
  <c r="AR58" i="6"/>
  <c r="AI58" i="6"/>
  <c r="AZ58" i="6"/>
  <c r="AF58" i="6"/>
  <c r="AV58" i="6"/>
  <c r="D60" i="6"/>
  <c r="A60" i="6" s="1"/>
  <c r="A61" i="12"/>
  <c r="B61" i="6"/>
  <c r="F61" i="5"/>
  <c r="C62" i="5"/>
  <c r="B61" i="5"/>
  <c r="AE61" i="5"/>
  <c r="G61" i="5"/>
  <c r="AD61" i="5"/>
  <c r="N61" i="5"/>
  <c r="J61" i="5"/>
  <c r="K61" i="5"/>
  <c r="E61" i="5"/>
  <c r="D61" i="5"/>
  <c r="B61" i="12" s="1"/>
  <c r="H61" i="5"/>
  <c r="Y12" i="9"/>
  <c r="Y11" i="10"/>
  <c r="Z12" i="10"/>
  <c r="K60" i="12" l="1"/>
  <c r="AX59" i="6"/>
  <c r="AP59" i="6"/>
  <c r="AI59" i="6"/>
  <c r="BC59" i="6"/>
  <c r="G59" i="12"/>
  <c r="AN59" i="6"/>
  <c r="AE59" i="6"/>
  <c r="AZ59" i="6"/>
  <c r="AG59" i="6"/>
  <c r="AH59" i="6"/>
  <c r="AR59" i="6"/>
  <c r="N60" i="6"/>
  <c r="M60" i="6"/>
  <c r="AY60" i="6" s="1"/>
  <c r="H60" i="6"/>
  <c r="T60" i="5" s="1"/>
  <c r="BA59" i="6"/>
  <c r="AD59" i="6"/>
  <c r="BD59" i="6"/>
  <c r="A62" i="12"/>
  <c r="B62" i="6"/>
  <c r="J62" i="5"/>
  <c r="K62" i="5"/>
  <c r="B62" i="5"/>
  <c r="C63" i="5"/>
  <c r="H62" i="5"/>
  <c r="AE62" i="5"/>
  <c r="G62" i="5"/>
  <c r="D62" i="5"/>
  <c r="B62" i="12" s="1"/>
  <c r="F62" i="5"/>
  <c r="E62" i="5"/>
  <c r="AD62" i="5"/>
  <c r="N62" i="5"/>
  <c r="BG59" i="6"/>
  <c r="AU59" i="6"/>
  <c r="BE59" i="6"/>
  <c r="AK59" i="6"/>
  <c r="AB59" i="6"/>
  <c r="AF59" i="6"/>
  <c r="AM59" i="6"/>
  <c r="AO59" i="6"/>
  <c r="AS59" i="6"/>
  <c r="D61" i="6"/>
  <c r="AT59" i="6"/>
  <c r="BB59" i="6"/>
  <c r="BF59" i="6"/>
  <c r="AY59" i="6"/>
  <c r="AJ59" i="6"/>
  <c r="AQ59" i="6"/>
  <c r="L61" i="12" a="1"/>
  <c r="L61" i="12" s="1"/>
  <c r="J61" i="12" a="1"/>
  <c r="J61" i="12" s="1"/>
  <c r="B32" i="9"/>
  <c r="AC59" i="6"/>
  <c r="Z12" i="9"/>
  <c r="Z11" i="10"/>
  <c r="AA12" i="10"/>
  <c r="K61" i="12" l="1"/>
  <c r="AB60" i="6"/>
  <c r="AP60" i="6"/>
  <c r="AZ60" i="6"/>
  <c r="BC60" i="6"/>
  <c r="AD60" i="6"/>
  <c r="AN60" i="6"/>
  <c r="A63" i="12"/>
  <c r="B63" i="6"/>
  <c r="AD63" i="5"/>
  <c r="B63" i="5"/>
  <c r="C64" i="5" s="1"/>
  <c r="E63" i="5"/>
  <c r="D63" i="5"/>
  <c r="B63" i="12" s="1"/>
  <c r="K63" i="5"/>
  <c r="J63" i="5"/>
  <c r="AE63" i="5"/>
  <c r="N63" i="5"/>
  <c r="H63" i="5"/>
  <c r="G63" i="5"/>
  <c r="F63" i="5"/>
  <c r="BE60" i="6"/>
  <c r="H61" i="6"/>
  <c r="T61" i="5" s="1"/>
  <c r="BF60" i="6"/>
  <c r="AI60" i="6"/>
  <c r="BA60" i="6"/>
  <c r="BD60" i="6"/>
  <c r="AU60" i="6"/>
  <c r="AC60" i="6"/>
  <c r="I58" i="5"/>
  <c r="AF60" i="6"/>
  <c r="G60" i="12"/>
  <c r="AQ60" i="6"/>
  <c r="AH60" i="6"/>
  <c r="AJ60" i="6"/>
  <c r="AM60" i="6"/>
  <c r="AE60" i="6"/>
  <c r="AS60" i="6"/>
  <c r="AO60" i="6"/>
  <c r="AX60" i="6"/>
  <c r="AR60" i="6"/>
  <c r="AV60" i="6"/>
  <c r="B33" i="9"/>
  <c r="A61" i="6"/>
  <c r="L62" i="12" a="1"/>
  <c r="L62" i="12" s="1"/>
  <c r="J62" i="12" a="1"/>
  <c r="J62" i="12" s="1"/>
  <c r="AT60" i="6"/>
  <c r="AG60" i="6"/>
  <c r="AK60" i="6"/>
  <c r="D62" i="6"/>
  <c r="BB60" i="6"/>
  <c r="BG60" i="6"/>
  <c r="AA12" i="9"/>
  <c r="AB12" i="10"/>
  <c r="AA11" i="10"/>
  <c r="A62" i="6" l="1"/>
  <c r="N62" i="6" s="1"/>
  <c r="K62" i="12"/>
  <c r="N61" i="6"/>
  <c r="M61" i="6"/>
  <c r="BA61" i="6" s="1"/>
  <c r="G61" i="12"/>
  <c r="H62" i="6"/>
  <c r="T62" i="5" s="1"/>
  <c r="A64" i="12"/>
  <c r="B64" i="6"/>
  <c r="W64" i="5"/>
  <c r="H64" i="12" s="1"/>
  <c r="F64" i="5"/>
  <c r="E64" i="5"/>
  <c r="B64" i="5"/>
  <c r="C65" i="5"/>
  <c r="H64" i="5"/>
  <c r="G64" i="5"/>
  <c r="AE64" i="5"/>
  <c r="AD64" i="5"/>
  <c r="N64" i="5"/>
  <c r="B34" i="9"/>
  <c r="D63" i="6"/>
  <c r="L63" i="12" a="1"/>
  <c r="L63" i="12" s="1"/>
  <c r="J63" i="12" a="1"/>
  <c r="J63" i="12" s="1"/>
  <c r="AB12" i="9"/>
  <c r="AB11" i="10"/>
  <c r="AC12" i="10"/>
  <c r="AY61" i="6" l="1"/>
  <c r="M62" i="6"/>
  <c r="AP62" i="6" s="1"/>
  <c r="AE61" i="6"/>
  <c r="AZ61" i="6"/>
  <c r="AU61" i="6"/>
  <c r="AQ61" i="6"/>
  <c r="AF61" i="6"/>
  <c r="BD61" i="6"/>
  <c r="BB61" i="6"/>
  <c r="AH61" i="6"/>
  <c r="BE61" i="6"/>
  <c r="AD61" i="6"/>
  <c r="AG61" i="6"/>
  <c r="BG61" i="6"/>
  <c r="AX61" i="6"/>
  <c r="AV61" i="6"/>
  <c r="AJ61" i="6"/>
  <c r="AB61" i="6"/>
  <c r="AK61" i="6"/>
  <c r="BF61" i="6"/>
  <c r="AI61" i="6"/>
  <c r="BC61" i="6"/>
  <c r="AN61" i="6"/>
  <c r="AS61" i="6"/>
  <c r="AM61" i="6"/>
  <c r="AT61" i="6"/>
  <c r="AO61" i="6"/>
  <c r="AR61" i="6"/>
  <c r="AC61" i="6"/>
  <c r="AP61" i="6"/>
  <c r="G62" i="12"/>
  <c r="K63" i="12"/>
  <c r="B35" i="9"/>
  <c r="A65" i="12"/>
  <c r="J65" i="5"/>
  <c r="B65" i="6"/>
  <c r="F65" i="5"/>
  <c r="E65" i="5"/>
  <c r="K65" i="5"/>
  <c r="D65" i="5"/>
  <c r="B65" i="12" s="1"/>
  <c r="N65" i="5"/>
  <c r="B65" i="5"/>
  <c r="AD65" i="5"/>
  <c r="AE65" i="5"/>
  <c r="C66" i="5"/>
  <c r="H65" i="5"/>
  <c r="G65" i="5"/>
  <c r="D64" i="6"/>
  <c r="H63" i="6"/>
  <c r="T63" i="5" s="1"/>
  <c r="A63" i="6"/>
  <c r="N63" i="6" s="1"/>
  <c r="E64" i="12"/>
  <c r="F64" i="6"/>
  <c r="AC12" i="9"/>
  <c r="AC11" i="10"/>
  <c r="AD12" i="10"/>
  <c r="AI62" i="6" l="1"/>
  <c r="AR62" i="6"/>
  <c r="AG62" i="6"/>
  <c r="AF62" i="6"/>
  <c r="AY62" i="6"/>
  <c r="AU62" i="6"/>
  <c r="BG62" i="6"/>
  <c r="AV62" i="6"/>
  <c r="AN62" i="6"/>
  <c r="BE62" i="6"/>
  <c r="AC62" i="6"/>
  <c r="AH62" i="6"/>
  <c r="AJ62" i="6"/>
  <c r="AB62" i="6"/>
  <c r="AK62" i="6"/>
  <c r="BB62" i="6"/>
  <c r="AM62" i="6"/>
  <c r="AT62" i="6"/>
  <c r="AX62" i="6"/>
  <c r="BC62" i="6"/>
  <c r="AE62" i="6"/>
  <c r="AS62" i="6"/>
  <c r="AD62" i="6"/>
  <c r="AO62" i="6"/>
  <c r="AZ62" i="6"/>
  <c r="AQ62" i="6"/>
  <c r="BF62" i="6"/>
  <c r="BA62" i="6"/>
  <c r="BD62" i="6"/>
  <c r="M63" i="6"/>
  <c r="AV63" i="6" s="1"/>
  <c r="A64" i="6"/>
  <c r="M64" i="6" s="1"/>
  <c r="AY64" i="6" s="1"/>
  <c r="A66" i="12"/>
  <c r="B66" i="6"/>
  <c r="AD66" i="5"/>
  <c r="B66" i="5"/>
  <c r="AE66" i="5"/>
  <c r="N66" i="5"/>
  <c r="G66" i="5"/>
  <c r="D66" i="5"/>
  <c r="B66" i="12" s="1"/>
  <c r="K66" i="5"/>
  <c r="J66" i="5"/>
  <c r="F66" i="5"/>
  <c r="E66" i="5"/>
  <c r="C67" i="5"/>
  <c r="H66" i="5"/>
  <c r="B36" i="9"/>
  <c r="G64" i="6"/>
  <c r="H64" i="6"/>
  <c r="T64" i="5" s="1"/>
  <c r="G63" i="12"/>
  <c r="D65" i="6"/>
  <c r="L65" i="12" a="1"/>
  <c r="L65" i="12" s="1"/>
  <c r="J65" i="12" a="1"/>
  <c r="J65" i="12" s="1"/>
  <c r="AD12" i="9"/>
  <c r="AE12" i="10"/>
  <c r="AD11" i="10"/>
  <c r="A65" i="6" l="1"/>
  <c r="M65" i="6" s="1"/>
  <c r="AQ63" i="6"/>
  <c r="AI63" i="6"/>
  <c r="AJ63" i="6"/>
  <c r="N64" i="6"/>
  <c r="AC63" i="6"/>
  <c r="AK63" i="6"/>
  <c r="AN63" i="6"/>
  <c r="AU63" i="6"/>
  <c r="AH63" i="6"/>
  <c r="BB63" i="6"/>
  <c r="AB63" i="6"/>
  <c r="AR63" i="6"/>
  <c r="AZ63" i="6"/>
  <c r="AD63" i="6"/>
  <c r="BF63" i="6"/>
  <c r="AX63" i="6"/>
  <c r="AF63" i="6"/>
  <c r="AG63" i="6"/>
  <c r="AP63" i="6"/>
  <c r="BD63" i="6"/>
  <c r="BA63" i="6"/>
  <c r="AT63" i="6"/>
  <c r="AY63" i="6"/>
  <c r="BG63" i="6"/>
  <c r="BC63" i="6"/>
  <c r="AE63" i="6"/>
  <c r="AM63" i="6"/>
  <c r="AS63" i="6"/>
  <c r="AO63" i="6"/>
  <c r="BE63" i="6"/>
  <c r="AR64" i="6"/>
  <c r="AX64" i="6"/>
  <c r="AM64" i="6"/>
  <c r="BA64" i="6"/>
  <c r="AO64" i="6"/>
  <c r="BF64" i="6"/>
  <c r="AB64" i="6"/>
  <c r="BE64" i="6"/>
  <c r="AJ64" i="6"/>
  <c r="AS64" i="6"/>
  <c r="AU64" i="6"/>
  <c r="AN64" i="6"/>
  <c r="AV64" i="6"/>
  <c r="BB64" i="6"/>
  <c r="A67" i="12"/>
  <c r="B67" i="6"/>
  <c r="F67" i="5"/>
  <c r="H67" i="5"/>
  <c r="G67" i="5"/>
  <c r="AE67" i="5"/>
  <c r="E67" i="5"/>
  <c r="D67" i="5"/>
  <c r="B67" i="12" s="1"/>
  <c r="AD67" i="5"/>
  <c r="N67" i="5"/>
  <c r="B67" i="5"/>
  <c r="K67" i="5"/>
  <c r="J67" i="5"/>
  <c r="C68" i="5"/>
  <c r="AH64" i="6"/>
  <c r="AK64" i="6"/>
  <c r="AC64" i="6"/>
  <c r="AP64" i="6"/>
  <c r="L66" i="12" a="1"/>
  <c r="L66" i="12" s="1"/>
  <c r="J66" i="12" a="1"/>
  <c r="J66" i="12" s="1"/>
  <c r="G64" i="12"/>
  <c r="AZ64" i="6"/>
  <c r="BC64" i="6"/>
  <c r="AF64" i="6"/>
  <c r="AG64" i="6"/>
  <c r="AD64" i="6"/>
  <c r="B37" i="9"/>
  <c r="D66" i="6"/>
  <c r="K65" i="12"/>
  <c r="AT64" i="6"/>
  <c r="BG64" i="6"/>
  <c r="BD64" i="6"/>
  <c r="H65" i="6"/>
  <c r="T65" i="5" s="1"/>
  <c r="AQ64" i="6"/>
  <c r="AI64" i="6"/>
  <c r="AE64" i="6"/>
  <c r="AE12" i="9"/>
  <c r="AE11" i="10"/>
  <c r="AF12" i="10"/>
  <c r="N65" i="6" l="1"/>
  <c r="A66" i="6"/>
  <c r="M66" i="6" s="1"/>
  <c r="BE66" i="6" s="1"/>
  <c r="K66" i="12"/>
  <c r="AC65" i="6"/>
  <c r="AQ65" i="6"/>
  <c r="AO65" i="6"/>
  <c r="AB65" i="6"/>
  <c r="AZ65" i="6"/>
  <c r="AR65" i="6"/>
  <c r="BB65" i="6"/>
  <c r="BG65" i="6"/>
  <c r="AM65" i="6"/>
  <c r="AP65" i="6"/>
  <c r="BC65" i="6"/>
  <c r="AU65" i="6"/>
  <c r="AY65" i="6"/>
  <c r="AH65" i="6"/>
  <c r="BD65" i="6"/>
  <c r="AV65" i="6"/>
  <c r="BE65" i="6"/>
  <c r="AK65" i="6"/>
  <c r="AD65" i="6"/>
  <c r="AE65" i="6"/>
  <c r="AN65" i="6"/>
  <c r="BF65" i="6"/>
  <c r="AI65" i="6"/>
  <c r="D67" i="6"/>
  <c r="H66" i="6"/>
  <c r="T66" i="5" s="1"/>
  <c r="L67" i="12" a="1"/>
  <c r="L67" i="12" s="1"/>
  <c r="J67" i="12" a="1"/>
  <c r="J67" i="12" s="1"/>
  <c r="G65" i="12"/>
  <c r="B38" i="9"/>
  <c r="AF65" i="6"/>
  <c r="AT65" i="6"/>
  <c r="AS65" i="6"/>
  <c r="AJ65" i="6"/>
  <c r="BA65" i="6"/>
  <c r="AG65" i="6"/>
  <c r="AX65" i="6"/>
  <c r="A68" i="12"/>
  <c r="B68" i="6"/>
  <c r="J68" i="5"/>
  <c r="B68" i="5"/>
  <c r="C69" i="5"/>
  <c r="AE68" i="5"/>
  <c r="H68" i="5"/>
  <c r="E68" i="5"/>
  <c r="AD68" i="5"/>
  <c r="N68" i="5"/>
  <c r="F68" i="5"/>
  <c r="K68" i="5"/>
  <c r="G68" i="5"/>
  <c r="D68" i="5"/>
  <c r="B68" i="12" s="1"/>
  <c r="AF11" i="10"/>
  <c r="A67" i="6" l="1"/>
  <c r="N67" i="6" s="1"/>
  <c r="N66" i="6"/>
  <c r="BC66" i="6"/>
  <c r="AZ66" i="6"/>
  <c r="AQ66" i="6"/>
  <c r="AN66" i="6"/>
  <c r="AX66" i="6"/>
  <c r="AY66" i="6"/>
  <c r="K67" i="12"/>
  <c r="AD66" i="6"/>
  <c r="BB66" i="6"/>
  <c r="BD66" i="6"/>
  <c r="BG66" i="6"/>
  <c r="G66" i="12"/>
  <c r="B39" i="9"/>
  <c r="AB66" i="6"/>
  <c r="AE66" i="6"/>
  <c r="L68" i="12" a="1"/>
  <c r="L68" i="12" s="1"/>
  <c r="J68" i="12" a="1"/>
  <c r="J68" i="12" s="1"/>
  <c r="AH66" i="6"/>
  <c r="BA66" i="6"/>
  <c r="AR66" i="6"/>
  <c r="A69" i="12"/>
  <c r="B69" i="6"/>
  <c r="AD69" i="5"/>
  <c r="B69" i="5"/>
  <c r="C70" i="5" s="1"/>
  <c r="H69" i="5"/>
  <c r="G69" i="5"/>
  <c r="N69" i="5"/>
  <c r="F69" i="5"/>
  <c r="AE69" i="5"/>
  <c r="E69" i="5"/>
  <c r="D69" i="5"/>
  <c r="B69" i="12" s="1"/>
  <c r="K69" i="5"/>
  <c r="J69" i="5"/>
  <c r="AJ66" i="6"/>
  <c r="AO66" i="6"/>
  <c r="AK66" i="6"/>
  <c r="AF66" i="6"/>
  <c r="H67" i="6"/>
  <c r="T67" i="5" s="1"/>
  <c r="D68" i="6"/>
  <c r="AI66" i="6"/>
  <c r="AS66" i="6"/>
  <c r="AM66" i="6"/>
  <c r="AV66" i="6"/>
  <c r="BF66" i="6"/>
  <c r="AC66" i="6"/>
  <c r="AG66" i="6"/>
  <c r="AU66" i="6"/>
  <c r="AP66" i="6"/>
  <c r="AT66" i="6"/>
  <c r="A15" i="10"/>
  <c r="A68" i="6" l="1"/>
  <c r="N68" i="6" s="1"/>
  <c r="M67" i="6"/>
  <c r="AO67" i="6" s="1"/>
  <c r="B40" i="9"/>
  <c r="D69" i="6"/>
  <c r="K68" i="12"/>
  <c r="G67" i="12"/>
  <c r="A70" i="12"/>
  <c r="B70" i="6"/>
  <c r="W70" i="5"/>
  <c r="H70" i="12" s="1"/>
  <c r="F70" i="5"/>
  <c r="B70" i="5"/>
  <c r="H70" i="5"/>
  <c r="AE70" i="5"/>
  <c r="G70" i="5"/>
  <c r="AD70" i="5"/>
  <c r="N70" i="5"/>
  <c r="C71" i="5"/>
  <c r="E70" i="5"/>
  <c r="H68" i="6"/>
  <c r="T68" i="5" s="1"/>
  <c r="L69" i="12" a="1"/>
  <c r="L69" i="12" s="1"/>
  <c r="J69" i="12" a="1"/>
  <c r="J69" i="12" s="1"/>
  <c r="H14" i="6"/>
  <c r="A69" i="6" l="1"/>
  <c r="N69" i="6" s="1"/>
  <c r="M68" i="6"/>
  <c r="AU68" i="6" s="1"/>
  <c r="AY67" i="6"/>
  <c r="AF67" i="6"/>
  <c r="AM67" i="6"/>
  <c r="AU67" i="6"/>
  <c r="AR67" i="6"/>
  <c r="AX67" i="6"/>
  <c r="AT67" i="6"/>
  <c r="BB67" i="6"/>
  <c r="BE67" i="6"/>
  <c r="AJ67" i="6"/>
  <c r="BD67" i="6"/>
  <c r="BC67" i="6"/>
  <c r="BG67" i="6"/>
  <c r="BF67" i="6"/>
  <c r="AC67" i="6"/>
  <c r="AN67" i="6"/>
  <c r="AD67" i="6"/>
  <c r="AI67" i="6"/>
  <c r="AS67" i="6"/>
  <c r="AE67" i="6"/>
  <c r="AB67" i="6"/>
  <c r="AZ67" i="6"/>
  <c r="AP67" i="6"/>
  <c r="BA67" i="6"/>
  <c r="AV67" i="6"/>
  <c r="AK67" i="6"/>
  <c r="AG67" i="6"/>
  <c r="AH67" i="6"/>
  <c r="AQ67" i="6"/>
  <c r="K69" i="12"/>
  <c r="G68" i="12"/>
  <c r="E70" i="12"/>
  <c r="F70" i="6"/>
  <c r="H69" i="6"/>
  <c r="T69" i="5" s="1"/>
  <c r="A71" i="12"/>
  <c r="B71" i="6"/>
  <c r="J71" i="5"/>
  <c r="K71" i="5"/>
  <c r="AE71" i="5"/>
  <c r="C72" i="5"/>
  <c r="H71" i="5"/>
  <c r="G71" i="5"/>
  <c r="F71" i="5"/>
  <c r="D71" i="5"/>
  <c r="B71" i="12" s="1"/>
  <c r="B71" i="5"/>
  <c r="E71" i="5"/>
  <c r="AD71" i="5"/>
  <c r="N71" i="5"/>
  <c r="D70" i="6"/>
  <c r="A70" i="6" s="1"/>
  <c r="B41" i="9"/>
  <c r="M1" i="6"/>
  <c r="J70" i="6" l="1"/>
  <c r="J26" i="6"/>
  <c r="J27" i="6"/>
  <c r="M69" i="6"/>
  <c r="BD69" i="6" s="1"/>
  <c r="BB68" i="6"/>
  <c r="AC68" i="6"/>
  <c r="AS68" i="6"/>
  <c r="AR68" i="6"/>
  <c r="AB68" i="6"/>
  <c r="BG68" i="6"/>
  <c r="AN68" i="6"/>
  <c r="AH68" i="6"/>
  <c r="AF68" i="6"/>
  <c r="AO68" i="6"/>
  <c r="AK68" i="6"/>
  <c r="AI68" i="6"/>
  <c r="AJ68" i="6"/>
  <c r="AE68" i="6"/>
  <c r="BD68" i="6"/>
  <c r="AZ68" i="6"/>
  <c r="AG68" i="6"/>
  <c r="AP68" i="6"/>
  <c r="BF68" i="6"/>
  <c r="AY68" i="6"/>
  <c r="BC68" i="6"/>
  <c r="AQ68" i="6"/>
  <c r="AM68" i="6"/>
  <c r="AX68" i="6"/>
  <c r="AT68" i="6"/>
  <c r="BE68" i="6"/>
  <c r="BA68" i="6"/>
  <c r="AV68" i="6"/>
  <c r="AD68" i="6"/>
  <c r="H70" i="6"/>
  <c r="T70" i="5" s="1"/>
  <c r="G70" i="6"/>
  <c r="N70" i="6"/>
  <c r="M70" i="6"/>
  <c r="AZ70" i="6" s="1"/>
  <c r="J71" i="6"/>
  <c r="L71" i="12" a="1"/>
  <c r="L71" i="12" s="1"/>
  <c r="J71" i="12" a="1"/>
  <c r="J71" i="12" s="1"/>
  <c r="G69" i="12"/>
  <c r="B42" i="9"/>
  <c r="J16" i="6"/>
  <c r="J17" i="6"/>
  <c r="J18" i="6"/>
  <c r="J19" i="6"/>
  <c r="J20" i="6"/>
  <c r="J21" i="6"/>
  <c r="J22" i="6"/>
  <c r="J23" i="6"/>
  <c r="J24" i="6"/>
  <c r="J25"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D71" i="6"/>
  <c r="A71" i="6" s="1"/>
  <c r="A72" i="12"/>
  <c r="B72" i="6"/>
  <c r="AD72" i="5"/>
  <c r="B72" i="5"/>
  <c r="E72" i="5"/>
  <c r="K72" i="5"/>
  <c r="D72" i="5"/>
  <c r="B72" i="12" s="1"/>
  <c r="H72" i="5"/>
  <c r="AE72" i="5"/>
  <c r="N72" i="5"/>
  <c r="J72" i="5"/>
  <c r="C73" i="5"/>
  <c r="G72" i="5"/>
  <c r="F72" i="5"/>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BE69" i="6" l="1"/>
  <c r="AO69" i="6"/>
  <c r="AP69" i="6"/>
  <c r="AJ69" i="6"/>
  <c r="AX69" i="6"/>
  <c r="AR69" i="6"/>
  <c r="BB69" i="6"/>
  <c r="AM69" i="6"/>
  <c r="AY69" i="6"/>
  <c r="AH69" i="6"/>
  <c r="AS69" i="6"/>
  <c r="AK69" i="6"/>
  <c r="AE69" i="6"/>
  <c r="BC69" i="6"/>
  <c r="AN69" i="6"/>
  <c r="BF69" i="6"/>
  <c r="AG69" i="6"/>
  <c r="AC69" i="6"/>
  <c r="AB69" i="6"/>
  <c r="AQ69" i="6"/>
  <c r="BG69" i="6"/>
  <c r="BA69" i="6"/>
  <c r="AD69" i="6"/>
  <c r="AZ69" i="6"/>
  <c r="AV69" i="6"/>
  <c r="AT69" i="6"/>
  <c r="AI69" i="6"/>
  <c r="AU69" i="6"/>
  <c r="AF69" i="6"/>
  <c r="AG70" i="6"/>
  <c r="AT70" i="6"/>
  <c r="AN70" i="6"/>
  <c r="BG70" i="6"/>
  <c r="BB70" i="6"/>
  <c r="AX70" i="6"/>
  <c r="AY70" i="6"/>
  <c r="BC70" i="6"/>
  <c r="K71" i="12"/>
  <c r="AB70" i="6"/>
  <c r="BD70" i="6"/>
  <c r="N71" i="6"/>
  <c r="H71" i="6"/>
  <c r="T71" i="5" s="1"/>
  <c r="M71" i="6"/>
  <c r="BD71" i="6" s="1"/>
  <c r="BA70" i="6"/>
  <c r="AK70" i="6"/>
  <c r="A73" i="12"/>
  <c r="B73" i="6"/>
  <c r="F73" i="5"/>
  <c r="E73" i="5"/>
  <c r="K73" i="5"/>
  <c r="B73" i="5"/>
  <c r="J73" i="5"/>
  <c r="D73" i="5"/>
  <c r="B73" i="12" s="1"/>
  <c r="H73" i="5"/>
  <c r="G73" i="5"/>
  <c r="AE73" i="5"/>
  <c r="AD73" i="5"/>
  <c r="N73" i="5"/>
  <c r="AF70" i="6"/>
  <c r="AC70" i="6"/>
  <c r="AH70" i="6"/>
  <c r="AO70" i="6"/>
  <c r="BF70" i="6"/>
  <c r="AU70" i="6"/>
  <c r="D72" i="6"/>
  <c r="A72" i="6" s="1"/>
  <c r="J72" i="6"/>
  <c r="AP70" i="6"/>
  <c r="AD70" i="6"/>
  <c r="L72" i="12" a="1"/>
  <c r="L72" i="12" s="1"/>
  <c r="J72" i="12" a="1"/>
  <c r="J72" i="12" s="1"/>
  <c r="AQ70" i="6"/>
  <c r="AE70" i="6"/>
  <c r="AI70" i="6"/>
  <c r="AR70" i="6"/>
  <c r="BE70" i="6"/>
  <c r="AV70" i="6"/>
  <c r="B43" i="9"/>
  <c r="AM70" i="6"/>
  <c r="AS70" i="6"/>
  <c r="G70" i="12"/>
  <c r="AJ70" i="6"/>
  <c r="I10" i="7"/>
  <c r="K13" i="7"/>
  <c r="L13" i="7" s="1"/>
  <c r="J10" i="7"/>
  <c r="BG71" i="6" l="1"/>
  <c r="AQ71" i="6"/>
  <c r="AN71" i="6"/>
  <c r="AV71" i="6"/>
  <c r="AX71" i="6"/>
  <c r="AM71" i="6"/>
  <c r="AC71" i="6"/>
  <c r="AG71" i="6"/>
  <c r="BC71" i="6"/>
  <c r="AY71" i="6"/>
  <c r="AD71" i="6"/>
  <c r="AT71" i="6"/>
  <c r="AP71" i="6"/>
  <c r="K72" i="12"/>
  <c r="N72" i="6"/>
  <c r="M72" i="6"/>
  <c r="AY72" i="6" s="1"/>
  <c r="H72" i="6"/>
  <c r="T72" i="5" s="1"/>
  <c r="AI71" i="6"/>
  <c r="D73" i="6"/>
  <c r="B44" i="9"/>
  <c r="BA71" i="6"/>
  <c r="AE71" i="6"/>
  <c r="AH71" i="6"/>
  <c r="AR71" i="6"/>
  <c r="J73" i="6"/>
  <c r="G71" i="12"/>
  <c r="AU71" i="6"/>
  <c r="BE71" i="6"/>
  <c r="L73" i="12" a="1"/>
  <c r="L73" i="12" s="1"/>
  <c r="J73" i="12" a="1"/>
  <c r="J73" i="12" s="1"/>
  <c r="AZ71" i="6"/>
  <c r="AB71" i="6"/>
  <c r="AF71" i="6"/>
  <c r="AJ71" i="6"/>
  <c r="AO71" i="6"/>
  <c r="AS71" i="6"/>
  <c r="AK71" i="6"/>
  <c r="BB71" i="6"/>
  <c r="BF71" i="6"/>
  <c r="M13" i="7"/>
  <c r="L10" i="7"/>
  <c r="AI72" i="6" l="1"/>
  <c r="BB72" i="6"/>
  <c r="AO72" i="6"/>
  <c r="AU72" i="6"/>
  <c r="AD72" i="6"/>
  <c r="BG72" i="6"/>
  <c r="AX72" i="6"/>
  <c r="I70" i="5"/>
  <c r="BA72" i="6"/>
  <c r="H73" i="6"/>
  <c r="T73" i="5" s="1"/>
  <c r="BF72" i="6"/>
  <c r="AV72" i="6"/>
  <c r="G72" i="12"/>
  <c r="AF72" i="6"/>
  <c r="AR72" i="6"/>
  <c r="AG72" i="6"/>
  <c r="AK72" i="6"/>
  <c r="AS72" i="6"/>
  <c r="AT72" i="6"/>
  <c r="AH72" i="6"/>
  <c r="K73" i="12"/>
  <c r="A73" i="6"/>
  <c r="AQ72" i="6"/>
  <c r="AC72" i="6"/>
  <c r="AM72" i="6"/>
  <c r="AE72" i="6"/>
  <c r="BD72" i="6"/>
  <c r="AP72" i="6"/>
  <c r="AZ72" i="6"/>
  <c r="AJ72" i="6"/>
  <c r="AB72" i="6"/>
  <c r="BC72" i="6"/>
  <c r="B45" i="9"/>
  <c r="BE72" i="6"/>
  <c r="AN72" i="6"/>
  <c r="N13" i="7"/>
  <c r="M10" i="7"/>
  <c r="M73" i="6" l="1"/>
  <c r="BG73" i="6" s="1"/>
  <c r="G73" i="12"/>
  <c r="B46" i="9"/>
  <c r="N73" i="6"/>
  <c r="O13" i="7"/>
  <c r="N10" i="7"/>
  <c r="AH73" i="6" l="1"/>
  <c r="BD73" i="6"/>
  <c r="AP73" i="6"/>
  <c r="AY73" i="6"/>
  <c r="BC73" i="6"/>
  <c r="BF73" i="6"/>
  <c r="AE73" i="6"/>
  <c r="BA73" i="6"/>
  <c r="BE73" i="6"/>
  <c r="AF73" i="6"/>
  <c r="AT73" i="6"/>
  <c r="AX73" i="6"/>
  <c r="AR73" i="6"/>
  <c r="AG73" i="6"/>
  <c r="AK73" i="6"/>
  <c r="AB73" i="6"/>
  <c r="AO73" i="6"/>
  <c r="BB73" i="6"/>
  <c r="AM73" i="6"/>
  <c r="AJ73" i="6"/>
  <c r="AZ73" i="6"/>
  <c r="AI73" i="6"/>
  <c r="AV73" i="6"/>
  <c r="AS73" i="6"/>
  <c r="AN73" i="6"/>
  <c r="AC73" i="6"/>
  <c r="AQ73" i="6"/>
  <c r="AD73" i="6"/>
  <c r="AU73" i="6"/>
  <c r="B47" i="9"/>
  <c r="P13" i="7"/>
  <c r="O10" i="7"/>
  <c r="B48" i="9" l="1"/>
  <c r="Q13" i="7"/>
  <c r="P10" i="7"/>
  <c r="B49" i="9" l="1"/>
  <c r="R13" i="7"/>
  <c r="Q10" i="7"/>
  <c r="B50" i="9" l="1"/>
  <c r="S13" i="7"/>
  <c r="R10" i="7"/>
  <c r="B51" i="9" l="1"/>
  <c r="T13" i="7"/>
  <c r="S10" i="7"/>
  <c r="B52" i="9" l="1"/>
  <c r="U13" i="7"/>
  <c r="T10" i="7"/>
  <c r="B53" i="9" l="1"/>
  <c r="V13" i="7"/>
  <c r="U10" i="7"/>
  <c r="K11" i="10"/>
  <c r="K10" i="7"/>
  <c r="B54" i="9" l="1"/>
  <c r="W13" i="7"/>
  <c r="V10" i="7"/>
  <c r="T14" i="5"/>
  <c r="B55" i="9" l="1"/>
  <c r="X13" i="7"/>
  <c r="W10" i="7"/>
  <c r="G14" i="12"/>
  <c r="B56" i="9" l="1"/>
  <c r="Y13" i="7"/>
  <c r="X10" i="7"/>
  <c r="A8" i="9"/>
  <c r="B7" i="9" a="1"/>
  <c r="B7" i="9" s="1"/>
  <c r="B57" i="9" l="1"/>
  <c r="Y10" i="7"/>
  <c r="D15" i="7"/>
  <c r="C16" i="7" s="1" a="1"/>
  <c r="C16" i="7" s="1"/>
  <c r="B15" i="10"/>
  <c r="B16" i="10" s="1"/>
  <c r="C17" i="7" l="1" a="1"/>
  <c r="C17" i="7" s="1"/>
  <c r="B16" i="7"/>
  <c r="B17" i="10"/>
  <c r="B58" i="9"/>
  <c r="B15" i="7"/>
  <c r="C15" i="9"/>
  <c r="F15" i="9" s="1"/>
  <c r="C15" i="10"/>
  <c r="A15" i="7"/>
  <c r="B18" i="10" l="1"/>
  <c r="B59" i="9"/>
  <c r="B17" i="7"/>
  <c r="C18" i="7" a="1"/>
  <c r="C18" i="7" s="1"/>
  <c r="D21" i="2"/>
  <c r="B60" i="9" l="1"/>
  <c r="B19" i="10"/>
  <c r="B18" i="7"/>
  <c r="C19" i="7" a="1"/>
  <c r="C19" i="7" s="1"/>
  <c r="I15" i="12"/>
  <c r="M15" i="12"/>
  <c r="J15" i="12" s="1"/>
  <c r="O15" i="12"/>
  <c r="C74" i="5" l="1"/>
  <c r="AE74" i="5" s="1"/>
  <c r="C20" i="7" a="1"/>
  <c r="C20" i="7" s="1"/>
  <c r="B19" i="7"/>
  <c r="B20" i="10"/>
  <c r="B61" i="9"/>
  <c r="L15" i="12"/>
  <c r="K15" i="12" s="1"/>
  <c r="N15" i="12"/>
  <c r="P10" i="12"/>
  <c r="O10" i="12" s="1"/>
  <c r="AD74" i="5" l="1"/>
  <c r="B74" i="5"/>
  <c r="C75" i="5"/>
  <c r="A75" i="12" s="1"/>
  <c r="B74" i="6"/>
  <c r="J74" i="6" s="1"/>
  <c r="A74" i="12"/>
  <c r="N74" i="5"/>
  <c r="D74" i="6" s="1"/>
  <c r="H74" i="5"/>
  <c r="E74" i="5"/>
  <c r="F74" i="5"/>
  <c r="W74" i="5"/>
  <c r="H74" i="12" s="1"/>
  <c r="G74" i="5"/>
  <c r="B20" i="7"/>
  <c r="C21" i="7" a="1"/>
  <c r="C21" i="7" s="1"/>
  <c r="B62" i="9"/>
  <c r="E74" i="12"/>
  <c r="F74" i="6"/>
  <c r="B21" i="10"/>
  <c r="F15" i="7" a="1"/>
  <c r="F15" i="7" s="1"/>
  <c r="J75" i="5" l="1"/>
  <c r="K75" i="5"/>
  <c r="D75" i="5"/>
  <c r="B75" i="12" s="1"/>
  <c r="AE75" i="5"/>
  <c r="H75" i="5"/>
  <c r="N75" i="5"/>
  <c r="D75" i="6" s="1"/>
  <c r="B75" i="5"/>
  <c r="AD75" i="5"/>
  <c r="B75" i="6"/>
  <c r="J75" i="6" s="1"/>
  <c r="G75" i="5"/>
  <c r="C76" i="5"/>
  <c r="K76" i="5" s="1"/>
  <c r="E75" i="5"/>
  <c r="F75" i="5"/>
  <c r="H74" i="6"/>
  <c r="T74" i="5" s="1"/>
  <c r="G74" i="6"/>
  <c r="B63" i="9"/>
  <c r="B21" i="7"/>
  <c r="C22" i="7" a="1"/>
  <c r="C22" i="7" s="1"/>
  <c r="A74" i="6"/>
  <c r="N74" i="6" s="1"/>
  <c r="L75" i="12" a="1"/>
  <c r="L75" i="12" s="1"/>
  <c r="J75" i="12" a="1"/>
  <c r="J75" i="12" s="1"/>
  <c r="B22" i="10"/>
  <c r="J15" i="7"/>
  <c r="S15" i="7"/>
  <c r="L15" i="7"/>
  <c r="X15" i="7"/>
  <c r="R15" i="7"/>
  <c r="O15" i="7"/>
  <c r="Y15" i="7"/>
  <c r="M15" i="7"/>
  <c r="Q15" i="7"/>
  <c r="P15" i="7"/>
  <c r="V15" i="7"/>
  <c r="K15" i="7"/>
  <c r="U15" i="7"/>
  <c r="W15" i="7"/>
  <c r="T15" i="7"/>
  <c r="I15" i="7"/>
  <c r="N15" i="7"/>
  <c r="B76" i="5" l="1"/>
  <c r="C77" i="5"/>
  <c r="AD77" i="5" s="1"/>
  <c r="AD76" i="5"/>
  <c r="B76" i="6"/>
  <c r="J76" i="6" s="1"/>
  <c r="G76" i="5"/>
  <c r="AE76" i="5"/>
  <c r="N76" i="5"/>
  <c r="D76" i="6" s="1"/>
  <c r="J76" i="5"/>
  <c r="A76" i="12"/>
  <c r="L76" i="12" s="1" a="1"/>
  <c r="L76" i="12" s="1"/>
  <c r="D76" i="5"/>
  <c r="B76" i="12" s="1"/>
  <c r="E76" i="5"/>
  <c r="F76" i="5"/>
  <c r="H76" i="5"/>
  <c r="K75" i="12"/>
  <c r="A75" i="6"/>
  <c r="N75" i="6" s="1"/>
  <c r="G74" i="12"/>
  <c r="B64" i="9"/>
  <c r="M74" i="6"/>
  <c r="AF74" i="6" s="1"/>
  <c r="H75" i="6"/>
  <c r="T75" i="5" s="1"/>
  <c r="C23" i="7" a="1"/>
  <c r="C23" i="7" s="1"/>
  <c r="B22" i="7"/>
  <c r="B23" i="10"/>
  <c r="H15" i="7"/>
  <c r="E15" i="7"/>
  <c r="E77" i="5" l="1"/>
  <c r="F77" i="5"/>
  <c r="K77" i="5"/>
  <c r="C78" i="5"/>
  <c r="D77" i="5"/>
  <c r="B77" i="12" s="1"/>
  <c r="N77" i="5"/>
  <c r="D77" i="6" s="1"/>
  <c r="J77" i="5"/>
  <c r="AE77" i="5"/>
  <c r="H77" i="5"/>
  <c r="B77" i="5"/>
  <c r="G77" i="5"/>
  <c r="B77" i="6"/>
  <c r="J77" i="6" s="1"/>
  <c r="A77" i="12"/>
  <c r="L77" i="12" s="1" a="1"/>
  <c r="L77" i="12" s="1"/>
  <c r="J76" i="12" a="1"/>
  <c r="J76" i="12" s="1"/>
  <c r="K76" i="12" s="1"/>
  <c r="M75" i="6"/>
  <c r="BG75" i="6" s="1"/>
  <c r="A76" i="6"/>
  <c r="N76" i="6" s="1"/>
  <c r="AB74" i="6"/>
  <c r="AI74" i="6"/>
  <c r="AH74" i="6"/>
  <c r="AK74" i="6"/>
  <c r="AJ74" i="6"/>
  <c r="AG74" i="6"/>
  <c r="AD74" i="6"/>
  <c r="AC74" i="6"/>
  <c r="AE74" i="6"/>
  <c r="BD74" i="6"/>
  <c r="AR74" i="6"/>
  <c r="AP74" i="6"/>
  <c r="BA74" i="6"/>
  <c r="AQ74" i="6"/>
  <c r="BG74" i="6"/>
  <c r="AN74" i="6"/>
  <c r="BF74" i="6"/>
  <c r="AS74" i="6"/>
  <c r="AX74" i="6"/>
  <c r="AZ74" i="6"/>
  <c r="BE74" i="6"/>
  <c r="AM74" i="6"/>
  <c r="AV74" i="6"/>
  <c r="BC74" i="6"/>
  <c r="AT74" i="6"/>
  <c r="AU74" i="6"/>
  <c r="AY74" i="6"/>
  <c r="BB74" i="6"/>
  <c r="AO74" i="6"/>
  <c r="B23" i="7"/>
  <c r="C24" i="7" a="1"/>
  <c r="C24" i="7" s="1"/>
  <c r="G75" i="12"/>
  <c r="B24" i="10"/>
  <c r="H76" i="6"/>
  <c r="T76" i="5" s="1"/>
  <c r="E78" i="5" l="1"/>
  <c r="AD78" i="5"/>
  <c r="G78" i="5"/>
  <c r="C79" i="5"/>
  <c r="B79" i="6" s="1"/>
  <c r="B78" i="5"/>
  <c r="F78" i="5"/>
  <c r="J78" i="5"/>
  <c r="K78" i="5"/>
  <c r="B78" i="6"/>
  <c r="J78" i="6" s="1"/>
  <c r="H78" i="5"/>
  <c r="A78" i="12"/>
  <c r="L78" i="12" s="1" a="1"/>
  <c r="L78" i="12" s="1"/>
  <c r="AE78" i="5"/>
  <c r="N78" i="5"/>
  <c r="D78" i="6" s="1"/>
  <c r="D78" i="5"/>
  <c r="B78" i="12" s="1"/>
  <c r="J77" i="12" a="1"/>
  <c r="J77" i="12" s="1"/>
  <c r="K77" i="12" s="1"/>
  <c r="AZ75" i="6"/>
  <c r="AI75" i="6"/>
  <c r="AE75" i="6"/>
  <c r="AX75" i="6"/>
  <c r="AF75" i="6"/>
  <c r="AT75" i="6"/>
  <c r="AB75" i="6"/>
  <c r="BA75" i="6"/>
  <c r="AD75" i="6"/>
  <c r="BC75" i="6"/>
  <c r="AC75" i="6"/>
  <c r="BF75" i="6"/>
  <c r="AO75" i="6"/>
  <c r="AS75" i="6"/>
  <c r="AM75" i="6"/>
  <c r="AH75" i="6"/>
  <c r="BB75" i="6"/>
  <c r="AU75" i="6"/>
  <c r="BE75" i="6"/>
  <c r="AK75" i="6"/>
  <c r="M76" i="6"/>
  <c r="AP76" i="6" s="1"/>
  <c r="AN75" i="6"/>
  <c r="AV75" i="6"/>
  <c r="AR75" i="6"/>
  <c r="A77" i="6"/>
  <c r="M77" i="6" s="1"/>
  <c r="AT77" i="6" s="1"/>
  <c r="BD75" i="6"/>
  <c r="AP75" i="6"/>
  <c r="AQ75" i="6"/>
  <c r="AJ75" i="6"/>
  <c r="AG75" i="6"/>
  <c r="AY75" i="6"/>
  <c r="B24" i="7"/>
  <c r="C25" i="7" a="1"/>
  <c r="C25" i="7" s="1"/>
  <c r="G76" i="12"/>
  <c r="B25" i="10"/>
  <c r="H77" i="6"/>
  <c r="T77" i="5" s="1"/>
  <c r="D79" i="5" l="1"/>
  <c r="B79" i="12" s="1"/>
  <c r="N79" i="5"/>
  <c r="D79" i="6" s="1"/>
  <c r="A79" i="12"/>
  <c r="L79" i="12" s="1" a="1"/>
  <c r="L79" i="12" s="1"/>
  <c r="E79" i="5"/>
  <c r="H79" i="5"/>
  <c r="J79" i="5"/>
  <c r="F79" i="5"/>
  <c r="B79" i="5"/>
  <c r="G79" i="5"/>
  <c r="K79" i="5"/>
  <c r="C80" i="5"/>
  <c r="K80" i="5" s="1"/>
  <c r="AD79" i="5"/>
  <c r="AE79" i="5"/>
  <c r="J78" i="12" a="1"/>
  <c r="J78" i="12" s="1"/>
  <c r="K78" i="12" s="1"/>
  <c r="AX76" i="6"/>
  <c r="AQ76" i="6"/>
  <c r="BG76" i="6"/>
  <c r="BA76" i="6"/>
  <c r="AB76" i="6"/>
  <c r="AC76" i="6"/>
  <c r="AF76" i="6"/>
  <c r="AI76" i="6"/>
  <c r="AY76" i="6"/>
  <c r="AV76" i="6"/>
  <c r="A78" i="6"/>
  <c r="N78" i="6" s="1"/>
  <c r="AH76" i="6"/>
  <c r="AT76" i="6"/>
  <c r="AU76" i="6"/>
  <c r="BC76" i="6"/>
  <c r="BB76" i="6"/>
  <c r="AM76" i="6"/>
  <c r="AO76" i="6"/>
  <c r="BD76" i="6"/>
  <c r="AK76" i="6"/>
  <c r="AD76" i="6"/>
  <c r="BE76" i="6"/>
  <c r="AG76" i="6"/>
  <c r="AR76" i="6"/>
  <c r="N77" i="6"/>
  <c r="AZ76" i="6"/>
  <c r="AN76" i="6"/>
  <c r="AJ76" i="6"/>
  <c r="BF76" i="6"/>
  <c r="AE76" i="6"/>
  <c r="AS76" i="6"/>
  <c r="I74" i="5"/>
  <c r="BF77" i="6"/>
  <c r="AU77" i="6"/>
  <c r="BB77" i="6"/>
  <c r="BG77" i="6"/>
  <c r="AH77" i="6"/>
  <c r="AD77" i="6"/>
  <c r="BD77" i="6"/>
  <c r="AE77" i="6"/>
  <c r="BE77" i="6"/>
  <c r="J79" i="6"/>
  <c r="AP77" i="6"/>
  <c r="AS77" i="6"/>
  <c r="AI77" i="6"/>
  <c r="B26" i="10"/>
  <c r="AR77" i="6"/>
  <c r="AC77" i="6"/>
  <c r="AV77" i="6"/>
  <c r="BC77" i="6"/>
  <c r="G77" i="12"/>
  <c r="AB77" i="6"/>
  <c r="AJ77" i="6"/>
  <c r="AQ77" i="6"/>
  <c r="C26" i="7" a="1"/>
  <c r="C26" i="7" s="1"/>
  <c r="B25" i="7"/>
  <c r="AZ77" i="6"/>
  <c r="AF77" i="6"/>
  <c r="AN77" i="6"/>
  <c r="AX77" i="6"/>
  <c r="AM77" i="6"/>
  <c r="BA77" i="6"/>
  <c r="AK77" i="6"/>
  <c r="AO77" i="6"/>
  <c r="AG77" i="6"/>
  <c r="AY77" i="6"/>
  <c r="H78" i="6"/>
  <c r="T78" i="5" s="1"/>
  <c r="J10" i="13"/>
  <c r="J79" i="12" l="1" a="1"/>
  <c r="J79" i="12" s="1"/>
  <c r="K79" i="12" s="1"/>
  <c r="H80" i="5"/>
  <c r="B80" i="5"/>
  <c r="AD80" i="5"/>
  <c r="AE80" i="5"/>
  <c r="F80" i="5"/>
  <c r="G80" i="5"/>
  <c r="B80" i="6"/>
  <c r="J80" i="6" s="1"/>
  <c r="D80" i="5"/>
  <c r="B80" i="12" s="1"/>
  <c r="A80" i="12"/>
  <c r="L80" i="12" s="1" a="1"/>
  <c r="L80" i="12" s="1"/>
  <c r="N80" i="5"/>
  <c r="D80" i="6" s="1"/>
  <c r="E80" i="5"/>
  <c r="C81" i="5"/>
  <c r="J80" i="5"/>
  <c r="M78" i="6"/>
  <c r="AS78" i="6" s="1"/>
  <c r="G78" i="12"/>
  <c r="B26" i="7"/>
  <c r="C27" i="7" a="1"/>
  <c r="C27" i="7" s="1"/>
  <c r="H79" i="6"/>
  <c r="T79" i="5" s="1"/>
  <c r="B27" i="10"/>
  <c r="A79" i="6"/>
  <c r="N79" i="6" s="1"/>
  <c r="K74" i="10" a="1"/>
  <c r="K74" i="10" s="1"/>
  <c r="J81" i="5" l="1"/>
  <c r="C82" i="5"/>
  <c r="AD81" i="5"/>
  <c r="J80" i="12" a="1"/>
  <c r="J80" i="12" s="1"/>
  <c r="K80" i="12" s="1"/>
  <c r="B81" i="6"/>
  <c r="J81" i="6" s="1"/>
  <c r="B81" i="5"/>
  <c r="H81" i="5"/>
  <c r="D81" i="5"/>
  <c r="B81" i="12" s="1"/>
  <c r="K81" i="5"/>
  <c r="A81" i="12"/>
  <c r="L81" i="12" s="1" a="1"/>
  <c r="L81" i="12" s="1"/>
  <c r="E81" i="5"/>
  <c r="N81" i="5"/>
  <c r="D81" i="6" s="1"/>
  <c r="F81" i="5"/>
  <c r="G81" i="5"/>
  <c r="AE81" i="5"/>
  <c r="AR78" i="6"/>
  <c r="BB78" i="6"/>
  <c r="AT78" i="6"/>
  <c r="AH78" i="6"/>
  <c r="AG78" i="6"/>
  <c r="AE78" i="6"/>
  <c r="AO78" i="6"/>
  <c r="AJ78" i="6"/>
  <c r="BD78" i="6"/>
  <c r="AF78" i="6"/>
  <c r="BG78" i="6"/>
  <c r="BA78" i="6"/>
  <c r="AD78" i="6"/>
  <c r="BF78" i="6"/>
  <c r="AQ78" i="6"/>
  <c r="AC78" i="6"/>
  <c r="AV78" i="6"/>
  <c r="AB78" i="6"/>
  <c r="AI78" i="6"/>
  <c r="AZ78" i="6"/>
  <c r="AY78" i="6"/>
  <c r="BE78" i="6"/>
  <c r="AX78" i="6"/>
  <c r="BC78" i="6"/>
  <c r="AM78" i="6"/>
  <c r="AU78" i="6"/>
  <c r="AP78" i="6"/>
  <c r="AK78" i="6"/>
  <c r="AN78" i="6"/>
  <c r="A80" i="6"/>
  <c r="M80" i="6" s="1"/>
  <c r="AP80" i="6" s="1"/>
  <c r="G79" i="12"/>
  <c r="M79" i="6"/>
  <c r="AG79" i="6" s="1"/>
  <c r="B28" i="10"/>
  <c r="H80" i="6"/>
  <c r="T80" i="5" s="1"/>
  <c r="B27" i="7"/>
  <c r="C28" i="7" a="1"/>
  <c r="C28" i="7" s="1"/>
  <c r="A14" i="6"/>
  <c r="E82" i="5" l="1"/>
  <c r="G82" i="5"/>
  <c r="D82" i="5"/>
  <c r="B82" i="12" s="1"/>
  <c r="C83" i="5"/>
  <c r="F82" i="5"/>
  <c r="A82" i="12"/>
  <c r="AE82" i="5"/>
  <c r="AD82" i="5"/>
  <c r="B82" i="5"/>
  <c r="N82" i="5"/>
  <c r="K82" i="5"/>
  <c r="J82" i="5"/>
  <c r="H82" i="5"/>
  <c r="B82" i="6"/>
  <c r="J81" i="12" a="1"/>
  <c r="J81" i="12" s="1"/>
  <c r="K81" i="12" s="1"/>
  <c r="AK79" i="6"/>
  <c r="A81" i="6"/>
  <c r="N81" i="6" s="1"/>
  <c r="N80" i="6"/>
  <c r="AD79" i="6"/>
  <c r="AJ79" i="6"/>
  <c r="AB79" i="6"/>
  <c r="AC79" i="6"/>
  <c r="AJ80" i="6"/>
  <c r="AK80" i="6"/>
  <c r="AX80" i="6"/>
  <c r="BG80" i="6"/>
  <c r="AI79" i="6"/>
  <c r="B29" i="10"/>
  <c r="H81" i="6"/>
  <c r="T81" i="5" s="1"/>
  <c r="AC80" i="6"/>
  <c r="AG80" i="6"/>
  <c r="AM80" i="6"/>
  <c r="AD80" i="6"/>
  <c r="AH80" i="6"/>
  <c r="BC79" i="6"/>
  <c r="AV79" i="6"/>
  <c r="AZ79" i="6"/>
  <c r="AP79" i="6"/>
  <c r="AS79" i="6"/>
  <c r="AM79" i="6"/>
  <c r="AU79" i="6"/>
  <c r="AR79" i="6"/>
  <c r="BD79" i="6"/>
  <c r="AO79" i="6"/>
  <c r="AY79" i="6"/>
  <c r="BB79" i="6"/>
  <c r="BF79" i="6"/>
  <c r="AQ79" i="6"/>
  <c r="AX79" i="6"/>
  <c r="BE79" i="6"/>
  <c r="AT79" i="6"/>
  <c r="BG79" i="6"/>
  <c r="BA79" i="6"/>
  <c r="AN79" i="6"/>
  <c r="AQ80" i="6"/>
  <c r="AU80" i="6"/>
  <c r="AF79" i="6"/>
  <c r="AI80" i="6"/>
  <c r="AT80" i="6"/>
  <c r="AB80" i="6"/>
  <c r="AV80" i="6"/>
  <c r="AZ80" i="6"/>
  <c r="BF80" i="6"/>
  <c r="BA80" i="6"/>
  <c r="BD80" i="6"/>
  <c r="AE80" i="6"/>
  <c r="G80" i="12"/>
  <c r="AO80" i="6"/>
  <c r="BB80" i="6"/>
  <c r="AR80" i="6"/>
  <c r="AY80" i="6"/>
  <c r="AN80" i="6"/>
  <c r="BE80" i="6"/>
  <c r="AH79" i="6"/>
  <c r="AS80" i="6"/>
  <c r="C29" i="7" a="1"/>
  <c r="C29" i="7" s="1"/>
  <c r="B28" i="7"/>
  <c r="BC80" i="6"/>
  <c r="AF80" i="6"/>
  <c r="AE79" i="6"/>
  <c r="N14" i="6"/>
  <c r="M14" i="6"/>
  <c r="B83" i="6" l="1"/>
  <c r="N83" i="5"/>
  <c r="K83" i="5"/>
  <c r="H83" i="5"/>
  <c r="AE83" i="5"/>
  <c r="J83" i="5"/>
  <c r="A83" i="12"/>
  <c r="G83" i="5"/>
  <c r="F83" i="5"/>
  <c r="E83" i="5"/>
  <c r="D83" i="5"/>
  <c r="B83" i="12" s="1"/>
  <c r="AD83" i="5"/>
  <c r="B83" i="5"/>
  <c r="C84" i="5"/>
  <c r="D82" i="6"/>
  <c r="A82" i="6" s="1"/>
  <c r="J82" i="6"/>
  <c r="J82" i="12" a="1"/>
  <c r="J82" i="12" s="1"/>
  <c r="L82" i="12" a="1"/>
  <c r="L82" i="12" s="1"/>
  <c r="M81" i="6"/>
  <c r="AM81" i="6" s="1"/>
  <c r="B30" i="10"/>
  <c r="G81" i="12"/>
  <c r="C30" i="7" a="1"/>
  <c r="C30" i="7" s="1"/>
  <c r="B29" i="7"/>
  <c r="AM14" i="6"/>
  <c r="AN14" i="6"/>
  <c r="AR14" i="6"/>
  <c r="AO14" i="6"/>
  <c r="AP14" i="6"/>
  <c r="AT14" i="6"/>
  <c r="AS14" i="6"/>
  <c r="AV14" i="6"/>
  <c r="AU14" i="6"/>
  <c r="AQ14" i="6"/>
  <c r="BF14" i="6"/>
  <c r="AD14" i="6"/>
  <c r="AH14" i="6"/>
  <c r="AX14" i="6"/>
  <c r="AG14" i="6"/>
  <c r="AZ14" i="6"/>
  <c r="BB14" i="6"/>
  <c r="AB14" i="6"/>
  <c r="AY14" i="6"/>
  <c r="BE14" i="6"/>
  <c r="AC14" i="6"/>
  <c r="BD14" i="6"/>
  <c r="AE14" i="6"/>
  <c r="AI14" i="6"/>
  <c r="AJ14" i="6"/>
  <c r="AK14" i="6"/>
  <c r="BG14" i="6"/>
  <c r="BC14" i="6"/>
  <c r="AF14" i="6"/>
  <c r="BA14" i="6"/>
  <c r="K82" i="12" l="1"/>
  <c r="A84" i="12"/>
  <c r="AE84" i="5"/>
  <c r="G84" i="5"/>
  <c r="C85" i="5"/>
  <c r="AD84" i="5"/>
  <c r="F84" i="5"/>
  <c r="B84" i="6"/>
  <c r="E84" i="5"/>
  <c r="H84" i="5"/>
  <c r="D84" i="5"/>
  <c r="B84" i="12" s="1"/>
  <c r="J84" i="5"/>
  <c r="N84" i="5"/>
  <c r="D84" i="6" s="1"/>
  <c r="H84" i="6" s="1"/>
  <c r="T84" i="5" s="1"/>
  <c r="G84" i="12" s="1"/>
  <c r="B84" i="5"/>
  <c r="K84" i="5"/>
  <c r="D83" i="6"/>
  <c r="A83" i="6" s="1"/>
  <c r="J83" i="6"/>
  <c r="N82" i="6"/>
  <c r="M82" i="6"/>
  <c r="BF82" i="6" s="1"/>
  <c r="H82" i="6"/>
  <c r="T82" i="5" s="1"/>
  <c r="J83" i="12" a="1"/>
  <c r="J83" i="12" s="1"/>
  <c r="L83" i="12" a="1"/>
  <c r="L83" i="12" s="1"/>
  <c r="AY81" i="6"/>
  <c r="AH81" i="6"/>
  <c r="AN81" i="6"/>
  <c r="AV81" i="6"/>
  <c r="AP81" i="6"/>
  <c r="AJ81" i="6"/>
  <c r="AC81" i="6"/>
  <c r="AU81" i="6"/>
  <c r="AK81" i="6"/>
  <c r="BC81" i="6"/>
  <c r="BE81" i="6"/>
  <c r="AD81" i="6"/>
  <c r="BF81" i="6"/>
  <c r="AE81" i="6"/>
  <c r="AB81" i="6"/>
  <c r="AI81" i="6"/>
  <c r="BA81" i="6"/>
  <c r="AT81" i="6"/>
  <c r="BD81" i="6"/>
  <c r="BB81" i="6"/>
  <c r="AR81" i="6"/>
  <c r="AZ81" i="6"/>
  <c r="AQ81" i="6"/>
  <c r="AF81" i="6"/>
  <c r="AO81" i="6"/>
  <c r="AS81" i="6"/>
  <c r="AG81" i="6"/>
  <c r="BG81" i="6"/>
  <c r="AX81" i="6"/>
  <c r="B31" i="10"/>
  <c r="B30" i="7"/>
  <c r="C31" i="7" a="1"/>
  <c r="C31" i="7" s="1"/>
  <c r="X14" i="5" a="1"/>
  <c r="X14" i="5" s="1"/>
  <c r="AB82" i="6" l="1"/>
  <c r="AI82" i="6"/>
  <c r="AT82" i="6"/>
  <c r="AH82" i="6"/>
  <c r="AU82" i="6"/>
  <c r="AJ82" i="6"/>
  <c r="AX82" i="6"/>
  <c r="AK82" i="6"/>
  <c r="AS82" i="6"/>
  <c r="AY82" i="6"/>
  <c r="AO82" i="6"/>
  <c r="BB82" i="6"/>
  <c r="K83" i="12"/>
  <c r="AP82" i="6"/>
  <c r="AM82" i="6"/>
  <c r="AQ82" i="6"/>
  <c r="H83" i="6"/>
  <c r="T83" i="5" s="1"/>
  <c r="M83" i="6"/>
  <c r="BF83" i="6" s="1"/>
  <c r="N83" i="6"/>
  <c r="A85" i="12"/>
  <c r="AD85" i="5"/>
  <c r="AE85" i="5"/>
  <c r="B85" i="6"/>
  <c r="F85" i="5"/>
  <c r="G85" i="5"/>
  <c r="B85" i="5"/>
  <c r="H85" i="5"/>
  <c r="E85" i="5"/>
  <c r="N85" i="5"/>
  <c r="D85" i="6" s="1"/>
  <c r="H85" i="6" s="1"/>
  <c r="T85" i="5" s="1"/>
  <c r="G85" i="12" s="1"/>
  <c r="C86" i="5"/>
  <c r="D85" i="5"/>
  <c r="B85" i="12" s="1"/>
  <c r="K85" i="5"/>
  <c r="J85" i="5"/>
  <c r="BD82" i="6"/>
  <c r="AZ82" i="6"/>
  <c r="AE82" i="6"/>
  <c r="AG82" i="6"/>
  <c r="AR82" i="6"/>
  <c r="BG82" i="6"/>
  <c r="AN82" i="6"/>
  <c r="BE82" i="6"/>
  <c r="J84" i="12" a="1"/>
  <c r="J84" i="12" s="1"/>
  <c r="L84" i="12" a="1"/>
  <c r="L84" i="12" s="1"/>
  <c r="J84" i="6"/>
  <c r="A84" i="6"/>
  <c r="BA82" i="6"/>
  <c r="AC82" i="6"/>
  <c r="AV82" i="6"/>
  <c r="BC82" i="6"/>
  <c r="AF82" i="6"/>
  <c r="G82" i="12"/>
  <c r="AD82" i="6"/>
  <c r="B31" i="7"/>
  <c r="C32" i="7" a="1"/>
  <c r="C32" i="7" s="1"/>
  <c r="B32" i="10"/>
  <c r="I14" i="5"/>
  <c r="Z14" i="5"/>
  <c r="I14" i="12"/>
  <c r="L14" i="5"/>
  <c r="AM14" i="5"/>
  <c r="K84" i="12" l="1"/>
  <c r="AT83" i="6"/>
  <c r="AH83" i="6"/>
  <c r="AV83" i="6"/>
  <c r="AP83" i="6"/>
  <c r="BG83" i="6"/>
  <c r="AY83" i="6"/>
  <c r="BC83" i="6"/>
  <c r="AD83" i="6"/>
  <c r="J85" i="6"/>
  <c r="A85" i="6"/>
  <c r="AU83" i="6"/>
  <c r="AM83" i="6"/>
  <c r="AQ83" i="6"/>
  <c r="AK83" i="6"/>
  <c r="AZ83" i="6"/>
  <c r="BD83" i="6"/>
  <c r="AJ83" i="6"/>
  <c r="N84" i="6"/>
  <c r="M84" i="6"/>
  <c r="L85" i="12" a="1"/>
  <c r="L85" i="12" s="1"/>
  <c r="J85" i="12" a="1"/>
  <c r="J85" i="12" s="1"/>
  <c r="BA83" i="6"/>
  <c r="AN83" i="6"/>
  <c r="AX83" i="6"/>
  <c r="AE83" i="6"/>
  <c r="AO83" i="6"/>
  <c r="AD86" i="5"/>
  <c r="AE86" i="5"/>
  <c r="B86" i="6"/>
  <c r="H86" i="5"/>
  <c r="A86" i="12"/>
  <c r="K86" i="5"/>
  <c r="D86" i="5"/>
  <c r="B86" i="12" s="1"/>
  <c r="C87" i="5"/>
  <c r="E86" i="5"/>
  <c r="G86" i="5"/>
  <c r="B86" i="5"/>
  <c r="F86" i="5"/>
  <c r="J86" i="5"/>
  <c r="N86" i="5"/>
  <c r="D86" i="6" s="1"/>
  <c r="H86" i="6" s="1"/>
  <c r="T86" i="5" s="1"/>
  <c r="G86" i="12" s="1"/>
  <c r="AF83" i="6"/>
  <c r="AR83" i="6"/>
  <c r="G83" i="12"/>
  <c r="AS83" i="6"/>
  <c r="BE83" i="6"/>
  <c r="AB83" i="6"/>
  <c r="BB83" i="6"/>
  <c r="AG83" i="6"/>
  <c r="AI83" i="6"/>
  <c r="AC83" i="6"/>
  <c r="B33" i="10"/>
  <c r="B32" i="7"/>
  <c r="C33" i="7" a="1"/>
  <c r="C33" i="7" s="1"/>
  <c r="O14" i="5"/>
  <c r="C14" i="6"/>
  <c r="M14" i="12"/>
  <c r="AO14" i="12"/>
  <c r="C14" i="12"/>
  <c r="O14" i="12"/>
  <c r="AB14" i="5"/>
  <c r="AA14" i="5"/>
  <c r="K85" i="12" l="1"/>
  <c r="B87" i="5"/>
  <c r="F87" i="5"/>
  <c r="G87" i="5"/>
  <c r="AE87" i="5"/>
  <c r="J87" i="5"/>
  <c r="D87" i="5"/>
  <c r="B87" i="12" s="1"/>
  <c r="N87" i="5"/>
  <c r="D87" i="6" s="1"/>
  <c r="H87" i="6" s="1"/>
  <c r="T87" i="5" s="1"/>
  <c r="G87" i="12" s="1"/>
  <c r="K87" i="5"/>
  <c r="AD87" i="5"/>
  <c r="H87" i="5"/>
  <c r="C88" i="5"/>
  <c r="B87" i="6"/>
  <c r="A87" i="12"/>
  <c r="E87" i="5"/>
  <c r="N85" i="6"/>
  <c r="M85" i="6"/>
  <c r="AC84" i="6"/>
  <c r="AT84" i="6"/>
  <c r="AO84" i="6"/>
  <c r="AY84" i="6"/>
  <c r="BB84" i="6"/>
  <c r="AR84" i="6"/>
  <c r="AS84" i="6"/>
  <c r="AV84" i="6"/>
  <c r="AD84" i="6"/>
  <c r="BD84" i="6"/>
  <c r="AG84" i="6"/>
  <c r="AE84" i="6"/>
  <c r="AP84" i="6"/>
  <c r="AJ84" i="6"/>
  <c r="AU84" i="6"/>
  <c r="BG84" i="6"/>
  <c r="AX84" i="6"/>
  <c r="BF84" i="6"/>
  <c r="BA84" i="6"/>
  <c r="AK84" i="6"/>
  <c r="BC84" i="6"/>
  <c r="AQ84" i="6"/>
  <c r="AF84" i="6"/>
  <c r="AI84" i="6"/>
  <c r="BE84" i="6"/>
  <c r="AM84" i="6"/>
  <c r="AN84" i="6"/>
  <c r="AH84" i="6"/>
  <c r="AB84" i="6"/>
  <c r="AZ84" i="6"/>
  <c r="J86" i="12" a="1"/>
  <c r="J86" i="12" s="1"/>
  <c r="L86" i="12" a="1"/>
  <c r="L86" i="12" s="1"/>
  <c r="J86" i="6"/>
  <c r="A86" i="6"/>
  <c r="M86" i="6" s="1"/>
  <c r="AG86" i="6" s="1"/>
  <c r="B34" i="10"/>
  <c r="C34" i="7" a="1"/>
  <c r="C34" i="7" s="1"/>
  <c r="B33" i="7"/>
  <c r="N14" i="12"/>
  <c r="Y14" i="12"/>
  <c r="D14" i="12"/>
  <c r="E14" i="6"/>
  <c r="AP86" i="6" l="1"/>
  <c r="AS86" i="6"/>
  <c r="AV86" i="6"/>
  <c r="AH86" i="6"/>
  <c r="BA86" i="6"/>
  <c r="AC86" i="6"/>
  <c r="AE86" i="6"/>
  <c r="AM85" i="6"/>
  <c r="AG85" i="6"/>
  <c r="AB85" i="6"/>
  <c r="BC85" i="6"/>
  <c r="AT85" i="6"/>
  <c r="AX85" i="6"/>
  <c r="AR85" i="6"/>
  <c r="AE85" i="6"/>
  <c r="BD85" i="6"/>
  <c r="BF85" i="6"/>
  <c r="AZ85" i="6"/>
  <c r="AP85" i="6"/>
  <c r="AF85" i="6"/>
  <c r="BG85" i="6"/>
  <c r="AU85" i="6"/>
  <c r="AS85" i="6"/>
  <c r="AD85" i="6"/>
  <c r="AK85" i="6"/>
  <c r="AN85" i="6"/>
  <c r="AQ85" i="6"/>
  <c r="BE85" i="6"/>
  <c r="AC85" i="6"/>
  <c r="AV85" i="6"/>
  <c r="AH85" i="6"/>
  <c r="AY85" i="6"/>
  <c r="BA85" i="6"/>
  <c r="AO85" i="6"/>
  <c r="AJ85" i="6"/>
  <c r="BB85" i="6"/>
  <c r="AI85" i="6"/>
  <c r="AQ86" i="6"/>
  <c r="AJ86" i="6"/>
  <c r="BF86" i="6"/>
  <c r="AM86" i="6"/>
  <c r="AN86" i="6"/>
  <c r="BD86" i="6"/>
  <c r="N86" i="6"/>
  <c r="AY86" i="6"/>
  <c r="AT86" i="6"/>
  <c r="AZ86" i="6"/>
  <c r="AD86" i="6"/>
  <c r="L87" i="12" a="1"/>
  <c r="L87" i="12" s="1"/>
  <c r="J87" i="12" a="1"/>
  <c r="J87" i="12" s="1"/>
  <c r="AI86" i="6"/>
  <c r="J87" i="6"/>
  <c r="A87" i="6"/>
  <c r="M87" i="6" s="1"/>
  <c r="AX87" i="6" s="1"/>
  <c r="BG86" i="6"/>
  <c r="AK86" i="6"/>
  <c r="N88" i="5"/>
  <c r="D88" i="6" s="1"/>
  <c r="H88" i="6" s="1"/>
  <c r="T88" i="5" s="1"/>
  <c r="G88" i="12" s="1"/>
  <c r="B88" i="5"/>
  <c r="E88" i="5"/>
  <c r="D88" i="5"/>
  <c r="B88" i="12" s="1"/>
  <c r="J88" i="5"/>
  <c r="AE88" i="5"/>
  <c r="K88" i="5"/>
  <c r="C89" i="5"/>
  <c r="H88" i="5"/>
  <c r="AD88" i="5"/>
  <c r="G88" i="5"/>
  <c r="B88" i="6"/>
  <c r="F88" i="5"/>
  <c r="A88" i="12"/>
  <c r="AU86" i="6"/>
  <c r="BE86" i="6"/>
  <c r="AF86" i="6"/>
  <c r="AR86" i="6"/>
  <c r="AB86" i="6"/>
  <c r="BB86" i="6"/>
  <c r="BC86" i="6"/>
  <c r="AX86" i="6"/>
  <c r="K86" i="12"/>
  <c r="AO86" i="6"/>
  <c r="B34" i="7"/>
  <c r="C35" i="7" a="1"/>
  <c r="C35" i="7" s="1"/>
  <c r="B35" i="10"/>
  <c r="W14" i="12"/>
  <c r="X14" i="12"/>
  <c r="AY87" i="6" l="1"/>
  <c r="AI87" i="6"/>
  <c r="AM87" i="6"/>
  <c r="AV87" i="6"/>
  <c r="AR87" i="6"/>
  <c r="AH87" i="6"/>
  <c r="AS87" i="6"/>
  <c r="K87" i="12"/>
  <c r="A89" i="12"/>
  <c r="AE89" i="5"/>
  <c r="J89" i="5"/>
  <c r="AD89" i="5"/>
  <c r="N89" i="5"/>
  <c r="D89" i="6" s="1"/>
  <c r="H89" i="6" s="1"/>
  <c r="T89" i="5" s="1"/>
  <c r="G89" i="12" s="1"/>
  <c r="B89" i="6"/>
  <c r="B89" i="5"/>
  <c r="K89" i="5"/>
  <c r="C90" i="5"/>
  <c r="F89" i="5"/>
  <c r="G89" i="5"/>
  <c r="H89" i="5"/>
  <c r="E89" i="5"/>
  <c r="D89" i="5"/>
  <c r="B89" i="12" s="1"/>
  <c r="AE87" i="6"/>
  <c r="BB87" i="6"/>
  <c r="BD87" i="6"/>
  <c r="AO87" i="6"/>
  <c r="AU87" i="6"/>
  <c r="BF87" i="6"/>
  <c r="AK87" i="6"/>
  <c r="N87" i="6"/>
  <c r="AP87" i="6"/>
  <c r="BA87" i="6"/>
  <c r="L88" i="12" a="1"/>
  <c r="L88" i="12" s="1"/>
  <c r="J88" i="12" a="1"/>
  <c r="J88" i="12" s="1"/>
  <c r="BE87" i="6"/>
  <c r="AQ87" i="6"/>
  <c r="BG87" i="6"/>
  <c r="AZ87" i="6"/>
  <c r="AF87" i="6"/>
  <c r="AT87" i="6"/>
  <c r="AN87" i="6"/>
  <c r="AC87" i="6"/>
  <c r="AJ87" i="6"/>
  <c r="AB87" i="6"/>
  <c r="BC87" i="6"/>
  <c r="AD87" i="6"/>
  <c r="AG87" i="6"/>
  <c r="J88" i="6"/>
  <c r="A88" i="6"/>
  <c r="C36" i="7" a="1"/>
  <c r="C36" i="7" s="1"/>
  <c r="B35" i="7"/>
  <c r="B36" i="10"/>
  <c r="V14" i="12"/>
  <c r="T14" i="12"/>
  <c r="U14" i="12"/>
  <c r="K88" i="12" l="1"/>
  <c r="L89" i="12" a="1"/>
  <c r="L89" i="12" s="1"/>
  <c r="J89" i="12" a="1"/>
  <c r="J89" i="12" s="1"/>
  <c r="N88" i="6"/>
  <c r="M88" i="6"/>
  <c r="AE90" i="5"/>
  <c r="B90" i="5"/>
  <c r="D90" i="5"/>
  <c r="B90" i="12" s="1"/>
  <c r="AD90" i="5"/>
  <c r="H90" i="5"/>
  <c r="A90" i="12"/>
  <c r="N90" i="5"/>
  <c r="D90" i="6" s="1"/>
  <c r="H90" i="6" s="1"/>
  <c r="T90" i="5" s="1"/>
  <c r="G90" i="12" s="1"/>
  <c r="B90" i="6"/>
  <c r="K90" i="5"/>
  <c r="G90" i="5"/>
  <c r="C91" i="5"/>
  <c r="J90" i="5"/>
  <c r="E90" i="5"/>
  <c r="F90" i="5"/>
  <c r="J89" i="6"/>
  <c r="A89" i="6"/>
  <c r="B36" i="7"/>
  <c r="C37" i="7" a="1"/>
  <c r="C37" i="7" s="1"/>
  <c r="E92" i="12"/>
  <c r="F92" i="6"/>
  <c r="B37" i="10"/>
  <c r="K89" i="12" l="1"/>
  <c r="N89" i="6"/>
  <c r="M89" i="6"/>
  <c r="J90" i="12" a="1"/>
  <c r="J90" i="12" s="1"/>
  <c r="L90" i="12" a="1"/>
  <c r="L90" i="12" s="1"/>
  <c r="J90" i="6"/>
  <c r="A90" i="6"/>
  <c r="BB88" i="6"/>
  <c r="AZ88" i="6"/>
  <c r="BD88" i="6"/>
  <c r="AU88" i="6"/>
  <c r="AF88" i="6"/>
  <c r="AO88" i="6"/>
  <c r="AB88" i="6"/>
  <c r="AS88" i="6"/>
  <c r="BC88" i="6"/>
  <c r="BF88" i="6"/>
  <c r="AJ88" i="6"/>
  <c r="AI88" i="6"/>
  <c r="AE88" i="6"/>
  <c r="BG88" i="6"/>
  <c r="AD88" i="6"/>
  <c r="AX88" i="6"/>
  <c r="AG88" i="6"/>
  <c r="AM88" i="6"/>
  <c r="AR88" i="6"/>
  <c r="AN88" i="6"/>
  <c r="BE88" i="6"/>
  <c r="AC88" i="6"/>
  <c r="AY88" i="6"/>
  <c r="AT88" i="6"/>
  <c r="AK88" i="6"/>
  <c r="BA88" i="6"/>
  <c r="AV88" i="6"/>
  <c r="AQ88" i="6"/>
  <c r="AP88" i="6"/>
  <c r="AH88" i="6"/>
  <c r="J91" i="5"/>
  <c r="N91" i="5"/>
  <c r="D91" i="6" s="1"/>
  <c r="H91" i="6" s="1"/>
  <c r="T91" i="5" s="1"/>
  <c r="G91" i="12" s="1"/>
  <c r="K91" i="5"/>
  <c r="B91" i="5"/>
  <c r="C92" i="5" s="1"/>
  <c r="AD91" i="5"/>
  <c r="G91" i="5"/>
  <c r="A91" i="12"/>
  <c r="H91" i="5"/>
  <c r="D91" i="5"/>
  <c r="B91" i="12" s="1"/>
  <c r="E91" i="5"/>
  <c r="F91" i="5"/>
  <c r="B91" i="6"/>
  <c r="AE91" i="5"/>
  <c r="B37" i="7"/>
  <c r="C38" i="7" a="1"/>
  <c r="C38" i="7" s="1"/>
  <c r="B38" i="10"/>
  <c r="K90" i="12" l="1"/>
  <c r="J91" i="6"/>
  <c r="A91" i="6"/>
  <c r="J91" i="12" a="1"/>
  <c r="J91" i="12" s="1"/>
  <c r="L91" i="12" a="1"/>
  <c r="L91" i="12" s="1"/>
  <c r="N90" i="6"/>
  <c r="M90" i="6"/>
  <c r="B92" i="5"/>
  <c r="N92" i="5"/>
  <c r="D92" i="6" s="1"/>
  <c r="C93" i="5"/>
  <c r="B92" i="6"/>
  <c r="E92" i="5"/>
  <c r="H92" i="5"/>
  <c r="A92" i="12"/>
  <c r="F92" i="5"/>
  <c r="G92" i="5"/>
  <c r="W92" i="5"/>
  <c r="H92" i="12" s="1"/>
  <c r="AD92" i="5"/>
  <c r="AE92" i="5"/>
  <c r="BB89" i="6"/>
  <c r="BD89" i="6"/>
  <c r="BE89" i="6"/>
  <c r="AR89" i="6"/>
  <c r="AO89" i="6"/>
  <c r="AM89" i="6"/>
  <c r="AB89" i="6"/>
  <c r="AX89" i="6"/>
  <c r="AT89" i="6"/>
  <c r="AS89" i="6"/>
  <c r="AN89" i="6"/>
  <c r="BC89" i="6"/>
  <c r="AY89" i="6"/>
  <c r="AV89" i="6"/>
  <c r="AG89" i="6"/>
  <c r="AD89" i="6"/>
  <c r="AC89" i="6"/>
  <c r="AQ89" i="6"/>
  <c r="AZ89" i="6"/>
  <c r="AF89" i="6"/>
  <c r="AK89" i="6"/>
  <c r="BA89" i="6"/>
  <c r="AI89" i="6"/>
  <c r="BG89" i="6"/>
  <c r="AJ89" i="6"/>
  <c r="BF89" i="6"/>
  <c r="AH89" i="6"/>
  <c r="AP89" i="6"/>
  <c r="AU89" i="6"/>
  <c r="AE89" i="6"/>
  <c r="B39" i="10"/>
  <c r="C39" i="7" a="1"/>
  <c r="C39" i="7" s="1"/>
  <c r="B38" i="7"/>
  <c r="K91" i="12" l="1"/>
  <c r="J92" i="6"/>
  <c r="A92" i="6"/>
  <c r="M92" i="6" s="1"/>
  <c r="AM92" i="6" s="1"/>
  <c r="J93" i="5"/>
  <c r="E93" i="5"/>
  <c r="B93" i="5"/>
  <c r="G93" i="5"/>
  <c r="AE93" i="5"/>
  <c r="F93" i="5"/>
  <c r="B93" i="6"/>
  <c r="C94" i="5"/>
  <c r="A93" i="12"/>
  <c r="AD93" i="5"/>
  <c r="K93" i="5"/>
  <c r="H93" i="5"/>
  <c r="N93" i="5"/>
  <c r="D93" i="6" s="1"/>
  <c r="H93" i="6" s="1"/>
  <c r="T93" i="5" s="1"/>
  <c r="G93" i="12" s="1"/>
  <c r="D93" i="5"/>
  <c r="B93" i="12" s="1"/>
  <c r="G92" i="6"/>
  <c r="H92" i="6"/>
  <c r="AP90" i="6"/>
  <c r="BE90" i="6"/>
  <c r="AX90" i="6"/>
  <c r="AF90" i="6"/>
  <c r="BA90" i="6"/>
  <c r="BD90" i="6"/>
  <c r="AU90" i="6"/>
  <c r="AI90" i="6"/>
  <c r="AT90" i="6"/>
  <c r="AG90" i="6"/>
  <c r="AE90" i="6"/>
  <c r="AZ90" i="6"/>
  <c r="AO90" i="6"/>
  <c r="BC90" i="6"/>
  <c r="BB90" i="6"/>
  <c r="AS90" i="6"/>
  <c r="AY90" i="6"/>
  <c r="AH90" i="6"/>
  <c r="AC90" i="6"/>
  <c r="AR90" i="6"/>
  <c r="BF90" i="6"/>
  <c r="AJ90" i="6"/>
  <c r="AB90" i="6"/>
  <c r="BG90" i="6"/>
  <c r="AD90" i="6"/>
  <c r="AK90" i="6"/>
  <c r="AN90" i="6"/>
  <c r="AM90" i="6"/>
  <c r="AQ90" i="6"/>
  <c r="AV90" i="6"/>
  <c r="N91" i="6"/>
  <c r="M91" i="6"/>
  <c r="N92" i="6"/>
  <c r="E95" i="12"/>
  <c r="F95" i="6"/>
  <c r="B39" i="7"/>
  <c r="C40" i="7" a="1"/>
  <c r="C40" i="7" s="1"/>
  <c r="B40" i="10"/>
  <c r="AO12" i="13"/>
  <c r="AL12" i="13"/>
  <c r="AK12" i="13"/>
  <c r="AN12" i="13"/>
  <c r="BC92" i="6" l="1"/>
  <c r="AH92" i="6"/>
  <c r="AO92" i="6"/>
  <c r="AR92" i="6"/>
  <c r="AS92" i="6"/>
  <c r="AT92" i="6"/>
  <c r="L93" i="12" a="1"/>
  <c r="L93" i="12" s="1"/>
  <c r="J93" i="12" a="1"/>
  <c r="J93" i="12" s="1"/>
  <c r="B94" i="6"/>
  <c r="E94" i="5"/>
  <c r="AE94" i="5"/>
  <c r="G94" i="5"/>
  <c r="N94" i="5"/>
  <c r="D94" i="6" s="1"/>
  <c r="H94" i="6" s="1"/>
  <c r="T94" i="5" s="1"/>
  <c r="G94" i="12" s="1"/>
  <c r="J94" i="5"/>
  <c r="H94" i="5"/>
  <c r="D94" i="5"/>
  <c r="B94" i="12" s="1"/>
  <c r="AD94" i="5"/>
  <c r="B94" i="5"/>
  <c r="C95" i="5" s="1"/>
  <c r="A94" i="12"/>
  <c r="K94" i="5"/>
  <c r="F94" i="5"/>
  <c r="J93" i="6"/>
  <c r="A93" i="6"/>
  <c r="N93" i="6" s="1"/>
  <c r="T92" i="5"/>
  <c r="G92" i="12" s="1"/>
  <c r="AC92" i="6"/>
  <c r="AB92" i="6"/>
  <c r="AF92" i="6"/>
  <c r="AK92" i="6"/>
  <c r="AE92" i="6"/>
  <c r="AJ92" i="6"/>
  <c r="AI92" i="6"/>
  <c r="BA91" i="6"/>
  <c r="BD91" i="6"/>
  <c r="AE91" i="6"/>
  <c r="BB91" i="6"/>
  <c r="AZ91" i="6"/>
  <c r="AT91" i="6"/>
  <c r="AN91" i="6"/>
  <c r="AR91" i="6"/>
  <c r="AK91" i="6"/>
  <c r="AP91" i="6"/>
  <c r="AO91" i="6"/>
  <c r="AX91" i="6"/>
  <c r="AF91" i="6"/>
  <c r="AM91" i="6"/>
  <c r="AU91" i="6"/>
  <c r="AG91" i="6"/>
  <c r="AC91" i="6"/>
  <c r="AD91" i="6"/>
  <c r="BF91" i="6"/>
  <c r="BE91" i="6"/>
  <c r="AV91" i="6"/>
  <c r="BG91" i="6"/>
  <c r="AB91" i="6"/>
  <c r="AH91" i="6"/>
  <c r="AI91" i="6"/>
  <c r="AQ91" i="6"/>
  <c r="BC91" i="6"/>
  <c r="AY91" i="6"/>
  <c r="AS91" i="6"/>
  <c r="AJ91" i="6"/>
  <c r="AY92" i="6"/>
  <c r="AZ92" i="6"/>
  <c r="BB92" i="6"/>
  <c r="AN92" i="6"/>
  <c r="AP92" i="6"/>
  <c r="AV92" i="6"/>
  <c r="BF92" i="6"/>
  <c r="BD92" i="6"/>
  <c r="AU92" i="6"/>
  <c r="BE92" i="6"/>
  <c r="AQ92" i="6"/>
  <c r="BG92" i="6"/>
  <c r="AX92" i="6"/>
  <c r="BA92" i="6"/>
  <c r="AD92" i="6"/>
  <c r="AG92" i="6"/>
  <c r="B40" i="7"/>
  <c r="C41" i="7" a="1"/>
  <c r="C41" i="7" s="1"/>
  <c r="B41" i="10"/>
  <c r="AJ12" i="13"/>
  <c r="M93" i="6" l="1"/>
  <c r="AY93" i="6" s="1"/>
  <c r="K93" i="12"/>
  <c r="B95" i="5"/>
  <c r="E95" i="5"/>
  <c r="H95" i="5"/>
  <c r="AD95" i="5"/>
  <c r="F95" i="5"/>
  <c r="W95" i="5"/>
  <c r="H95" i="12" s="1"/>
  <c r="AE95" i="5"/>
  <c r="G95" i="5"/>
  <c r="C96" i="5"/>
  <c r="B95" i="6"/>
  <c r="A95" i="12"/>
  <c r="N95" i="5"/>
  <c r="D95" i="6" s="1"/>
  <c r="M95" i="6" s="1"/>
  <c r="BC95" i="6" s="1"/>
  <c r="J94" i="6"/>
  <c r="A94" i="6"/>
  <c r="L94" i="12" a="1"/>
  <c r="L94" i="12" s="1"/>
  <c r="J94" i="12" a="1"/>
  <c r="J94" i="12" s="1"/>
  <c r="B42" i="10"/>
  <c r="C42" i="7" a="1"/>
  <c r="C42" i="7" s="1"/>
  <c r="B41" i="7"/>
  <c r="AP93" i="6" l="1"/>
  <c r="AO93" i="6"/>
  <c r="AB93" i="6"/>
  <c r="AQ93" i="6"/>
  <c r="AC93" i="6"/>
  <c r="AM93" i="6"/>
  <c r="BC93" i="6"/>
  <c r="AK93" i="6"/>
  <c r="AZ93" i="6"/>
  <c r="AT93" i="6"/>
  <c r="AH93" i="6"/>
  <c r="AE93" i="6"/>
  <c r="AS93" i="6"/>
  <c r="AX93" i="6"/>
  <c r="AD93" i="6"/>
  <c r="BE93" i="6"/>
  <c r="BD93" i="6"/>
  <c r="AI93" i="6"/>
  <c r="AG93" i="6"/>
  <c r="BF93" i="6"/>
  <c r="AN93" i="6"/>
  <c r="BB93" i="6"/>
  <c r="AV93" i="6"/>
  <c r="AJ93" i="6"/>
  <c r="AU93" i="6"/>
  <c r="BA93" i="6"/>
  <c r="AF93" i="6"/>
  <c r="AR93" i="6"/>
  <c r="BG93" i="6"/>
  <c r="B96" i="5"/>
  <c r="G96" i="5"/>
  <c r="C97" i="5"/>
  <c r="H96" i="5"/>
  <c r="E96" i="5"/>
  <c r="A96" i="12"/>
  <c r="AD96" i="5"/>
  <c r="B96" i="6"/>
  <c r="J96" i="5"/>
  <c r="AE96" i="5"/>
  <c r="F96" i="5"/>
  <c r="K96" i="5"/>
  <c r="N96" i="5"/>
  <c r="D96" i="6" s="1"/>
  <c r="H96" i="6" s="1"/>
  <c r="T96" i="5" s="1"/>
  <c r="G96" i="12" s="1"/>
  <c r="D96" i="5"/>
  <c r="B96" i="12" s="1"/>
  <c r="N94" i="6"/>
  <c r="M94" i="6"/>
  <c r="K94" i="12"/>
  <c r="G95" i="6"/>
  <c r="H95" i="6"/>
  <c r="T95" i="5" s="1"/>
  <c r="G95" i="12" s="1"/>
  <c r="J95" i="6"/>
  <c r="A95" i="6"/>
  <c r="N95" i="6" s="1"/>
  <c r="AR95" i="6"/>
  <c r="AV95" i="6"/>
  <c r="AM95" i="6"/>
  <c r="BF95" i="6"/>
  <c r="AS95" i="6"/>
  <c r="BG95" i="6"/>
  <c r="AY95" i="6"/>
  <c r="BE95" i="6"/>
  <c r="AP95" i="6"/>
  <c r="BB95" i="6"/>
  <c r="AZ95" i="6"/>
  <c r="AT95" i="6"/>
  <c r="AO95" i="6"/>
  <c r="AN95" i="6"/>
  <c r="AU95" i="6"/>
  <c r="AQ95" i="6"/>
  <c r="BD95" i="6"/>
  <c r="AX95" i="6"/>
  <c r="BA95" i="6"/>
  <c r="B43" i="10"/>
  <c r="C43" i="7" a="1"/>
  <c r="C43" i="7" s="1"/>
  <c r="B42" i="7"/>
  <c r="E109" i="12"/>
  <c r="F109" i="6"/>
  <c r="A10" i="9"/>
  <c r="AN98" i="5" l="1"/>
  <c r="AG95" i="6"/>
  <c r="AK95" i="6"/>
  <c r="AF95" i="6"/>
  <c r="AC95" i="6"/>
  <c r="AJ95" i="6"/>
  <c r="J96" i="6"/>
  <c r="A96" i="6"/>
  <c r="L96" i="12" a="1"/>
  <c r="L96" i="12" s="1"/>
  <c r="J96" i="12" a="1"/>
  <c r="J96" i="12" s="1"/>
  <c r="BA94" i="6"/>
  <c r="AK94" i="6"/>
  <c r="AC94" i="6"/>
  <c r="AZ94" i="6"/>
  <c r="AD94" i="6"/>
  <c r="AU94" i="6"/>
  <c r="AM94" i="6"/>
  <c r="AI94" i="6"/>
  <c r="AO94" i="6"/>
  <c r="BD94" i="6"/>
  <c r="AP94" i="6"/>
  <c r="BB94" i="6"/>
  <c r="AF94" i="6"/>
  <c r="BE94" i="6"/>
  <c r="AH94" i="6"/>
  <c r="AY94" i="6"/>
  <c r="AS94" i="6"/>
  <c r="AX94" i="6"/>
  <c r="AN94" i="6"/>
  <c r="AQ94" i="6"/>
  <c r="AT94" i="6"/>
  <c r="BF94" i="6"/>
  <c r="BG94" i="6"/>
  <c r="BC94" i="6"/>
  <c r="AV94" i="6"/>
  <c r="AE94" i="6"/>
  <c r="AJ94" i="6"/>
  <c r="AR94" i="6"/>
  <c r="AB94" i="6"/>
  <c r="AG94" i="6"/>
  <c r="AD97" i="5"/>
  <c r="F97" i="5"/>
  <c r="E97" i="5"/>
  <c r="H97" i="5"/>
  <c r="D97" i="5"/>
  <c r="B97" i="12" s="1"/>
  <c r="K97" i="5"/>
  <c r="N97" i="5"/>
  <c r="D97" i="6" s="1"/>
  <c r="H97" i="6" s="1"/>
  <c r="T97" i="5" s="1"/>
  <c r="G97" i="12" s="1"/>
  <c r="AE97" i="5"/>
  <c r="J97" i="5"/>
  <c r="A97" i="12"/>
  <c r="B97" i="5"/>
  <c r="C98" i="5" s="1"/>
  <c r="G97" i="5"/>
  <c r="B97" i="6"/>
  <c r="AD95" i="6"/>
  <c r="AB95" i="6"/>
  <c r="AI95" i="6"/>
  <c r="AE95" i="6"/>
  <c r="AH95" i="6"/>
  <c r="B43" i="7"/>
  <c r="C44" i="7" a="1"/>
  <c r="C44" i="7" s="1"/>
  <c r="E110" i="12"/>
  <c r="F110" i="6"/>
  <c r="B44" i="10"/>
  <c r="K1" i="7" a="1"/>
  <c r="K1" i="7" s="1"/>
  <c r="O1" i="7" a="1"/>
  <c r="O1" i="7" s="1"/>
  <c r="U1" i="7" a="1"/>
  <c r="U1" i="7" s="1"/>
  <c r="W1" i="7" a="1"/>
  <c r="W1" i="7" s="1"/>
  <c r="L1" i="7" a="1"/>
  <c r="L1" i="7" s="1"/>
  <c r="Y1" i="7" a="1"/>
  <c r="Y1" i="7" s="1"/>
  <c r="J1" i="7" a="1"/>
  <c r="J1" i="7" s="1"/>
  <c r="S1" i="7" a="1"/>
  <c r="S1" i="7" s="1"/>
  <c r="M1" i="7" a="1"/>
  <c r="M1" i="7" s="1"/>
  <c r="I1" i="7" a="1"/>
  <c r="I1" i="7" s="1"/>
  <c r="T1" i="7" a="1"/>
  <c r="T1" i="7" s="1"/>
  <c r="Q1" i="7" a="1"/>
  <c r="Q1" i="7" s="1"/>
  <c r="N1" i="7" a="1"/>
  <c r="N1" i="7" s="1"/>
  <c r="V1" i="7" a="1"/>
  <c r="V1" i="7" s="1"/>
  <c r="R1" i="7" a="1"/>
  <c r="R1" i="7" s="1"/>
  <c r="P1" i="7" a="1"/>
  <c r="P1" i="7" s="1"/>
  <c r="X1" i="7" a="1"/>
  <c r="X1" i="7" s="1"/>
  <c r="D8" i="9"/>
  <c r="F112" i="8" s="1"/>
  <c r="E112" i="8" s="1"/>
  <c r="AF98" i="5"/>
  <c r="AG98" i="5" l="1"/>
  <c r="S98" i="5"/>
  <c r="F98" i="12" s="1"/>
  <c r="W98" i="5"/>
  <c r="H98" i="12" s="1"/>
  <c r="A98" i="12"/>
  <c r="B98" i="6"/>
  <c r="J98" i="6" s="1"/>
  <c r="AE98" i="5"/>
  <c r="E98" i="12"/>
  <c r="AD98" i="5"/>
  <c r="N98" i="5"/>
  <c r="D98" i="6" s="1"/>
  <c r="H98" i="5"/>
  <c r="E98" i="5"/>
  <c r="F98" i="5"/>
  <c r="G98" i="5"/>
  <c r="B98" i="5"/>
  <c r="C99" i="5" s="1"/>
  <c r="J97" i="6"/>
  <c r="A97" i="6"/>
  <c r="L97" i="12" a="1"/>
  <c r="L97" i="12" s="1"/>
  <c r="J97" i="12" a="1"/>
  <c r="J97" i="12" s="1"/>
  <c r="K96" i="12"/>
  <c r="M96" i="6"/>
  <c r="N96" i="6"/>
  <c r="I95" i="5"/>
  <c r="B45" i="10"/>
  <c r="B44" i="7"/>
  <c r="C45" i="7" a="1"/>
  <c r="C45" i="7" s="1"/>
  <c r="K14" i="7"/>
  <c r="M14" i="7"/>
  <c r="W14" i="7"/>
  <c r="O14" i="7"/>
  <c r="Q14" i="7"/>
  <c r="X14" i="7"/>
  <c r="J14" i="7"/>
  <c r="Y14" i="7"/>
  <c r="P14" i="7"/>
  <c r="T14" i="7"/>
  <c r="I14" i="7"/>
  <c r="N14" i="7"/>
  <c r="S14" i="7"/>
  <c r="U14" i="7"/>
  <c r="V14" i="7"/>
  <c r="H1" i="7" a="1"/>
  <c r="H1" i="7" s="1"/>
  <c r="F1" i="7"/>
  <c r="E1" i="7" a="1"/>
  <c r="E1" i="7" s="1"/>
  <c r="R14" i="7"/>
  <c r="L14" i="7"/>
  <c r="U112" i="8"/>
  <c r="H72" i="9" s="1"/>
  <c r="V112" i="8"/>
  <c r="AC112" i="8"/>
  <c r="W112" i="8"/>
  <c r="X112" i="8"/>
  <c r="Y112" i="8"/>
  <c r="AD112" i="8"/>
  <c r="AF112" i="8"/>
  <c r="Z112" i="8"/>
  <c r="AB112" i="8"/>
  <c r="V72" i="9" s="1"/>
  <c r="AA112" i="8"/>
  <c r="T72" i="9" s="1"/>
  <c r="AE112" i="8"/>
  <c r="AB72" i="9" s="1"/>
  <c r="AF99" i="5"/>
  <c r="E99" i="5" l="1"/>
  <c r="H99" i="5"/>
  <c r="F99" i="5"/>
  <c r="F98" i="6"/>
  <c r="AG99" i="5"/>
  <c r="S99" i="5"/>
  <c r="F99" i="12" s="1"/>
  <c r="N99" i="5"/>
  <c r="D99" i="6" s="1"/>
  <c r="H99" i="6" s="1"/>
  <c r="T99" i="5" s="1"/>
  <c r="C100" i="5"/>
  <c r="B99" i="6"/>
  <c r="J99" i="6" s="1"/>
  <c r="G99" i="5"/>
  <c r="W99" i="5"/>
  <c r="H99" i="12" s="1"/>
  <c r="AD99" i="5"/>
  <c r="A99" i="12"/>
  <c r="AE99" i="5"/>
  <c r="B99" i="5"/>
  <c r="A98" i="6"/>
  <c r="G98" i="6"/>
  <c r="H98" i="6"/>
  <c r="T98" i="5" s="1"/>
  <c r="K97" i="12"/>
  <c r="AK96" i="6"/>
  <c r="AH96" i="6"/>
  <c r="AZ96" i="6"/>
  <c r="AJ96" i="6"/>
  <c r="AV96" i="6"/>
  <c r="AR96" i="6"/>
  <c r="BE96" i="6"/>
  <c r="AN96" i="6"/>
  <c r="AX96" i="6"/>
  <c r="AG96" i="6"/>
  <c r="AD96" i="6"/>
  <c r="AQ96" i="6"/>
  <c r="AU96" i="6"/>
  <c r="BF96" i="6"/>
  <c r="BA96" i="6"/>
  <c r="BB96" i="6"/>
  <c r="AT96" i="6"/>
  <c r="AP96" i="6"/>
  <c r="AB96" i="6"/>
  <c r="AI96" i="6"/>
  <c r="AE96" i="6"/>
  <c r="AO96" i="6"/>
  <c r="BG96" i="6"/>
  <c r="AF96" i="6"/>
  <c r="BD96" i="6"/>
  <c r="BC96" i="6"/>
  <c r="AC96" i="6"/>
  <c r="AY96" i="6"/>
  <c r="AM96" i="6"/>
  <c r="AS96" i="6"/>
  <c r="N97" i="6"/>
  <c r="M97" i="6"/>
  <c r="B46" i="10"/>
  <c r="C46" i="7" a="1"/>
  <c r="C46" i="7" s="1"/>
  <c r="B45" i="7"/>
  <c r="J14" i="6"/>
  <c r="F14" i="7"/>
  <c r="I74" i="10" a="1"/>
  <c r="I74" i="10" s="1"/>
  <c r="E14" i="7"/>
  <c r="H14" i="7"/>
  <c r="R72" i="9"/>
  <c r="J72" i="9"/>
  <c r="L72" i="9"/>
  <c r="P72" i="9"/>
  <c r="Z72" i="9"/>
  <c r="AD72" i="9"/>
  <c r="X72" i="9"/>
  <c r="N72" i="9"/>
  <c r="G99" i="6" l="1"/>
  <c r="AE100" i="5"/>
  <c r="H100" i="5"/>
  <c r="A100" i="12"/>
  <c r="AD100" i="5"/>
  <c r="J100" i="5"/>
  <c r="N100" i="5"/>
  <c r="D100" i="6" s="1"/>
  <c r="H100" i="6" s="1"/>
  <c r="T100" i="5" s="1"/>
  <c r="C101" i="5"/>
  <c r="K100" i="5"/>
  <c r="B100" i="6"/>
  <c r="J100" i="6" s="1"/>
  <c r="G100" i="5"/>
  <c r="F100" i="5"/>
  <c r="E100" i="5"/>
  <c r="D100" i="5"/>
  <c r="B100" i="12" s="1"/>
  <c r="B100" i="5"/>
  <c r="E99" i="12"/>
  <c r="F99" i="6"/>
  <c r="G99" i="12"/>
  <c r="AC99" i="5" a="1"/>
  <c r="AC99" i="5" s="1"/>
  <c r="N98" i="6"/>
  <c r="A99" i="6"/>
  <c r="M98" i="6"/>
  <c r="AN98" i="6" s="1"/>
  <c r="G98" i="12"/>
  <c r="AC98" i="5" a="1"/>
  <c r="AC98" i="5" s="1"/>
  <c r="BB97" i="6"/>
  <c r="BD97" i="6"/>
  <c r="AZ97" i="6"/>
  <c r="AS97" i="6"/>
  <c r="AV97" i="6"/>
  <c r="AJ97" i="6"/>
  <c r="AF97" i="6"/>
  <c r="AU97" i="6"/>
  <c r="AH97" i="6"/>
  <c r="AR97" i="6"/>
  <c r="BA97" i="6"/>
  <c r="BG97" i="6"/>
  <c r="AO97" i="6"/>
  <c r="AC97" i="6"/>
  <c r="AX97" i="6"/>
  <c r="AD97" i="6"/>
  <c r="AN97" i="6"/>
  <c r="AB97" i="6"/>
  <c r="AE97" i="6"/>
  <c r="BF97" i="6"/>
  <c r="AM97" i="6"/>
  <c r="AT97" i="6"/>
  <c r="BC97" i="6"/>
  <c r="BE97" i="6"/>
  <c r="AG97" i="6"/>
  <c r="AK97" i="6"/>
  <c r="AQ97" i="6"/>
  <c r="AY97" i="6"/>
  <c r="AP97" i="6"/>
  <c r="AI97" i="6"/>
  <c r="B46" i="7"/>
  <c r="C47" i="7" a="1"/>
  <c r="C47" i="7" s="1"/>
  <c r="B47" i="10"/>
  <c r="G39" i="7"/>
  <c r="G21" i="7"/>
  <c r="G32" i="7"/>
  <c r="G59" i="7"/>
  <c r="G58" i="7"/>
  <c r="G43" i="7"/>
  <c r="G63" i="7"/>
  <c r="G57" i="7"/>
  <c r="G52" i="7"/>
  <c r="G56" i="7"/>
  <c r="G22" i="7"/>
  <c r="G45" i="7"/>
  <c r="G48" i="7"/>
  <c r="G61" i="7"/>
  <c r="G18" i="7"/>
  <c r="G51" i="7"/>
  <c r="G47" i="7"/>
  <c r="G26" i="7"/>
  <c r="G37" i="7"/>
  <c r="G31" i="7"/>
  <c r="G44" i="7"/>
  <c r="G30" i="7"/>
  <c r="G17" i="7"/>
  <c r="G41" i="7"/>
  <c r="G34" i="7"/>
  <c r="G38" i="7"/>
  <c r="G35" i="7"/>
  <c r="G27" i="7"/>
  <c r="G42" i="7"/>
  <c r="G54" i="7"/>
  <c r="G64" i="7"/>
  <c r="G16" i="7"/>
  <c r="G60" i="7"/>
  <c r="G46" i="7"/>
  <c r="G36" i="7"/>
  <c r="G40" i="7"/>
  <c r="G28" i="7"/>
  <c r="G19" i="7"/>
  <c r="G20" i="7"/>
  <c r="G24" i="7"/>
  <c r="G33" i="7"/>
  <c r="G29" i="7"/>
  <c r="G50" i="7"/>
  <c r="G62" i="7"/>
  <c r="G53" i="7"/>
  <c r="G55" i="7"/>
  <c r="G23" i="7"/>
  <c r="G49" i="7"/>
  <c r="G25" i="7"/>
  <c r="I75" i="10"/>
  <c r="G1" i="7"/>
  <c r="F6" i="7"/>
  <c r="A100" i="6" l="1"/>
  <c r="AD101" i="5"/>
  <c r="N101" i="5"/>
  <c r="D101" i="6" s="1"/>
  <c r="H101" i="6" s="1"/>
  <c r="T101" i="5" s="1"/>
  <c r="F101" i="5"/>
  <c r="G101" i="5"/>
  <c r="E101" i="5"/>
  <c r="B101" i="6"/>
  <c r="J101" i="6" s="1"/>
  <c r="D101" i="5"/>
  <c r="B101" i="12" s="1"/>
  <c r="AE101" i="5"/>
  <c r="C102" i="5"/>
  <c r="K101" i="5"/>
  <c r="J101" i="5"/>
  <c r="A101" i="12"/>
  <c r="H101" i="5"/>
  <c r="J100" i="12" a="1"/>
  <c r="J100" i="12" s="1"/>
  <c r="L100" i="12" a="1"/>
  <c r="L100" i="12" s="1"/>
  <c r="B101" i="5"/>
  <c r="BD98" i="6"/>
  <c r="BC98" i="6"/>
  <c r="AV98" i="6"/>
  <c r="AU98" i="6"/>
  <c r="AQ98" i="6"/>
  <c r="BE98" i="6"/>
  <c r="AI98" i="6"/>
  <c r="AH98" i="6"/>
  <c r="AY98" i="6"/>
  <c r="AF98" i="6"/>
  <c r="AD98" i="6"/>
  <c r="M99" i="6"/>
  <c r="N99" i="6"/>
  <c r="AO98" i="6"/>
  <c r="AG98" i="6"/>
  <c r="AP98" i="6"/>
  <c r="AX98" i="6"/>
  <c r="AB98" i="6"/>
  <c r="AZ98" i="6"/>
  <c r="BF98" i="6"/>
  <c r="AC98" i="6"/>
  <c r="AM98" i="6"/>
  <c r="BG98" i="6"/>
  <c r="BA98" i="6"/>
  <c r="AK98" i="6"/>
  <c r="AR98" i="6"/>
  <c r="AS98" i="6"/>
  <c r="BB98" i="6"/>
  <c r="AE98" i="6"/>
  <c r="AJ98" i="6"/>
  <c r="AT98" i="6"/>
  <c r="N100" i="6"/>
  <c r="G100" i="12"/>
  <c r="B48" i="10"/>
  <c r="B47" i="7"/>
  <c r="C48" i="7" a="1"/>
  <c r="C48" i="7" s="1"/>
  <c r="M100" i="6" l="1"/>
  <c r="BC100" i="6" s="1"/>
  <c r="K100" i="12"/>
  <c r="A101" i="6"/>
  <c r="J101" i="12" a="1"/>
  <c r="J101" i="12" s="1"/>
  <c r="L101" i="12" a="1"/>
  <c r="L101" i="12" s="1"/>
  <c r="D102" i="5"/>
  <c r="B102" i="12" s="1"/>
  <c r="F102" i="5"/>
  <c r="E102" i="5"/>
  <c r="J102" i="5"/>
  <c r="K102" i="5"/>
  <c r="H102" i="5"/>
  <c r="A102" i="12"/>
  <c r="G102" i="5"/>
  <c r="AE102" i="5"/>
  <c r="AD102" i="5"/>
  <c r="B102" i="5"/>
  <c r="B102" i="6"/>
  <c r="J102" i="6" s="1"/>
  <c r="N102" i="5"/>
  <c r="D102" i="6" s="1"/>
  <c r="C103" i="5"/>
  <c r="BC99" i="6"/>
  <c r="BG99" i="6"/>
  <c r="AP99" i="6"/>
  <c r="AU99" i="6"/>
  <c r="AT99" i="6"/>
  <c r="BF99" i="6"/>
  <c r="BB99" i="6"/>
  <c r="AY99" i="6"/>
  <c r="AS99" i="6"/>
  <c r="AO99" i="6"/>
  <c r="BE99" i="6"/>
  <c r="BA99" i="6"/>
  <c r="AX99" i="6"/>
  <c r="AR99" i="6"/>
  <c r="AN99" i="6"/>
  <c r="BD99" i="6"/>
  <c r="AH99" i="6"/>
  <c r="AV99" i="6"/>
  <c r="AQ99" i="6"/>
  <c r="AZ99" i="6"/>
  <c r="AD99" i="6"/>
  <c r="AM99" i="6"/>
  <c r="AI99" i="6"/>
  <c r="AE99" i="6"/>
  <c r="AJ99" i="6"/>
  <c r="AG99" i="6"/>
  <c r="AB99" i="6"/>
  <c r="AF99" i="6"/>
  <c r="AC99" i="6"/>
  <c r="AK99" i="6"/>
  <c r="G101" i="12"/>
  <c r="C49" i="7" a="1"/>
  <c r="C49" i="7" s="1"/>
  <c r="B48" i="7"/>
  <c r="B49" i="10"/>
  <c r="BE100" i="6" l="1"/>
  <c r="AS100" i="6"/>
  <c r="BB100" i="6"/>
  <c r="M101" i="6"/>
  <c r="AB101" i="6" s="1"/>
  <c r="BG100" i="6"/>
  <c r="AO100" i="6"/>
  <c r="AY100" i="6"/>
  <c r="BA100" i="6"/>
  <c r="BF100" i="6"/>
  <c r="AN100" i="6"/>
  <c r="AJ100" i="6"/>
  <c r="AM100" i="6"/>
  <c r="AG100" i="6"/>
  <c r="AT100" i="6"/>
  <c r="AF100" i="6"/>
  <c r="AX100" i="6"/>
  <c r="AU100" i="6"/>
  <c r="AH100" i="6"/>
  <c r="AV100" i="6"/>
  <c r="AD100" i="6"/>
  <c r="AR100" i="6"/>
  <c r="BD100" i="6"/>
  <c r="AC100" i="6"/>
  <c r="AE100" i="6"/>
  <c r="AQ100" i="6"/>
  <c r="AB100" i="6"/>
  <c r="AK100" i="6"/>
  <c r="AZ100" i="6"/>
  <c r="AP100" i="6"/>
  <c r="AI100" i="6"/>
  <c r="N101" i="6"/>
  <c r="A102" i="6"/>
  <c r="N102" i="6" s="1"/>
  <c r="H102" i="6"/>
  <c r="T102" i="5" s="1"/>
  <c r="G102" i="12" s="1"/>
  <c r="K101" i="12"/>
  <c r="J102" i="12" a="1"/>
  <c r="J102" i="12" s="1"/>
  <c r="L102" i="12" a="1"/>
  <c r="L102" i="12" s="1"/>
  <c r="H103" i="5"/>
  <c r="AD103" i="5"/>
  <c r="B103" i="6"/>
  <c r="J103" i="6" s="1"/>
  <c r="B103" i="5"/>
  <c r="A103" i="12"/>
  <c r="N103" i="5"/>
  <c r="D103" i="6" s="1"/>
  <c r="H103" i="6" s="1"/>
  <c r="T103" i="5" s="1"/>
  <c r="C104" i="5"/>
  <c r="J103" i="5"/>
  <c r="K103" i="5"/>
  <c r="D103" i="5"/>
  <c r="B103" i="12" s="1"/>
  <c r="G103" i="5"/>
  <c r="F103" i="5"/>
  <c r="E103" i="5"/>
  <c r="AE103" i="5"/>
  <c r="B50" i="10"/>
  <c r="B49" i="7"/>
  <c r="C50" i="7" a="1"/>
  <c r="C50" i="7" s="1"/>
  <c r="AR101" i="6" l="1"/>
  <c r="BG101" i="6"/>
  <c r="AG101" i="6"/>
  <c r="AJ101" i="6"/>
  <c r="AE101" i="6"/>
  <c r="AH101" i="6"/>
  <c r="AI101" i="6"/>
  <c r="AX101" i="6"/>
  <c r="BD101" i="6"/>
  <c r="AU101" i="6"/>
  <c r="AD101" i="6"/>
  <c r="AN101" i="6"/>
  <c r="AZ101" i="6"/>
  <c r="AT101" i="6"/>
  <c r="AF101" i="6"/>
  <c r="AC101" i="6"/>
  <c r="AK101" i="6"/>
  <c r="AP101" i="6"/>
  <c r="AM101" i="6"/>
  <c r="AQ101" i="6"/>
  <c r="AV101" i="6"/>
  <c r="BA101" i="6"/>
  <c r="AO101" i="6"/>
  <c r="BB101" i="6"/>
  <c r="BF101" i="6"/>
  <c r="BE101" i="6"/>
  <c r="AS101" i="6"/>
  <c r="BC101" i="6"/>
  <c r="AY101" i="6"/>
  <c r="K102" i="12"/>
  <c r="M102" i="6"/>
  <c r="AH102" i="6" s="1"/>
  <c r="J103" i="12" a="1"/>
  <c r="J103" i="12" s="1"/>
  <c r="L103" i="12" a="1"/>
  <c r="L103" i="12" s="1"/>
  <c r="C105" i="5"/>
  <c r="K104" i="5"/>
  <c r="J104" i="5"/>
  <c r="AE104" i="5"/>
  <c r="A104" i="12"/>
  <c r="N104" i="5"/>
  <c r="D104" i="6" s="1"/>
  <c r="H104" i="6" s="1"/>
  <c r="T104" i="5" s="1"/>
  <c r="H104" i="5"/>
  <c r="G104" i="5"/>
  <c r="B104" i="6"/>
  <c r="J104" i="6" s="1"/>
  <c r="F104" i="5"/>
  <c r="AD104" i="5"/>
  <c r="E104" i="5"/>
  <c r="B104" i="5"/>
  <c r="D104" i="5"/>
  <c r="B104" i="12" s="1"/>
  <c r="A103" i="6"/>
  <c r="M103" i="6" s="1"/>
  <c r="BD103" i="6" s="1"/>
  <c r="G103" i="12"/>
  <c r="C51" i="7" a="1"/>
  <c r="C51" i="7" s="1"/>
  <c r="B50" i="7"/>
  <c r="B51" i="10"/>
  <c r="AS102" i="6" l="1"/>
  <c r="AI102" i="6"/>
  <c r="AE102" i="6"/>
  <c r="AX102" i="6"/>
  <c r="BA102" i="6"/>
  <c r="AG102" i="6"/>
  <c r="BF102" i="6"/>
  <c r="AY102" i="6"/>
  <c r="AO102" i="6"/>
  <c r="BD102" i="6"/>
  <c r="AJ102" i="6"/>
  <c r="AT102" i="6"/>
  <c r="AM102" i="6"/>
  <c r="AD102" i="6"/>
  <c r="BB102" i="6"/>
  <c r="AK102" i="6"/>
  <c r="AR102" i="6"/>
  <c r="AB102" i="6"/>
  <c r="AV102" i="6"/>
  <c r="AF102" i="6"/>
  <c r="BG102" i="6"/>
  <c r="AC102" i="6"/>
  <c r="AU102" i="6"/>
  <c r="AZ102" i="6"/>
  <c r="AP102" i="6"/>
  <c r="BC102" i="6"/>
  <c r="BE102" i="6"/>
  <c r="K103" i="12"/>
  <c r="AQ102" i="6"/>
  <c r="AN102" i="6"/>
  <c r="N103" i="6"/>
  <c r="A104" i="6"/>
  <c r="AC103" i="6"/>
  <c r="AS103" i="6"/>
  <c r="AB103" i="6"/>
  <c r="BA103" i="6"/>
  <c r="AH103" i="6"/>
  <c r="BF103" i="6"/>
  <c r="AJ103" i="6"/>
  <c r="AI103" i="6"/>
  <c r="AP103" i="6"/>
  <c r="AM103" i="6"/>
  <c r="AT103" i="6"/>
  <c r="J104" i="12" a="1"/>
  <c r="J104" i="12" s="1"/>
  <c r="L104" i="12" a="1"/>
  <c r="L104" i="12" s="1"/>
  <c r="AR103" i="6"/>
  <c r="BC103" i="6"/>
  <c r="AO103" i="6"/>
  <c r="BG103" i="6"/>
  <c r="AD103" i="6"/>
  <c r="AZ103" i="6"/>
  <c r="AX103" i="6"/>
  <c r="BE103" i="6"/>
  <c r="AQ103" i="6"/>
  <c r="F105" i="5"/>
  <c r="K105" i="5"/>
  <c r="E105" i="5"/>
  <c r="G105" i="5"/>
  <c r="C106" i="5"/>
  <c r="H105" i="5"/>
  <c r="B105" i="5"/>
  <c r="D105" i="5"/>
  <c r="B105" i="12" s="1"/>
  <c r="J105" i="5"/>
  <c r="AE105" i="5"/>
  <c r="B105" i="6"/>
  <c r="J105" i="6" s="1"/>
  <c r="A105" i="12"/>
  <c r="AD105" i="5"/>
  <c r="N105" i="5"/>
  <c r="D105" i="6" s="1"/>
  <c r="AF103" i="6"/>
  <c r="AV103" i="6"/>
  <c r="AU103" i="6"/>
  <c r="AK103" i="6"/>
  <c r="BB103" i="6"/>
  <c r="AY103" i="6"/>
  <c r="AE103" i="6"/>
  <c r="AG103" i="6"/>
  <c r="AN103" i="6"/>
  <c r="G104" i="12"/>
  <c r="B52" i="10"/>
  <c r="C52" i="7" a="1"/>
  <c r="C52" i="7" s="1"/>
  <c r="B51" i="7"/>
  <c r="N104" i="6" l="1"/>
  <c r="M104" i="6"/>
  <c r="A105" i="6"/>
  <c r="M105" i="6" s="1"/>
  <c r="BE105" i="6" s="1"/>
  <c r="J105" i="12" a="1"/>
  <c r="J105" i="12" s="1"/>
  <c r="L105" i="12" a="1"/>
  <c r="L105" i="12" s="1"/>
  <c r="B106" i="5"/>
  <c r="H106" i="5"/>
  <c r="B106" i="6"/>
  <c r="J106" i="6" s="1"/>
  <c r="N106" i="5"/>
  <c r="D106" i="6" s="1"/>
  <c r="H106" i="6" s="1"/>
  <c r="T106" i="5" s="1"/>
  <c r="C107" i="5"/>
  <c r="K106" i="5"/>
  <c r="G106" i="5"/>
  <c r="F106" i="5"/>
  <c r="A106" i="12"/>
  <c r="E106" i="5"/>
  <c r="D106" i="5"/>
  <c r="B106" i="12" s="1"/>
  <c r="J106" i="5"/>
  <c r="AD106" i="5"/>
  <c r="AE106" i="5"/>
  <c r="H105" i="6"/>
  <c r="T105" i="5" s="1"/>
  <c r="G105" i="12" s="1"/>
  <c r="K104" i="12"/>
  <c r="B52" i="7"/>
  <c r="C53" i="7" a="1"/>
  <c r="C53" i="7" s="1"/>
  <c r="B53" i="10"/>
  <c r="N105" i="6" l="1"/>
  <c r="AZ104" i="6"/>
  <c r="AF104" i="6"/>
  <c r="AO104" i="6"/>
  <c r="BC104" i="6"/>
  <c r="AG104" i="6"/>
  <c r="AI104" i="6"/>
  <c r="AS104" i="6"/>
  <c r="AQ104" i="6"/>
  <c r="AM104" i="6"/>
  <c r="BB104" i="6"/>
  <c r="BF104" i="6"/>
  <c r="AJ104" i="6"/>
  <c r="AR104" i="6"/>
  <c r="AH104" i="6"/>
  <c r="AP104" i="6"/>
  <c r="AV104" i="6"/>
  <c r="AD104" i="6"/>
  <c r="AK104" i="6"/>
  <c r="AT104" i="6"/>
  <c r="AN104" i="6"/>
  <c r="BG104" i="6"/>
  <c r="AE104" i="6"/>
  <c r="AC104" i="6"/>
  <c r="BE104" i="6"/>
  <c r="BA104" i="6"/>
  <c r="AX104" i="6"/>
  <c r="AB104" i="6"/>
  <c r="BD104" i="6"/>
  <c r="AU104" i="6"/>
  <c r="AY104" i="6"/>
  <c r="K105" i="12"/>
  <c r="AR105" i="6"/>
  <c r="AD105" i="6"/>
  <c r="BA105" i="6"/>
  <c r="AU105" i="6"/>
  <c r="AG105" i="6"/>
  <c r="AB105" i="6"/>
  <c r="AV105" i="6"/>
  <c r="AQ105" i="6"/>
  <c r="AC105" i="6"/>
  <c r="AE107" i="5"/>
  <c r="C108" i="5"/>
  <c r="K107" i="5"/>
  <c r="B107" i="6"/>
  <c r="J107" i="6" s="1"/>
  <c r="H107" i="5"/>
  <c r="J107" i="5"/>
  <c r="G107" i="5"/>
  <c r="N107" i="5"/>
  <c r="D107" i="6" s="1"/>
  <c r="H107" i="6" s="1"/>
  <c r="T107" i="5" s="1"/>
  <c r="D107" i="5"/>
  <c r="B107" i="12" s="1"/>
  <c r="B107" i="5"/>
  <c r="F107" i="5"/>
  <c r="AD107" i="5"/>
  <c r="E107" i="5"/>
  <c r="A107" i="12"/>
  <c r="BF105" i="6"/>
  <c r="A106" i="6"/>
  <c r="M106" i="6" s="1"/>
  <c r="BB106" i="6" s="1"/>
  <c r="AM105" i="6"/>
  <c r="BG105" i="6"/>
  <c r="AH105" i="6"/>
  <c r="AN105" i="6"/>
  <c r="AI105" i="6"/>
  <c r="AE105" i="6"/>
  <c r="AY105" i="6"/>
  <c r="AX105" i="6"/>
  <c r="AT105" i="6"/>
  <c r="AS105" i="6"/>
  <c r="AO105" i="6"/>
  <c r="BB105" i="6"/>
  <c r="BC105" i="6"/>
  <c r="BD105" i="6"/>
  <c r="J106" i="12" a="1"/>
  <c r="J106" i="12" s="1"/>
  <c r="L106" i="12" a="1"/>
  <c r="L106" i="12" s="1"/>
  <c r="AZ105" i="6"/>
  <c r="AP105" i="6"/>
  <c r="AJ105" i="6"/>
  <c r="AK105" i="6"/>
  <c r="AF105" i="6"/>
  <c r="G106" i="12"/>
  <c r="B54" i="10"/>
  <c r="B53" i="7"/>
  <c r="C54" i="7" a="1"/>
  <c r="C54" i="7" s="1"/>
  <c r="E122" i="12"/>
  <c r="F122" i="6"/>
  <c r="N106" i="6" l="1"/>
  <c r="A107" i="6"/>
  <c r="N107" i="6" s="1"/>
  <c r="AT106" i="6"/>
  <c r="AF106" i="6"/>
  <c r="AE106" i="6"/>
  <c r="AU106" i="6"/>
  <c r="BC106" i="6"/>
  <c r="J107" i="12" a="1"/>
  <c r="J107" i="12" s="1"/>
  <c r="L107" i="12" a="1"/>
  <c r="L107" i="12" s="1"/>
  <c r="F108" i="5"/>
  <c r="D108" i="5"/>
  <c r="B108" i="12" s="1"/>
  <c r="AE108" i="5"/>
  <c r="E108" i="5"/>
  <c r="H108" i="5"/>
  <c r="B108" i="6"/>
  <c r="J108" i="6" s="1"/>
  <c r="K108" i="5"/>
  <c r="J108" i="5"/>
  <c r="G108" i="5"/>
  <c r="B108" i="5"/>
  <c r="C109" i="5" s="1"/>
  <c r="A108" i="12"/>
  <c r="N108" i="5"/>
  <c r="D108" i="6" s="1"/>
  <c r="AD108" i="5"/>
  <c r="BD106" i="6"/>
  <c r="AY106" i="6"/>
  <c r="AG106" i="6"/>
  <c r="AH106" i="6"/>
  <c r="AP106" i="6"/>
  <c r="BG106" i="6"/>
  <c r="AD106" i="6"/>
  <c r="AK106" i="6"/>
  <c r="AJ106" i="6"/>
  <c r="AB106" i="6"/>
  <c r="AV106" i="6"/>
  <c r="BE106" i="6"/>
  <c r="BF106" i="6"/>
  <c r="K106" i="12"/>
  <c r="AO106" i="6"/>
  <c r="BA106" i="6"/>
  <c r="AC106" i="6"/>
  <c r="AI106" i="6"/>
  <c r="AQ106" i="6"/>
  <c r="AX106" i="6"/>
  <c r="AZ106" i="6"/>
  <c r="AR106" i="6"/>
  <c r="AN106" i="6"/>
  <c r="AM106" i="6"/>
  <c r="AS106" i="6"/>
  <c r="M107" i="6"/>
  <c r="AM107" i="6" s="1"/>
  <c r="G107" i="12"/>
  <c r="B55" i="10"/>
  <c r="C55" i="7" a="1"/>
  <c r="C55" i="7" s="1"/>
  <c r="B54" i="7"/>
  <c r="K107" i="12" l="1"/>
  <c r="A108" i="6"/>
  <c r="N108" i="6" s="1"/>
  <c r="H108" i="6"/>
  <c r="T108" i="5" s="1"/>
  <c r="AC107" i="6"/>
  <c r="J108" i="12" a="1"/>
  <c r="J108" i="12" s="1"/>
  <c r="L108" i="12" a="1"/>
  <c r="L108" i="12" s="1"/>
  <c r="W109" i="5"/>
  <c r="H109" i="12" s="1"/>
  <c r="H109" i="5"/>
  <c r="I109" i="5"/>
  <c r="N109" i="5"/>
  <c r="D109" i="6" s="1"/>
  <c r="E109" i="5"/>
  <c r="F109" i="5"/>
  <c r="B109" i="5"/>
  <c r="C110" i="5" s="1"/>
  <c r="B109" i="6"/>
  <c r="A109" i="12"/>
  <c r="G109" i="5"/>
  <c r="AD109" i="5"/>
  <c r="AE109" i="5"/>
  <c r="AU107" i="6"/>
  <c r="BF107" i="6"/>
  <c r="BC107" i="6"/>
  <c r="AT107" i="6"/>
  <c r="AP107" i="6"/>
  <c r="AV107" i="6"/>
  <c r="BB107" i="6"/>
  <c r="BA107" i="6"/>
  <c r="AR107" i="6"/>
  <c r="AK107" i="6"/>
  <c r="BD107" i="6"/>
  <c r="AQ107" i="6"/>
  <c r="AX107" i="6"/>
  <c r="AZ107" i="6"/>
  <c r="AS107" i="6"/>
  <c r="AH107" i="6"/>
  <c r="AO107" i="6"/>
  <c r="AD107" i="6"/>
  <c r="AJ107" i="6"/>
  <c r="AI107" i="6"/>
  <c r="AY107" i="6"/>
  <c r="BG107" i="6"/>
  <c r="AG107" i="6"/>
  <c r="AF107" i="6"/>
  <c r="AB107" i="6"/>
  <c r="BE107" i="6"/>
  <c r="AE107" i="6"/>
  <c r="AN107" i="6"/>
  <c r="G108" i="12"/>
  <c r="B55" i="7"/>
  <c r="C56" i="7" a="1"/>
  <c r="C56" i="7" s="1"/>
  <c r="B56" i="10"/>
  <c r="K108" i="12" l="1"/>
  <c r="AE110" i="5"/>
  <c r="A110" i="12"/>
  <c r="F110" i="5"/>
  <c r="E110" i="5"/>
  <c r="B110" i="6"/>
  <c r="G110" i="5"/>
  <c r="B110" i="5"/>
  <c r="C111" i="5"/>
  <c r="W110" i="5"/>
  <c r="H110" i="12" s="1"/>
  <c r="H110" i="5"/>
  <c r="I110" i="5"/>
  <c r="AD110" i="5"/>
  <c r="N110" i="5"/>
  <c r="D110" i="6" s="1"/>
  <c r="M109" i="6"/>
  <c r="AZ109" i="6" s="1"/>
  <c r="H109" i="6"/>
  <c r="G109" i="6"/>
  <c r="J109" i="6"/>
  <c r="A109" i="6"/>
  <c r="N109" i="6" s="1"/>
  <c r="M108" i="6"/>
  <c r="C57" i="7" a="1"/>
  <c r="C57" i="7" s="1"/>
  <c r="B56" i="7"/>
  <c r="B57" i="10"/>
  <c r="AI109" i="6" l="1"/>
  <c r="BA109" i="6"/>
  <c r="AE109" i="6"/>
  <c r="AB109" i="6"/>
  <c r="AQ109" i="6"/>
  <c r="AD109" i="6"/>
  <c r="BE109" i="6"/>
  <c r="BF109" i="6"/>
  <c r="BD108" i="6"/>
  <c r="AP108" i="6"/>
  <c r="AM108" i="6"/>
  <c r="AN108" i="6"/>
  <c r="AT108" i="6"/>
  <c r="AQ108" i="6"/>
  <c r="AO108" i="6"/>
  <c r="AS108" i="6"/>
  <c r="AH108" i="6"/>
  <c r="AJ108" i="6"/>
  <c r="BF108" i="6"/>
  <c r="BC108" i="6"/>
  <c r="AD108" i="6"/>
  <c r="AR108" i="6"/>
  <c r="AZ108" i="6"/>
  <c r="AI108" i="6"/>
  <c r="BE108" i="6"/>
  <c r="AY108" i="6"/>
  <c r="BB108" i="6"/>
  <c r="BG108" i="6"/>
  <c r="BA108" i="6"/>
  <c r="AX108" i="6"/>
  <c r="AV108" i="6"/>
  <c r="AC108" i="6"/>
  <c r="AG108" i="6"/>
  <c r="AB108" i="6"/>
  <c r="AU108" i="6"/>
  <c r="AF108" i="6"/>
  <c r="AK108" i="6"/>
  <c r="E111" i="5"/>
  <c r="N111" i="5"/>
  <c r="D111" i="6" s="1"/>
  <c r="H111" i="6" s="1"/>
  <c r="T111" i="5" s="1"/>
  <c r="G111" i="12" s="1"/>
  <c r="A111" i="12"/>
  <c r="D111" i="5"/>
  <c r="B111" i="12" s="1"/>
  <c r="C112" i="5"/>
  <c r="J111" i="5"/>
  <c r="K111" i="5"/>
  <c r="B111" i="6"/>
  <c r="G111" i="5"/>
  <c r="H111" i="5"/>
  <c r="F111" i="5"/>
  <c r="AE111" i="5"/>
  <c r="AD111" i="5"/>
  <c r="B111" i="5"/>
  <c r="J110" i="6"/>
  <c r="A110" i="6"/>
  <c r="N110" i="6" s="1"/>
  <c r="AE108" i="6"/>
  <c r="T109" i="5"/>
  <c r="G109" i="12" s="1"/>
  <c r="AC109" i="6"/>
  <c r="AF109" i="6"/>
  <c r="AG109" i="6"/>
  <c r="AH109" i="6"/>
  <c r="AK109" i="6"/>
  <c r="AS109" i="6"/>
  <c r="BG109" i="6"/>
  <c r="AM109" i="6"/>
  <c r="BC109" i="6"/>
  <c r="AP109" i="6"/>
  <c r="BD109" i="6"/>
  <c r="BB109" i="6"/>
  <c r="AV109" i="6"/>
  <c r="AX109" i="6"/>
  <c r="AY109" i="6"/>
  <c r="AO109" i="6"/>
  <c r="AT109" i="6"/>
  <c r="AU109" i="6"/>
  <c r="AN109" i="6"/>
  <c r="AR109" i="6"/>
  <c r="AJ109" i="6"/>
  <c r="M110" i="6"/>
  <c r="G110" i="6"/>
  <c r="H110" i="6"/>
  <c r="C58" i="7" a="1"/>
  <c r="C58" i="7" s="1"/>
  <c r="B57" i="7"/>
  <c r="B58" i="10"/>
  <c r="J112" i="5" l="1"/>
  <c r="B112" i="6"/>
  <c r="A112" i="12"/>
  <c r="C113" i="5"/>
  <c r="D112" i="5"/>
  <c r="B112" i="12" s="1"/>
  <c r="G112" i="5"/>
  <c r="AD112" i="5"/>
  <c r="AE112" i="5"/>
  <c r="B112" i="5"/>
  <c r="E112" i="5"/>
  <c r="K112" i="5"/>
  <c r="N112" i="5"/>
  <c r="D112" i="6" s="1"/>
  <c r="H112" i="6" s="1"/>
  <c r="T112" i="5" s="1"/>
  <c r="G112" i="12" s="1"/>
  <c r="H112" i="5"/>
  <c r="F112" i="5"/>
  <c r="BF110" i="6"/>
  <c r="AR110" i="6"/>
  <c r="AS110" i="6"/>
  <c r="BG110" i="6"/>
  <c r="AY110" i="6"/>
  <c r="AU110" i="6"/>
  <c r="AV110" i="6"/>
  <c r="AO110" i="6"/>
  <c r="AX110" i="6"/>
  <c r="AN110" i="6"/>
  <c r="BD110" i="6"/>
  <c r="AP110" i="6"/>
  <c r="AQ110" i="6"/>
  <c r="BA110" i="6"/>
  <c r="BB110" i="6"/>
  <c r="AM110" i="6"/>
  <c r="BE110" i="6"/>
  <c r="BC110" i="6"/>
  <c r="AT110" i="6"/>
  <c r="AZ110" i="6"/>
  <c r="L111" i="12" a="1"/>
  <c r="L111" i="12" s="1"/>
  <c r="J111" i="12" a="1"/>
  <c r="J111" i="12" s="1"/>
  <c r="T110" i="5"/>
  <c r="G110" i="12" s="1"/>
  <c r="AB110" i="6"/>
  <c r="AD110" i="6"/>
  <c r="AF110" i="6"/>
  <c r="AE110" i="6"/>
  <c r="AK110" i="6"/>
  <c r="AH110" i="6"/>
  <c r="AC110" i="6"/>
  <c r="AJ110" i="6"/>
  <c r="AG110" i="6"/>
  <c r="AI110" i="6"/>
  <c r="J111" i="6"/>
  <c r="A111" i="6"/>
  <c r="M111" i="6" s="1"/>
  <c r="AC111" i="6" s="1"/>
  <c r="B58" i="7"/>
  <c r="C59" i="7" a="1"/>
  <c r="C59" i="7" s="1"/>
  <c r="B59" i="10"/>
  <c r="A11" i="12"/>
  <c r="P11" i="12" s="1"/>
  <c r="O11" i="12" s="1"/>
  <c r="K111" i="12" l="1"/>
  <c r="AT111" i="6"/>
  <c r="N111" i="6"/>
  <c r="BB111" i="6"/>
  <c r="BA111" i="6"/>
  <c r="AD111" i="6"/>
  <c r="AX111" i="6"/>
  <c r="AZ111" i="6"/>
  <c r="AK111" i="6"/>
  <c r="BG111" i="6"/>
  <c r="AF111" i="6"/>
  <c r="AS111" i="6"/>
  <c r="AH111" i="6"/>
  <c r="K113" i="5"/>
  <c r="AD113" i="5"/>
  <c r="B113" i="5"/>
  <c r="N113" i="5"/>
  <c r="D113" i="6" s="1"/>
  <c r="H113" i="6" s="1"/>
  <c r="T113" i="5" s="1"/>
  <c r="G113" i="12" s="1"/>
  <c r="H113" i="5"/>
  <c r="AE113" i="5"/>
  <c r="G113" i="5"/>
  <c r="A113" i="12"/>
  <c r="F113" i="5"/>
  <c r="D113" i="5"/>
  <c r="B113" i="12" s="1"/>
  <c r="C114" i="5"/>
  <c r="E113" i="5"/>
  <c r="J113" i="5"/>
  <c r="B113" i="6"/>
  <c r="AU111" i="6"/>
  <c r="AI111" i="6"/>
  <c r="L112" i="12" a="1"/>
  <c r="L112" i="12" s="1"/>
  <c r="J112" i="12" a="1"/>
  <c r="J112" i="12" s="1"/>
  <c r="AO111" i="6"/>
  <c r="J112" i="6"/>
  <c r="A112" i="6"/>
  <c r="BF111" i="6"/>
  <c r="BE111" i="6"/>
  <c r="AJ111" i="6"/>
  <c r="AV111" i="6"/>
  <c r="AP111" i="6"/>
  <c r="BC111" i="6"/>
  <c r="AM111" i="6"/>
  <c r="AN111" i="6"/>
  <c r="AE111" i="6"/>
  <c r="AG111" i="6"/>
  <c r="BD111" i="6"/>
  <c r="AR111" i="6"/>
  <c r="AY111" i="6"/>
  <c r="AQ111" i="6"/>
  <c r="AB111" i="6"/>
  <c r="C60" i="7" a="1"/>
  <c r="C60" i="7" s="1"/>
  <c r="B59" i="7"/>
  <c r="B60" i="10"/>
  <c r="L113" i="12" l="1" a="1"/>
  <c r="L113" i="12" s="1"/>
  <c r="J113" i="12" a="1"/>
  <c r="J113" i="12" s="1"/>
  <c r="N112" i="6"/>
  <c r="M112" i="6"/>
  <c r="K112" i="12"/>
  <c r="B114" i="5"/>
  <c r="AE114" i="5"/>
  <c r="AD114" i="5"/>
  <c r="F114" i="5"/>
  <c r="J114" i="5"/>
  <c r="B114" i="6"/>
  <c r="D114" i="5"/>
  <c r="B114" i="12" s="1"/>
  <c r="N114" i="5"/>
  <c r="D114" i="6" s="1"/>
  <c r="H114" i="6" s="1"/>
  <c r="T114" i="5" s="1"/>
  <c r="G114" i="12" s="1"/>
  <c r="G114" i="5"/>
  <c r="A114" i="12"/>
  <c r="C115" i="5"/>
  <c r="H114" i="5"/>
  <c r="K114" i="5"/>
  <c r="E114" i="5"/>
  <c r="A113" i="6"/>
  <c r="N113" i="6" s="1"/>
  <c r="J113" i="6"/>
  <c r="E129" i="12"/>
  <c r="F129" i="6"/>
  <c r="B61" i="10"/>
  <c r="C61" i="7" a="1"/>
  <c r="C61" i="7" s="1"/>
  <c r="B60" i="7"/>
  <c r="J114" i="6" l="1"/>
  <c r="A114" i="6"/>
  <c r="M113" i="6"/>
  <c r="AF112" i="6"/>
  <c r="AZ112" i="6"/>
  <c r="BG112" i="6"/>
  <c r="AS112" i="6"/>
  <c r="AY112" i="6"/>
  <c r="BB112" i="6"/>
  <c r="AB112" i="6"/>
  <c r="AK112" i="6"/>
  <c r="AX112" i="6"/>
  <c r="AE112" i="6"/>
  <c r="BA112" i="6"/>
  <c r="AG112" i="6"/>
  <c r="AV112" i="6"/>
  <c r="AM112" i="6"/>
  <c r="AP112" i="6"/>
  <c r="AI112" i="6"/>
  <c r="AU112" i="6"/>
  <c r="AN112" i="6"/>
  <c r="BC112" i="6"/>
  <c r="AH112" i="6"/>
  <c r="BF112" i="6"/>
  <c r="AQ112" i="6"/>
  <c r="AD112" i="6"/>
  <c r="BE112" i="6"/>
  <c r="AC112" i="6"/>
  <c r="BD112" i="6"/>
  <c r="AO112" i="6"/>
  <c r="AJ112" i="6"/>
  <c r="AR112" i="6"/>
  <c r="AT112" i="6"/>
  <c r="L114" i="12" a="1"/>
  <c r="L114" i="12" s="1"/>
  <c r="J114" i="12" a="1"/>
  <c r="J114" i="12" s="1"/>
  <c r="C116" i="5"/>
  <c r="B115" i="6"/>
  <c r="J115" i="5"/>
  <c r="A115" i="12"/>
  <c r="K115" i="5"/>
  <c r="G115" i="5"/>
  <c r="N115" i="5"/>
  <c r="D115" i="6" s="1"/>
  <c r="H115" i="6" s="1"/>
  <c r="T115" i="5" s="1"/>
  <c r="G115" i="12" s="1"/>
  <c r="B115" i="5"/>
  <c r="H115" i="5"/>
  <c r="F115" i="5"/>
  <c r="AE115" i="5"/>
  <c r="AD115" i="5"/>
  <c r="E115" i="5"/>
  <c r="D115" i="5"/>
  <c r="B115" i="12" s="1"/>
  <c r="K113" i="12"/>
  <c r="B62" i="10"/>
  <c r="B61" i="7"/>
  <c r="C62" i="7" a="1"/>
  <c r="C62" i="7" s="1"/>
  <c r="K114" i="12" l="1"/>
  <c r="B116" i="6"/>
  <c r="C117" i="5"/>
  <c r="G116" i="5"/>
  <c r="N116" i="5"/>
  <c r="D116" i="6" s="1"/>
  <c r="H116" i="6" s="1"/>
  <c r="T116" i="5" s="1"/>
  <c r="G116" i="12" s="1"/>
  <c r="K116" i="5"/>
  <c r="E116" i="5"/>
  <c r="A116" i="12"/>
  <c r="AD116" i="5"/>
  <c r="H116" i="5"/>
  <c r="AE116" i="5"/>
  <c r="B116" i="5"/>
  <c r="D116" i="5"/>
  <c r="B116" i="12" s="1"/>
  <c r="J116" i="5"/>
  <c r="F116" i="5"/>
  <c r="AO113" i="6"/>
  <c r="AY113" i="6"/>
  <c r="BA113" i="6"/>
  <c r="BE113" i="6"/>
  <c r="AH113" i="6"/>
  <c r="AE113" i="6"/>
  <c r="AM113" i="6"/>
  <c r="AP113" i="6"/>
  <c r="BG113" i="6"/>
  <c r="AR113" i="6"/>
  <c r="AC113" i="6"/>
  <c r="AF113" i="6"/>
  <c r="AU113" i="6"/>
  <c r="AG113" i="6"/>
  <c r="BB113" i="6"/>
  <c r="AJ113" i="6"/>
  <c r="AK113" i="6"/>
  <c r="AX113" i="6"/>
  <c r="AV113" i="6"/>
  <c r="AN113" i="6"/>
  <c r="AZ113" i="6"/>
  <c r="BD113" i="6"/>
  <c r="AS113" i="6"/>
  <c r="AQ113" i="6"/>
  <c r="AB113" i="6"/>
  <c r="BC113" i="6"/>
  <c r="AD113" i="6"/>
  <c r="AT113" i="6"/>
  <c r="BF113" i="6"/>
  <c r="AI113" i="6"/>
  <c r="J115" i="12" a="1"/>
  <c r="J115" i="12" s="1"/>
  <c r="L115" i="12" a="1"/>
  <c r="L115" i="12" s="1"/>
  <c r="N114" i="6"/>
  <c r="M114" i="6"/>
  <c r="J115" i="6"/>
  <c r="A115" i="6"/>
  <c r="B62" i="7"/>
  <c r="C63" i="7" a="1"/>
  <c r="C63" i="7" s="1"/>
  <c r="B63" i="10"/>
  <c r="K115" i="12" l="1"/>
  <c r="L116" i="12" a="1"/>
  <c r="L116" i="12" s="1"/>
  <c r="J116" i="12" a="1"/>
  <c r="J116" i="12" s="1"/>
  <c r="AE117" i="5"/>
  <c r="AD117" i="5"/>
  <c r="E117" i="5"/>
  <c r="J117" i="5"/>
  <c r="N117" i="5"/>
  <c r="D117" i="6" s="1"/>
  <c r="H117" i="6" s="1"/>
  <c r="T117" i="5" s="1"/>
  <c r="G117" i="12" s="1"/>
  <c r="A117" i="12"/>
  <c r="D117" i="5"/>
  <c r="B117" i="12" s="1"/>
  <c r="G117" i="5"/>
  <c r="F117" i="5"/>
  <c r="B117" i="5"/>
  <c r="K117" i="5"/>
  <c r="C118" i="5"/>
  <c r="B117" i="6"/>
  <c r="H117" i="5"/>
  <c r="AR114" i="6"/>
  <c r="BB114" i="6"/>
  <c r="AH114" i="6"/>
  <c r="BE114" i="6"/>
  <c r="BF114" i="6"/>
  <c r="AF114" i="6"/>
  <c r="AO114" i="6"/>
  <c r="AG114" i="6"/>
  <c r="AN114" i="6"/>
  <c r="AE114" i="6"/>
  <c r="AK114" i="6"/>
  <c r="AQ114" i="6"/>
  <c r="AS114" i="6"/>
  <c r="AM114" i="6"/>
  <c r="BA114" i="6"/>
  <c r="AX114" i="6"/>
  <c r="AU114" i="6"/>
  <c r="BG114" i="6"/>
  <c r="AT114" i="6"/>
  <c r="AC114" i="6"/>
  <c r="AB114" i="6"/>
  <c r="AV114" i="6"/>
  <c r="AZ114" i="6"/>
  <c r="AI114" i="6"/>
  <c r="BD114" i="6"/>
  <c r="AD114" i="6"/>
  <c r="AP114" i="6"/>
  <c r="BC114" i="6"/>
  <c r="AY114" i="6"/>
  <c r="AJ114" i="6"/>
  <c r="J116" i="6"/>
  <c r="A116" i="6"/>
  <c r="M115" i="6"/>
  <c r="N115" i="6"/>
  <c r="B64" i="10"/>
  <c r="C64" i="7" a="1"/>
  <c r="C64" i="7" s="1"/>
  <c r="B63" i="7"/>
  <c r="K116" i="12" l="1"/>
  <c r="M116" i="6"/>
  <c r="N116" i="6"/>
  <c r="L117" i="12" a="1"/>
  <c r="L117" i="12" s="1"/>
  <c r="J117" i="12" a="1"/>
  <c r="J117" i="12" s="1"/>
  <c r="AT115" i="6"/>
  <c r="AQ115" i="6"/>
  <c r="AX115" i="6"/>
  <c r="AR115" i="6"/>
  <c r="AS115" i="6"/>
  <c r="AU115" i="6"/>
  <c r="AN115" i="6"/>
  <c r="AM115" i="6"/>
  <c r="BB115" i="6"/>
  <c r="AK115" i="6"/>
  <c r="BG115" i="6"/>
  <c r="AI115" i="6"/>
  <c r="BA115" i="6"/>
  <c r="AJ115" i="6"/>
  <c r="BF115" i="6"/>
  <c r="AC115" i="6"/>
  <c r="AO115" i="6"/>
  <c r="AH115" i="6"/>
  <c r="AG115" i="6"/>
  <c r="AY115" i="6"/>
  <c r="BC115" i="6"/>
  <c r="AF115" i="6"/>
  <c r="AP115" i="6"/>
  <c r="AV115" i="6"/>
  <c r="AZ115" i="6"/>
  <c r="AE115" i="6"/>
  <c r="BE115" i="6"/>
  <c r="AB115" i="6"/>
  <c r="BD115" i="6"/>
  <c r="AD115" i="6"/>
  <c r="J117" i="6"/>
  <c r="A117" i="6"/>
  <c r="E118" i="5"/>
  <c r="N118" i="5"/>
  <c r="D118" i="6" s="1"/>
  <c r="H118" i="6" s="1"/>
  <c r="T118" i="5" s="1"/>
  <c r="G118" i="12" s="1"/>
  <c r="B118" i="5"/>
  <c r="J118" i="5"/>
  <c r="H118" i="5"/>
  <c r="K118" i="5"/>
  <c r="F118" i="5"/>
  <c r="AD118" i="5"/>
  <c r="AE118" i="5"/>
  <c r="A118" i="12"/>
  <c r="B118" i="6"/>
  <c r="C119" i="5"/>
  <c r="G118" i="5"/>
  <c r="D118" i="5"/>
  <c r="B118" i="12" s="1"/>
  <c r="B64" i="7"/>
  <c r="C10" i="7"/>
  <c r="E133" i="12"/>
  <c r="F133" i="6"/>
  <c r="K117" i="12" l="1"/>
  <c r="L118" i="12" a="1"/>
  <c r="L118" i="12" s="1"/>
  <c r="J118" i="12" a="1"/>
  <c r="J118" i="12" s="1"/>
  <c r="AD119" i="5"/>
  <c r="J119" i="5"/>
  <c r="E119" i="5"/>
  <c r="G119" i="5"/>
  <c r="H119" i="5"/>
  <c r="C120" i="5"/>
  <c r="B119" i="6"/>
  <c r="N119" i="5"/>
  <c r="D119" i="6" s="1"/>
  <c r="H119" i="6" s="1"/>
  <c r="T119" i="5" s="1"/>
  <c r="G119" i="12" s="1"/>
  <c r="A119" i="12"/>
  <c r="AE119" i="5"/>
  <c r="K119" i="5"/>
  <c r="F119" i="5"/>
  <c r="D119" i="5"/>
  <c r="B119" i="12" s="1"/>
  <c r="B119" i="5"/>
  <c r="J118" i="6"/>
  <c r="A118" i="6"/>
  <c r="N118" i="6" s="1"/>
  <c r="M117" i="6"/>
  <c r="N117" i="6"/>
  <c r="AM116" i="6"/>
  <c r="AN116" i="6"/>
  <c r="AS116" i="6"/>
  <c r="AQ116" i="6"/>
  <c r="BA116" i="6"/>
  <c r="AV116" i="6"/>
  <c r="AR116" i="6"/>
  <c r="AO116" i="6"/>
  <c r="BC116" i="6"/>
  <c r="BB116" i="6"/>
  <c r="AC116" i="6"/>
  <c r="AI116" i="6"/>
  <c r="AZ116" i="6"/>
  <c r="AE116" i="6"/>
  <c r="AG116" i="6"/>
  <c r="BD116" i="6"/>
  <c r="AY116" i="6"/>
  <c r="AJ116" i="6"/>
  <c r="BG116" i="6"/>
  <c r="AD116" i="6"/>
  <c r="AP116" i="6"/>
  <c r="AT116" i="6"/>
  <c r="AK116" i="6"/>
  <c r="AB116" i="6"/>
  <c r="BF116" i="6"/>
  <c r="AU116" i="6"/>
  <c r="BE116" i="6"/>
  <c r="AX116" i="6"/>
  <c r="AH116" i="6"/>
  <c r="AF116" i="6"/>
  <c r="J119" i="12" l="1" a="1"/>
  <c r="J119" i="12" s="1"/>
  <c r="L119" i="12" a="1"/>
  <c r="L119" i="12" s="1"/>
  <c r="A119" i="6"/>
  <c r="J119" i="6"/>
  <c r="AP117" i="6"/>
  <c r="AT117" i="6"/>
  <c r="BF117" i="6"/>
  <c r="AX117" i="6"/>
  <c r="AK117" i="6"/>
  <c r="AN117" i="6"/>
  <c r="AU117" i="6"/>
  <c r="AY117" i="6"/>
  <c r="AO117" i="6"/>
  <c r="BC117" i="6"/>
  <c r="AG117" i="6"/>
  <c r="BG117" i="6"/>
  <c r="BB117" i="6"/>
  <c r="AH117" i="6"/>
  <c r="BA117" i="6"/>
  <c r="BE117" i="6"/>
  <c r="AZ117" i="6"/>
  <c r="AD117" i="6"/>
  <c r="AQ117" i="6"/>
  <c r="AJ117" i="6"/>
  <c r="AE117" i="6"/>
  <c r="AC117" i="6"/>
  <c r="AV117" i="6"/>
  <c r="AM117" i="6"/>
  <c r="AS117" i="6"/>
  <c r="AF117" i="6"/>
  <c r="BD117" i="6"/>
  <c r="AR117" i="6"/>
  <c r="AB117" i="6"/>
  <c r="AI117" i="6"/>
  <c r="AD120" i="5"/>
  <c r="N120" i="5"/>
  <c r="D120" i="6" s="1"/>
  <c r="H120" i="6" s="1"/>
  <c r="T120" i="5" s="1"/>
  <c r="G120" i="12" s="1"/>
  <c r="G120" i="5"/>
  <c r="D120" i="5"/>
  <c r="B120" i="12" s="1"/>
  <c r="K120" i="5"/>
  <c r="B120" i="5"/>
  <c r="A120" i="12"/>
  <c r="C121" i="5"/>
  <c r="B120" i="6"/>
  <c r="E120" i="5"/>
  <c r="J120" i="5"/>
  <c r="F120" i="5"/>
  <c r="AE120" i="5"/>
  <c r="H120" i="5"/>
  <c r="M118" i="6"/>
  <c r="K118" i="12"/>
  <c r="K119" i="12" l="1"/>
  <c r="J120" i="6"/>
  <c r="A120" i="6"/>
  <c r="M120" i="6" s="1"/>
  <c r="AQ120" i="6" s="1"/>
  <c r="E121" i="5"/>
  <c r="AD121" i="5"/>
  <c r="J121" i="5"/>
  <c r="K121" i="5"/>
  <c r="N121" i="5"/>
  <c r="D121" i="6" s="1"/>
  <c r="H121" i="6" s="1"/>
  <c r="T121" i="5" s="1"/>
  <c r="G121" i="12" s="1"/>
  <c r="H121" i="5"/>
  <c r="AE121" i="5"/>
  <c r="B121" i="6"/>
  <c r="G121" i="5"/>
  <c r="D121" i="5"/>
  <c r="B121" i="12" s="1"/>
  <c r="A121" i="12"/>
  <c r="B121" i="5"/>
  <c r="C122" i="5" s="1"/>
  <c r="F121" i="5"/>
  <c r="L120" i="12" a="1"/>
  <c r="L120" i="12" s="1"/>
  <c r="J120" i="12" a="1"/>
  <c r="J120" i="12" s="1"/>
  <c r="N119" i="6"/>
  <c r="M119" i="6"/>
  <c r="AG118" i="6"/>
  <c r="BB118" i="6"/>
  <c r="AM118" i="6"/>
  <c r="AH118" i="6"/>
  <c r="AK118" i="6"/>
  <c r="AY118" i="6"/>
  <c r="BD118" i="6"/>
  <c r="BG118" i="6"/>
  <c r="AS118" i="6"/>
  <c r="AO118" i="6"/>
  <c r="AX118" i="6"/>
  <c r="AU118" i="6"/>
  <c r="AD118" i="6"/>
  <c r="AC118" i="6"/>
  <c r="AJ118" i="6"/>
  <c r="AF118" i="6"/>
  <c r="AT118" i="6"/>
  <c r="AI118" i="6"/>
  <c r="BC118" i="6"/>
  <c r="AQ118" i="6"/>
  <c r="AR118" i="6"/>
  <c r="AV118" i="6"/>
  <c r="AP118" i="6"/>
  <c r="AE118" i="6"/>
  <c r="AN118" i="6"/>
  <c r="BA118" i="6"/>
  <c r="AZ118" i="6"/>
  <c r="BF118" i="6"/>
  <c r="BE118" i="6"/>
  <c r="AB118" i="6"/>
  <c r="N120" i="6" l="1"/>
  <c r="K120" i="12"/>
  <c r="AG120" i="6"/>
  <c r="AR120" i="6"/>
  <c r="BF120" i="6"/>
  <c r="AV120" i="6"/>
  <c r="AJ120" i="6"/>
  <c r="BG120" i="6"/>
  <c r="AI120" i="6"/>
  <c r="AP120" i="6"/>
  <c r="BC120" i="6"/>
  <c r="E122" i="5"/>
  <c r="W122" i="5"/>
  <c r="H122" i="12" s="1"/>
  <c r="C123" i="5"/>
  <c r="F122" i="5"/>
  <c r="N122" i="5"/>
  <c r="D122" i="6" s="1"/>
  <c r="G122" i="5"/>
  <c r="AE122" i="5"/>
  <c r="A122" i="12"/>
  <c r="H122" i="5"/>
  <c r="B122" i="6"/>
  <c r="AD122" i="5"/>
  <c r="I122" i="5"/>
  <c r="B122" i="5"/>
  <c r="AX120" i="6"/>
  <c r="BC119" i="6"/>
  <c r="AU119" i="6"/>
  <c r="AK119" i="6"/>
  <c r="BB119" i="6"/>
  <c r="AO119" i="6"/>
  <c r="AZ119" i="6"/>
  <c r="AR119" i="6"/>
  <c r="BF119" i="6"/>
  <c r="AV119" i="6"/>
  <c r="AJ119" i="6"/>
  <c r="AF119" i="6"/>
  <c r="BG119" i="6"/>
  <c r="AQ119" i="6"/>
  <c r="AY119" i="6"/>
  <c r="BD119" i="6"/>
  <c r="AE119" i="6"/>
  <c r="AD119" i="6"/>
  <c r="AG119" i="6"/>
  <c r="AI119" i="6"/>
  <c r="AT119" i="6"/>
  <c r="AS119" i="6"/>
  <c r="AM119" i="6"/>
  <c r="AN119" i="6"/>
  <c r="AB119" i="6"/>
  <c r="BA119" i="6"/>
  <c r="AC119" i="6"/>
  <c r="AX119" i="6"/>
  <c r="AP119" i="6"/>
  <c r="AH119" i="6"/>
  <c r="BE119" i="6"/>
  <c r="L121" i="12" a="1"/>
  <c r="L121" i="12" s="1"/>
  <c r="J121" i="12" a="1"/>
  <c r="J121" i="12" s="1"/>
  <c r="AO120" i="6"/>
  <c r="AM120" i="6"/>
  <c r="AU120" i="6"/>
  <c r="BE120" i="6"/>
  <c r="AZ120" i="6"/>
  <c r="AS120" i="6"/>
  <c r="AH120" i="6"/>
  <c r="AK120" i="6"/>
  <c r="AY120" i="6"/>
  <c r="BD120" i="6"/>
  <c r="BA120" i="6"/>
  <c r="AN120" i="6"/>
  <c r="AF120" i="6"/>
  <c r="AE120" i="6"/>
  <c r="J121" i="6"/>
  <c r="A121" i="6"/>
  <c r="AC120" i="6"/>
  <c r="AB120" i="6"/>
  <c r="BB120" i="6"/>
  <c r="AT120" i="6"/>
  <c r="AD120" i="6"/>
  <c r="K121" i="12" l="1"/>
  <c r="D123" i="5"/>
  <c r="B123" i="12" s="1"/>
  <c r="A123" i="12"/>
  <c r="AD123" i="5"/>
  <c r="AE123" i="5"/>
  <c r="K123" i="5"/>
  <c r="E123" i="5"/>
  <c r="B123" i="5"/>
  <c r="J123" i="5"/>
  <c r="B123" i="6"/>
  <c r="F123" i="5"/>
  <c r="G123" i="5"/>
  <c r="C124" i="5"/>
  <c r="H123" i="5"/>
  <c r="N123" i="5"/>
  <c r="D123" i="6" s="1"/>
  <c r="H123" i="6" s="1"/>
  <c r="T123" i="5" s="1"/>
  <c r="G123" i="12" s="1"/>
  <c r="N121" i="6"/>
  <c r="M121" i="6"/>
  <c r="J122" i="6"/>
  <c r="A122" i="6"/>
  <c r="N122" i="6" s="1"/>
  <c r="G122" i="6"/>
  <c r="M122" i="6"/>
  <c r="BA122" i="6" s="1"/>
  <c r="H122" i="6"/>
  <c r="AU122" i="6" l="1"/>
  <c r="AF122" i="6"/>
  <c r="BF122" i="6"/>
  <c r="AT122" i="6"/>
  <c r="AN122" i="6"/>
  <c r="AV122" i="6"/>
  <c r="K124" i="5"/>
  <c r="C125" i="5"/>
  <c r="B124" i="5"/>
  <c r="AE124" i="5"/>
  <c r="B124" i="6"/>
  <c r="F124" i="5"/>
  <c r="AD124" i="5"/>
  <c r="N124" i="5"/>
  <c r="D124" i="6" s="1"/>
  <c r="H124" i="6" s="1"/>
  <c r="T124" i="5" s="1"/>
  <c r="G124" i="12" s="1"/>
  <c r="A124" i="12"/>
  <c r="E124" i="5"/>
  <c r="D124" i="5"/>
  <c r="B124" i="12" s="1"/>
  <c r="H124" i="5"/>
  <c r="J124" i="5"/>
  <c r="G124" i="5"/>
  <c r="J123" i="6"/>
  <c r="A123" i="6"/>
  <c r="AE121" i="6"/>
  <c r="AX121" i="6"/>
  <c r="AV121" i="6"/>
  <c r="AG121" i="6"/>
  <c r="AS121" i="6"/>
  <c r="BD121" i="6"/>
  <c r="AU121" i="6"/>
  <c r="AM121" i="6"/>
  <c r="AB121" i="6"/>
  <c r="BF121" i="6"/>
  <c r="BE121" i="6"/>
  <c r="BG121" i="6"/>
  <c r="AI121" i="6"/>
  <c r="AR121" i="6"/>
  <c r="AD121" i="6"/>
  <c r="AY121" i="6"/>
  <c r="AP121" i="6"/>
  <c r="BB121" i="6"/>
  <c r="AK121" i="6"/>
  <c r="AO121" i="6"/>
  <c r="AQ121" i="6"/>
  <c r="AT121" i="6"/>
  <c r="AH121" i="6"/>
  <c r="AF121" i="6"/>
  <c r="AC121" i="6"/>
  <c r="BC121" i="6"/>
  <c r="AZ121" i="6"/>
  <c r="AJ121" i="6"/>
  <c r="BA121" i="6"/>
  <c r="AN121" i="6"/>
  <c r="T122" i="5"/>
  <c r="G122" i="12" s="1"/>
  <c r="AG122" i="6"/>
  <c r="AD122" i="6"/>
  <c r="AK122" i="6"/>
  <c r="AJ122" i="6"/>
  <c r="AH122" i="6"/>
  <c r="AC122" i="6"/>
  <c r="AI122" i="6"/>
  <c r="AB122" i="6"/>
  <c r="AE122" i="6"/>
  <c r="J123" i="12" a="1"/>
  <c r="J123" i="12" s="1"/>
  <c r="L123" i="12" a="1"/>
  <c r="L123" i="12" s="1"/>
  <c r="BE122" i="6"/>
  <c r="AX122" i="6"/>
  <c r="AR122" i="6"/>
  <c r="BD122" i="6"/>
  <c r="AY122" i="6"/>
  <c r="AQ122" i="6"/>
  <c r="BC122" i="6"/>
  <c r="BG122" i="6"/>
  <c r="AZ122" i="6"/>
  <c r="AM122" i="6"/>
  <c r="BB122" i="6"/>
  <c r="AO122" i="6"/>
  <c r="AP122" i="6"/>
  <c r="AS122" i="6"/>
  <c r="K123" i="12" l="1"/>
  <c r="J124" i="12" a="1"/>
  <c r="J124" i="12" s="1"/>
  <c r="L124" i="12" a="1"/>
  <c r="L124" i="12" s="1"/>
  <c r="K124" i="12" s="1"/>
  <c r="A124" i="6"/>
  <c r="N124" i="6" s="1"/>
  <c r="J124" i="6"/>
  <c r="N123" i="6"/>
  <c r="M123" i="6"/>
  <c r="H125" i="5"/>
  <c r="D125" i="5"/>
  <c r="B125" i="12" s="1"/>
  <c r="C126" i="5"/>
  <c r="AE125" i="5"/>
  <c r="J125" i="5"/>
  <c r="B125" i="5"/>
  <c r="B125" i="6"/>
  <c r="K125" i="5"/>
  <c r="F125" i="5"/>
  <c r="E125" i="5"/>
  <c r="N125" i="5"/>
  <c r="D125" i="6" s="1"/>
  <c r="H125" i="6" s="1"/>
  <c r="T125" i="5" s="1"/>
  <c r="G125" i="12" s="1"/>
  <c r="A125" i="12"/>
  <c r="AD125" i="5"/>
  <c r="G125" i="5"/>
  <c r="E140" i="12"/>
  <c r="F140" i="6"/>
  <c r="M124" i="6" l="1"/>
  <c r="AM124" i="6" s="1"/>
  <c r="D126" i="5"/>
  <c r="B126" i="12" s="1"/>
  <c r="B126" i="5"/>
  <c r="J126" i="5"/>
  <c r="K126" i="5"/>
  <c r="N126" i="5"/>
  <c r="D126" i="6" s="1"/>
  <c r="H126" i="6" s="1"/>
  <c r="T126" i="5" s="1"/>
  <c r="G126" i="12" s="1"/>
  <c r="E126" i="5"/>
  <c r="C127" i="5"/>
  <c r="AD126" i="5"/>
  <c r="H126" i="5"/>
  <c r="G126" i="5"/>
  <c r="B126" i="6"/>
  <c r="F126" i="5"/>
  <c r="AE126" i="5"/>
  <c r="A126" i="12"/>
  <c r="AF123" i="6"/>
  <c r="AP123" i="6"/>
  <c r="BE123" i="6"/>
  <c r="AD123" i="6"/>
  <c r="AB123" i="6"/>
  <c r="BF123" i="6"/>
  <c r="AR123" i="6"/>
  <c r="AZ123" i="6"/>
  <c r="AE123" i="6"/>
  <c r="AM123" i="6"/>
  <c r="AK123" i="6"/>
  <c r="AU123" i="6"/>
  <c r="BC123" i="6"/>
  <c r="AO123" i="6"/>
  <c r="AQ123" i="6"/>
  <c r="AG123" i="6"/>
  <c r="BG123" i="6"/>
  <c r="AV123" i="6"/>
  <c r="BA123" i="6"/>
  <c r="AJ123" i="6"/>
  <c r="AI123" i="6"/>
  <c r="AT123" i="6"/>
  <c r="BD123" i="6"/>
  <c r="AY123" i="6"/>
  <c r="AH123" i="6"/>
  <c r="BB123" i="6"/>
  <c r="AX123" i="6"/>
  <c r="AS123" i="6"/>
  <c r="AC123" i="6"/>
  <c r="AN123" i="6"/>
  <c r="J125" i="12" a="1"/>
  <c r="J125" i="12" s="1"/>
  <c r="L125" i="12" a="1"/>
  <c r="L125" i="12" s="1"/>
  <c r="J125" i="6"/>
  <c r="A125" i="6"/>
  <c r="N125" i="6" s="1"/>
  <c r="AP124" i="6" l="1"/>
  <c r="AJ124" i="6"/>
  <c r="BD124" i="6"/>
  <c r="AY124" i="6"/>
  <c r="AX124" i="6"/>
  <c r="AR124" i="6"/>
  <c r="BA124" i="6"/>
  <c r="AQ124" i="6"/>
  <c r="BE124" i="6"/>
  <c r="AD124" i="6"/>
  <c r="AT124" i="6"/>
  <c r="AF124" i="6"/>
  <c r="AZ124" i="6"/>
  <c r="AH124" i="6"/>
  <c r="AE124" i="6"/>
  <c r="AG124" i="6"/>
  <c r="AK124" i="6"/>
  <c r="AV124" i="6"/>
  <c r="AS124" i="6"/>
  <c r="AB124" i="6"/>
  <c r="AI124" i="6"/>
  <c r="AN124" i="6"/>
  <c r="BF124" i="6"/>
  <c r="AU124" i="6"/>
  <c r="AC124" i="6"/>
  <c r="AO124" i="6"/>
  <c r="BB124" i="6"/>
  <c r="BG124" i="6"/>
  <c r="BC124" i="6"/>
  <c r="AE127" i="5"/>
  <c r="B127" i="6"/>
  <c r="G127" i="5"/>
  <c r="E127" i="5"/>
  <c r="AD127" i="5"/>
  <c r="D127" i="5"/>
  <c r="B127" i="12" s="1"/>
  <c r="C128" i="5"/>
  <c r="K127" i="5"/>
  <c r="J127" i="5"/>
  <c r="H127" i="5"/>
  <c r="N127" i="5"/>
  <c r="D127" i="6" s="1"/>
  <c r="H127" i="6" s="1"/>
  <c r="T127" i="5" s="1"/>
  <c r="G127" i="12" s="1"/>
  <c r="A127" i="12"/>
  <c r="B127" i="5"/>
  <c r="F127" i="5"/>
  <c r="L126" i="12" a="1"/>
  <c r="L126" i="12" s="1"/>
  <c r="J126" i="12" a="1"/>
  <c r="J126" i="12" s="1"/>
  <c r="K125" i="12"/>
  <c r="M125" i="6"/>
  <c r="J126" i="6"/>
  <c r="A126" i="6"/>
  <c r="K126" i="12" l="1"/>
  <c r="J127" i="12" a="1"/>
  <c r="J127" i="12" s="1"/>
  <c r="L127" i="12" a="1"/>
  <c r="L127" i="12" s="1"/>
  <c r="N126" i="6"/>
  <c r="M126" i="6"/>
  <c r="E128" i="5"/>
  <c r="A128" i="12"/>
  <c r="G128" i="5"/>
  <c r="J128" i="5"/>
  <c r="H128" i="5"/>
  <c r="B128" i="5"/>
  <c r="C129" i="5" s="1"/>
  <c r="B128" i="6"/>
  <c r="N128" i="5"/>
  <c r="D128" i="6" s="1"/>
  <c r="H128" i="6" s="1"/>
  <c r="T128" i="5" s="1"/>
  <c r="G128" i="12" s="1"/>
  <c r="AE128" i="5"/>
  <c r="D128" i="5"/>
  <c r="B128" i="12" s="1"/>
  <c r="AD128" i="5"/>
  <c r="F128" i="5"/>
  <c r="K128" i="5"/>
  <c r="BC125" i="6"/>
  <c r="BD125" i="6"/>
  <c r="AE125" i="6"/>
  <c r="AK125" i="6"/>
  <c r="AU125" i="6"/>
  <c r="AC125" i="6"/>
  <c r="AH125" i="6"/>
  <c r="AF125" i="6"/>
  <c r="AN125" i="6"/>
  <c r="AB125" i="6"/>
  <c r="BA125" i="6"/>
  <c r="BB125" i="6"/>
  <c r="AT125" i="6"/>
  <c r="AS125" i="6"/>
  <c r="AX125" i="6"/>
  <c r="AI125" i="6"/>
  <c r="AZ125" i="6"/>
  <c r="BF125" i="6"/>
  <c r="AM125" i="6"/>
  <c r="AV125" i="6"/>
  <c r="AY125" i="6"/>
  <c r="AO125" i="6"/>
  <c r="AD125" i="6"/>
  <c r="AQ125" i="6"/>
  <c r="AP125" i="6"/>
  <c r="AR125" i="6"/>
  <c r="BE125" i="6"/>
  <c r="AJ125" i="6"/>
  <c r="BG125" i="6"/>
  <c r="AG125" i="6"/>
  <c r="J127" i="6"/>
  <c r="A127" i="6"/>
  <c r="M127" i="6" s="1"/>
  <c r="BB127" i="6" s="1"/>
  <c r="K127" i="12" l="1"/>
  <c r="BG127" i="6"/>
  <c r="N127" i="6"/>
  <c r="AH127" i="6"/>
  <c r="AQ127" i="6"/>
  <c r="A128" i="6"/>
  <c r="J128" i="6"/>
  <c r="AB127" i="6"/>
  <c r="C130" i="5"/>
  <c r="I129" i="5"/>
  <c r="F129" i="5"/>
  <c r="B129" i="5"/>
  <c r="AE129" i="5"/>
  <c r="H129" i="5"/>
  <c r="E129" i="5"/>
  <c r="B129" i="6"/>
  <c r="A129" i="12"/>
  <c r="G129" i="5"/>
  <c r="AD129" i="5"/>
  <c r="W129" i="5"/>
  <c r="H129" i="12" s="1"/>
  <c r="N129" i="5"/>
  <c r="D129" i="6" s="1"/>
  <c r="BC127" i="6"/>
  <c r="AR127" i="6"/>
  <c r="AN127" i="6"/>
  <c r="BD127" i="6"/>
  <c r="BA127" i="6"/>
  <c r="AG127" i="6"/>
  <c r="J128" i="12" a="1"/>
  <c r="J128" i="12" s="1"/>
  <c r="L128" i="12" a="1"/>
  <c r="L128" i="12" s="1"/>
  <c r="AP127" i="6"/>
  <c r="AY127" i="6"/>
  <c r="AT127" i="6"/>
  <c r="AF127" i="6"/>
  <c r="AI127" i="6"/>
  <c r="AZ127" i="6"/>
  <c r="AV127" i="6"/>
  <c r="AM127" i="6"/>
  <c r="AS127" i="6"/>
  <c r="AD127" i="6"/>
  <c r="AK127" i="6"/>
  <c r="AO127" i="6"/>
  <c r="AX127" i="6"/>
  <c r="AJ127" i="6"/>
  <c r="AU127" i="6"/>
  <c r="BE127" i="6"/>
  <c r="AC127" i="6"/>
  <c r="AE127" i="6"/>
  <c r="AI126" i="6"/>
  <c r="AR126" i="6"/>
  <c r="AZ126" i="6"/>
  <c r="BB126" i="6"/>
  <c r="AQ126" i="6"/>
  <c r="AY126" i="6"/>
  <c r="AB126" i="6"/>
  <c r="AM126" i="6"/>
  <c r="AT126" i="6"/>
  <c r="BE126" i="6"/>
  <c r="AG126" i="6"/>
  <c r="AU126" i="6"/>
  <c r="BA126" i="6"/>
  <c r="AK126" i="6"/>
  <c r="BD126" i="6"/>
  <c r="AJ126" i="6"/>
  <c r="BC126" i="6"/>
  <c r="AP126" i="6"/>
  <c r="AF126" i="6"/>
  <c r="AV126" i="6"/>
  <c r="AC126" i="6"/>
  <c r="AN126" i="6"/>
  <c r="AD126" i="6"/>
  <c r="AO126" i="6"/>
  <c r="AE126" i="6"/>
  <c r="AX126" i="6"/>
  <c r="BF126" i="6"/>
  <c r="AH126" i="6"/>
  <c r="BG126" i="6"/>
  <c r="AS126" i="6"/>
  <c r="BF127" i="6"/>
  <c r="K128" i="12" l="1"/>
  <c r="G129" i="6"/>
  <c r="H129" i="6"/>
  <c r="M129" i="6"/>
  <c r="BB129" i="6" s="1"/>
  <c r="N129" i="6"/>
  <c r="C131" i="5"/>
  <c r="B130" i="5"/>
  <c r="N130" i="5"/>
  <c r="D130" i="6" s="1"/>
  <c r="H130" i="6" s="1"/>
  <c r="T130" i="5" s="1"/>
  <c r="G130" i="12" s="1"/>
  <c r="B130" i="6"/>
  <c r="D130" i="5"/>
  <c r="B130" i="12" s="1"/>
  <c r="A130" i="12"/>
  <c r="F130" i="5"/>
  <c r="AD130" i="5"/>
  <c r="H130" i="5"/>
  <c r="AE130" i="5"/>
  <c r="E130" i="5"/>
  <c r="G130" i="5"/>
  <c r="J130" i="5"/>
  <c r="K130" i="5"/>
  <c r="N128" i="6"/>
  <c r="M128" i="6"/>
  <c r="J129" i="6"/>
  <c r="A129" i="6"/>
  <c r="E145" i="12"/>
  <c r="F145" i="6"/>
  <c r="J130" i="12" l="1" a="1"/>
  <c r="J130" i="12" s="1"/>
  <c r="L130" i="12" a="1"/>
  <c r="L130" i="12" s="1"/>
  <c r="BE128" i="6"/>
  <c r="AE128" i="6"/>
  <c r="AO128" i="6"/>
  <c r="AG128" i="6"/>
  <c r="AM128" i="6"/>
  <c r="BF128" i="6"/>
  <c r="AY128" i="6"/>
  <c r="BG128" i="6"/>
  <c r="AU128" i="6"/>
  <c r="AB128" i="6"/>
  <c r="AR128" i="6"/>
  <c r="AI128" i="6"/>
  <c r="AK128" i="6"/>
  <c r="BD128" i="6"/>
  <c r="AZ128" i="6"/>
  <c r="AF128" i="6"/>
  <c r="AV128" i="6"/>
  <c r="AJ128" i="6"/>
  <c r="AH128" i="6"/>
  <c r="BA128" i="6"/>
  <c r="AQ128" i="6"/>
  <c r="AC128" i="6"/>
  <c r="AT128" i="6"/>
  <c r="AX128" i="6"/>
  <c r="AN128" i="6"/>
  <c r="AD128" i="6"/>
  <c r="BC128" i="6"/>
  <c r="BB128" i="6"/>
  <c r="AS128" i="6"/>
  <c r="AP128" i="6"/>
  <c r="A130" i="6"/>
  <c r="M130" i="6" s="1"/>
  <c r="BA130" i="6" s="1"/>
  <c r="J130" i="6"/>
  <c r="AD131" i="5"/>
  <c r="J131" i="5"/>
  <c r="G131" i="5"/>
  <c r="N131" i="5"/>
  <c r="D131" i="6" s="1"/>
  <c r="H131" i="6" s="1"/>
  <c r="T131" i="5" s="1"/>
  <c r="G131" i="12" s="1"/>
  <c r="F131" i="5"/>
  <c r="C132" i="5"/>
  <c r="K131" i="5"/>
  <c r="AE131" i="5"/>
  <c r="B131" i="5"/>
  <c r="E131" i="5"/>
  <c r="A131" i="12"/>
  <c r="H131" i="5"/>
  <c r="D131" i="5"/>
  <c r="B131" i="12" s="1"/>
  <c r="B131" i="6"/>
  <c r="AT129" i="6"/>
  <c r="AU129" i="6"/>
  <c r="AP129" i="6"/>
  <c r="BG129" i="6"/>
  <c r="BD129" i="6"/>
  <c r="AQ129" i="6"/>
  <c r="AZ129" i="6"/>
  <c r="AO129" i="6"/>
  <c r="AV129" i="6"/>
  <c r="BA129" i="6"/>
  <c r="AS129" i="6"/>
  <c r="AY129" i="6"/>
  <c r="AM129" i="6"/>
  <c r="BF129" i="6"/>
  <c r="AN129" i="6"/>
  <c r="AR129" i="6"/>
  <c r="BC129" i="6"/>
  <c r="BE129" i="6"/>
  <c r="AX129" i="6"/>
  <c r="T129" i="5"/>
  <c r="G129" i="12" s="1"/>
  <c r="AF129" i="6"/>
  <c r="AK129" i="6"/>
  <c r="AB129" i="6"/>
  <c r="AE129" i="6"/>
  <c r="AC129" i="6"/>
  <c r="AI129" i="6"/>
  <c r="AH129" i="6"/>
  <c r="AG129" i="6"/>
  <c r="AJ129" i="6"/>
  <c r="AD129" i="6"/>
  <c r="E164" i="12"/>
  <c r="F164" i="6"/>
  <c r="K130" i="12" l="1"/>
  <c r="N130" i="6"/>
  <c r="AE130" i="6"/>
  <c r="AP130" i="6"/>
  <c r="AK130" i="6"/>
  <c r="AV130" i="6"/>
  <c r="AQ130" i="6"/>
  <c r="BE130" i="6"/>
  <c r="AT130" i="6"/>
  <c r="AR130" i="6"/>
  <c r="AJ130" i="6"/>
  <c r="J131" i="6"/>
  <c r="A131" i="6"/>
  <c r="N131" i="6" s="1"/>
  <c r="AI130" i="6"/>
  <c r="AD130" i="6"/>
  <c r="BD130" i="6"/>
  <c r="BC130" i="6"/>
  <c r="AF130" i="6"/>
  <c r="AS130" i="6"/>
  <c r="AY130" i="6"/>
  <c r="AM130" i="6"/>
  <c r="J131" i="12" a="1"/>
  <c r="J131" i="12" s="1"/>
  <c r="L131" i="12" a="1"/>
  <c r="L131" i="12" s="1"/>
  <c r="AO130" i="6"/>
  <c r="AB130" i="6"/>
  <c r="AZ130" i="6"/>
  <c r="BB130" i="6"/>
  <c r="BF130" i="6"/>
  <c r="AG130" i="6"/>
  <c r="AX130" i="6"/>
  <c r="BG130" i="6"/>
  <c r="K132" i="5"/>
  <c r="F132" i="5"/>
  <c r="E132" i="5"/>
  <c r="AD132" i="5"/>
  <c r="G132" i="5"/>
  <c r="A132" i="12"/>
  <c r="D132" i="5"/>
  <c r="B132" i="12" s="1"/>
  <c r="J132" i="5"/>
  <c r="AE132" i="5"/>
  <c r="B132" i="5"/>
  <c r="C133" i="5" s="1"/>
  <c r="B132" i="6"/>
  <c r="H132" i="5"/>
  <c r="N132" i="5"/>
  <c r="D132" i="6" s="1"/>
  <c r="H132" i="6" s="1"/>
  <c r="T132" i="5" s="1"/>
  <c r="G132" i="12" s="1"/>
  <c r="AU130" i="6"/>
  <c r="AC130" i="6"/>
  <c r="AH130" i="6"/>
  <c r="AN130" i="6"/>
  <c r="E146" i="12"/>
  <c r="F146" i="6"/>
  <c r="K131" i="12" l="1"/>
  <c r="J132" i="12" a="1"/>
  <c r="J132" i="12" s="1"/>
  <c r="L132" i="12" a="1"/>
  <c r="L132" i="12" s="1"/>
  <c r="M131" i="6"/>
  <c r="A132" i="6"/>
  <c r="J132" i="6"/>
  <c r="B133" i="5"/>
  <c r="E133" i="5"/>
  <c r="AE133" i="5"/>
  <c r="C134" i="5"/>
  <c r="F133" i="5"/>
  <c r="G133" i="5"/>
  <c r="AD133" i="5"/>
  <c r="B133" i="6"/>
  <c r="N133" i="5"/>
  <c r="D133" i="6" s="1"/>
  <c r="H133" i="5"/>
  <c r="W133" i="5"/>
  <c r="H133" i="12" s="1"/>
  <c r="A133" i="12"/>
  <c r="K132" i="12" l="1"/>
  <c r="M132" i="6"/>
  <c r="N132" i="6"/>
  <c r="AJ131" i="6"/>
  <c r="BF131" i="6"/>
  <c r="AP131" i="6"/>
  <c r="AN131" i="6"/>
  <c r="AX131" i="6"/>
  <c r="BB131" i="6"/>
  <c r="AR131" i="6"/>
  <c r="AT131" i="6"/>
  <c r="AE131" i="6"/>
  <c r="AH131" i="6"/>
  <c r="BE131" i="6"/>
  <c r="AC131" i="6"/>
  <c r="AV131" i="6"/>
  <c r="AD131" i="6"/>
  <c r="AF131" i="6"/>
  <c r="AQ131" i="6"/>
  <c r="AY131" i="6"/>
  <c r="AB131" i="6"/>
  <c r="AS131" i="6"/>
  <c r="AZ131" i="6"/>
  <c r="AU131" i="6"/>
  <c r="AM131" i="6"/>
  <c r="AI131" i="6"/>
  <c r="BD131" i="6"/>
  <c r="AG131" i="6"/>
  <c r="BC131" i="6"/>
  <c r="AO131" i="6"/>
  <c r="BG131" i="6"/>
  <c r="BA131" i="6"/>
  <c r="AK131" i="6"/>
  <c r="G133" i="6"/>
  <c r="H133" i="6"/>
  <c r="T133" i="5" s="1"/>
  <c r="G133" i="12" s="1"/>
  <c r="N133" i="6"/>
  <c r="A133" i="6"/>
  <c r="M133" i="6" s="1"/>
  <c r="BA133" i="6" s="1"/>
  <c r="J133" i="6"/>
  <c r="J134" i="5"/>
  <c r="B134" i="6"/>
  <c r="K134" i="5"/>
  <c r="AD134" i="5"/>
  <c r="B134" i="5"/>
  <c r="F134" i="5"/>
  <c r="C135" i="5"/>
  <c r="E134" i="5"/>
  <c r="G134" i="5"/>
  <c r="N134" i="5"/>
  <c r="D134" i="6" s="1"/>
  <c r="H134" i="6" s="1"/>
  <c r="T134" i="5" s="1"/>
  <c r="G134" i="12" s="1"/>
  <c r="AE134" i="5"/>
  <c r="H134" i="5"/>
  <c r="D134" i="5"/>
  <c r="B134" i="12" s="1"/>
  <c r="A134" i="12"/>
  <c r="AQ133" i="6" l="1"/>
  <c r="BE133" i="6"/>
  <c r="D135" i="5"/>
  <c r="B135" i="12" s="1"/>
  <c r="E135" i="5"/>
  <c r="G135" i="5"/>
  <c r="A135" i="12"/>
  <c r="F135" i="5"/>
  <c r="H135" i="5"/>
  <c r="AD135" i="5"/>
  <c r="B135" i="5"/>
  <c r="K135" i="5"/>
  <c r="N135" i="5"/>
  <c r="D135" i="6" s="1"/>
  <c r="H135" i="6" s="1"/>
  <c r="T135" i="5" s="1"/>
  <c r="G135" i="12" s="1"/>
  <c r="AE135" i="5"/>
  <c r="J135" i="5"/>
  <c r="B135" i="6"/>
  <c r="C136" i="5"/>
  <c r="BF133" i="6"/>
  <c r="AX133" i="6"/>
  <c r="AM133" i="6"/>
  <c r="AS133" i="6"/>
  <c r="AU133" i="6"/>
  <c r="AY133" i="6"/>
  <c r="BC132" i="6"/>
  <c r="AO132" i="6"/>
  <c r="AT132" i="6"/>
  <c r="AY132" i="6"/>
  <c r="AV132" i="6"/>
  <c r="BB132" i="6"/>
  <c r="AZ132" i="6"/>
  <c r="AP132" i="6"/>
  <c r="AI132" i="6"/>
  <c r="BA132" i="6"/>
  <c r="AG132" i="6"/>
  <c r="BE132" i="6"/>
  <c r="AS132" i="6"/>
  <c r="AQ132" i="6"/>
  <c r="AR132" i="6"/>
  <c r="AX132" i="6"/>
  <c r="AB132" i="6"/>
  <c r="AK132" i="6"/>
  <c r="AE132" i="6"/>
  <c r="AM132" i="6"/>
  <c r="AN132" i="6"/>
  <c r="BG132" i="6"/>
  <c r="AJ132" i="6"/>
  <c r="AH132" i="6"/>
  <c r="BD132" i="6"/>
  <c r="AU132" i="6"/>
  <c r="AD132" i="6"/>
  <c r="BF132" i="6"/>
  <c r="AF132" i="6"/>
  <c r="AC132" i="6"/>
  <c r="AN133" i="6"/>
  <c r="AD133" i="6"/>
  <c r="AJ133" i="6"/>
  <c r="AV133" i="6"/>
  <c r="AT133" i="6"/>
  <c r="AI133" i="6"/>
  <c r="BC133" i="6"/>
  <c r="AR133" i="6"/>
  <c r="AZ133" i="6"/>
  <c r="AF133" i="6"/>
  <c r="AO133" i="6"/>
  <c r="AE133" i="6"/>
  <c r="AH133" i="6"/>
  <c r="J134" i="6"/>
  <c r="A134" i="6"/>
  <c r="M134" i="6" s="1"/>
  <c r="AR134" i="6" s="1"/>
  <c r="BG133" i="6"/>
  <c r="AP133" i="6"/>
  <c r="AK133" i="6"/>
  <c r="AG133" i="6"/>
  <c r="BB133" i="6"/>
  <c r="J134" i="12" a="1"/>
  <c r="J134" i="12" s="1"/>
  <c r="L134" i="12" a="1"/>
  <c r="L134" i="12" s="1"/>
  <c r="AC133" i="6"/>
  <c r="AB133" i="6"/>
  <c r="BD133" i="6"/>
  <c r="N134" i="6" l="1"/>
  <c r="K134" i="12"/>
  <c r="AY134" i="6"/>
  <c r="BE134" i="6"/>
  <c r="AQ134" i="6"/>
  <c r="AD134" i="6"/>
  <c r="BD134" i="6"/>
  <c r="AU134" i="6"/>
  <c r="AB134" i="6"/>
  <c r="BC134" i="6"/>
  <c r="AH134" i="6"/>
  <c r="AN134" i="6"/>
  <c r="AZ134" i="6"/>
  <c r="AF134" i="6"/>
  <c r="AO134" i="6"/>
  <c r="BF134" i="6"/>
  <c r="AV134" i="6"/>
  <c r="AS134" i="6"/>
  <c r="AT134" i="6"/>
  <c r="AJ134" i="6"/>
  <c r="AE134" i="6"/>
  <c r="BA134" i="6"/>
  <c r="AP134" i="6"/>
  <c r="AC134" i="6"/>
  <c r="BB134" i="6"/>
  <c r="AM134" i="6"/>
  <c r="AI134" i="6"/>
  <c r="L135" i="12" a="1"/>
  <c r="L135" i="12" s="1"/>
  <c r="J135" i="12" a="1"/>
  <c r="J135" i="12" s="1"/>
  <c r="AG134" i="6"/>
  <c r="BG134" i="6"/>
  <c r="E136" i="5"/>
  <c r="G136" i="5"/>
  <c r="B136" i="6"/>
  <c r="F136" i="5"/>
  <c r="J136" i="5"/>
  <c r="B136" i="5"/>
  <c r="A136" i="12"/>
  <c r="AE136" i="5"/>
  <c r="N136" i="5"/>
  <c r="D136" i="6" s="1"/>
  <c r="H136" i="6" s="1"/>
  <c r="T136" i="5" s="1"/>
  <c r="G136" i="12" s="1"/>
  <c r="K136" i="5"/>
  <c r="H136" i="5"/>
  <c r="D136" i="5"/>
  <c r="B136" i="12" s="1"/>
  <c r="C137" i="5"/>
  <c r="AD136" i="5"/>
  <c r="AX134" i="6"/>
  <c r="AK134" i="6"/>
  <c r="A135" i="6"/>
  <c r="J135" i="6"/>
  <c r="K135" i="12" l="1"/>
  <c r="J136" i="6"/>
  <c r="A136" i="6"/>
  <c r="M135" i="6"/>
  <c r="N135" i="6"/>
  <c r="H137" i="5"/>
  <c r="AD137" i="5"/>
  <c r="D137" i="5"/>
  <c r="B137" i="12" s="1"/>
  <c r="A137" i="12"/>
  <c r="K137" i="5"/>
  <c r="N137" i="5"/>
  <c r="D137" i="6" s="1"/>
  <c r="H137" i="6" s="1"/>
  <c r="T137" i="5" s="1"/>
  <c r="G137" i="12" s="1"/>
  <c r="C138" i="5"/>
  <c r="J137" i="5"/>
  <c r="AE137" i="5"/>
  <c r="B137" i="5"/>
  <c r="B137" i="6"/>
  <c r="G137" i="5"/>
  <c r="E137" i="5"/>
  <c r="F137" i="5"/>
  <c r="L136" i="12" a="1"/>
  <c r="L136" i="12" s="1"/>
  <c r="J136" i="12" a="1"/>
  <c r="J136" i="12" s="1"/>
  <c r="E173" i="12"/>
  <c r="F173" i="6"/>
  <c r="K136" i="12" l="1"/>
  <c r="K138" i="5"/>
  <c r="D138" i="5"/>
  <c r="B138" i="12" s="1"/>
  <c r="G138" i="5"/>
  <c r="AD138" i="5"/>
  <c r="AE138" i="5"/>
  <c r="H138" i="5"/>
  <c r="N138" i="5"/>
  <c r="D138" i="6" s="1"/>
  <c r="H138" i="6" s="1"/>
  <c r="T138" i="5" s="1"/>
  <c r="G138" i="12" s="1"/>
  <c r="J138" i="5"/>
  <c r="B138" i="5"/>
  <c r="B138" i="6"/>
  <c r="A138" i="12"/>
  <c r="F138" i="5"/>
  <c r="E138" i="5"/>
  <c r="C139" i="5"/>
  <c r="L137" i="12" a="1"/>
  <c r="L137" i="12" s="1"/>
  <c r="J137" i="12" a="1"/>
  <c r="J137" i="12" s="1"/>
  <c r="AM135" i="6"/>
  <c r="AO135" i="6"/>
  <c r="AB135" i="6"/>
  <c r="AK135" i="6"/>
  <c r="AT135" i="6"/>
  <c r="AC135" i="6"/>
  <c r="AU135" i="6"/>
  <c r="BA135" i="6"/>
  <c r="AD135" i="6"/>
  <c r="AF135" i="6"/>
  <c r="AS135" i="6"/>
  <c r="BD135" i="6"/>
  <c r="AJ135" i="6"/>
  <c r="AV135" i="6"/>
  <c r="BB135" i="6"/>
  <c r="BF135" i="6"/>
  <c r="AH135" i="6"/>
  <c r="AR135" i="6"/>
  <c r="AP135" i="6"/>
  <c r="BE135" i="6"/>
  <c r="AY135" i="6"/>
  <c r="AX135" i="6"/>
  <c r="AE135" i="6"/>
  <c r="BG135" i="6"/>
  <c r="AI135" i="6"/>
  <c r="BC135" i="6"/>
  <c r="AZ135" i="6"/>
  <c r="AN135" i="6"/>
  <c r="AG135" i="6"/>
  <c r="AQ135" i="6"/>
  <c r="M136" i="6"/>
  <c r="N136" i="6"/>
  <c r="A137" i="6"/>
  <c r="M137" i="6" s="1"/>
  <c r="AG137" i="6" s="1"/>
  <c r="J137" i="6"/>
  <c r="BE137" i="6" l="1"/>
  <c r="L138" i="12" a="1"/>
  <c r="L138" i="12" s="1"/>
  <c r="J138" i="12" a="1"/>
  <c r="J138" i="12" s="1"/>
  <c r="AQ137" i="6"/>
  <c r="AR137" i="6"/>
  <c r="BF137" i="6"/>
  <c r="AY137" i="6"/>
  <c r="J138" i="6"/>
  <c r="A138" i="6"/>
  <c r="AK137" i="6"/>
  <c r="AH137" i="6"/>
  <c r="AD137" i="6"/>
  <c r="K137" i="12"/>
  <c r="AS137" i="6"/>
  <c r="BG137" i="6"/>
  <c r="N137" i="6"/>
  <c r="AP137" i="6"/>
  <c r="AM137" i="6"/>
  <c r="AI137" i="6"/>
  <c r="AN137" i="6"/>
  <c r="AU137" i="6"/>
  <c r="AE137" i="6"/>
  <c r="B139" i="6"/>
  <c r="B139" i="5"/>
  <c r="C140" i="5" s="1"/>
  <c r="A139" i="12"/>
  <c r="N139" i="5"/>
  <c r="D139" i="6" s="1"/>
  <c r="H139" i="6" s="1"/>
  <c r="T139" i="5" s="1"/>
  <c r="G139" i="12" s="1"/>
  <c r="J139" i="5"/>
  <c r="H139" i="5"/>
  <c r="D139" i="5"/>
  <c r="B139" i="12" s="1"/>
  <c r="AD139" i="5"/>
  <c r="K139" i="5"/>
  <c r="F139" i="5"/>
  <c r="E139" i="5"/>
  <c r="G139" i="5"/>
  <c r="AE139" i="5"/>
  <c r="BF136" i="6"/>
  <c r="AO136" i="6"/>
  <c r="AR136" i="6"/>
  <c r="AB136" i="6"/>
  <c r="AE136" i="6"/>
  <c r="AQ136" i="6"/>
  <c r="BA136" i="6"/>
  <c r="AP136" i="6"/>
  <c r="BB136" i="6"/>
  <c r="AC136" i="6"/>
  <c r="AM136" i="6"/>
  <c r="BG136" i="6"/>
  <c r="AU136" i="6"/>
  <c r="AN136" i="6"/>
  <c r="BC136" i="6"/>
  <c r="AD136" i="6"/>
  <c r="AI136" i="6"/>
  <c r="AS136" i="6"/>
  <c r="AZ136" i="6"/>
  <c r="AY136" i="6"/>
  <c r="AJ136" i="6"/>
  <c r="AV136" i="6"/>
  <c r="BD136" i="6"/>
  <c r="BE136" i="6"/>
  <c r="AG136" i="6"/>
  <c r="AF136" i="6"/>
  <c r="AX136" i="6"/>
  <c r="AH136" i="6"/>
  <c r="AT136" i="6"/>
  <c r="AK136" i="6"/>
  <c r="AJ137" i="6"/>
  <c r="BB137" i="6"/>
  <c r="AB137" i="6"/>
  <c r="AT137" i="6"/>
  <c r="AX137" i="6"/>
  <c r="AO137" i="6"/>
  <c r="BA137" i="6"/>
  <c r="AV137" i="6"/>
  <c r="BD137" i="6"/>
  <c r="AC137" i="6"/>
  <c r="BC137" i="6"/>
  <c r="AZ137" i="6"/>
  <c r="AF137" i="6"/>
  <c r="K138" i="12" l="1"/>
  <c r="M138" i="6"/>
  <c r="N138" i="6"/>
  <c r="J139" i="12" a="1"/>
  <c r="J139" i="12" s="1"/>
  <c r="L139" i="12" a="1"/>
  <c r="L139" i="12" s="1"/>
  <c r="C141" i="5"/>
  <c r="W140" i="5"/>
  <c r="H140" i="12" s="1"/>
  <c r="E140" i="5"/>
  <c r="A140" i="12"/>
  <c r="G140" i="5"/>
  <c r="AE140" i="5"/>
  <c r="B140" i="5"/>
  <c r="F140" i="5"/>
  <c r="B140" i="6"/>
  <c r="N140" i="5"/>
  <c r="D140" i="6" s="1"/>
  <c r="AD140" i="5"/>
  <c r="H140" i="5"/>
  <c r="I140" i="5"/>
  <c r="J139" i="6"/>
  <c r="A139" i="6"/>
  <c r="M139" i="6" s="1"/>
  <c r="AZ139" i="6" s="1"/>
  <c r="K139" i="12" l="1"/>
  <c r="N139" i="6"/>
  <c r="J140" i="6"/>
  <c r="A140" i="6"/>
  <c r="N140" i="6" s="1"/>
  <c r="AP139" i="6"/>
  <c r="AK139" i="6"/>
  <c r="AI139" i="6"/>
  <c r="AX139" i="6"/>
  <c r="AQ139" i="6"/>
  <c r="AE139" i="6"/>
  <c r="BD139" i="6"/>
  <c r="BA139" i="6"/>
  <c r="AD139" i="6"/>
  <c r="AY139" i="6"/>
  <c r="AN139" i="6"/>
  <c r="AH139" i="6"/>
  <c r="AU139" i="6"/>
  <c r="BB139" i="6"/>
  <c r="AG139" i="6"/>
  <c r="AM139" i="6"/>
  <c r="AT139" i="6"/>
  <c r="AR139" i="6"/>
  <c r="AB139" i="6"/>
  <c r="AV139" i="6"/>
  <c r="AC139" i="6"/>
  <c r="AJ139" i="6"/>
  <c r="BE139" i="6"/>
  <c r="AS139" i="6"/>
  <c r="BG139" i="6"/>
  <c r="B141" i="5"/>
  <c r="K141" i="5"/>
  <c r="AE141" i="5"/>
  <c r="D141" i="5"/>
  <c r="B141" i="12" s="1"/>
  <c r="B141" i="6"/>
  <c r="H141" i="5"/>
  <c r="G141" i="5"/>
  <c r="N141" i="5"/>
  <c r="D141" i="6" s="1"/>
  <c r="H141" i="6" s="1"/>
  <c r="T141" i="5" s="1"/>
  <c r="G141" i="12" s="1"/>
  <c r="E141" i="5"/>
  <c r="A141" i="12"/>
  <c r="J141" i="5"/>
  <c r="F141" i="5"/>
  <c r="AD141" i="5"/>
  <c r="C142" i="5"/>
  <c r="BF139" i="6"/>
  <c r="BC139" i="6"/>
  <c r="AF139" i="6"/>
  <c r="AO139" i="6"/>
  <c r="G140" i="6"/>
  <c r="M140" i="6"/>
  <c r="H140" i="6"/>
  <c r="AO138" i="6"/>
  <c r="BC138" i="6"/>
  <c r="AQ138" i="6"/>
  <c r="AZ138" i="6"/>
  <c r="AT138" i="6"/>
  <c r="AB138" i="6"/>
  <c r="AD138" i="6"/>
  <c r="AY138" i="6"/>
  <c r="AI138" i="6"/>
  <c r="AR138" i="6"/>
  <c r="AG138" i="6"/>
  <c r="AK138" i="6"/>
  <c r="BA138" i="6"/>
  <c r="AS138" i="6"/>
  <c r="AX138" i="6"/>
  <c r="AV138" i="6"/>
  <c r="BF138" i="6"/>
  <c r="AP138" i="6"/>
  <c r="AU138" i="6"/>
  <c r="AN138" i="6"/>
  <c r="AJ138" i="6"/>
  <c r="AH138" i="6"/>
  <c r="AM138" i="6"/>
  <c r="BE138" i="6"/>
  <c r="AF138" i="6"/>
  <c r="BG138" i="6"/>
  <c r="BB138" i="6"/>
  <c r="AE138" i="6"/>
  <c r="AC138" i="6"/>
  <c r="BD138" i="6"/>
  <c r="A141" i="6" l="1"/>
  <c r="M141" i="6" s="1"/>
  <c r="AM141" i="6" s="1"/>
  <c r="J141" i="6"/>
  <c r="AY140" i="6"/>
  <c r="BF140" i="6"/>
  <c r="AV140" i="6"/>
  <c r="AS140" i="6"/>
  <c r="BB140" i="6"/>
  <c r="AR140" i="6"/>
  <c r="AZ140" i="6"/>
  <c r="AO140" i="6"/>
  <c r="AT140" i="6"/>
  <c r="AM140" i="6"/>
  <c r="BD140" i="6"/>
  <c r="BE140" i="6"/>
  <c r="AX140" i="6"/>
  <c r="BA140" i="6"/>
  <c r="BG140" i="6"/>
  <c r="B142" i="5"/>
  <c r="F142" i="5"/>
  <c r="D142" i="5"/>
  <c r="B142" i="12" s="1"/>
  <c r="AD142" i="5"/>
  <c r="AE142" i="5"/>
  <c r="N142" i="5"/>
  <c r="D142" i="6" s="1"/>
  <c r="H142" i="6" s="1"/>
  <c r="T142" i="5" s="1"/>
  <c r="G142" i="12" s="1"/>
  <c r="H142" i="5"/>
  <c r="C143" i="5"/>
  <c r="G142" i="5"/>
  <c r="E142" i="5"/>
  <c r="A142" i="12"/>
  <c r="K142" i="5"/>
  <c r="B142" i="6"/>
  <c r="J142" i="5"/>
  <c r="AQ140" i="6"/>
  <c r="N141" i="6"/>
  <c r="T140" i="5"/>
  <c r="G140" i="12" s="1"/>
  <c r="AG140" i="6"/>
  <c r="AI140" i="6"/>
  <c r="AH140" i="6"/>
  <c r="AK140" i="6"/>
  <c r="AF140" i="6"/>
  <c r="AJ140" i="6"/>
  <c r="AB140" i="6"/>
  <c r="AD140" i="6"/>
  <c r="AE140" i="6"/>
  <c r="AC140" i="6"/>
  <c r="BC140" i="6"/>
  <c r="AN140" i="6"/>
  <c r="AP140" i="6"/>
  <c r="AU140" i="6"/>
  <c r="J141" i="12" a="1"/>
  <c r="J141" i="12" s="1"/>
  <c r="L141" i="12" a="1"/>
  <c r="L141" i="12" s="1"/>
  <c r="K141" i="12" l="1"/>
  <c r="BC141" i="6"/>
  <c r="B143" i="6"/>
  <c r="N143" i="5"/>
  <c r="D143" i="6" s="1"/>
  <c r="H143" i="6" s="1"/>
  <c r="T143" i="5" s="1"/>
  <c r="G143" i="12" s="1"/>
  <c r="K143" i="5"/>
  <c r="B143" i="5"/>
  <c r="H143" i="5"/>
  <c r="AE143" i="5"/>
  <c r="C144" i="5"/>
  <c r="A143" i="12"/>
  <c r="J143" i="5"/>
  <c r="E143" i="5"/>
  <c r="F143" i="5"/>
  <c r="D143" i="5"/>
  <c r="B143" i="12" s="1"/>
  <c r="AD143" i="5"/>
  <c r="G143" i="5"/>
  <c r="BG141" i="6"/>
  <c r="AH141" i="6"/>
  <c r="AD141" i="6"/>
  <c r="BB141" i="6"/>
  <c r="AE141" i="6"/>
  <c r="AS141" i="6"/>
  <c r="AB141" i="6"/>
  <c r="AT141" i="6"/>
  <c r="AI141" i="6"/>
  <c r="AR141" i="6"/>
  <c r="BF141" i="6"/>
  <c r="AP141" i="6"/>
  <c r="AU141" i="6"/>
  <c r="J142" i="6"/>
  <c r="A142" i="6"/>
  <c r="AZ141" i="6"/>
  <c r="AC141" i="6"/>
  <c r="AQ141" i="6"/>
  <c r="AX141" i="6"/>
  <c r="AY141" i="6"/>
  <c r="AO141" i="6"/>
  <c r="BD141" i="6"/>
  <c r="BA141" i="6"/>
  <c r="AV141" i="6"/>
  <c r="AG141" i="6"/>
  <c r="AF141" i="6"/>
  <c r="J142" i="12" a="1"/>
  <c r="J142" i="12" s="1"/>
  <c r="L142" i="12" a="1"/>
  <c r="L142" i="12" s="1"/>
  <c r="AJ141" i="6"/>
  <c r="AN141" i="6"/>
  <c r="AK141" i="6"/>
  <c r="BE141" i="6"/>
  <c r="K142" i="12" l="1"/>
  <c r="L143" i="12" a="1"/>
  <c r="L143" i="12" s="1"/>
  <c r="J143" i="12" a="1"/>
  <c r="J143" i="12" s="1"/>
  <c r="D144" i="5"/>
  <c r="B144" i="12" s="1"/>
  <c r="AE144" i="5"/>
  <c r="E144" i="5"/>
  <c r="AD144" i="5"/>
  <c r="B144" i="6"/>
  <c r="N144" i="5"/>
  <c r="D144" i="6" s="1"/>
  <c r="H144" i="6" s="1"/>
  <c r="T144" i="5" s="1"/>
  <c r="G144" i="12" s="1"/>
  <c r="J144" i="5"/>
  <c r="H144" i="5"/>
  <c r="A144" i="12"/>
  <c r="B144" i="5"/>
  <c r="C145" i="5" s="1"/>
  <c r="G144" i="5"/>
  <c r="F144" i="5"/>
  <c r="K144" i="5"/>
  <c r="M142" i="6"/>
  <c r="N142" i="6"/>
  <c r="J143" i="6"/>
  <c r="A143" i="6"/>
  <c r="K143" i="12" l="1"/>
  <c r="J144" i="12" a="1"/>
  <c r="J144" i="12" s="1"/>
  <c r="L144" i="12" a="1"/>
  <c r="L144" i="12" s="1"/>
  <c r="J144" i="6"/>
  <c r="A144" i="6"/>
  <c r="M144" i="6" s="1"/>
  <c r="AM144" i="6" s="1"/>
  <c r="BD142" i="6"/>
  <c r="BC142" i="6"/>
  <c r="AI142" i="6"/>
  <c r="AU142" i="6"/>
  <c r="AE142" i="6"/>
  <c r="BA142" i="6"/>
  <c r="AO142" i="6"/>
  <c r="AR142" i="6"/>
  <c r="AF142" i="6"/>
  <c r="AV142" i="6"/>
  <c r="AC142" i="6"/>
  <c r="AM142" i="6"/>
  <c r="AJ142" i="6"/>
  <c r="AT142" i="6"/>
  <c r="AB142" i="6"/>
  <c r="BE142" i="6"/>
  <c r="AG142" i="6"/>
  <c r="AN142" i="6"/>
  <c r="AK142" i="6"/>
  <c r="AS142" i="6"/>
  <c r="AD142" i="6"/>
  <c r="AZ142" i="6"/>
  <c r="AX142" i="6"/>
  <c r="AY142" i="6"/>
  <c r="BF142" i="6"/>
  <c r="AP142" i="6"/>
  <c r="BB142" i="6"/>
  <c r="BG142" i="6"/>
  <c r="AH142" i="6"/>
  <c r="AQ142" i="6"/>
  <c r="N143" i="6"/>
  <c r="M143" i="6"/>
  <c r="A145" i="12"/>
  <c r="N145" i="5"/>
  <c r="D145" i="6" s="1"/>
  <c r="G145" i="5"/>
  <c r="AE145" i="5"/>
  <c r="B145" i="5"/>
  <c r="I145" i="5"/>
  <c r="C146" i="5"/>
  <c r="F145" i="5"/>
  <c r="B145" i="6"/>
  <c r="E145" i="5"/>
  <c r="W145" i="5"/>
  <c r="H145" i="12" s="1"/>
  <c r="AD145" i="5"/>
  <c r="H145" i="5"/>
  <c r="K144" i="12" l="1"/>
  <c r="N144" i="6"/>
  <c r="AS144" i="6"/>
  <c r="AI144" i="6"/>
  <c r="AP144" i="6"/>
  <c r="AD144" i="6"/>
  <c r="AX144" i="6"/>
  <c r="AN144" i="6"/>
  <c r="BE144" i="6"/>
  <c r="AC144" i="6"/>
  <c r="BB144" i="6"/>
  <c r="BD144" i="6"/>
  <c r="AK144" i="6"/>
  <c r="AF144" i="6"/>
  <c r="AR144" i="6"/>
  <c r="AO144" i="6"/>
  <c r="AB144" i="6"/>
  <c r="BF144" i="6"/>
  <c r="AY144" i="6"/>
  <c r="AG144" i="6"/>
  <c r="AH144" i="6"/>
  <c r="AV144" i="6"/>
  <c r="AT144" i="6"/>
  <c r="BG144" i="6"/>
  <c r="BC144" i="6"/>
  <c r="AJ144" i="6"/>
  <c r="AE144" i="6"/>
  <c r="AQ144" i="6"/>
  <c r="BA144" i="6"/>
  <c r="G145" i="6"/>
  <c r="M145" i="6"/>
  <c r="AN145" i="6" s="1"/>
  <c r="H145" i="6"/>
  <c r="T145" i="5" s="1"/>
  <c r="G145" i="12" s="1"/>
  <c r="AX143" i="6"/>
  <c r="BG143" i="6"/>
  <c r="BE143" i="6"/>
  <c r="AE143" i="6"/>
  <c r="AP143" i="6"/>
  <c r="AV143" i="6"/>
  <c r="AB143" i="6"/>
  <c r="BD143" i="6"/>
  <c r="BA143" i="6"/>
  <c r="BB143" i="6"/>
  <c r="AD143" i="6"/>
  <c r="AT143" i="6"/>
  <c r="BC143" i="6"/>
  <c r="AM143" i="6"/>
  <c r="AJ143" i="6"/>
  <c r="AK143" i="6"/>
  <c r="AQ143" i="6"/>
  <c r="AS143" i="6"/>
  <c r="AR143" i="6"/>
  <c r="AZ143" i="6"/>
  <c r="AY143" i="6"/>
  <c r="AH143" i="6"/>
  <c r="AI143" i="6"/>
  <c r="AC143" i="6"/>
  <c r="AF143" i="6"/>
  <c r="BF143" i="6"/>
  <c r="AG143" i="6"/>
  <c r="AU143" i="6"/>
  <c r="AO143" i="6"/>
  <c r="AN143" i="6"/>
  <c r="AZ144" i="6"/>
  <c r="W146" i="5"/>
  <c r="H146" i="12" s="1"/>
  <c r="B146" i="5"/>
  <c r="A146" i="12"/>
  <c r="AD146" i="5"/>
  <c r="N146" i="5"/>
  <c r="D146" i="6" s="1"/>
  <c r="C147" i="5"/>
  <c r="F146" i="5"/>
  <c r="G146" i="5"/>
  <c r="I146" i="5"/>
  <c r="B146" i="6"/>
  <c r="AE146" i="5"/>
  <c r="E146" i="5"/>
  <c r="H146" i="5"/>
  <c r="AU144" i="6"/>
  <c r="J145" i="6"/>
  <c r="A145" i="6"/>
  <c r="N145" i="6" s="1"/>
  <c r="AM145" i="6" l="1"/>
  <c r="AV145" i="6"/>
  <c r="AX145" i="6"/>
  <c r="AE145" i="6"/>
  <c r="BA145" i="6"/>
  <c r="AT145" i="6"/>
  <c r="BF145" i="6"/>
  <c r="AU145" i="6"/>
  <c r="AS145" i="6"/>
  <c r="AQ145" i="6"/>
  <c r="AJ145" i="6"/>
  <c r="AC145" i="6"/>
  <c r="AG145" i="6"/>
  <c r="BE145" i="6"/>
  <c r="AY145" i="6"/>
  <c r="AD145" i="6"/>
  <c r="AF145" i="6"/>
  <c r="AI145" i="6"/>
  <c r="AZ145" i="6"/>
  <c r="AR145" i="6"/>
  <c r="BG145" i="6"/>
  <c r="AB145" i="6"/>
  <c r="AP145" i="6"/>
  <c r="BC145" i="6"/>
  <c r="BB145" i="6"/>
  <c r="BD145" i="6"/>
  <c r="H146" i="6"/>
  <c r="T146" i="5" s="1"/>
  <c r="G146" i="12" s="1"/>
  <c r="G146" i="6"/>
  <c r="N146" i="6"/>
  <c r="M146" i="6"/>
  <c r="AZ146" i="6" s="1"/>
  <c r="J146" i="6"/>
  <c r="A146" i="6"/>
  <c r="AK145" i="6"/>
  <c r="AH145" i="6"/>
  <c r="E147" i="5"/>
  <c r="D147" i="5"/>
  <c r="B147" i="12" s="1"/>
  <c r="K147" i="5"/>
  <c r="AE147" i="5"/>
  <c r="H147" i="5"/>
  <c r="F147" i="5"/>
  <c r="N147" i="5"/>
  <c r="D147" i="6" s="1"/>
  <c r="H147" i="6" s="1"/>
  <c r="T147" i="5" s="1"/>
  <c r="G147" i="12" s="1"/>
  <c r="AD147" i="5"/>
  <c r="C148" i="5"/>
  <c r="J147" i="5"/>
  <c r="A147" i="12"/>
  <c r="B147" i="6"/>
  <c r="B147" i="5"/>
  <c r="G147" i="5"/>
  <c r="AO145" i="6"/>
  <c r="AO146" i="6" l="1"/>
  <c r="AP146" i="6"/>
  <c r="AY146" i="6"/>
  <c r="AH146" i="6"/>
  <c r="BE146" i="6"/>
  <c r="BC146" i="6"/>
  <c r="AG146" i="6"/>
  <c r="AD146" i="6"/>
  <c r="AT146" i="6"/>
  <c r="AF146" i="6"/>
  <c r="AN146" i="6"/>
  <c r="BA146" i="6"/>
  <c r="BF146" i="6"/>
  <c r="AE146" i="6"/>
  <c r="AM146" i="6"/>
  <c r="BB146" i="6"/>
  <c r="AC146" i="6"/>
  <c r="BD146" i="6"/>
  <c r="AJ146" i="6"/>
  <c r="AX146" i="6"/>
  <c r="AS146" i="6"/>
  <c r="AU146" i="6"/>
  <c r="J147" i="12" a="1"/>
  <c r="J147" i="12" s="1"/>
  <c r="L147" i="12" a="1"/>
  <c r="L147" i="12" s="1"/>
  <c r="D148" i="5"/>
  <c r="B148" i="12" s="1"/>
  <c r="J148" i="5"/>
  <c r="G148" i="5"/>
  <c r="AE148" i="5"/>
  <c r="F148" i="5"/>
  <c r="K148" i="5"/>
  <c r="B148" i="5"/>
  <c r="A148" i="12"/>
  <c r="C149" i="5"/>
  <c r="H148" i="5"/>
  <c r="AD148" i="5"/>
  <c r="E148" i="5"/>
  <c r="B148" i="6"/>
  <c r="N148" i="5"/>
  <c r="D148" i="6" s="1"/>
  <c r="H148" i="6" s="1"/>
  <c r="T148" i="5" s="1"/>
  <c r="G148" i="12" s="1"/>
  <c r="AK146" i="6"/>
  <c r="AR146" i="6"/>
  <c r="AV146" i="6"/>
  <c r="AB146" i="6"/>
  <c r="J147" i="6"/>
  <c r="A147" i="6"/>
  <c r="N147" i="6" s="1"/>
  <c r="BG146" i="6"/>
  <c r="AQ146" i="6"/>
  <c r="AI146" i="6"/>
  <c r="K147" i="12" l="1"/>
  <c r="AE149" i="5"/>
  <c r="E149" i="5"/>
  <c r="N149" i="5"/>
  <c r="D149" i="6" s="1"/>
  <c r="H149" i="6" s="1"/>
  <c r="T149" i="5" s="1"/>
  <c r="G149" i="12" s="1"/>
  <c r="F149" i="5"/>
  <c r="B149" i="6"/>
  <c r="A149" i="12"/>
  <c r="B149" i="5"/>
  <c r="H149" i="5"/>
  <c r="AD149" i="5"/>
  <c r="G149" i="5"/>
  <c r="C150" i="5"/>
  <c r="D149" i="5"/>
  <c r="B149" i="12" s="1"/>
  <c r="K149" i="5"/>
  <c r="J149" i="5"/>
  <c r="J148" i="12" a="1"/>
  <c r="J148" i="12" s="1"/>
  <c r="L148" i="12" a="1"/>
  <c r="L148" i="12" s="1"/>
  <c r="M147" i="6"/>
  <c r="J148" i="6"/>
  <c r="A148" i="6"/>
  <c r="N148" i="6" s="1"/>
  <c r="E190" i="12"/>
  <c r="F190" i="6"/>
  <c r="K148" i="12" l="1"/>
  <c r="AE150" i="5"/>
  <c r="B150" i="6"/>
  <c r="H150" i="5"/>
  <c r="F150" i="5"/>
  <c r="D150" i="5"/>
  <c r="B150" i="12" s="1"/>
  <c r="E150" i="5"/>
  <c r="B150" i="5"/>
  <c r="J150" i="5"/>
  <c r="G150" i="5"/>
  <c r="AD150" i="5"/>
  <c r="N150" i="5"/>
  <c r="D150" i="6" s="1"/>
  <c r="H150" i="6" s="1"/>
  <c r="T150" i="5" s="1"/>
  <c r="G150" i="12" s="1"/>
  <c r="A150" i="12"/>
  <c r="K150" i="5"/>
  <c r="C151" i="5"/>
  <c r="M148" i="6"/>
  <c r="J149" i="12" a="1"/>
  <c r="J149" i="12" s="1"/>
  <c r="L149" i="12" a="1"/>
  <c r="L149" i="12" s="1"/>
  <c r="AR147" i="6"/>
  <c r="AU147" i="6"/>
  <c r="BA147" i="6"/>
  <c r="AC147" i="6"/>
  <c r="AP147" i="6"/>
  <c r="AN147" i="6"/>
  <c r="AG147" i="6"/>
  <c r="BF147" i="6"/>
  <c r="AB147" i="6"/>
  <c r="AQ147" i="6"/>
  <c r="BE147" i="6"/>
  <c r="AX147" i="6"/>
  <c r="BD147" i="6"/>
  <c r="AM147" i="6"/>
  <c r="AJ147" i="6"/>
  <c r="AY147" i="6"/>
  <c r="AO147" i="6"/>
  <c r="AV147" i="6"/>
  <c r="AE147" i="6"/>
  <c r="BC147" i="6"/>
  <c r="AH147" i="6"/>
  <c r="BB147" i="6"/>
  <c r="AS147" i="6"/>
  <c r="BG147" i="6"/>
  <c r="AT147" i="6"/>
  <c r="AF147" i="6"/>
  <c r="AD147" i="6"/>
  <c r="AI147" i="6"/>
  <c r="AZ147" i="6"/>
  <c r="AK147" i="6"/>
  <c r="J149" i="6"/>
  <c r="A149" i="6"/>
  <c r="K149" i="12" l="1"/>
  <c r="L150" i="12" a="1"/>
  <c r="L150" i="12" s="1"/>
  <c r="J150" i="12" a="1"/>
  <c r="J150" i="12" s="1"/>
  <c r="AT148" i="6"/>
  <c r="AM148" i="6"/>
  <c r="AH148" i="6"/>
  <c r="AZ148" i="6"/>
  <c r="BA148" i="6"/>
  <c r="AF148" i="6"/>
  <c r="AD148" i="6"/>
  <c r="AO148" i="6"/>
  <c r="BG148" i="6"/>
  <c r="AN148" i="6"/>
  <c r="AE148" i="6"/>
  <c r="AU148" i="6"/>
  <c r="BE148" i="6"/>
  <c r="AK148" i="6"/>
  <c r="BC148" i="6"/>
  <c r="AY148" i="6"/>
  <c r="AV148" i="6"/>
  <c r="AB148" i="6"/>
  <c r="AR148" i="6"/>
  <c r="BD148" i="6"/>
  <c r="AQ148" i="6"/>
  <c r="AJ148" i="6"/>
  <c r="AG148" i="6"/>
  <c r="BB148" i="6"/>
  <c r="AS148" i="6"/>
  <c r="AX148" i="6"/>
  <c r="AC148" i="6"/>
  <c r="AP148" i="6"/>
  <c r="BF148" i="6"/>
  <c r="AI148" i="6"/>
  <c r="H151" i="5"/>
  <c r="K151" i="5"/>
  <c r="AE151" i="5"/>
  <c r="A151" i="12"/>
  <c r="E151" i="5"/>
  <c r="F151" i="5"/>
  <c r="B151" i="5"/>
  <c r="G151" i="5"/>
  <c r="D151" i="5"/>
  <c r="B151" i="12" s="1"/>
  <c r="B151" i="6"/>
  <c r="J151" i="5"/>
  <c r="N151" i="5"/>
  <c r="D151" i="6" s="1"/>
  <c r="H151" i="6" s="1"/>
  <c r="T151" i="5" s="1"/>
  <c r="G151" i="12" s="1"/>
  <c r="AD151" i="5"/>
  <c r="C152" i="5"/>
  <c r="A150" i="6"/>
  <c r="M150" i="6" s="1"/>
  <c r="AC150" i="6" s="1"/>
  <c r="J150" i="6"/>
  <c r="M149" i="6"/>
  <c r="N149" i="6"/>
  <c r="E195" i="12"/>
  <c r="F195" i="6"/>
  <c r="K150" i="12" l="1"/>
  <c r="AG150" i="6"/>
  <c r="AX150" i="6"/>
  <c r="BF150" i="6"/>
  <c r="BA150" i="6"/>
  <c r="AJ150" i="6"/>
  <c r="AT150" i="6"/>
  <c r="AY150" i="6"/>
  <c r="AB150" i="6"/>
  <c r="AE150" i="6"/>
  <c r="AQ150" i="6"/>
  <c r="AD150" i="6"/>
  <c r="BB150" i="6"/>
  <c r="L151" i="12" a="1"/>
  <c r="L151" i="12" s="1"/>
  <c r="J151" i="12" a="1"/>
  <c r="J151" i="12" s="1"/>
  <c r="AK150" i="6"/>
  <c r="BA149" i="6"/>
  <c r="BF149" i="6"/>
  <c r="AO149" i="6"/>
  <c r="AH149" i="6"/>
  <c r="BB149" i="6"/>
  <c r="AT149" i="6"/>
  <c r="BD149" i="6"/>
  <c r="AR149" i="6"/>
  <c r="AU149" i="6"/>
  <c r="AY149" i="6"/>
  <c r="AX149" i="6"/>
  <c r="BE149" i="6"/>
  <c r="BG149" i="6"/>
  <c r="AI149" i="6"/>
  <c r="AZ149" i="6"/>
  <c r="BC149" i="6"/>
  <c r="AC149" i="6"/>
  <c r="AB149" i="6"/>
  <c r="AG149" i="6"/>
  <c r="AM149" i="6"/>
  <c r="AF149" i="6"/>
  <c r="AS149" i="6"/>
  <c r="AK149" i="6"/>
  <c r="AV149" i="6"/>
  <c r="AE149" i="6"/>
  <c r="AD149" i="6"/>
  <c r="AQ149" i="6"/>
  <c r="AP149" i="6"/>
  <c r="AN149" i="6"/>
  <c r="AJ149" i="6"/>
  <c r="AR150" i="6"/>
  <c r="BG150" i="6"/>
  <c r="J151" i="6"/>
  <c r="A151" i="6"/>
  <c r="AI150" i="6"/>
  <c r="AH150" i="6"/>
  <c r="AM150" i="6"/>
  <c r="J152" i="5"/>
  <c r="H152" i="5"/>
  <c r="D152" i="5"/>
  <c r="B152" i="12" s="1"/>
  <c r="AD152" i="5"/>
  <c r="N152" i="5"/>
  <c r="D152" i="6" s="1"/>
  <c r="H152" i="6" s="1"/>
  <c r="T152" i="5" s="1"/>
  <c r="G152" i="12" s="1"/>
  <c r="C153" i="5"/>
  <c r="B152" i="5"/>
  <c r="E152" i="5"/>
  <c r="G152" i="5"/>
  <c r="F152" i="5"/>
  <c r="B152" i="6"/>
  <c r="AE152" i="5"/>
  <c r="A152" i="12"/>
  <c r="K152" i="5"/>
  <c r="AU150" i="6"/>
  <c r="N150" i="6"/>
  <c r="AV150" i="6"/>
  <c r="AP150" i="6"/>
  <c r="BC150" i="6"/>
  <c r="AZ150" i="6"/>
  <c r="AS150" i="6"/>
  <c r="AO150" i="6"/>
  <c r="BD150" i="6"/>
  <c r="AN150" i="6"/>
  <c r="BE150" i="6"/>
  <c r="AF150" i="6"/>
  <c r="K153" i="5" l="1"/>
  <c r="E153" i="5"/>
  <c r="G153" i="5"/>
  <c r="A153" i="12"/>
  <c r="B153" i="5"/>
  <c r="D153" i="5"/>
  <c r="B153" i="12" s="1"/>
  <c r="N153" i="5"/>
  <c r="D153" i="6" s="1"/>
  <c r="H153" i="6" s="1"/>
  <c r="T153" i="5" s="1"/>
  <c r="G153" i="12" s="1"/>
  <c r="H153" i="5"/>
  <c r="J153" i="5"/>
  <c r="B153" i="6"/>
  <c r="C154" i="5"/>
  <c r="AD153" i="5"/>
  <c r="AE153" i="5"/>
  <c r="F153" i="5"/>
  <c r="J152" i="12" a="1"/>
  <c r="J152" i="12" s="1"/>
  <c r="L152" i="12" a="1"/>
  <c r="L152" i="12" s="1"/>
  <c r="A152" i="6"/>
  <c r="N152" i="6" s="1"/>
  <c r="J152" i="6"/>
  <c r="N151" i="6"/>
  <c r="M151" i="6"/>
  <c r="K151" i="12"/>
  <c r="E200" i="12"/>
  <c r="F200" i="6"/>
  <c r="K152" i="12" l="1"/>
  <c r="G154" i="5"/>
  <c r="AD154" i="5"/>
  <c r="F154" i="5"/>
  <c r="E154" i="5"/>
  <c r="J154" i="5"/>
  <c r="A154" i="12"/>
  <c r="K154" i="5"/>
  <c r="N154" i="5"/>
  <c r="D154" i="6" s="1"/>
  <c r="H154" i="6" s="1"/>
  <c r="T154" i="5" s="1"/>
  <c r="G154" i="12" s="1"/>
  <c r="AE154" i="5"/>
  <c r="H154" i="5"/>
  <c r="C155" i="5"/>
  <c r="B154" i="5"/>
  <c r="B154" i="6"/>
  <c r="D154" i="5"/>
  <c r="B154" i="12" s="1"/>
  <c r="J153" i="6"/>
  <c r="A153" i="6"/>
  <c r="M153" i="6" s="1"/>
  <c r="AF153" i="6" s="1"/>
  <c r="AB151" i="6"/>
  <c r="BE151" i="6"/>
  <c r="AC151" i="6"/>
  <c r="AH151" i="6"/>
  <c r="BG151" i="6"/>
  <c r="AE151" i="6"/>
  <c r="AJ151" i="6"/>
  <c r="AU151" i="6"/>
  <c r="AN151" i="6"/>
  <c r="BD151" i="6"/>
  <c r="BF151" i="6"/>
  <c r="AT151" i="6"/>
  <c r="AM151" i="6"/>
  <c r="AY151" i="6"/>
  <c r="AP151" i="6"/>
  <c r="BA151" i="6"/>
  <c r="AX151" i="6"/>
  <c r="AF151" i="6"/>
  <c r="AD151" i="6"/>
  <c r="AI151" i="6"/>
  <c r="AR151" i="6"/>
  <c r="BB151" i="6"/>
  <c r="AS151" i="6"/>
  <c r="AQ151" i="6"/>
  <c r="AK151" i="6"/>
  <c r="AO151" i="6"/>
  <c r="AZ151" i="6"/>
  <c r="BC151" i="6"/>
  <c r="AG151" i="6"/>
  <c r="AV151" i="6"/>
  <c r="J153" i="12" a="1"/>
  <c r="J153" i="12" s="1"/>
  <c r="L153" i="12" a="1"/>
  <c r="L153" i="12" s="1"/>
  <c r="M152" i="6"/>
  <c r="K153" i="12" l="1"/>
  <c r="B155" i="6"/>
  <c r="AE155" i="5"/>
  <c r="A155" i="12"/>
  <c r="N155" i="5"/>
  <c r="D155" i="6" s="1"/>
  <c r="H155" i="6" s="1"/>
  <c r="T155" i="5" s="1"/>
  <c r="G155" i="12" s="1"/>
  <c r="K155" i="5"/>
  <c r="J155" i="5"/>
  <c r="G155" i="5"/>
  <c r="E155" i="5"/>
  <c r="AD155" i="5"/>
  <c r="H155" i="5"/>
  <c r="F155" i="5"/>
  <c r="D155" i="5"/>
  <c r="B155" i="12" s="1"/>
  <c r="C156" i="5"/>
  <c r="B155" i="5"/>
  <c r="AH153" i="6"/>
  <c r="AG153" i="6"/>
  <c r="AR153" i="6"/>
  <c r="BC153" i="6"/>
  <c r="AN153" i="6"/>
  <c r="AX153" i="6"/>
  <c r="BG153" i="6"/>
  <c r="BB153" i="6"/>
  <c r="AT153" i="6"/>
  <c r="AP153" i="6"/>
  <c r="L154" i="12" a="1"/>
  <c r="L154" i="12" s="1"/>
  <c r="J154" i="12" a="1"/>
  <c r="J154" i="12" s="1"/>
  <c r="AM153" i="6"/>
  <c r="AJ153" i="6"/>
  <c r="AY153" i="6"/>
  <c r="AV153" i="6"/>
  <c r="AE153" i="6"/>
  <c r="AI153" i="6"/>
  <c r="N153" i="6"/>
  <c r="AQ153" i="6"/>
  <c r="AU153" i="6"/>
  <c r="AB153" i="6"/>
  <c r="BF153" i="6"/>
  <c r="AD153" i="6"/>
  <c r="AO153" i="6"/>
  <c r="BD153" i="6"/>
  <c r="A154" i="6"/>
  <c r="M154" i="6" s="1"/>
  <c r="AN154" i="6" s="1"/>
  <c r="J154" i="6"/>
  <c r="AF152" i="6"/>
  <c r="AK152" i="6"/>
  <c r="AZ152" i="6"/>
  <c r="AD152" i="6"/>
  <c r="BA152" i="6"/>
  <c r="AG152" i="6"/>
  <c r="AP152" i="6"/>
  <c r="BD152" i="6"/>
  <c r="AH152" i="6"/>
  <c r="BG152" i="6"/>
  <c r="AR152" i="6"/>
  <c r="BB152" i="6"/>
  <c r="AV152" i="6"/>
  <c r="AB152" i="6"/>
  <c r="AY152" i="6"/>
  <c r="AC152" i="6"/>
  <c r="AS152" i="6"/>
  <c r="BE152" i="6"/>
  <c r="AO152" i="6"/>
  <c r="AU152" i="6"/>
  <c r="AM152" i="6"/>
  <c r="AT152" i="6"/>
  <c r="AJ152" i="6"/>
  <c r="AN152" i="6"/>
  <c r="BC152" i="6"/>
  <c r="BF152" i="6"/>
  <c r="AI152" i="6"/>
  <c r="AQ152" i="6"/>
  <c r="AE152" i="6"/>
  <c r="AX152" i="6"/>
  <c r="BE153" i="6"/>
  <c r="AS153" i="6"/>
  <c r="AC153" i="6"/>
  <c r="AZ153" i="6"/>
  <c r="BA153" i="6"/>
  <c r="AK153" i="6"/>
  <c r="AC154" i="6" l="1"/>
  <c r="AX154" i="6"/>
  <c r="BD154" i="6"/>
  <c r="AK154" i="6"/>
  <c r="N154" i="6"/>
  <c r="AB154" i="6"/>
  <c r="AM154" i="6"/>
  <c r="AS154" i="6"/>
  <c r="AY154" i="6"/>
  <c r="BA154" i="6"/>
  <c r="BF154" i="6"/>
  <c r="AZ154" i="6"/>
  <c r="AO154" i="6"/>
  <c r="AT154" i="6"/>
  <c r="AI154" i="6"/>
  <c r="AG154" i="6"/>
  <c r="AU154" i="6"/>
  <c r="AQ154" i="6"/>
  <c r="AF154" i="6"/>
  <c r="BG154" i="6"/>
  <c r="BB154" i="6"/>
  <c r="AD154" i="6"/>
  <c r="J155" i="12" a="1"/>
  <c r="J155" i="12" s="1"/>
  <c r="L155" i="12" a="1"/>
  <c r="L155" i="12" s="1"/>
  <c r="BC154" i="6"/>
  <c r="AH154" i="6"/>
  <c r="AJ154" i="6"/>
  <c r="AP154" i="6"/>
  <c r="AE154" i="6"/>
  <c r="AR154" i="6"/>
  <c r="AV154" i="6"/>
  <c r="BE154" i="6"/>
  <c r="K154" i="12"/>
  <c r="J156" i="5"/>
  <c r="A156" i="12"/>
  <c r="N156" i="5"/>
  <c r="D156" i="6" s="1"/>
  <c r="H156" i="6" s="1"/>
  <c r="T156" i="5" s="1"/>
  <c r="G156" i="12" s="1"/>
  <c r="H156" i="5"/>
  <c r="AE156" i="5"/>
  <c r="B156" i="5"/>
  <c r="C157" i="5"/>
  <c r="G156" i="5"/>
  <c r="E156" i="5"/>
  <c r="D156" i="5"/>
  <c r="B156" i="12" s="1"/>
  <c r="K156" i="5"/>
  <c r="B156" i="6"/>
  <c r="AD156" i="5"/>
  <c r="F156" i="5"/>
  <c r="A155" i="6"/>
  <c r="J155" i="6"/>
  <c r="K155" i="12" l="1"/>
  <c r="J156" i="6"/>
  <c r="A156" i="6"/>
  <c r="N156" i="6" s="1"/>
  <c r="M155" i="6"/>
  <c r="N155" i="6"/>
  <c r="L156" i="12" a="1"/>
  <c r="L156" i="12" s="1"/>
  <c r="J156" i="12" a="1"/>
  <c r="J156" i="12" s="1"/>
  <c r="AD157" i="5"/>
  <c r="B157" i="5"/>
  <c r="N157" i="5"/>
  <c r="D157" i="6" s="1"/>
  <c r="H157" i="6" s="1"/>
  <c r="T157" i="5" s="1"/>
  <c r="G157" i="12" s="1"/>
  <c r="E157" i="5"/>
  <c r="F157" i="5"/>
  <c r="AE157" i="5"/>
  <c r="B157" i="6"/>
  <c r="K157" i="5"/>
  <c r="J157" i="5"/>
  <c r="A157" i="12"/>
  <c r="H157" i="5"/>
  <c r="G157" i="5"/>
  <c r="C158" i="5"/>
  <c r="D157" i="5"/>
  <c r="B157" i="12" s="1"/>
  <c r="M156" i="6" l="1"/>
  <c r="AV156" i="6" s="1"/>
  <c r="K156" i="12"/>
  <c r="A158" i="12"/>
  <c r="K158" i="5"/>
  <c r="J158" i="5"/>
  <c r="B158" i="5"/>
  <c r="E158" i="5"/>
  <c r="N158" i="5"/>
  <c r="D158" i="6" s="1"/>
  <c r="H158" i="6" s="1"/>
  <c r="T158" i="5" s="1"/>
  <c r="G158" i="12" s="1"/>
  <c r="AD158" i="5"/>
  <c r="F158" i="5"/>
  <c r="H158" i="5"/>
  <c r="C159" i="5"/>
  <c r="G158" i="5"/>
  <c r="AE158" i="5"/>
  <c r="D158" i="5"/>
  <c r="B158" i="12" s="1"/>
  <c r="B158" i="6"/>
  <c r="AH155" i="6"/>
  <c r="AE155" i="6"/>
  <c r="BG155" i="6"/>
  <c r="BB155" i="6"/>
  <c r="BE155" i="6"/>
  <c r="AP155" i="6"/>
  <c r="AI155" i="6"/>
  <c r="AO155" i="6"/>
  <c r="BD155" i="6"/>
  <c r="AN155" i="6"/>
  <c r="BA155" i="6"/>
  <c r="AR155" i="6"/>
  <c r="AM155" i="6"/>
  <c r="AZ155" i="6"/>
  <c r="AQ155" i="6"/>
  <c r="AD155" i="6"/>
  <c r="AJ155" i="6"/>
  <c r="AT155" i="6"/>
  <c r="AU155" i="6"/>
  <c r="BF155" i="6"/>
  <c r="AY155" i="6"/>
  <c r="BC155" i="6"/>
  <c r="AS155" i="6"/>
  <c r="AF155" i="6"/>
  <c r="AG155" i="6"/>
  <c r="AX155" i="6"/>
  <c r="AC155" i="6"/>
  <c r="AB155" i="6"/>
  <c r="AV155" i="6"/>
  <c r="AK155" i="6"/>
  <c r="L157" i="12" a="1"/>
  <c r="L157" i="12" s="1"/>
  <c r="J157" i="12" a="1"/>
  <c r="J157" i="12" s="1"/>
  <c r="J157" i="6"/>
  <c r="A157" i="6"/>
  <c r="AN156" i="6" l="1"/>
  <c r="AS156" i="6"/>
  <c r="BC156" i="6"/>
  <c r="AI156" i="6"/>
  <c r="AG156" i="6"/>
  <c r="AO156" i="6"/>
  <c r="AK156" i="6"/>
  <c r="AH156" i="6"/>
  <c r="AR156" i="6"/>
  <c r="BA156" i="6"/>
  <c r="AQ156" i="6"/>
  <c r="BE156" i="6"/>
  <c r="AC156" i="6"/>
  <c r="AM156" i="6"/>
  <c r="BD156" i="6"/>
  <c r="AZ156" i="6"/>
  <c r="BG156" i="6"/>
  <c r="AE156" i="6"/>
  <c r="AB156" i="6"/>
  <c r="AT156" i="6"/>
  <c r="AY156" i="6"/>
  <c r="AP156" i="6"/>
  <c r="BF156" i="6"/>
  <c r="AF156" i="6"/>
  <c r="AJ156" i="6"/>
  <c r="BB156" i="6"/>
  <c r="AD156" i="6"/>
  <c r="AX156" i="6"/>
  <c r="AU156" i="6"/>
  <c r="K157" i="12"/>
  <c r="A158" i="6"/>
  <c r="J158" i="6"/>
  <c r="J158" i="12" a="1"/>
  <c r="J158" i="12" s="1"/>
  <c r="L158" i="12" a="1"/>
  <c r="L158" i="12" s="1"/>
  <c r="A159" i="12"/>
  <c r="N159" i="5"/>
  <c r="D159" i="6" s="1"/>
  <c r="H159" i="6" s="1"/>
  <c r="T159" i="5" s="1"/>
  <c r="G159" i="12" s="1"/>
  <c r="K159" i="5"/>
  <c r="AE159" i="5"/>
  <c r="D159" i="5"/>
  <c r="B159" i="12" s="1"/>
  <c r="C160" i="5"/>
  <c r="H159" i="5"/>
  <c r="AD159" i="5"/>
  <c r="E159" i="5"/>
  <c r="B159" i="6"/>
  <c r="B159" i="5"/>
  <c r="F159" i="5"/>
  <c r="J159" i="5"/>
  <c r="G159" i="5"/>
  <c r="M157" i="6"/>
  <c r="N157" i="6"/>
  <c r="F206" i="6"/>
  <c r="E206" i="12"/>
  <c r="K158" i="12" l="1"/>
  <c r="A160" i="12"/>
  <c r="N160" i="5"/>
  <c r="D160" i="6" s="1"/>
  <c r="H160" i="6" s="1"/>
  <c r="T160" i="5" s="1"/>
  <c r="G160" i="12" s="1"/>
  <c r="B160" i="5"/>
  <c r="AD160" i="5"/>
  <c r="B160" i="6"/>
  <c r="H160" i="5"/>
  <c r="D160" i="5"/>
  <c r="B160" i="12" s="1"/>
  <c r="C161" i="5"/>
  <c r="J160" i="5"/>
  <c r="K160" i="5"/>
  <c r="AE160" i="5"/>
  <c r="G160" i="5"/>
  <c r="E160" i="5"/>
  <c r="F160" i="5"/>
  <c r="AQ157" i="6"/>
  <c r="AT157" i="6"/>
  <c r="AD157" i="6"/>
  <c r="AE157" i="6"/>
  <c r="AV157" i="6"/>
  <c r="BD157" i="6"/>
  <c r="BF157" i="6"/>
  <c r="AM157" i="6"/>
  <c r="AR157" i="6"/>
  <c r="AN157" i="6"/>
  <c r="AX157" i="6"/>
  <c r="AO157" i="6"/>
  <c r="AI157" i="6"/>
  <c r="AG157" i="6"/>
  <c r="AS157" i="6"/>
  <c r="BG157" i="6"/>
  <c r="AY157" i="6"/>
  <c r="AP157" i="6"/>
  <c r="AU157" i="6"/>
  <c r="BE157" i="6"/>
  <c r="BA157" i="6"/>
  <c r="AZ157" i="6"/>
  <c r="BC157" i="6"/>
  <c r="AH157" i="6"/>
  <c r="AK157" i="6"/>
  <c r="BB157" i="6"/>
  <c r="AC157" i="6"/>
  <c r="AF157" i="6"/>
  <c r="AJ157" i="6"/>
  <c r="AB157" i="6"/>
  <c r="J159" i="12" a="1"/>
  <c r="J159" i="12" s="1"/>
  <c r="L159" i="12" a="1"/>
  <c r="L159" i="12" s="1"/>
  <c r="A159" i="6"/>
  <c r="M159" i="6" s="1"/>
  <c r="AZ159" i="6" s="1"/>
  <c r="J159" i="6"/>
  <c r="N158" i="6"/>
  <c r="M158" i="6"/>
  <c r="AK159" i="6" l="1"/>
  <c r="AQ159" i="6"/>
  <c r="AJ159" i="6"/>
  <c r="N161" i="5"/>
  <c r="D161" i="6" s="1"/>
  <c r="H161" i="6" s="1"/>
  <c r="T161" i="5" s="1"/>
  <c r="G161" i="12" s="1"/>
  <c r="A161" i="12"/>
  <c r="K161" i="5"/>
  <c r="C162" i="5"/>
  <c r="B161" i="6"/>
  <c r="G161" i="5"/>
  <c r="F161" i="5"/>
  <c r="AD161" i="5"/>
  <c r="E161" i="5"/>
  <c r="AE161" i="5"/>
  <c r="B161" i="5"/>
  <c r="D161" i="5"/>
  <c r="B161" i="12" s="1"/>
  <c r="H161" i="5"/>
  <c r="J161" i="5"/>
  <c r="BE159" i="6"/>
  <c r="AN159" i="6"/>
  <c r="AV159" i="6"/>
  <c r="AF159" i="6"/>
  <c r="BA159" i="6"/>
  <c r="AX159" i="6"/>
  <c r="BF159" i="6"/>
  <c r="AB159" i="6"/>
  <c r="AT159" i="6"/>
  <c r="AE159" i="6"/>
  <c r="AC159" i="6"/>
  <c r="AU159" i="6"/>
  <c r="AY159" i="6"/>
  <c r="BG159" i="6"/>
  <c r="AI159" i="6"/>
  <c r="AP159" i="6"/>
  <c r="BC159" i="6"/>
  <c r="AG159" i="6"/>
  <c r="AO159" i="6"/>
  <c r="N159" i="6"/>
  <c r="J160" i="6"/>
  <c r="A160" i="6"/>
  <c r="BB159" i="6"/>
  <c r="AH159" i="6"/>
  <c r="AD159" i="6"/>
  <c r="AS159" i="6"/>
  <c r="K159" i="12"/>
  <c r="AM159" i="6"/>
  <c r="AR159" i="6"/>
  <c r="AF158" i="6"/>
  <c r="AN158" i="6"/>
  <c r="AC158" i="6"/>
  <c r="AQ158" i="6"/>
  <c r="AE158" i="6"/>
  <c r="AK158" i="6"/>
  <c r="AH158" i="6"/>
  <c r="AD158" i="6"/>
  <c r="BG158" i="6"/>
  <c r="AJ158" i="6"/>
  <c r="AU158" i="6"/>
  <c r="AV158" i="6"/>
  <c r="BA158" i="6"/>
  <c r="AM158" i="6"/>
  <c r="AI158" i="6"/>
  <c r="BE158" i="6"/>
  <c r="AT158" i="6"/>
  <c r="BB158" i="6"/>
  <c r="BC158" i="6"/>
  <c r="AS158" i="6"/>
  <c r="BD158" i="6"/>
  <c r="AP158" i="6"/>
  <c r="AB158" i="6"/>
  <c r="AO158" i="6"/>
  <c r="AR158" i="6"/>
  <c r="AG158" i="6"/>
  <c r="AZ158" i="6"/>
  <c r="AY158" i="6"/>
  <c r="BF158" i="6"/>
  <c r="AX158" i="6"/>
  <c r="BD159" i="6"/>
  <c r="J160" i="12" a="1"/>
  <c r="J160" i="12" s="1"/>
  <c r="L160" i="12" a="1"/>
  <c r="L160" i="12" s="1"/>
  <c r="K160" i="12" l="1"/>
  <c r="A161" i="6"/>
  <c r="J161" i="6"/>
  <c r="D162" i="5"/>
  <c r="B162" i="12" s="1"/>
  <c r="G162" i="5"/>
  <c r="AD162" i="5"/>
  <c r="C163" i="5"/>
  <c r="J162" i="5"/>
  <c r="K162" i="5"/>
  <c r="A162" i="12"/>
  <c r="N162" i="5"/>
  <c r="D162" i="6" s="1"/>
  <c r="H162" i="6" s="1"/>
  <c r="T162" i="5" s="1"/>
  <c r="G162" i="12" s="1"/>
  <c r="E162" i="5"/>
  <c r="F162" i="5"/>
  <c r="H162" i="5"/>
  <c r="B162" i="5"/>
  <c r="B162" i="6"/>
  <c r="AE162" i="5"/>
  <c r="L161" i="12" a="1"/>
  <c r="L161" i="12" s="1"/>
  <c r="J161" i="12" a="1"/>
  <c r="J161" i="12" s="1"/>
  <c r="M160" i="6"/>
  <c r="N160" i="6"/>
  <c r="L162" i="12" l="1" a="1"/>
  <c r="L162" i="12" s="1"/>
  <c r="J162" i="12" a="1"/>
  <c r="J162" i="12" s="1"/>
  <c r="BE160" i="6"/>
  <c r="AG160" i="6"/>
  <c r="AN160" i="6"/>
  <c r="AH160" i="6"/>
  <c r="BD160" i="6"/>
  <c r="AV160" i="6"/>
  <c r="BB160" i="6"/>
  <c r="AD160" i="6"/>
  <c r="AE160" i="6"/>
  <c r="BC160" i="6"/>
  <c r="AT160" i="6"/>
  <c r="AU160" i="6"/>
  <c r="AM160" i="6"/>
  <c r="AF160" i="6"/>
  <c r="AO160" i="6"/>
  <c r="AR160" i="6"/>
  <c r="AC160" i="6"/>
  <c r="AS160" i="6"/>
  <c r="BG160" i="6"/>
  <c r="AI160" i="6"/>
  <c r="AK160" i="6"/>
  <c r="AX160" i="6"/>
  <c r="AP160" i="6"/>
  <c r="AB160" i="6"/>
  <c r="BA160" i="6"/>
  <c r="AQ160" i="6"/>
  <c r="AY160" i="6"/>
  <c r="AJ160" i="6"/>
  <c r="AZ160" i="6"/>
  <c r="BF160" i="6"/>
  <c r="AE163" i="5"/>
  <c r="AD163" i="5"/>
  <c r="N163" i="5"/>
  <c r="D163" i="6" s="1"/>
  <c r="A163" i="12"/>
  <c r="H163" i="5"/>
  <c r="K163" i="5"/>
  <c r="B163" i="5"/>
  <c r="C164" i="5" s="1"/>
  <c r="C165" i="5" s="1"/>
  <c r="F163" i="5"/>
  <c r="G163" i="5"/>
  <c r="D163" i="5"/>
  <c r="B163" i="12" s="1"/>
  <c r="B163" i="6"/>
  <c r="J163" i="5"/>
  <c r="E163" i="5"/>
  <c r="K161" i="12"/>
  <c r="J162" i="6"/>
  <c r="A162" i="6"/>
  <c r="N162" i="6" s="1"/>
  <c r="M161" i="6"/>
  <c r="N161" i="6"/>
  <c r="E210" i="12"/>
  <c r="F210" i="6"/>
  <c r="N165" i="5" l="1"/>
  <c r="C166" i="5"/>
  <c r="C167" i="5" s="1"/>
  <c r="K165" i="5"/>
  <c r="J165" i="5"/>
  <c r="AD165" i="5"/>
  <c r="B165" i="6"/>
  <c r="D165" i="5"/>
  <c r="B165" i="12" s="1"/>
  <c r="A165" i="12"/>
  <c r="AE165" i="5"/>
  <c r="M162" i="6"/>
  <c r="AR162" i="6" s="1"/>
  <c r="J163" i="6"/>
  <c r="A163" i="6"/>
  <c r="N163" i="6" s="1"/>
  <c r="H163" i="6"/>
  <c r="T163" i="5" s="1"/>
  <c r="G163" i="12" s="1"/>
  <c r="L163" i="12" a="1"/>
  <c r="L163" i="12" s="1"/>
  <c r="J163" i="12" a="1"/>
  <c r="J163" i="12" s="1"/>
  <c r="W164" i="5"/>
  <c r="H164" i="12" s="1"/>
  <c r="B164" i="6"/>
  <c r="E164" i="5"/>
  <c r="E165" i="5" s="1"/>
  <c r="I164" i="5"/>
  <c r="B164" i="5"/>
  <c r="B165" i="5" s="1"/>
  <c r="A164" i="12"/>
  <c r="AD164" i="5"/>
  <c r="N164" i="5"/>
  <c r="D164" i="6" s="1"/>
  <c r="F164" i="5"/>
  <c r="F165" i="5" s="1"/>
  <c r="H164" i="5"/>
  <c r="H165" i="5" s="1"/>
  <c r="G164" i="5"/>
  <c r="G165" i="5" s="1"/>
  <c r="AE164" i="5"/>
  <c r="BC161" i="6"/>
  <c r="AS161" i="6"/>
  <c r="AF161" i="6"/>
  <c r="BB161" i="6"/>
  <c r="BE161" i="6"/>
  <c r="AY161" i="6"/>
  <c r="AK161" i="6"/>
  <c r="BA161" i="6"/>
  <c r="AV161" i="6"/>
  <c r="AM161" i="6"/>
  <c r="BG161" i="6"/>
  <c r="AO161" i="6"/>
  <c r="AQ161" i="6"/>
  <c r="AU161" i="6"/>
  <c r="AH161" i="6"/>
  <c r="AI161" i="6"/>
  <c r="AT161" i="6"/>
  <c r="AX161" i="6"/>
  <c r="AD161" i="6"/>
  <c r="AJ161" i="6"/>
  <c r="AZ161" i="6"/>
  <c r="AE161" i="6"/>
  <c r="AR161" i="6"/>
  <c r="AB161" i="6"/>
  <c r="BD161" i="6"/>
  <c r="AC161" i="6"/>
  <c r="BF161" i="6"/>
  <c r="AN161" i="6"/>
  <c r="AG161" i="6"/>
  <c r="AP161" i="6"/>
  <c r="K162" i="12"/>
  <c r="J165" i="12" l="1" a="1"/>
  <c r="J165" i="12" s="1"/>
  <c r="L165" i="12" a="1"/>
  <c r="L165" i="12" s="1"/>
  <c r="E166" i="5"/>
  <c r="E167" i="5" s="1"/>
  <c r="D166" i="5"/>
  <c r="B166" i="12" s="1"/>
  <c r="B166" i="5"/>
  <c r="B167" i="5" s="1"/>
  <c r="B166" i="6"/>
  <c r="AE166" i="5"/>
  <c r="AD166" i="5"/>
  <c r="G166" i="5"/>
  <c r="G167" i="5" s="1"/>
  <c r="K166" i="5"/>
  <c r="F166" i="5"/>
  <c r="F167" i="5" s="1"/>
  <c r="J166" i="5"/>
  <c r="N166" i="5"/>
  <c r="H166" i="5"/>
  <c r="H167" i="5" s="1"/>
  <c r="A166" i="12"/>
  <c r="J165" i="6"/>
  <c r="D165" i="6"/>
  <c r="AJ162" i="6"/>
  <c r="AM162" i="6"/>
  <c r="AC162" i="6"/>
  <c r="AD162" i="6"/>
  <c r="AK162" i="6"/>
  <c r="AY162" i="6"/>
  <c r="AF162" i="6"/>
  <c r="AI162" i="6"/>
  <c r="AB162" i="6"/>
  <c r="BG162" i="6"/>
  <c r="AQ162" i="6"/>
  <c r="AE162" i="6"/>
  <c r="AT162" i="6"/>
  <c r="AX162" i="6"/>
  <c r="BE162" i="6"/>
  <c r="K163" i="12"/>
  <c r="AH162" i="6"/>
  <c r="AZ162" i="6"/>
  <c r="BD162" i="6"/>
  <c r="AU162" i="6"/>
  <c r="BC162" i="6"/>
  <c r="AN162" i="6"/>
  <c r="BF162" i="6"/>
  <c r="AG162" i="6"/>
  <c r="AP162" i="6"/>
  <c r="AS162" i="6"/>
  <c r="BB162" i="6"/>
  <c r="BA162" i="6"/>
  <c r="AO162" i="6"/>
  <c r="AV162" i="6"/>
  <c r="J164" i="6"/>
  <c r="A164" i="6"/>
  <c r="G164" i="6"/>
  <c r="M164" i="6"/>
  <c r="AS164" i="6" s="1"/>
  <c r="H164" i="6"/>
  <c r="N164" i="6"/>
  <c r="A167" i="12"/>
  <c r="D167" i="5"/>
  <c r="B167" i="12" s="1"/>
  <c r="C168" i="5"/>
  <c r="N167" i="5"/>
  <c r="D167" i="6" s="1"/>
  <c r="H167" i="6" s="1"/>
  <c r="T167" i="5" s="1"/>
  <c r="G167" i="12" s="1"/>
  <c r="K167" i="5"/>
  <c r="B167" i="6"/>
  <c r="J167" i="5"/>
  <c r="AD167" i="5"/>
  <c r="AE167" i="5"/>
  <c r="M163" i="6"/>
  <c r="AD163" i="6" s="1"/>
  <c r="A165" i="6" l="1"/>
  <c r="M165" i="6" s="1"/>
  <c r="AV165" i="6" s="1"/>
  <c r="K165" i="12"/>
  <c r="J166" i="6"/>
  <c r="D166" i="6"/>
  <c r="H165" i="6"/>
  <c r="T165" i="5" s="1"/>
  <c r="J166" i="12" a="1"/>
  <c r="J166" i="12" s="1"/>
  <c r="L166" i="12" a="1"/>
  <c r="L166" i="12" s="1"/>
  <c r="AK164" i="6"/>
  <c r="BB164" i="6"/>
  <c r="AQ164" i="6"/>
  <c r="AR164" i="6"/>
  <c r="BA164" i="6"/>
  <c r="AP164" i="6"/>
  <c r="AK163" i="6"/>
  <c r="AB163" i="6"/>
  <c r="D168" i="5"/>
  <c r="B168" i="12" s="1"/>
  <c r="A168" i="12"/>
  <c r="K168" i="5"/>
  <c r="AE168" i="5"/>
  <c r="J168" i="5"/>
  <c r="E168" i="5"/>
  <c r="C169" i="5"/>
  <c r="AD168" i="5"/>
  <c r="F168" i="5"/>
  <c r="H168" i="5"/>
  <c r="G168" i="5"/>
  <c r="B168" i="6"/>
  <c r="N168" i="5"/>
  <c r="D168" i="6" s="1"/>
  <c r="H168" i="6" s="1"/>
  <c r="T168" i="5" s="1"/>
  <c r="G168" i="12" s="1"/>
  <c r="B168" i="5"/>
  <c r="T164" i="5"/>
  <c r="G164" i="12" s="1"/>
  <c r="AB164" i="6"/>
  <c r="AC164" i="6"/>
  <c r="AG164" i="6"/>
  <c r="AI164" i="6"/>
  <c r="AF164" i="6"/>
  <c r="AD164" i="6"/>
  <c r="J167" i="6"/>
  <c r="AH163" i="6"/>
  <c r="AM164" i="6"/>
  <c r="AT164" i="6"/>
  <c r="BF164" i="6"/>
  <c r="AV164" i="6"/>
  <c r="AN164" i="6"/>
  <c r="BE164" i="6"/>
  <c r="BD164" i="6"/>
  <c r="AU164" i="6"/>
  <c r="BG164" i="6"/>
  <c r="AZ164" i="6"/>
  <c r="AY164" i="6"/>
  <c r="AO164" i="6"/>
  <c r="BC164" i="6"/>
  <c r="AX164" i="6"/>
  <c r="J167" i="12" a="1"/>
  <c r="J167" i="12" s="1"/>
  <c r="L167" i="12" a="1"/>
  <c r="L167" i="12" s="1"/>
  <c r="AI163" i="6"/>
  <c r="AJ164" i="6"/>
  <c r="AH164" i="6"/>
  <c r="AP163" i="6"/>
  <c r="BC163" i="6"/>
  <c r="AZ163" i="6"/>
  <c r="AU163" i="6"/>
  <c r="BA163" i="6"/>
  <c r="AR163" i="6"/>
  <c r="AX163" i="6"/>
  <c r="AQ163" i="6"/>
  <c r="AM163" i="6"/>
  <c r="AE163" i="6"/>
  <c r="AY163" i="6"/>
  <c r="AT163" i="6"/>
  <c r="AO163" i="6"/>
  <c r="AG163" i="6"/>
  <c r="BG163" i="6"/>
  <c r="BB163" i="6"/>
  <c r="BF163" i="6"/>
  <c r="AV163" i="6"/>
  <c r="AN163" i="6"/>
  <c r="AF163" i="6"/>
  <c r="AS163" i="6"/>
  <c r="BE163" i="6"/>
  <c r="AC163" i="6"/>
  <c r="BD163" i="6"/>
  <c r="AJ163" i="6"/>
  <c r="AE164" i="6"/>
  <c r="K166" i="12" l="1"/>
  <c r="N165" i="6"/>
  <c r="AN165" i="6"/>
  <c r="AS165" i="6"/>
  <c r="BA165" i="6"/>
  <c r="BF165" i="6"/>
  <c r="AO165" i="6"/>
  <c r="AU165" i="6"/>
  <c r="BB165" i="6"/>
  <c r="AC165" i="6"/>
  <c r="BG165" i="6"/>
  <c r="AP165" i="6"/>
  <c r="BC165" i="6"/>
  <c r="AX165" i="6"/>
  <c r="AQ165" i="6"/>
  <c r="AY165" i="6"/>
  <c r="AT165" i="6"/>
  <c r="AR165" i="6"/>
  <c r="AM165" i="6"/>
  <c r="BE165" i="6"/>
  <c r="AF165" i="6"/>
  <c r="AE165" i="6"/>
  <c r="G165" i="12"/>
  <c r="AB165" i="6"/>
  <c r="AJ165" i="6"/>
  <c r="AK165" i="6"/>
  <c r="AH165" i="6"/>
  <c r="AD165" i="6"/>
  <c r="AG165" i="6"/>
  <c r="H166" i="6"/>
  <c r="T166" i="5" s="1"/>
  <c r="AZ165" i="6"/>
  <c r="BD165" i="6"/>
  <c r="AI165" i="6"/>
  <c r="A166" i="6"/>
  <c r="A167" i="6" s="1"/>
  <c r="N167" i="6" s="1"/>
  <c r="K167" i="12"/>
  <c r="N169" i="5"/>
  <c r="D169" i="6" s="1"/>
  <c r="H169" i="6" s="1"/>
  <c r="T169" i="5" s="1"/>
  <c r="G169" i="12" s="1"/>
  <c r="A169" i="12"/>
  <c r="AD169" i="5"/>
  <c r="AE169" i="5"/>
  <c r="C170" i="5"/>
  <c r="B169" i="5"/>
  <c r="E169" i="5"/>
  <c r="G169" i="5"/>
  <c r="D169" i="5"/>
  <c r="B169" i="12" s="1"/>
  <c r="H169" i="5"/>
  <c r="F169" i="5"/>
  <c r="J169" i="5"/>
  <c r="B169" i="6"/>
  <c r="K169" i="5"/>
  <c r="J168" i="12" a="1"/>
  <c r="J168" i="12" s="1"/>
  <c r="L168" i="12" a="1"/>
  <c r="L168" i="12" s="1"/>
  <c r="J168" i="6"/>
  <c r="M166" i="6" l="1"/>
  <c r="A168" i="6"/>
  <c r="M168" i="6" s="1"/>
  <c r="AH168" i="6" s="1"/>
  <c r="M167" i="6"/>
  <c r="BB167" i="6" s="1"/>
  <c r="N166" i="6"/>
  <c r="G166" i="12"/>
  <c r="K168" i="12"/>
  <c r="AD170" i="5"/>
  <c r="J170" i="5"/>
  <c r="B170" i="5"/>
  <c r="H170" i="5"/>
  <c r="D170" i="5"/>
  <c r="B170" i="12" s="1"/>
  <c r="F170" i="5"/>
  <c r="A170" i="12"/>
  <c r="E170" i="5"/>
  <c r="AE170" i="5"/>
  <c r="K170" i="5"/>
  <c r="C171" i="5"/>
  <c r="N170" i="5"/>
  <c r="D170" i="6" s="1"/>
  <c r="H170" i="6" s="1"/>
  <c r="T170" i="5" s="1"/>
  <c r="G170" i="12" s="1"/>
  <c r="G170" i="5"/>
  <c r="B170" i="6"/>
  <c r="L169" i="12" a="1"/>
  <c r="L169" i="12" s="1"/>
  <c r="J169" i="12" a="1"/>
  <c r="J169" i="12" s="1"/>
  <c r="J169" i="6"/>
  <c r="A169" i="6" l="1"/>
  <c r="A170" i="6" s="1"/>
  <c r="AV167" i="6"/>
  <c r="AF167" i="6"/>
  <c r="BE167" i="6"/>
  <c r="AB167" i="6"/>
  <c r="AJ167" i="6"/>
  <c r="AQ167" i="6"/>
  <c r="AE167" i="6"/>
  <c r="AP167" i="6"/>
  <c r="AZ167" i="6"/>
  <c r="AK167" i="6"/>
  <c r="N168" i="6"/>
  <c r="AU167" i="6"/>
  <c r="AI167" i="6"/>
  <c r="AD167" i="6"/>
  <c r="AR167" i="6"/>
  <c r="AO167" i="6"/>
  <c r="BF167" i="6"/>
  <c r="AC167" i="6"/>
  <c r="BA167" i="6"/>
  <c r="AH167" i="6"/>
  <c r="AY167" i="6"/>
  <c r="AT167" i="6"/>
  <c r="AM167" i="6"/>
  <c r="BD167" i="6"/>
  <c r="AG167" i="6"/>
  <c r="AS167" i="6"/>
  <c r="AX167" i="6"/>
  <c r="BG167" i="6"/>
  <c r="BC167" i="6"/>
  <c r="AN167" i="6"/>
  <c r="AS166" i="6"/>
  <c r="AN166" i="6"/>
  <c r="AF166" i="6"/>
  <c r="AB166" i="6"/>
  <c r="BE166" i="6"/>
  <c r="AG166" i="6"/>
  <c r="AV166" i="6"/>
  <c r="BB166" i="6"/>
  <c r="AI166" i="6"/>
  <c r="AR166" i="6"/>
  <c r="AU166" i="6"/>
  <c r="AE166" i="6"/>
  <c r="AZ166" i="6"/>
  <c r="BD166" i="6"/>
  <c r="AM166" i="6"/>
  <c r="AQ166" i="6"/>
  <c r="AH166" i="6"/>
  <c r="AK166" i="6"/>
  <c r="AD166" i="6"/>
  <c r="AY166" i="6"/>
  <c r="BG166" i="6"/>
  <c r="BC166" i="6"/>
  <c r="AP166" i="6"/>
  <c r="AO166" i="6"/>
  <c r="AT166" i="6"/>
  <c r="AC166" i="6"/>
  <c r="AX166" i="6"/>
  <c r="BF166" i="6"/>
  <c r="BA166" i="6"/>
  <c r="AJ166" i="6"/>
  <c r="BE168" i="6"/>
  <c r="AC168" i="6"/>
  <c r="AP168" i="6"/>
  <c r="AD168" i="6"/>
  <c r="BF168" i="6"/>
  <c r="AQ168" i="6"/>
  <c r="AR168" i="6"/>
  <c r="AE168" i="6"/>
  <c r="AG168" i="6"/>
  <c r="AS168" i="6"/>
  <c r="AX168" i="6"/>
  <c r="AO168" i="6"/>
  <c r="AT168" i="6"/>
  <c r="AZ168" i="6"/>
  <c r="AF168" i="6"/>
  <c r="AU168" i="6"/>
  <c r="BD168" i="6"/>
  <c r="BG168" i="6"/>
  <c r="AY168" i="6"/>
  <c r="AJ168" i="6"/>
  <c r="BB168" i="6"/>
  <c r="AV168" i="6"/>
  <c r="BC168" i="6"/>
  <c r="AN168" i="6"/>
  <c r="AK168" i="6"/>
  <c r="AB168" i="6"/>
  <c r="AM168" i="6"/>
  <c r="AI168" i="6"/>
  <c r="BA168" i="6"/>
  <c r="K169" i="12"/>
  <c r="L170" i="12" a="1"/>
  <c r="L170" i="12" s="1"/>
  <c r="J170" i="12" a="1"/>
  <c r="J170" i="12" s="1"/>
  <c r="J170" i="6"/>
  <c r="B171" i="5"/>
  <c r="N171" i="5"/>
  <c r="D171" i="6" s="1"/>
  <c r="H171" i="6" s="1"/>
  <c r="T171" i="5" s="1"/>
  <c r="G171" i="12" s="1"/>
  <c r="E171" i="5"/>
  <c r="D171" i="5"/>
  <c r="B171" i="12" s="1"/>
  <c r="B171" i="6"/>
  <c r="F171" i="5"/>
  <c r="J171" i="5"/>
  <c r="AD171" i="5"/>
  <c r="AE171" i="5"/>
  <c r="C172" i="5"/>
  <c r="G171" i="5"/>
  <c r="A171" i="12"/>
  <c r="K171" i="5"/>
  <c r="H171" i="5"/>
  <c r="M169" i="6" l="1"/>
  <c r="BE169" i="6" s="1"/>
  <c r="N169" i="6"/>
  <c r="K170" i="12"/>
  <c r="J171" i="6"/>
  <c r="A171" i="6"/>
  <c r="L171" i="12" a="1"/>
  <c r="L171" i="12" s="1"/>
  <c r="J171" i="12" a="1"/>
  <c r="J171" i="12" s="1"/>
  <c r="N170" i="6"/>
  <c r="M170" i="6"/>
  <c r="K172" i="5"/>
  <c r="E172" i="5"/>
  <c r="A172" i="12"/>
  <c r="D172" i="5"/>
  <c r="B172" i="12" s="1"/>
  <c r="AE172" i="5"/>
  <c r="N172" i="5"/>
  <c r="D172" i="6" s="1"/>
  <c r="H172" i="6" s="1"/>
  <c r="T172" i="5" s="1"/>
  <c r="G172" i="12" s="1"/>
  <c r="B172" i="5"/>
  <c r="C173" i="5" s="1"/>
  <c r="B172" i="6"/>
  <c r="G172" i="5"/>
  <c r="AD172" i="5"/>
  <c r="H172" i="5"/>
  <c r="J172" i="5"/>
  <c r="F172" i="5"/>
  <c r="AV169" i="6" l="1"/>
  <c r="AF169" i="6"/>
  <c r="AI169" i="6"/>
  <c r="AP169" i="6"/>
  <c r="AG169" i="6"/>
  <c r="AE169" i="6"/>
  <c r="AR169" i="6"/>
  <c r="AB169" i="6"/>
  <c r="BD169" i="6"/>
  <c r="BB169" i="6"/>
  <c r="AK169" i="6"/>
  <c r="AT169" i="6"/>
  <c r="AH169" i="6"/>
  <c r="AX169" i="6"/>
  <c r="AN169" i="6"/>
  <c r="AU169" i="6"/>
  <c r="BC169" i="6"/>
  <c r="AJ169" i="6"/>
  <c r="BA169" i="6"/>
  <c r="AS169" i="6"/>
  <c r="AD169" i="6"/>
  <c r="AZ169" i="6"/>
  <c r="AM169" i="6"/>
  <c r="AY169" i="6"/>
  <c r="AO169" i="6"/>
  <c r="BG169" i="6"/>
  <c r="AC169" i="6"/>
  <c r="BF169" i="6"/>
  <c r="AQ169" i="6"/>
  <c r="K171" i="12"/>
  <c r="J172" i="12" a="1"/>
  <c r="J172" i="12" s="1"/>
  <c r="L172" i="12" a="1"/>
  <c r="L172" i="12" s="1"/>
  <c r="BB170" i="6"/>
  <c r="AZ170" i="6"/>
  <c r="AY170" i="6"/>
  <c r="AC170" i="6"/>
  <c r="AI170" i="6"/>
  <c r="AF170" i="6"/>
  <c r="BA170" i="6"/>
  <c r="AD170" i="6"/>
  <c r="BF170" i="6"/>
  <c r="AR170" i="6"/>
  <c r="AQ170" i="6"/>
  <c r="AS170" i="6"/>
  <c r="AB170" i="6"/>
  <c r="AV170" i="6"/>
  <c r="AU170" i="6"/>
  <c r="AG170" i="6"/>
  <c r="AT170" i="6"/>
  <c r="AN170" i="6"/>
  <c r="BG170" i="6"/>
  <c r="AM170" i="6"/>
  <c r="AK170" i="6"/>
  <c r="AE170" i="6"/>
  <c r="BD170" i="6"/>
  <c r="AX170" i="6"/>
  <c r="AO170" i="6"/>
  <c r="BE170" i="6"/>
  <c r="BC170" i="6"/>
  <c r="AH170" i="6"/>
  <c r="AP170" i="6"/>
  <c r="AJ170" i="6"/>
  <c r="A172" i="6"/>
  <c r="M172" i="6" s="1"/>
  <c r="AU172" i="6" s="1"/>
  <c r="J172" i="6"/>
  <c r="N171" i="6"/>
  <c r="M171" i="6"/>
  <c r="G173" i="5"/>
  <c r="A173" i="12"/>
  <c r="F173" i="5"/>
  <c r="B173" i="5"/>
  <c r="AE173" i="5"/>
  <c r="W173" i="5"/>
  <c r="H173" i="12" s="1"/>
  <c r="N173" i="5"/>
  <c r="D173" i="6" s="1"/>
  <c r="C174" i="5"/>
  <c r="B173" i="6"/>
  <c r="E173" i="5"/>
  <c r="AD173" i="5"/>
  <c r="H173" i="5"/>
  <c r="K172" i="12" l="1"/>
  <c r="BE172" i="6"/>
  <c r="AT172" i="6"/>
  <c r="AF172" i="6"/>
  <c r="AE171" i="6"/>
  <c r="AK171" i="6"/>
  <c r="BF171" i="6"/>
  <c r="BA171" i="6"/>
  <c r="AF171" i="6"/>
  <c r="BE171" i="6"/>
  <c r="AY171" i="6"/>
  <c r="AX171" i="6"/>
  <c r="AN171" i="6"/>
  <c r="BD171" i="6"/>
  <c r="AC171" i="6"/>
  <c r="AZ171" i="6"/>
  <c r="AB171" i="6"/>
  <c r="BG171" i="6"/>
  <c r="AU171" i="6"/>
  <c r="AI171" i="6"/>
  <c r="AG171" i="6"/>
  <c r="AO171" i="6"/>
  <c r="BC171" i="6"/>
  <c r="AV171" i="6"/>
  <c r="AM171" i="6"/>
  <c r="BB171" i="6"/>
  <c r="AH171" i="6"/>
  <c r="AS171" i="6"/>
  <c r="AT171" i="6"/>
  <c r="AD171" i="6"/>
  <c r="AJ171" i="6"/>
  <c r="AR171" i="6"/>
  <c r="AQ171" i="6"/>
  <c r="AP171" i="6"/>
  <c r="AB172" i="6"/>
  <c r="AP172" i="6"/>
  <c r="AY172" i="6"/>
  <c r="BC172" i="6"/>
  <c r="BD172" i="6"/>
  <c r="AZ172" i="6"/>
  <c r="N172" i="6"/>
  <c r="AM172" i="6"/>
  <c r="AR172" i="6"/>
  <c r="AI172" i="6"/>
  <c r="AN172" i="6"/>
  <c r="AE172" i="6"/>
  <c r="AQ172" i="6"/>
  <c r="J173" i="6"/>
  <c r="A173" i="6"/>
  <c r="BG172" i="6"/>
  <c r="AJ172" i="6"/>
  <c r="AO172" i="6"/>
  <c r="B174" i="6"/>
  <c r="H174" i="5"/>
  <c r="G174" i="5"/>
  <c r="B174" i="5"/>
  <c r="AD174" i="5"/>
  <c r="A174" i="12"/>
  <c r="AE174" i="5"/>
  <c r="E174" i="5"/>
  <c r="J174" i="5"/>
  <c r="C175" i="5"/>
  <c r="N174" i="5"/>
  <c r="D174" i="6" s="1"/>
  <c r="H174" i="6" s="1"/>
  <c r="T174" i="5" s="1"/>
  <c r="G174" i="12" s="1"/>
  <c r="D174" i="5"/>
  <c r="B174" i="12" s="1"/>
  <c r="K174" i="5"/>
  <c r="F174" i="5"/>
  <c r="BF172" i="6"/>
  <c r="AK172" i="6"/>
  <c r="BA172" i="6"/>
  <c r="AD172" i="6"/>
  <c r="AH172" i="6"/>
  <c r="AG172" i="6"/>
  <c r="AX172" i="6"/>
  <c r="G173" i="6"/>
  <c r="N173" i="6"/>
  <c r="H173" i="6"/>
  <c r="M173" i="6"/>
  <c r="AV172" i="6"/>
  <c r="AS172" i="6"/>
  <c r="AC172" i="6"/>
  <c r="BB172" i="6"/>
  <c r="E218" i="12"/>
  <c r="F218" i="6"/>
  <c r="J174" i="12" l="1" a="1"/>
  <c r="J174" i="12" s="1"/>
  <c r="L174" i="12" a="1"/>
  <c r="L174" i="12" s="1"/>
  <c r="F175" i="5"/>
  <c r="G175" i="5"/>
  <c r="D175" i="5"/>
  <c r="B175" i="12" s="1"/>
  <c r="AE175" i="5"/>
  <c r="E175" i="5"/>
  <c r="B175" i="5"/>
  <c r="H175" i="5"/>
  <c r="N175" i="5"/>
  <c r="D175" i="6" s="1"/>
  <c r="A175" i="12"/>
  <c r="B175" i="6"/>
  <c r="J175" i="5"/>
  <c r="AD175" i="5"/>
  <c r="K175" i="5"/>
  <c r="C176" i="5"/>
  <c r="BE173" i="6"/>
  <c r="BC173" i="6"/>
  <c r="AS173" i="6"/>
  <c r="AU173" i="6"/>
  <c r="AY173" i="6"/>
  <c r="BB173" i="6"/>
  <c r="BF173" i="6"/>
  <c r="AR173" i="6"/>
  <c r="AT173" i="6"/>
  <c r="BD173" i="6"/>
  <c r="AX173" i="6"/>
  <c r="AP173" i="6"/>
  <c r="AM173" i="6"/>
  <c r="AN173" i="6"/>
  <c r="AV173" i="6"/>
  <c r="AQ173" i="6"/>
  <c r="BA173" i="6"/>
  <c r="AO173" i="6"/>
  <c r="AZ173" i="6"/>
  <c r="BG173" i="6"/>
  <c r="A174" i="6"/>
  <c r="J174" i="6"/>
  <c r="T173" i="5"/>
  <c r="G173" i="12" s="1"/>
  <c r="AK173" i="6"/>
  <c r="AH173" i="6"/>
  <c r="AE173" i="6"/>
  <c r="AD173" i="6"/>
  <c r="AF173" i="6"/>
  <c r="AJ173" i="6"/>
  <c r="AG173" i="6"/>
  <c r="AB173" i="6"/>
  <c r="AC173" i="6"/>
  <c r="AI173" i="6"/>
  <c r="K174" i="12" l="1"/>
  <c r="H175" i="6"/>
  <c r="T175" i="5" s="1"/>
  <c r="G175" i="12" s="1"/>
  <c r="J175" i="6"/>
  <c r="A175" i="6"/>
  <c r="D176" i="5"/>
  <c r="B176" i="12" s="1"/>
  <c r="AD176" i="5"/>
  <c r="C177" i="5"/>
  <c r="G176" i="5"/>
  <c r="B176" i="6"/>
  <c r="AE176" i="5"/>
  <c r="E176" i="5"/>
  <c r="B176" i="5"/>
  <c r="J176" i="5"/>
  <c r="A176" i="12"/>
  <c r="H176" i="5"/>
  <c r="F176" i="5"/>
  <c r="K176" i="5"/>
  <c r="N176" i="5"/>
  <c r="D176" i="6" s="1"/>
  <c r="H176" i="6" s="1"/>
  <c r="T176" i="5" s="1"/>
  <c r="G176" i="12" s="1"/>
  <c r="J175" i="12" a="1"/>
  <c r="J175" i="12" s="1"/>
  <c r="L175" i="12" a="1"/>
  <c r="L175" i="12" s="1"/>
  <c r="N174" i="6"/>
  <c r="M174" i="6"/>
  <c r="K175" i="12" l="1"/>
  <c r="J176" i="6"/>
  <c r="A176" i="6"/>
  <c r="M175" i="6"/>
  <c r="AJ175" i="6" s="1"/>
  <c r="AS174" i="6"/>
  <c r="AJ174" i="6"/>
  <c r="BE174" i="6"/>
  <c r="AH174" i="6"/>
  <c r="BD174" i="6"/>
  <c r="AD174" i="6"/>
  <c r="BF174" i="6"/>
  <c r="AZ174" i="6"/>
  <c r="BA174" i="6"/>
  <c r="AT174" i="6"/>
  <c r="AM174" i="6"/>
  <c r="AB174" i="6"/>
  <c r="AN174" i="6"/>
  <c r="BC174" i="6"/>
  <c r="AE174" i="6"/>
  <c r="BG174" i="6"/>
  <c r="AG174" i="6"/>
  <c r="AP174" i="6"/>
  <c r="AU174" i="6"/>
  <c r="BB174" i="6"/>
  <c r="AC174" i="6"/>
  <c r="AQ174" i="6"/>
  <c r="AY174" i="6"/>
  <c r="AK174" i="6"/>
  <c r="AI174" i="6"/>
  <c r="AO174" i="6"/>
  <c r="AR174" i="6"/>
  <c r="AF174" i="6"/>
  <c r="AV174" i="6"/>
  <c r="AX174" i="6"/>
  <c r="G177" i="5"/>
  <c r="B177" i="6"/>
  <c r="K177" i="5"/>
  <c r="E177" i="5"/>
  <c r="A177" i="12"/>
  <c r="D177" i="5"/>
  <c r="B177" i="12" s="1"/>
  <c r="H177" i="5"/>
  <c r="AD177" i="5"/>
  <c r="C178" i="5"/>
  <c r="J177" i="5"/>
  <c r="AE177" i="5"/>
  <c r="N177" i="5"/>
  <c r="D177" i="6" s="1"/>
  <c r="H177" i="6" s="1"/>
  <c r="T177" i="5" s="1"/>
  <c r="G177" i="12" s="1"/>
  <c r="B177" i="5"/>
  <c r="F177" i="5"/>
  <c r="L176" i="12" a="1"/>
  <c r="L176" i="12" s="1"/>
  <c r="J176" i="12" a="1"/>
  <c r="J176" i="12" s="1"/>
  <c r="N175" i="6"/>
  <c r="E226" i="12"/>
  <c r="F226" i="6"/>
  <c r="AB175" i="6" l="1"/>
  <c r="AD175" i="6"/>
  <c r="A177" i="6"/>
  <c r="J177" i="6"/>
  <c r="N178" i="5"/>
  <c r="D178" i="6" s="1"/>
  <c r="H178" i="6" s="1"/>
  <c r="T178" i="5" s="1"/>
  <c r="G178" i="12" s="1"/>
  <c r="F178" i="5"/>
  <c r="H178" i="5"/>
  <c r="K178" i="5"/>
  <c r="C179" i="5"/>
  <c r="A178" i="12"/>
  <c r="E178" i="5"/>
  <c r="B178" i="6"/>
  <c r="B178" i="5"/>
  <c r="J178" i="5"/>
  <c r="AE178" i="5"/>
  <c r="D178" i="5"/>
  <c r="B178" i="12" s="1"/>
  <c r="G178" i="5"/>
  <c r="AD178" i="5"/>
  <c r="K176" i="12"/>
  <c r="AP175" i="6"/>
  <c r="BF175" i="6"/>
  <c r="AT175" i="6"/>
  <c r="AY175" i="6"/>
  <c r="AR175" i="6"/>
  <c r="AO175" i="6"/>
  <c r="BC175" i="6"/>
  <c r="BA175" i="6"/>
  <c r="AQ175" i="6"/>
  <c r="AE175" i="6"/>
  <c r="BE175" i="6"/>
  <c r="AH175" i="6"/>
  <c r="AS175" i="6"/>
  <c r="AC175" i="6"/>
  <c r="AZ175" i="6"/>
  <c r="AN175" i="6"/>
  <c r="AG175" i="6"/>
  <c r="BD175" i="6"/>
  <c r="AK175" i="6"/>
  <c r="AU175" i="6"/>
  <c r="AM175" i="6"/>
  <c r="BB175" i="6"/>
  <c r="AV175" i="6"/>
  <c r="AI175" i="6"/>
  <c r="BG175" i="6"/>
  <c r="AX175" i="6"/>
  <c r="AF175" i="6"/>
  <c r="L177" i="12" a="1"/>
  <c r="L177" i="12" s="1"/>
  <c r="J177" i="12" a="1"/>
  <c r="J177" i="12" s="1"/>
  <c r="N176" i="6"/>
  <c r="M176" i="6"/>
  <c r="K177" i="12" l="1"/>
  <c r="J178" i="6"/>
  <c r="A178" i="6"/>
  <c r="N178" i="6" s="1"/>
  <c r="J178" i="12" a="1"/>
  <c r="J178" i="12" s="1"/>
  <c r="L178" i="12" a="1"/>
  <c r="L178" i="12" s="1"/>
  <c r="E179" i="5"/>
  <c r="AD179" i="5"/>
  <c r="K179" i="5"/>
  <c r="A179" i="12"/>
  <c r="N179" i="5"/>
  <c r="D179" i="6" s="1"/>
  <c r="H179" i="6" s="1"/>
  <c r="T179" i="5" s="1"/>
  <c r="G179" i="12" s="1"/>
  <c r="G179" i="5"/>
  <c r="B179" i="6"/>
  <c r="C180" i="5"/>
  <c r="D179" i="5"/>
  <c r="B179" i="12" s="1"/>
  <c r="F179" i="5"/>
  <c r="J179" i="5"/>
  <c r="H179" i="5"/>
  <c r="AE179" i="5"/>
  <c r="B179" i="5"/>
  <c r="AB176" i="6"/>
  <c r="AJ176" i="6"/>
  <c r="AT176" i="6"/>
  <c r="BD176" i="6"/>
  <c r="BB176" i="6"/>
  <c r="AC176" i="6"/>
  <c r="BA176" i="6"/>
  <c r="AP176" i="6"/>
  <c r="AM176" i="6"/>
  <c r="AK176" i="6"/>
  <c r="BF176" i="6"/>
  <c r="BC176" i="6"/>
  <c r="AO176" i="6"/>
  <c r="AN176" i="6"/>
  <c r="AY176" i="6"/>
  <c r="BE176" i="6"/>
  <c r="AZ176" i="6"/>
  <c r="AE176" i="6"/>
  <c r="AX176" i="6"/>
  <c r="AV176" i="6"/>
  <c r="AI176" i="6"/>
  <c r="AU176" i="6"/>
  <c r="AF176" i="6"/>
  <c r="AS176" i="6"/>
  <c r="AQ176" i="6"/>
  <c r="AH176" i="6"/>
  <c r="BG176" i="6"/>
  <c r="AD176" i="6"/>
  <c r="AR176" i="6"/>
  <c r="AG176" i="6"/>
  <c r="M177" i="6"/>
  <c r="N177" i="6"/>
  <c r="K178" i="12" l="1"/>
  <c r="J179" i="12" a="1"/>
  <c r="J179" i="12" s="1"/>
  <c r="L179" i="12" a="1"/>
  <c r="L179" i="12" s="1"/>
  <c r="J179" i="6"/>
  <c r="A179" i="6"/>
  <c r="M178" i="6"/>
  <c r="BE177" i="6"/>
  <c r="AZ177" i="6"/>
  <c r="AK177" i="6"/>
  <c r="AR177" i="6"/>
  <c r="AD177" i="6"/>
  <c r="AC177" i="6"/>
  <c r="AQ177" i="6"/>
  <c r="BG177" i="6"/>
  <c r="AX177" i="6"/>
  <c r="AM177" i="6"/>
  <c r="AY177" i="6"/>
  <c r="AU177" i="6"/>
  <c r="AV177" i="6"/>
  <c r="AT177" i="6"/>
  <c r="AG177" i="6"/>
  <c r="AE177" i="6"/>
  <c r="AJ177" i="6"/>
  <c r="AI177" i="6"/>
  <c r="BB177" i="6"/>
  <c r="AB177" i="6"/>
  <c r="AN177" i="6"/>
  <c r="AS177" i="6"/>
  <c r="BD177" i="6"/>
  <c r="BF177" i="6"/>
  <c r="AO177" i="6"/>
  <c r="AF177" i="6"/>
  <c r="BA177" i="6"/>
  <c r="AP177" i="6"/>
  <c r="BC177" i="6"/>
  <c r="AH177" i="6"/>
  <c r="A180" i="12"/>
  <c r="AD180" i="5"/>
  <c r="B180" i="5"/>
  <c r="E180" i="5"/>
  <c r="C181" i="5"/>
  <c r="D180" i="5"/>
  <c r="B180" i="12" s="1"/>
  <c r="F180" i="5"/>
  <c r="N180" i="5"/>
  <c r="D180" i="6" s="1"/>
  <c r="H180" i="6" s="1"/>
  <c r="T180" i="5" s="1"/>
  <c r="G180" i="12" s="1"/>
  <c r="B180" i="6"/>
  <c r="H180" i="5"/>
  <c r="G180" i="5"/>
  <c r="J180" i="5"/>
  <c r="K180" i="5"/>
  <c r="AE180" i="5"/>
  <c r="K179" i="12" l="1"/>
  <c r="L180" i="12" a="1"/>
  <c r="L180" i="12" s="1"/>
  <c r="J180" i="12" a="1"/>
  <c r="J180" i="12" s="1"/>
  <c r="J180" i="6"/>
  <c r="A180" i="6"/>
  <c r="N180" i="6" s="1"/>
  <c r="BC178" i="6"/>
  <c r="AV178" i="6"/>
  <c r="AT178" i="6"/>
  <c r="AO178" i="6"/>
  <c r="AK178" i="6"/>
  <c r="AX178" i="6"/>
  <c r="AP178" i="6"/>
  <c r="AG178" i="6"/>
  <c r="AJ178" i="6"/>
  <c r="AF178" i="6"/>
  <c r="AM178" i="6"/>
  <c r="AZ178" i="6"/>
  <c r="AB178" i="6"/>
  <c r="BD178" i="6"/>
  <c r="AY178" i="6"/>
  <c r="BA178" i="6"/>
  <c r="BB178" i="6"/>
  <c r="AU178" i="6"/>
  <c r="AQ178" i="6"/>
  <c r="AH178" i="6"/>
  <c r="AD178" i="6"/>
  <c r="AC178" i="6"/>
  <c r="AI178" i="6"/>
  <c r="BG178" i="6"/>
  <c r="BE178" i="6"/>
  <c r="AR178" i="6"/>
  <c r="BF178" i="6"/>
  <c r="AS178" i="6"/>
  <c r="AE178" i="6"/>
  <c r="AN178" i="6"/>
  <c r="N179" i="6"/>
  <c r="M179" i="6"/>
  <c r="N181" i="5"/>
  <c r="D181" i="6" s="1"/>
  <c r="H181" i="6" s="1"/>
  <c r="T181" i="5" s="1"/>
  <c r="G181" i="12" s="1"/>
  <c r="A181" i="12"/>
  <c r="G181" i="5"/>
  <c r="E181" i="5"/>
  <c r="K181" i="5"/>
  <c r="B181" i="5"/>
  <c r="AD181" i="5"/>
  <c r="D181" i="5"/>
  <c r="B181" i="12" s="1"/>
  <c r="H181" i="5"/>
  <c r="B181" i="6"/>
  <c r="J181" i="5"/>
  <c r="C182" i="5"/>
  <c r="F181" i="5"/>
  <c r="AE181" i="5"/>
  <c r="K164" i="5"/>
  <c r="K133" i="5"/>
  <c r="K129" i="5"/>
  <c r="K122" i="5"/>
  <c r="K110" i="5"/>
  <c r="K92" i="5"/>
  <c r="K74" i="5"/>
  <c r="K70" i="5"/>
  <c r="K64" i="5"/>
  <c r="K58" i="5"/>
  <c r="K38" i="5"/>
  <c r="K22" i="5"/>
  <c r="K23" i="5"/>
  <c r="K17" i="5"/>
  <c r="A181" i="6" l="1"/>
  <c r="J181" i="6"/>
  <c r="AF179" i="6"/>
  <c r="AJ179" i="6"/>
  <c r="BG179" i="6"/>
  <c r="AM179" i="6"/>
  <c r="AZ179" i="6"/>
  <c r="AO179" i="6"/>
  <c r="AQ179" i="6"/>
  <c r="AX179" i="6"/>
  <c r="BA179" i="6"/>
  <c r="AU179" i="6"/>
  <c r="AI179" i="6"/>
  <c r="AT179" i="6"/>
  <c r="AE179" i="6"/>
  <c r="AV179" i="6"/>
  <c r="AN179" i="6"/>
  <c r="AY179" i="6"/>
  <c r="AC179" i="6"/>
  <c r="AD179" i="6"/>
  <c r="BE179" i="6"/>
  <c r="BF179" i="6"/>
  <c r="AK179" i="6"/>
  <c r="AB179" i="6"/>
  <c r="AP179" i="6"/>
  <c r="AG179" i="6"/>
  <c r="AS179" i="6"/>
  <c r="AR179" i="6"/>
  <c r="AH179" i="6"/>
  <c r="BC179" i="6"/>
  <c r="BB179" i="6"/>
  <c r="BD179" i="6"/>
  <c r="J181" i="12" a="1"/>
  <c r="J181" i="12" s="1"/>
  <c r="L181" i="12" a="1"/>
  <c r="L181" i="12" s="1"/>
  <c r="B182" i="5"/>
  <c r="K182" i="5"/>
  <c r="AE182" i="5"/>
  <c r="E182" i="5"/>
  <c r="C183" i="5"/>
  <c r="H182" i="5"/>
  <c r="B182" i="6"/>
  <c r="J182" i="5"/>
  <c r="AD182" i="5"/>
  <c r="D182" i="5"/>
  <c r="B182" i="12" s="1"/>
  <c r="A182" i="12"/>
  <c r="F182" i="5"/>
  <c r="N182" i="5"/>
  <c r="D182" i="6" s="1"/>
  <c r="H182" i="6" s="1"/>
  <c r="T182" i="5" s="1"/>
  <c r="G182" i="12" s="1"/>
  <c r="G182" i="5"/>
  <c r="M180" i="6"/>
  <c r="K180" i="12"/>
  <c r="K181" i="12" l="1"/>
  <c r="L182" i="12" a="1"/>
  <c r="L182" i="12" s="1"/>
  <c r="J182" i="12" a="1"/>
  <c r="J182" i="12" s="1"/>
  <c r="J182" i="6"/>
  <c r="A182" i="6"/>
  <c r="M182" i="6" s="1"/>
  <c r="AZ182" i="6" s="1"/>
  <c r="AD183" i="5"/>
  <c r="F183" i="5"/>
  <c r="H183" i="5"/>
  <c r="C184" i="5"/>
  <c r="B183" i="5"/>
  <c r="E183" i="5"/>
  <c r="J183" i="5"/>
  <c r="N183" i="5"/>
  <c r="D183" i="6" s="1"/>
  <c r="H183" i="6" s="1"/>
  <c r="T183" i="5" s="1"/>
  <c r="G183" i="12" s="1"/>
  <c r="K183" i="5"/>
  <c r="A183" i="12"/>
  <c r="D183" i="5"/>
  <c r="B183" i="12" s="1"/>
  <c r="B183" i="6"/>
  <c r="G183" i="5"/>
  <c r="AE183" i="5"/>
  <c r="AY180" i="6"/>
  <c r="AP180" i="6"/>
  <c r="AD180" i="6"/>
  <c r="AG180" i="6"/>
  <c r="AT180" i="6"/>
  <c r="AE180" i="6"/>
  <c r="AC180" i="6"/>
  <c r="AX180" i="6"/>
  <c r="AJ180" i="6"/>
  <c r="BA180" i="6"/>
  <c r="BF180" i="6"/>
  <c r="AH180" i="6"/>
  <c r="AK180" i="6"/>
  <c r="AF180" i="6"/>
  <c r="AU180" i="6"/>
  <c r="AO180" i="6"/>
  <c r="AM180" i="6"/>
  <c r="AS180" i="6"/>
  <c r="AQ180" i="6"/>
  <c r="BD180" i="6"/>
  <c r="AR180" i="6"/>
  <c r="AN180" i="6"/>
  <c r="BB180" i="6"/>
  <c r="BE180" i="6"/>
  <c r="AB180" i="6"/>
  <c r="AZ180" i="6"/>
  <c r="BG180" i="6"/>
  <c r="AI180" i="6"/>
  <c r="BC180" i="6"/>
  <c r="AV180" i="6"/>
  <c r="N181" i="6"/>
  <c r="M181" i="6"/>
  <c r="AG12" i="13"/>
  <c r="AH12" i="13"/>
  <c r="AD12" i="13"/>
  <c r="AC12" i="13"/>
  <c r="AE12" i="13"/>
  <c r="M12" i="6" a="1"/>
  <c r="M12" i="6" s="1"/>
  <c r="AF12" i="13"/>
  <c r="N182" i="6" l="1"/>
  <c r="AO182" i="6"/>
  <c r="AU182" i="6"/>
  <c r="BG182" i="6"/>
  <c r="AS182" i="6"/>
  <c r="AV182" i="6"/>
  <c r="J184" i="5"/>
  <c r="G184" i="5"/>
  <c r="E184" i="5"/>
  <c r="F184" i="5"/>
  <c r="B184" i="6"/>
  <c r="K184" i="5"/>
  <c r="C185" i="5"/>
  <c r="A184" i="12"/>
  <c r="AD184" i="5"/>
  <c r="D184" i="5"/>
  <c r="B184" i="12" s="1"/>
  <c r="B184" i="5"/>
  <c r="AE184" i="5"/>
  <c r="N184" i="5"/>
  <c r="D184" i="6" s="1"/>
  <c r="H184" i="6" s="1"/>
  <c r="T184" i="5" s="1"/>
  <c r="G184" i="12" s="1"/>
  <c r="H184" i="5"/>
  <c r="BF182" i="6"/>
  <c r="AE181" i="6"/>
  <c r="AB181" i="6"/>
  <c r="BE181" i="6"/>
  <c r="AG181" i="6"/>
  <c r="AC181" i="6"/>
  <c r="AZ181" i="6"/>
  <c r="AY181" i="6"/>
  <c r="AO181" i="6"/>
  <c r="BA181" i="6"/>
  <c r="AD181" i="6"/>
  <c r="AJ181" i="6"/>
  <c r="BC181" i="6"/>
  <c r="AV181" i="6"/>
  <c r="AU181" i="6"/>
  <c r="BD181" i="6"/>
  <c r="AQ181" i="6"/>
  <c r="AP181" i="6"/>
  <c r="BF181" i="6"/>
  <c r="AN181" i="6"/>
  <c r="AS181" i="6"/>
  <c r="BG181" i="6"/>
  <c r="AK181" i="6"/>
  <c r="AR181" i="6"/>
  <c r="AH181" i="6"/>
  <c r="BB181" i="6"/>
  <c r="AX181" i="6"/>
  <c r="AF181" i="6"/>
  <c r="AI181" i="6"/>
  <c r="AT181" i="6"/>
  <c r="AM181" i="6"/>
  <c r="AF182" i="6"/>
  <c r="AX182" i="6"/>
  <c r="AE182" i="6"/>
  <c r="J183" i="6"/>
  <c r="A183" i="6"/>
  <c r="AT182" i="6"/>
  <c r="AN182" i="6"/>
  <c r="AQ182" i="6"/>
  <c r="BE182" i="6"/>
  <c r="J183" i="12" a="1"/>
  <c r="J183" i="12" s="1"/>
  <c r="L183" i="12" a="1"/>
  <c r="L183" i="12" s="1"/>
  <c r="AH182" i="6"/>
  <c r="AJ182" i="6"/>
  <c r="AG182" i="6"/>
  <c r="K182" i="12"/>
  <c r="AP182" i="6"/>
  <c r="AR182" i="6"/>
  <c r="AD182" i="6"/>
  <c r="BC182" i="6"/>
  <c r="BA182" i="6"/>
  <c r="AM182" i="6"/>
  <c r="AK182" i="6"/>
  <c r="BD182" i="6"/>
  <c r="AI182" i="6"/>
  <c r="AC182" i="6"/>
  <c r="AY182" i="6"/>
  <c r="AB182" i="6"/>
  <c r="BB182" i="6"/>
  <c r="AH14" i="13"/>
  <c r="O14" i="13" s="1"/>
  <c r="O19" i="13" s="1"/>
  <c r="AE14" i="13"/>
  <c r="M14" i="13" s="1"/>
  <c r="M19" i="13" s="1"/>
  <c r="J184" i="12" l="1" a="1"/>
  <c r="J184" i="12" s="1"/>
  <c r="L184" i="12" a="1"/>
  <c r="L184" i="12" s="1"/>
  <c r="K185" i="5"/>
  <c r="AE185" i="5"/>
  <c r="G185" i="5"/>
  <c r="B185" i="6"/>
  <c r="C186" i="5"/>
  <c r="AD185" i="5"/>
  <c r="A185" i="12"/>
  <c r="E185" i="5"/>
  <c r="H185" i="5"/>
  <c r="B185" i="5"/>
  <c r="N185" i="5"/>
  <c r="D185" i="6" s="1"/>
  <c r="H185" i="6" s="1"/>
  <c r="T185" i="5" s="1"/>
  <c r="G185" i="12" s="1"/>
  <c r="F185" i="5"/>
  <c r="D185" i="5"/>
  <c r="B185" i="12" s="1"/>
  <c r="J185" i="5"/>
  <c r="J184" i="6"/>
  <c r="A184" i="6"/>
  <c r="M183" i="6"/>
  <c r="N183" i="6"/>
  <c r="K183" i="12"/>
  <c r="K146" i="5"/>
  <c r="N14" i="13"/>
  <c r="F33" i="14"/>
  <c r="D51" i="2"/>
  <c r="D48" i="2"/>
  <c r="D53" i="2"/>
  <c r="D47" i="2"/>
  <c r="N19" i="13"/>
  <c r="D52" i="2"/>
  <c r="AD6" i="13"/>
  <c r="AE6" i="13" s="1"/>
  <c r="D54" i="2"/>
  <c r="K184" i="12" l="1"/>
  <c r="J185" i="12" a="1"/>
  <c r="J185" i="12" s="1"/>
  <c r="L185" i="12" a="1"/>
  <c r="L185" i="12" s="1"/>
  <c r="BB183" i="6"/>
  <c r="AE183" i="6"/>
  <c r="BC183" i="6"/>
  <c r="BA183" i="6"/>
  <c r="AG183" i="6"/>
  <c r="AC183" i="6"/>
  <c r="BG183" i="6"/>
  <c r="AZ183" i="6"/>
  <c r="AV183" i="6"/>
  <c r="AM183" i="6"/>
  <c r="BF183" i="6"/>
  <c r="AR183" i="6"/>
  <c r="AI183" i="6"/>
  <c r="AF183" i="6"/>
  <c r="AX183" i="6"/>
  <c r="AS183" i="6"/>
  <c r="AK183" i="6"/>
  <c r="AO183" i="6"/>
  <c r="AN183" i="6"/>
  <c r="BE183" i="6"/>
  <c r="AH183" i="6"/>
  <c r="AD183" i="6"/>
  <c r="AJ183" i="6"/>
  <c r="AU183" i="6"/>
  <c r="AQ183" i="6"/>
  <c r="AP183" i="6"/>
  <c r="AY183" i="6"/>
  <c r="AT183" i="6"/>
  <c r="BD183" i="6"/>
  <c r="AB183" i="6"/>
  <c r="G186" i="5"/>
  <c r="AD186" i="5"/>
  <c r="H186" i="5"/>
  <c r="AE186" i="5"/>
  <c r="E186" i="5"/>
  <c r="N186" i="5"/>
  <c r="D186" i="6" s="1"/>
  <c r="H186" i="6" s="1"/>
  <c r="T186" i="5" s="1"/>
  <c r="G186" i="12" s="1"/>
  <c r="B186" i="5"/>
  <c r="C187" i="5"/>
  <c r="D186" i="5"/>
  <c r="B186" i="12" s="1"/>
  <c r="K186" i="5"/>
  <c r="F186" i="5"/>
  <c r="B186" i="6"/>
  <c r="J186" i="5"/>
  <c r="A186" i="12"/>
  <c r="M184" i="6"/>
  <c r="N184" i="6"/>
  <c r="J185" i="6"/>
  <c r="A185" i="6"/>
  <c r="D46" i="2"/>
  <c r="E33" i="14"/>
  <c r="D50" i="2"/>
  <c r="D1" i="2" l="1"/>
  <c r="K185" i="12"/>
  <c r="AX184" i="6"/>
  <c r="AM184" i="6"/>
  <c r="BD184" i="6"/>
  <c r="AO184" i="6"/>
  <c r="AF184" i="6"/>
  <c r="AN184" i="6"/>
  <c r="BE184" i="6"/>
  <c r="AZ184" i="6"/>
  <c r="AI184" i="6"/>
  <c r="AP184" i="6"/>
  <c r="AE184" i="6"/>
  <c r="AG184" i="6"/>
  <c r="AY184" i="6"/>
  <c r="AS184" i="6"/>
  <c r="BA184" i="6"/>
  <c r="AV184" i="6"/>
  <c r="AK184" i="6"/>
  <c r="AD184" i="6"/>
  <c r="AH184" i="6"/>
  <c r="BC184" i="6"/>
  <c r="AJ184" i="6"/>
  <c r="AT184" i="6"/>
  <c r="AR184" i="6"/>
  <c r="AC184" i="6"/>
  <c r="BG184" i="6"/>
  <c r="AB184" i="6"/>
  <c r="BF184" i="6"/>
  <c r="AU184" i="6"/>
  <c r="AQ184" i="6"/>
  <c r="BB184" i="6"/>
  <c r="J186" i="12" a="1"/>
  <c r="J186" i="12" s="1"/>
  <c r="L186" i="12" a="1"/>
  <c r="L186" i="12" s="1"/>
  <c r="A186" i="6"/>
  <c r="M186" i="6" s="1"/>
  <c r="AY186" i="6" s="1"/>
  <c r="J186" i="6"/>
  <c r="N185" i="6"/>
  <c r="M185" i="6"/>
  <c r="F187" i="5"/>
  <c r="K187" i="5"/>
  <c r="E187" i="5"/>
  <c r="J187" i="5"/>
  <c r="AE187" i="5"/>
  <c r="B187" i="6"/>
  <c r="G187" i="5"/>
  <c r="H187" i="5"/>
  <c r="N187" i="5"/>
  <c r="D187" i="6" s="1"/>
  <c r="H187" i="6" s="1"/>
  <c r="T187" i="5" s="1"/>
  <c r="G187" i="12" s="1"/>
  <c r="D187" i="5"/>
  <c r="B187" i="12" s="1"/>
  <c r="B187" i="5"/>
  <c r="A187" i="12"/>
  <c r="AD187" i="5"/>
  <c r="C188" i="5"/>
  <c r="J241" i="12"/>
  <c r="S77" i="10"/>
  <c r="C11" i="10" s="1"/>
  <c r="K186" i="12" l="1"/>
  <c r="N186" i="6"/>
  <c r="AB186" i="6"/>
  <c r="BC186" i="6"/>
  <c r="AK186" i="6"/>
  <c r="AN186" i="6"/>
  <c r="AD186" i="6"/>
  <c r="AC186" i="6"/>
  <c r="A187" i="6"/>
  <c r="N187" i="6" s="1"/>
  <c r="J187" i="6"/>
  <c r="BB186" i="6"/>
  <c r="BE186" i="6"/>
  <c r="AF186" i="6"/>
  <c r="AO186" i="6"/>
  <c r="AI186" i="6"/>
  <c r="B188" i="5"/>
  <c r="C189" i="5"/>
  <c r="N188" i="5"/>
  <c r="D188" i="6" s="1"/>
  <c r="H188" i="6" s="1"/>
  <c r="T188" i="5" s="1"/>
  <c r="G188" i="12" s="1"/>
  <c r="AE188" i="5"/>
  <c r="H188" i="5"/>
  <c r="E188" i="5"/>
  <c r="D188" i="5"/>
  <c r="B188" i="12" s="1"/>
  <c r="K188" i="5"/>
  <c r="A188" i="12"/>
  <c r="AD188" i="5"/>
  <c r="F188" i="5"/>
  <c r="J188" i="5"/>
  <c r="B188" i="6"/>
  <c r="G188" i="5"/>
  <c r="AG186" i="6"/>
  <c r="BD186" i="6"/>
  <c r="AJ186" i="6"/>
  <c r="L187" i="12" a="1"/>
  <c r="L187" i="12" s="1"/>
  <c r="J187" i="12" a="1"/>
  <c r="J187" i="12" s="1"/>
  <c r="AZ186" i="6"/>
  <c r="AT186" i="6"/>
  <c r="AS186" i="6"/>
  <c r="AE186" i="6"/>
  <c r="AQ186" i="6"/>
  <c r="AU186" i="6"/>
  <c r="AV186" i="6"/>
  <c r="BG186" i="6"/>
  <c r="BA186" i="6"/>
  <c r="AX186" i="6"/>
  <c r="BF186" i="6"/>
  <c r="AM186" i="6"/>
  <c r="AH186" i="6"/>
  <c r="AR186" i="6"/>
  <c r="AB185" i="6"/>
  <c r="AI185" i="6"/>
  <c r="AJ185" i="6"/>
  <c r="AR185" i="6"/>
  <c r="BG185" i="6"/>
  <c r="AD185" i="6"/>
  <c r="BD185" i="6"/>
  <c r="AT185" i="6"/>
  <c r="AS185" i="6"/>
  <c r="AQ185" i="6"/>
  <c r="BB185" i="6"/>
  <c r="BC185" i="6"/>
  <c r="AO185" i="6"/>
  <c r="AZ185" i="6"/>
  <c r="AV185" i="6"/>
  <c r="AN185" i="6"/>
  <c r="AG185" i="6"/>
  <c r="AX185" i="6"/>
  <c r="BE185" i="6"/>
  <c r="AY185" i="6"/>
  <c r="AU185" i="6"/>
  <c r="BA185" i="6"/>
  <c r="AK185" i="6"/>
  <c r="AE185" i="6"/>
  <c r="AM185" i="6"/>
  <c r="AH185" i="6"/>
  <c r="BF185" i="6"/>
  <c r="AF185" i="6"/>
  <c r="AP185" i="6"/>
  <c r="AC185" i="6"/>
  <c r="AP186" i="6"/>
  <c r="AF14" i="13"/>
  <c r="T14" i="13" s="1"/>
  <c r="AD3" i="13" s="1"/>
  <c r="AC14" i="13"/>
  <c r="R14" i="13" s="1"/>
  <c r="M17" i="13" s="1"/>
  <c r="AG14" i="13"/>
  <c r="U14" i="13" s="1"/>
  <c r="AD4" i="13" s="1"/>
  <c r="AD14" i="13"/>
  <c r="S14" i="13" s="1"/>
  <c r="M18" i="13" s="1"/>
  <c r="M187" i="6" l="1"/>
  <c r="AI187" i="6" s="1"/>
  <c r="K187" i="12"/>
  <c r="L188" i="12" a="1"/>
  <c r="L188" i="12" s="1"/>
  <c r="J188" i="12" a="1"/>
  <c r="J188" i="12" s="1"/>
  <c r="G189" i="5"/>
  <c r="H189" i="5"/>
  <c r="D189" i="5"/>
  <c r="B189" i="12" s="1"/>
  <c r="AE189" i="5"/>
  <c r="J189" i="5"/>
  <c r="N189" i="5"/>
  <c r="D189" i="6" s="1"/>
  <c r="H189" i="6" s="1"/>
  <c r="T189" i="5" s="1"/>
  <c r="G189" i="12" s="1"/>
  <c r="A189" i="12"/>
  <c r="F189" i="5"/>
  <c r="K189" i="5"/>
  <c r="E189" i="5"/>
  <c r="B189" i="5"/>
  <c r="C190" i="5" s="1"/>
  <c r="AD189" i="5"/>
  <c r="B189" i="6"/>
  <c r="J188" i="6"/>
  <c r="A188" i="6"/>
  <c r="M188" i="6" s="1"/>
  <c r="AD2" i="13"/>
  <c r="M16" i="13"/>
  <c r="AE4" i="13"/>
  <c r="AU187" i="6" l="1"/>
  <c r="AF187" i="6"/>
  <c r="AV187" i="6"/>
  <c r="AQ187" i="6"/>
  <c r="AC187" i="6"/>
  <c r="AR187" i="6"/>
  <c r="BA187" i="6"/>
  <c r="AG187" i="6"/>
  <c r="AJ187" i="6"/>
  <c r="AB187" i="6"/>
  <c r="AK187" i="6"/>
  <c r="AZ187" i="6"/>
  <c r="BD187" i="6"/>
  <c r="AH187" i="6"/>
  <c r="BE187" i="6"/>
  <c r="AX187" i="6"/>
  <c r="AE187" i="6"/>
  <c r="AD187" i="6"/>
  <c r="BC187" i="6"/>
  <c r="AT187" i="6"/>
  <c r="AY187" i="6"/>
  <c r="AS187" i="6"/>
  <c r="BF187" i="6"/>
  <c r="AN187" i="6"/>
  <c r="AO187" i="6"/>
  <c r="BB187" i="6"/>
  <c r="BG187" i="6"/>
  <c r="AM187" i="6"/>
  <c r="AP187" i="6"/>
  <c r="K188" i="12"/>
  <c r="AY188" i="6"/>
  <c r="BB188" i="6"/>
  <c r="AS188" i="6"/>
  <c r="AE188" i="6"/>
  <c r="AX188" i="6"/>
  <c r="AZ188" i="6"/>
  <c r="AN188" i="6"/>
  <c r="AI188" i="6"/>
  <c r="AF188" i="6"/>
  <c r="AT188" i="6"/>
  <c r="BC188" i="6"/>
  <c r="AG188" i="6"/>
  <c r="AH188" i="6"/>
  <c r="BA188" i="6"/>
  <c r="AK188" i="6"/>
  <c r="BE188" i="6"/>
  <c r="AD188" i="6"/>
  <c r="AP188" i="6"/>
  <c r="BG188" i="6"/>
  <c r="AV188" i="6"/>
  <c r="AC188" i="6"/>
  <c r="AQ188" i="6"/>
  <c r="AJ188" i="6"/>
  <c r="AR188" i="6"/>
  <c r="BF188" i="6"/>
  <c r="A189" i="6"/>
  <c r="J189" i="6"/>
  <c r="G190" i="5"/>
  <c r="B190" i="5"/>
  <c r="B190" i="6"/>
  <c r="W190" i="5"/>
  <c r="H190" i="12" s="1"/>
  <c r="F190" i="5"/>
  <c r="K173" i="5" s="1"/>
  <c r="E190" i="5"/>
  <c r="C191" i="5"/>
  <c r="I190" i="5"/>
  <c r="N190" i="5"/>
  <c r="D190" i="6" s="1"/>
  <c r="A190" i="12"/>
  <c r="H190" i="5"/>
  <c r="AD190" i="5"/>
  <c r="AE190" i="5"/>
  <c r="AB188" i="6"/>
  <c r="AM188" i="6"/>
  <c r="AU188" i="6"/>
  <c r="AO188" i="6"/>
  <c r="L189" i="12" a="1"/>
  <c r="L189" i="12" s="1"/>
  <c r="J189" i="12" a="1"/>
  <c r="J189" i="12" s="1"/>
  <c r="BD188" i="6"/>
  <c r="N188" i="6"/>
  <c r="O18" i="13"/>
  <c r="K189" i="12" l="1"/>
  <c r="H190" i="6"/>
  <c r="G190" i="6"/>
  <c r="N190" i="6"/>
  <c r="M190" i="6"/>
  <c r="AY190" i="6" s="1"/>
  <c r="E191" i="5"/>
  <c r="B191" i="6"/>
  <c r="C192" i="5"/>
  <c r="A191" i="12"/>
  <c r="D191" i="5"/>
  <c r="B191" i="12" s="1"/>
  <c r="N191" i="5"/>
  <c r="D191" i="6" s="1"/>
  <c r="H191" i="6" s="1"/>
  <c r="T191" i="5" s="1"/>
  <c r="G191" i="12" s="1"/>
  <c r="J191" i="5"/>
  <c r="B191" i="5"/>
  <c r="K191" i="5"/>
  <c r="AE191" i="5"/>
  <c r="G191" i="5"/>
  <c r="H191" i="5"/>
  <c r="AD191" i="5"/>
  <c r="F191" i="5"/>
  <c r="J190" i="6"/>
  <c r="A190" i="6"/>
  <c r="N189" i="6"/>
  <c r="M189" i="6"/>
  <c r="AC18" i="13"/>
  <c r="AD18" i="13"/>
  <c r="N18" i="13"/>
  <c r="F32" i="14"/>
  <c r="AM190" i="6" l="1"/>
  <c r="AU190" i="6"/>
  <c r="AP190" i="6"/>
  <c r="AJ190" i="6"/>
  <c r="AK190" i="6"/>
  <c r="BF190" i="6"/>
  <c r="AZ190" i="6"/>
  <c r="AT190" i="6"/>
  <c r="BA190" i="6"/>
  <c r="BE190" i="6"/>
  <c r="AB190" i="6"/>
  <c r="AN190" i="6"/>
  <c r="AI190" i="6"/>
  <c r="J191" i="12" a="1"/>
  <c r="J191" i="12" s="1"/>
  <c r="L191" i="12" a="1"/>
  <c r="L191" i="12" s="1"/>
  <c r="AD192" i="5"/>
  <c r="AE192" i="5"/>
  <c r="G192" i="5"/>
  <c r="F192" i="5"/>
  <c r="C193" i="5"/>
  <c r="B192" i="5"/>
  <c r="D192" i="5"/>
  <c r="B192" i="12" s="1"/>
  <c r="A192" i="12"/>
  <c r="E192" i="5"/>
  <c r="B192" i="6"/>
  <c r="H192" i="5"/>
  <c r="K192" i="5"/>
  <c r="J192" i="5"/>
  <c r="N192" i="5"/>
  <c r="D192" i="6" s="1"/>
  <c r="H192" i="6" s="1"/>
  <c r="T192" i="5" s="1"/>
  <c r="G192" i="12" s="1"/>
  <c r="J191" i="6"/>
  <c r="A191" i="6"/>
  <c r="N191" i="6" s="1"/>
  <c r="BD190" i="6"/>
  <c r="BG190" i="6"/>
  <c r="AQ190" i="6"/>
  <c r="AO190" i="6"/>
  <c r="AR190" i="6"/>
  <c r="AS190" i="6"/>
  <c r="BB190" i="6"/>
  <c r="AX190" i="6"/>
  <c r="BC190" i="6"/>
  <c r="AV190" i="6"/>
  <c r="AI189" i="6"/>
  <c r="BB189" i="6"/>
  <c r="AU189" i="6"/>
  <c r="AD189" i="6"/>
  <c r="AE189" i="6"/>
  <c r="AT189" i="6"/>
  <c r="BC189" i="6"/>
  <c r="AF189" i="6"/>
  <c r="AK189" i="6"/>
  <c r="BE189" i="6"/>
  <c r="AN189" i="6"/>
  <c r="AG189" i="6"/>
  <c r="AS189" i="6"/>
  <c r="AV189" i="6"/>
  <c r="AO189" i="6"/>
  <c r="AH189" i="6"/>
  <c r="AZ189" i="6"/>
  <c r="BF189" i="6"/>
  <c r="AC189" i="6"/>
  <c r="AY189" i="6"/>
  <c r="AQ189" i="6"/>
  <c r="AB189" i="6"/>
  <c r="BG189" i="6"/>
  <c r="AX189" i="6"/>
  <c r="AP189" i="6"/>
  <c r="BD189" i="6"/>
  <c r="AJ189" i="6"/>
  <c r="BA189" i="6"/>
  <c r="AM189" i="6"/>
  <c r="AR189" i="6"/>
  <c r="AF190" i="6"/>
  <c r="AD190" i="6"/>
  <c r="AG190" i="6"/>
  <c r="T190" i="5"/>
  <c r="G190" i="12" s="1"/>
  <c r="AE190" i="6"/>
  <c r="AC190" i="6"/>
  <c r="AH190" i="6"/>
  <c r="E32" i="14"/>
  <c r="AE3" i="13"/>
  <c r="K191" i="12" l="1"/>
  <c r="A192" i="6"/>
  <c r="J192" i="6"/>
  <c r="J192" i="12" a="1"/>
  <c r="J192" i="12" s="1"/>
  <c r="L192" i="12" a="1"/>
  <c r="L192" i="12" s="1"/>
  <c r="B193" i="5"/>
  <c r="G193" i="5"/>
  <c r="K193" i="5"/>
  <c r="B193" i="6"/>
  <c r="AD193" i="5"/>
  <c r="E193" i="5"/>
  <c r="AE193" i="5"/>
  <c r="C194" i="5"/>
  <c r="N193" i="5"/>
  <c r="D193" i="6" s="1"/>
  <c r="H193" i="6" s="1"/>
  <c r="T193" i="5" s="1"/>
  <c r="G193" i="12" s="1"/>
  <c r="J193" i="5"/>
  <c r="A193" i="12"/>
  <c r="D193" i="5"/>
  <c r="B193" i="12" s="1"/>
  <c r="F193" i="5"/>
  <c r="H193" i="5"/>
  <c r="M191" i="6"/>
  <c r="O17" i="13"/>
  <c r="AE2" i="13"/>
  <c r="K192" i="12" l="1"/>
  <c r="A193" i="6"/>
  <c r="M193" i="6" s="1"/>
  <c r="AK193" i="6" s="1"/>
  <c r="J193" i="6"/>
  <c r="AY191" i="6"/>
  <c r="AO191" i="6"/>
  <c r="BB191" i="6"/>
  <c r="AI191" i="6"/>
  <c r="AM191" i="6"/>
  <c r="AZ191" i="6"/>
  <c r="AT191" i="6"/>
  <c r="AX191" i="6"/>
  <c r="AV191" i="6"/>
  <c r="AF191" i="6"/>
  <c r="BA191" i="6"/>
  <c r="BE191" i="6"/>
  <c r="AB191" i="6"/>
  <c r="AH191" i="6"/>
  <c r="AD191" i="6"/>
  <c r="AP191" i="6"/>
  <c r="BD191" i="6"/>
  <c r="AS191" i="6"/>
  <c r="BF191" i="6"/>
  <c r="AK191" i="6"/>
  <c r="BG191" i="6"/>
  <c r="AE191" i="6"/>
  <c r="AU191" i="6"/>
  <c r="BC191" i="6"/>
  <c r="AG191" i="6"/>
  <c r="AJ191" i="6"/>
  <c r="AN191" i="6"/>
  <c r="AC191" i="6"/>
  <c r="AR191" i="6"/>
  <c r="AQ191" i="6"/>
  <c r="N194" i="5"/>
  <c r="D194" i="6" s="1"/>
  <c r="H194" i="6" s="1"/>
  <c r="T194" i="5" s="1"/>
  <c r="G194" i="12" s="1"/>
  <c r="G194" i="5"/>
  <c r="B194" i="6"/>
  <c r="F194" i="5"/>
  <c r="AD194" i="5"/>
  <c r="J194" i="5"/>
  <c r="H194" i="5"/>
  <c r="D194" i="5"/>
  <c r="B194" i="12" s="1"/>
  <c r="K194" i="5"/>
  <c r="AE194" i="5"/>
  <c r="E194" i="5"/>
  <c r="A194" i="12"/>
  <c r="B194" i="5"/>
  <c r="C195" i="5" s="1"/>
  <c r="J193" i="12" a="1"/>
  <c r="J193" i="12" s="1"/>
  <c r="L193" i="12" a="1"/>
  <c r="L193" i="12" s="1"/>
  <c r="N192" i="6"/>
  <c r="M192" i="6"/>
  <c r="AC17" i="13"/>
  <c r="AD17" i="13"/>
  <c r="F31" i="14"/>
  <c r="N17" i="13"/>
  <c r="E31" i="14" s="1"/>
  <c r="O16" i="13"/>
  <c r="N193" i="6" l="1"/>
  <c r="K193" i="12"/>
  <c r="W195" i="5"/>
  <c r="H195" i="12" s="1"/>
  <c r="B195" i="5"/>
  <c r="B195" i="6"/>
  <c r="I195" i="5"/>
  <c r="A195" i="12"/>
  <c r="E195" i="5"/>
  <c r="N195" i="5"/>
  <c r="D195" i="6" s="1"/>
  <c r="AE195" i="5"/>
  <c r="G195" i="5"/>
  <c r="C196" i="5"/>
  <c r="H195" i="5"/>
  <c r="F195" i="5"/>
  <c r="K190" i="5" s="1"/>
  <c r="AD195" i="5"/>
  <c r="L194" i="12" a="1"/>
  <c r="L194" i="12" s="1"/>
  <c r="J194" i="12" a="1"/>
  <c r="J194" i="12" s="1"/>
  <c r="J194" i="6"/>
  <c r="A194" i="6"/>
  <c r="M194" i="6" s="1"/>
  <c r="AU194" i="6" s="1"/>
  <c r="AM192" i="6"/>
  <c r="AF192" i="6"/>
  <c r="AK192" i="6"/>
  <c r="AC192" i="6"/>
  <c r="AS192" i="6"/>
  <c r="BC192" i="6"/>
  <c r="BA192" i="6"/>
  <c r="AR192" i="6"/>
  <c r="AI192" i="6"/>
  <c r="AH192" i="6"/>
  <c r="BG192" i="6"/>
  <c r="BD192" i="6"/>
  <c r="AB192" i="6"/>
  <c r="AN192" i="6"/>
  <c r="AE192" i="6"/>
  <c r="AU192" i="6"/>
  <c r="AV192" i="6"/>
  <c r="AG192" i="6"/>
  <c r="AY192" i="6"/>
  <c r="AJ192" i="6"/>
  <c r="BE192" i="6"/>
  <c r="AO192" i="6"/>
  <c r="AT192" i="6"/>
  <c r="AP192" i="6"/>
  <c r="AD192" i="6"/>
  <c r="BF192" i="6"/>
  <c r="AQ192" i="6"/>
  <c r="AZ192" i="6"/>
  <c r="BB192" i="6"/>
  <c r="AX192" i="6"/>
  <c r="AT193" i="6"/>
  <c r="AG193" i="6"/>
  <c r="BA193" i="6"/>
  <c r="AV193" i="6"/>
  <c r="AN193" i="6"/>
  <c r="AQ193" i="6"/>
  <c r="AS193" i="6"/>
  <c r="AX193" i="6"/>
  <c r="AJ193" i="6"/>
  <c r="AM193" i="6"/>
  <c r="AD193" i="6"/>
  <c r="AP193" i="6"/>
  <c r="AO193" i="6"/>
  <c r="BB193" i="6"/>
  <c r="BG193" i="6"/>
  <c r="BE193" i="6"/>
  <c r="BD193" i="6"/>
  <c r="AZ193" i="6"/>
  <c r="AF193" i="6"/>
  <c r="AB193" i="6"/>
  <c r="AR193" i="6"/>
  <c r="AY193" i="6"/>
  <c r="BF193" i="6"/>
  <c r="AE193" i="6"/>
  <c r="BC193" i="6"/>
  <c r="AH193" i="6"/>
  <c r="AC193" i="6"/>
  <c r="AI193" i="6"/>
  <c r="AU193" i="6"/>
  <c r="F30" i="14"/>
  <c r="N16" i="13"/>
  <c r="E30" i="14" s="1"/>
  <c r="AY194" i="6" l="1"/>
  <c r="AO194" i="6"/>
  <c r="BD194" i="6"/>
  <c r="AE194" i="6"/>
  <c r="N196" i="5"/>
  <c r="D196" i="6" s="1"/>
  <c r="H196" i="6" s="1"/>
  <c r="T196" i="5" s="1"/>
  <c r="G196" i="12" s="1"/>
  <c r="AD196" i="5"/>
  <c r="C197" i="5"/>
  <c r="K196" i="5"/>
  <c r="D196" i="5"/>
  <c r="B196" i="12" s="1"/>
  <c r="E196" i="5"/>
  <c r="J196" i="5"/>
  <c r="A196" i="12"/>
  <c r="AE196" i="5"/>
  <c r="G196" i="5"/>
  <c r="B196" i="5"/>
  <c r="B196" i="6"/>
  <c r="F196" i="5"/>
  <c r="H196" i="5"/>
  <c r="AX194" i="6"/>
  <c r="AJ194" i="6"/>
  <c r="BB194" i="6"/>
  <c r="AQ194" i="6"/>
  <c r="BC194" i="6"/>
  <c r="AC194" i="6"/>
  <c r="AF194" i="6"/>
  <c r="AG194" i="6"/>
  <c r="AB194" i="6"/>
  <c r="AN194" i="6"/>
  <c r="AM194" i="6"/>
  <c r="BE194" i="6"/>
  <c r="BA194" i="6"/>
  <c r="AD194" i="6"/>
  <c r="AH194" i="6"/>
  <c r="BG194" i="6"/>
  <c r="AZ194" i="6"/>
  <c r="AV194" i="6"/>
  <c r="BF194" i="6"/>
  <c r="AP194" i="6"/>
  <c r="AT194" i="6"/>
  <c r="AS194" i="6"/>
  <c r="H195" i="6"/>
  <c r="G195" i="6"/>
  <c r="N195" i="6"/>
  <c r="M195" i="6"/>
  <c r="AM195" i="6" s="1"/>
  <c r="K194" i="12"/>
  <c r="AK194" i="6"/>
  <c r="J195" i="6"/>
  <c r="A195" i="6"/>
  <c r="N194" i="6"/>
  <c r="AR194" i="6"/>
  <c r="AI194" i="6"/>
  <c r="BB195" i="6" l="1"/>
  <c r="AO195" i="6"/>
  <c r="AD195" i="6"/>
  <c r="L196" i="12" a="1"/>
  <c r="L196" i="12" s="1"/>
  <c r="J196" i="12" a="1"/>
  <c r="J196" i="12" s="1"/>
  <c r="BD195" i="6"/>
  <c r="BF195" i="6"/>
  <c r="AQ195" i="6"/>
  <c r="AT195" i="6"/>
  <c r="BA195" i="6"/>
  <c r="BE195" i="6"/>
  <c r="AY195" i="6"/>
  <c r="AV195" i="6"/>
  <c r="AR195" i="6"/>
  <c r="AU195" i="6"/>
  <c r="AN195" i="6"/>
  <c r="AP195" i="6"/>
  <c r="AX195" i="6"/>
  <c r="AS195" i="6"/>
  <c r="AZ195" i="6"/>
  <c r="BG195" i="6"/>
  <c r="BC195" i="6"/>
  <c r="C198" i="5"/>
  <c r="AE197" i="5"/>
  <c r="G197" i="5"/>
  <c r="B197" i="6"/>
  <c r="B197" i="5"/>
  <c r="A197" i="12"/>
  <c r="AD197" i="5"/>
  <c r="D197" i="5"/>
  <c r="B197" i="12" s="1"/>
  <c r="H197" i="5"/>
  <c r="N197" i="5"/>
  <c r="D197" i="6" s="1"/>
  <c r="H197" i="6" s="1"/>
  <c r="T197" i="5" s="1"/>
  <c r="G197" i="12" s="1"/>
  <c r="J197" i="5"/>
  <c r="F197" i="5"/>
  <c r="E197" i="5"/>
  <c r="K197" i="5"/>
  <c r="T195" i="5"/>
  <c r="G195" i="12" s="1"/>
  <c r="AG195" i="6"/>
  <c r="AE195" i="6"/>
  <c r="AC195" i="6"/>
  <c r="AH195" i="6"/>
  <c r="AJ195" i="6"/>
  <c r="AK195" i="6"/>
  <c r="AF195" i="6"/>
  <c r="AI195" i="6"/>
  <c r="AB195" i="6"/>
  <c r="A196" i="6"/>
  <c r="N196" i="6" s="1"/>
  <c r="J196" i="6"/>
  <c r="K196" i="12" l="1"/>
  <c r="J197" i="6"/>
  <c r="A197" i="6"/>
  <c r="N197" i="6" s="1"/>
  <c r="A198" i="12"/>
  <c r="H198" i="5"/>
  <c r="B198" i="6"/>
  <c r="F198" i="5"/>
  <c r="J198" i="5"/>
  <c r="E198" i="5"/>
  <c r="C199" i="5"/>
  <c r="AE198" i="5"/>
  <c r="N198" i="5"/>
  <c r="D198" i="6" s="1"/>
  <c r="H198" i="6" s="1"/>
  <c r="T198" i="5" s="1"/>
  <c r="G198" i="12" s="1"/>
  <c r="D198" i="5"/>
  <c r="B198" i="12" s="1"/>
  <c r="G198" i="5"/>
  <c r="B198" i="5"/>
  <c r="AD198" i="5"/>
  <c r="K198" i="5"/>
  <c r="M196" i="6"/>
  <c r="L197" i="12" a="1"/>
  <c r="L197" i="12" s="1"/>
  <c r="J197" i="12" a="1"/>
  <c r="J197" i="12" s="1"/>
  <c r="M197" i="6" l="1"/>
  <c r="AH197" i="6" s="1"/>
  <c r="K197" i="12"/>
  <c r="E199" i="5"/>
  <c r="AD199" i="5"/>
  <c r="D199" i="5"/>
  <c r="B199" i="12" s="1"/>
  <c r="G199" i="5"/>
  <c r="F199" i="5"/>
  <c r="B199" i="6"/>
  <c r="H199" i="5"/>
  <c r="AE199" i="5"/>
  <c r="K199" i="5"/>
  <c r="B199" i="5"/>
  <c r="C200" i="5" s="1"/>
  <c r="J199" i="5"/>
  <c r="A199" i="12"/>
  <c r="N199" i="5"/>
  <c r="D199" i="6" s="1"/>
  <c r="H199" i="6" s="1"/>
  <c r="T199" i="5" s="1"/>
  <c r="G199" i="12" s="1"/>
  <c r="AC196" i="6"/>
  <c r="BC196" i="6"/>
  <c r="AY196" i="6"/>
  <c r="AI196" i="6"/>
  <c r="AF196" i="6"/>
  <c r="AH196" i="6"/>
  <c r="AR196" i="6"/>
  <c r="AG196" i="6"/>
  <c r="AM196" i="6"/>
  <c r="AE196" i="6"/>
  <c r="BD196" i="6"/>
  <c r="BG196" i="6"/>
  <c r="BE196" i="6"/>
  <c r="AX196" i="6"/>
  <c r="BF196" i="6"/>
  <c r="AB196" i="6"/>
  <c r="AU196" i="6"/>
  <c r="AO196" i="6"/>
  <c r="AZ196" i="6"/>
  <c r="AP196" i="6"/>
  <c r="AJ196" i="6"/>
  <c r="BB196" i="6"/>
  <c r="AN196" i="6"/>
  <c r="AD196" i="6"/>
  <c r="AQ196" i="6"/>
  <c r="AT196" i="6"/>
  <c r="AV196" i="6"/>
  <c r="AK196" i="6"/>
  <c r="AS196" i="6"/>
  <c r="BA196" i="6"/>
  <c r="J198" i="6"/>
  <c r="A198" i="6"/>
  <c r="J198" i="12" a="1"/>
  <c r="J198" i="12" s="1"/>
  <c r="L198" i="12" a="1"/>
  <c r="L198" i="12" s="1"/>
  <c r="AE197" i="6" l="1"/>
  <c r="AK197" i="6"/>
  <c r="AI197" i="6"/>
  <c r="AN197" i="6"/>
  <c r="AZ197" i="6"/>
  <c r="AO197" i="6"/>
  <c r="BB197" i="6"/>
  <c r="AD197" i="6"/>
  <c r="BF197" i="6"/>
  <c r="BD197" i="6"/>
  <c r="BE197" i="6"/>
  <c r="AF197" i="6"/>
  <c r="AR197" i="6"/>
  <c r="AY197" i="6"/>
  <c r="BA197" i="6"/>
  <c r="AP197" i="6"/>
  <c r="AT197" i="6"/>
  <c r="AU197" i="6"/>
  <c r="AM197" i="6"/>
  <c r="AC197" i="6"/>
  <c r="AS197" i="6"/>
  <c r="BG197" i="6"/>
  <c r="AV197" i="6"/>
  <c r="AJ197" i="6"/>
  <c r="AG197" i="6"/>
  <c r="AQ197" i="6"/>
  <c r="AB197" i="6"/>
  <c r="AX197" i="6"/>
  <c r="BC197" i="6"/>
  <c r="K198" i="12"/>
  <c r="J199" i="12" a="1"/>
  <c r="J199" i="12" s="1"/>
  <c r="L199" i="12" a="1"/>
  <c r="L199" i="12" s="1"/>
  <c r="AD200" i="5"/>
  <c r="W200" i="5"/>
  <c r="H200" i="12" s="1"/>
  <c r="I200" i="5"/>
  <c r="E200" i="5"/>
  <c r="G200" i="5"/>
  <c r="F200" i="5"/>
  <c r="K195" i="5" s="1"/>
  <c r="A200" i="12"/>
  <c r="AE200" i="5"/>
  <c r="B200" i="6"/>
  <c r="B200" i="5"/>
  <c r="C201" i="5"/>
  <c r="N200" i="5"/>
  <c r="D200" i="6" s="1"/>
  <c r="H200" i="5"/>
  <c r="N198" i="6"/>
  <c r="M198" i="6"/>
  <c r="A199" i="6"/>
  <c r="J199" i="6"/>
  <c r="K199" i="12" l="1"/>
  <c r="J200" i="6"/>
  <c r="A200" i="6"/>
  <c r="N200" i="6" s="1"/>
  <c r="N199" i="6"/>
  <c r="M199" i="6"/>
  <c r="AC198" i="6"/>
  <c r="BE198" i="6"/>
  <c r="AJ198" i="6"/>
  <c r="AK198" i="6"/>
  <c r="AO198" i="6"/>
  <c r="BC198" i="6"/>
  <c r="AF198" i="6"/>
  <c r="AQ198" i="6"/>
  <c r="BD198" i="6"/>
  <c r="AV198" i="6"/>
  <c r="AB198" i="6"/>
  <c r="AM198" i="6"/>
  <c r="AU198" i="6"/>
  <c r="BG198" i="6"/>
  <c r="AN198" i="6"/>
  <c r="AS198" i="6"/>
  <c r="AT198" i="6"/>
  <c r="AD198" i="6"/>
  <c r="AR198" i="6"/>
  <c r="AG198" i="6"/>
  <c r="AX198" i="6"/>
  <c r="AE198" i="6"/>
  <c r="AY198" i="6"/>
  <c r="BB198" i="6"/>
  <c r="AH198" i="6"/>
  <c r="AZ198" i="6"/>
  <c r="BF198" i="6"/>
  <c r="BA198" i="6"/>
  <c r="AP198" i="6"/>
  <c r="AI198" i="6"/>
  <c r="H200" i="6"/>
  <c r="M200" i="6"/>
  <c r="BD200" i="6" s="1"/>
  <c r="G200" i="6"/>
  <c r="AD201" i="5"/>
  <c r="D201" i="5"/>
  <c r="B201" i="12" s="1"/>
  <c r="H201" i="5"/>
  <c r="F201" i="5"/>
  <c r="B201" i="6"/>
  <c r="N201" i="5"/>
  <c r="D201" i="6" s="1"/>
  <c r="H201" i="6" s="1"/>
  <c r="T201" i="5" s="1"/>
  <c r="G201" i="12" s="1"/>
  <c r="E201" i="5"/>
  <c r="A201" i="12"/>
  <c r="C202" i="5"/>
  <c r="G201" i="5"/>
  <c r="AE201" i="5"/>
  <c r="K201" i="5"/>
  <c r="B201" i="5"/>
  <c r="J201" i="5"/>
  <c r="AH200" i="6" l="1"/>
  <c r="AC200" i="6"/>
  <c r="AB200" i="6"/>
  <c r="J201" i="6"/>
  <c r="A201" i="6"/>
  <c r="AS199" i="6"/>
  <c r="AG199" i="6"/>
  <c r="AC199" i="6"/>
  <c r="BF199" i="6"/>
  <c r="BE199" i="6"/>
  <c r="AQ199" i="6"/>
  <c r="AO199" i="6"/>
  <c r="AU199" i="6"/>
  <c r="AN199" i="6"/>
  <c r="AB199" i="6"/>
  <c r="AV199" i="6"/>
  <c r="AZ199" i="6"/>
  <c r="AR199" i="6"/>
  <c r="AE199" i="6"/>
  <c r="AX199" i="6"/>
  <c r="AK199" i="6"/>
  <c r="AJ199" i="6"/>
  <c r="AT199" i="6"/>
  <c r="AM199" i="6"/>
  <c r="AY199" i="6"/>
  <c r="AD199" i="6"/>
  <c r="BC199" i="6"/>
  <c r="BD199" i="6"/>
  <c r="BG199" i="6"/>
  <c r="BB199" i="6"/>
  <c r="AF199" i="6"/>
  <c r="BA199" i="6"/>
  <c r="AI199" i="6"/>
  <c r="AH199" i="6"/>
  <c r="AP199" i="6"/>
  <c r="AE202" i="5"/>
  <c r="A202" i="12"/>
  <c r="B202" i="6"/>
  <c r="E202" i="5"/>
  <c r="K202" i="5"/>
  <c r="D202" i="5"/>
  <c r="B202" i="12" s="1"/>
  <c r="AD202" i="5"/>
  <c r="N202" i="5"/>
  <c r="D202" i="6" s="1"/>
  <c r="H202" i="6" s="1"/>
  <c r="T202" i="5" s="1"/>
  <c r="G202" i="12" s="1"/>
  <c r="H202" i="5"/>
  <c r="G202" i="5"/>
  <c r="B202" i="5"/>
  <c r="F202" i="5"/>
  <c r="C203" i="5"/>
  <c r="J202" i="5"/>
  <c r="AS200" i="6"/>
  <c r="AO200" i="6"/>
  <c r="AV200" i="6"/>
  <c r="AU200" i="6"/>
  <c r="AQ200" i="6"/>
  <c r="BB200" i="6"/>
  <c r="AM200" i="6"/>
  <c r="BF200" i="6"/>
  <c r="AP200" i="6"/>
  <c r="AT200" i="6"/>
  <c r="AX200" i="6"/>
  <c r="BE200" i="6"/>
  <c r="AZ200" i="6"/>
  <c r="AN200" i="6"/>
  <c r="BC200" i="6"/>
  <c r="AY200" i="6"/>
  <c r="BA200" i="6"/>
  <c r="AR200" i="6"/>
  <c r="BG200" i="6"/>
  <c r="L201" i="12" a="1"/>
  <c r="L201" i="12" s="1"/>
  <c r="J201" i="12" a="1"/>
  <c r="J201" i="12" s="1"/>
  <c r="T200" i="5"/>
  <c r="G200" i="12" s="1"/>
  <c r="AJ200" i="6"/>
  <c r="AK200" i="6"/>
  <c r="AD200" i="6"/>
  <c r="AE200" i="6"/>
  <c r="AG200" i="6"/>
  <c r="AI200" i="6"/>
  <c r="AF200" i="6"/>
  <c r="F227" i="6"/>
  <c r="E227" i="12"/>
  <c r="K201" i="12" l="1"/>
  <c r="A202" i="6"/>
  <c r="J202" i="6"/>
  <c r="L202" i="12" a="1"/>
  <c r="L202" i="12" s="1"/>
  <c r="J202" i="12" a="1"/>
  <c r="J202" i="12" s="1"/>
  <c r="G203" i="5"/>
  <c r="A203" i="12"/>
  <c r="C204" i="5"/>
  <c r="AD203" i="5"/>
  <c r="D203" i="5"/>
  <c r="B203" i="12" s="1"/>
  <c r="B203" i="6"/>
  <c r="N203" i="5"/>
  <c r="D203" i="6" s="1"/>
  <c r="H203" i="6" s="1"/>
  <c r="T203" i="5" s="1"/>
  <c r="G203" i="12" s="1"/>
  <c r="H203" i="5"/>
  <c r="E203" i="5"/>
  <c r="B203" i="5"/>
  <c r="AE203" i="5"/>
  <c r="F203" i="5"/>
  <c r="K203" i="5"/>
  <c r="J203" i="5"/>
  <c r="M201" i="6"/>
  <c r="N201" i="6"/>
  <c r="J203" i="6" l="1"/>
  <c r="A203" i="6"/>
  <c r="N203" i="6" s="1"/>
  <c r="BG201" i="6"/>
  <c r="AF201" i="6"/>
  <c r="AJ201" i="6"/>
  <c r="BD201" i="6"/>
  <c r="AB201" i="6"/>
  <c r="AP201" i="6"/>
  <c r="AK201" i="6"/>
  <c r="AH201" i="6"/>
  <c r="BC201" i="6"/>
  <c r="AX201" i="6"/>
  <c r="BA201" i="6"/>
  <c r="AM201" i="6"/>
  <c r="AU201" i="6"/>
  <c r="AQ201" i="6"/>
  <c r="AO201" i="6"/>
  <c r="AC201" i="6"/>
  <c r="AS201" i="6"/>
  <c r="AT201" i="6"/>
  <c r="AI201" i="6"/>
  <c r="BF201" i="6"/>
  <c r="AD201" i="6"/>
  <c r="BE201" i="6"/>
  <c r="AV201" i="6"/>
  <c r="BB201" i="6"/>
  <c r="AN201" i="6"/>
  <c r="AZ201" i="6"/>
  <c r="AY201" i="6"/>
  <c r="AR201" i="6"/>
  <c r="AG201" i="6"/>
  <c r="AE201" i="6"/>
  <c r="K202" i="12"/>
  <c r="B204" i="5"/>
  <c r="D204" i="5"/>
  <c r="B204" i="12" s="1"/>
  <c r="C205" i="5"/>
  <c r="A204" i="12"/>
  <c r="F204" i="5"/>
  <c r="J204" i="5"/>
  <c r="H204" i="5"/>
  <c r="G204" i="5"/>
  <c r="B204" i="6"/>
  <c r="K204" i="5"/>
  <c r="E204" i="5"/>
  <c r="N204" i="5"/>
  <c r="D204" i="6" s="1"/>
  <c r="H204" i="6" s="1"/>
  <c r="T204" i="5" s="1"/>
  <c r="G204" i="12" s="1"/>
  <c r="AE204" i="5"/>
  <c r="AD204" i="5"/>
  <c r="M203" i="6"/>
  <c r="AE203" i="6" s="1"/>
  <c r="L203" i="12" a="1"/>
  <c r="L203" i="12" s="1"/>
  <c r="J203" i="12" a="1"/>
  <c r="J203" i="12" s="1"/>
  <c r="N202" i="6"/>
  <c r="M202" i="6"/>
  <c r="AD205" i="5" l="1"/>
  <c r="AE205" i="5"/>
  <c r="D205" i="5"/>
  <c r="B205" i="12" s="1"/>
  <c r="K205" i="5"/>
  <c r="N205" i="5"/>
  <c r="D205" i="6" s="1"/>
  <c r="H205" i="6" s="1"/>
  <c r="T205" i="5" s="1"/>
  <c r="G205" i="12" s="1"/>
  <c r="F205" i="5"/>
  <c r="E205" i="5"/>
  <c r="H205" i="5"/>
  <c r="B205" i="6"/>
  <c r="A205" i="12"/>
  <c r="G205" i="5"/>
  <c r="J205" i="5"/>
  <c r="B205" i="5"/>
  <c r="C206" i="5" s="1"/>
  <c r="BA203" i="6"/>
  <c r="AR203" i="6"/>
  <c r="BE203" i="6"/>
  <c r="AZ203" i="6"/>
  <c r="AJ203" i="6"/>
  <c r="BB203" i="6"/>
  <c r="AQ203" i="6"/>
  <c r="AM203" i="6"/>
  <c r="AN203" i="6"/>
  <c r="BC203" i="6"/>
  <c r="AY203" i="6"/>
  <c r="BD203" i="6"/>
  <c r="J204" i="6"/>
  <c r="A204" i="6"/>
  <c r="N204" i="6" s="1"/>
  <c r="AF203" i="6"/>
  <c r="AB203" i="6"/>
  <c r="AT203" i="6"/>
  <c r="AC203" i="6"/>
  <c r="AV203" i="6"/>
  <c r="AK202" i="6"/>
  <c r="AR202" i="6"/>
  <c r="AV202" i="6"/>
  <c r="AB202" i="6"/>
  <c r="AP202" i="6"/>
  <c r="BD202" i="6"/>
  <c r="BF202" i="6"/>
  <c r="AI202" i="6"/>
  <c r="BC202" i="6"/>
  <c r="AM202" i="6"/>
  <c r="AF202" i="6"/>
  <c r="AS202" i="6"/>
  <c r="AH202" i="6"/>
  <c r="AX202" i="6"/>
  <c r="AD202" i="6"/>
  <c r="AG202" i="6"/>
  <c r="AC202" i="6"/>
  <c r="AN202" i="6"/>
  <c r="AJ202" i="6"/>
  <c r="AT202" i="6"/>
  <c r="BA202" i="6"/>
  <c r="BE202" i="6"/>
  <c r="BB202" i="6"/>
  <c r="AQ202" i="6"/>
  <c r="AY202" i="6"/>
  <c r="BG202" i="6"/>
  <c r="AE202" i="6"/>
  <c r="AU202" i="6"/>
  <c r="AZ202" i="6"/>
  <c r="AO202" i="6"/>
  <c r="AP203" i="6"/>
  <c r="AH203" i="6"/>
  <c r="AU203" i="6"/>
  <c r="AI203" i="6"/>
  <c r="AX203" i="6"/>
  <c r="AD203" i="6"/>
  <c r="BF203" i="6"/>
  <c r="BG203" i="6"/>
  <c r="AK203" i="6"/>
  <c r="AS203" i="6"/>
  <c r="AG203" i="6"/>
  <c r="AO203" i="6"/>
  <c r="K203" i="12"/>
  <c r="J204" i="12" a="1"/>
  <c r="J204" i="12" s="1"/>
  <c r="L204" i="12" a="1"/>
  <c r="L204" i="12" s="1"/>
  <c r="K204" i="12" l="1"/>
  <c r="J205" i="12" a="1"/>
  <c r="J205" i="12" s="1"/>
  <c r="L205" i="12" a="1"/>
  <c r="L205" i="12" s="1"/>
  <c r="J205" i="6"/>
  <c r="A205" i="6"/>
  <c r="M204" i="6"/>
  <c r="G206" i="5"/>
  <c r="H206" i="5"/>
  <c r="F206" i="5"/>
  <c r="K200" i="5" s="1"/>
  <c r="W206" i="5"/>
  <c r="H206" i="12" s="1"/>
  <c r="B206" i="6"/>
  <c r="AD206" i="5"/>
  <c r="C207" i="5"/>
  <c r="I206" i="5"/>
  <c r="AE206" i="5"/>
  <c r="A206" i="12"/>
  <c r="E206" i="5"/>
  <c r="N206" i="5"/>
  <c r="D206" i="6" s="1"/>
  <c r="B206" i="5"/>
  <c r="K205" i="12" l="1"/>
  <c r="D207" i="5"/>
  <c r="B207" i="12" s="1"/>
  <c r="B207" i="6"/>
  <c r="B207" i="5"/>
  <c r="C208" i="5"/>
  <c r="K207" i="5"/>
  <c r="AE207" i="5"/>
  <c r="AD207" i="5"/>
  <c r="J207" i="5"/>
  <c r="F207" i="5"/>
  <c r="H207" i="5"/>
  <c r="G207" i="5"/>
  <c r="N207" i="5"/>
  <c r="D207" i="6" s="1"/>
  <c r="H207" i="6" s="1"/>
  <c r="T207" i="5" s="1"/>
  <c r="G207" i="12" s="1"/>
  <c r="E207" i="5"/>
  <c r="A207" i="12"/>
  <c r="J206" i="6"/>
  <c r="A206" i="6"/>
  <c r="AI204" i="6"/>
  <c r="BA204" i="6"/>
  <c r="BG204" i="6"/>
  <c r="AV204" i="6"/>
  <c r="AM204" i="6"/>
  <c r="AJ204" i="6"/>
  <c r="BF204" i="6"/>
  <c r="AB204" i="6"/>
  <c r="AH204" i="6"/>
  <c r="AZ204" i="6"/>
  <c r="AR204" i="6"/>
  <c r="AY204" i="6"/>
  <c r="AN204" i="6"/>
  <c r="BB204" i="6"/>
  <c r="AP204" i="6"/>
  <c r="AX204" i="6"/>
  <c r="AG204" i="6"/>
  <c r="AO204" i="6"/>
  <c r="BD204" i="6"/>
  <c r="BE204" i="6"/>
  <c r="AS204" i="6"/>
  <c r="AK204" i="6"/>
  <c r="BC204" i="6"/>
  <c r="AE204" i="6"/>
  <c r="AQ204" i="6"/>
  <c r="AC204" i="6"/>
  <c r="AD204" i="6"/>
  <c r="AU204" i="6"/>
  <c r="AT204" i="6"/>
  <c r="AF204" i="6"/>
  <c r="N205" i="6"/>
  <c r="M205" i="6"/>
  <c r="G206" i="6"/>
  <c r="H206" i="6"/>
  <c r="T206" i="5" s="1"/>
  <c r="G206" i="12" s="1"/>
  <c r="M206" i="6"/>
  <c r="BG206" i="6" s="1"/>
  <c r="N206" i="6"/>
  <c r="AH206" i="6" l="1"/>
  <c r="AS206" i="6"/>
  <c r="AO206" i="6"/>
  <c r="BB206" i="6"/>
  <c r="AJ206" i="6"/>
  <c r="AG206" i="6"/>
  <c r="AN206" i="6"/>
  <c r="AP206" i="6"/>
  <c r="BA206" i="6"/>
  <c r="AZ206" i="6"/>
  <c r="AX206" i="6"/>
  <c r="AE208" i="5"/>
  <c r="G208" i="5"/>
  <c r="H208" i="5"/>
  <c r="A208" i="12"/>
  <c r="E208" i="5"/>
  <c r="F208" i="5"/>
  <c r="K208" i="5"/>
  <c r="C209" i="5"/>
  <c r="D208" i="5"/>
  <c r="B208" i="12" s="1"/>
  <c r="B208" i="6"/>
  <c r="J208" i="5"/>
  <c r="AD208" i="5"/>
  <c r="N208" i="5"/>
  <c r="D208" i="6" s="1"/>
  <c r="H208" i="6" s="1"/>
  <c r="T208" i="5" s="1"/>
  <c r="G208" i="12" s="1"/>
  <c r="B208" i="5"/>
  <c r="AK205" i="6"/>
  <c r="AJ205" i="6"/>
  <c r="AY205" i="6"/>
  <c r="AU205" i="6"/>
  <c r="AD205" i="6"/>
  <c r="BF205" i="6"/>
  <c r="AX205" i="6"/>
  <c r="AO205" i="6"/>
  <c r="AB205" i="6"/>
  <c r="AZ205" i="6"/>
  <c r="BB205" i="6"/>
  <c r="AT205" i="6"/>
  <c r="BD205" i="6"/>
  <c r="BA205" i="6"/>
  <c r="AQ205" i="6"/>
  <c r="AG205" i="6"/>
  <c r="AF205" i="6"/>
  <c r="AM205" i="6"/>
  <c r="AH205" i="6"/>
  <c r="AC205" i="6"/>
  <c r="BG205" i="6"/>
  <c r="AS205" i="6"/>
  <c r="BE205" i="6"/>
  <c r="BC205" i="6"/>
  <c r="AR205" i="6"/>
  <c r="AE205" i="6"/>
  <c r="AV205" i="6"/>
  <c r="AI205" i="6"/>
  <c r="AP205" i="6"/>
  <c r="AN205" i="6"/>
  <c r="BD206" i="6"/>
  <c r="AF206" i="6"/>
  <c r="L207" i="12" a="1"/>
  <c r="L207" i="12" s="1"/>
  <c r="J207" i="12" a="1"/>
  <c r="J207" i="12" s="1"/>
  <c r="A207" i="6"/>
  <c r="J207" i="6"/>
  <c r="AE206" i="6"/>
  <c r="AR206" i="6"/>
  <c r="AK206" i="6"/>
  <c r="AC206" i="6"/>
  <c r="AT206" i="6"/>
  <c r="AY206" i="6"/>
  <c r="AM206" i="6"/>
  <c r="BF206" i="6"/>
  <c r="AB206" i="6"/>
  <c r="AD206" i="6"/>
  <c r="AQ206" i="6"/>
  <c r="AU206" i="6"/>
  <c r="BE206" i="6"/>
  <c r="AI206" i="6"/>
  <c r="BC206" i="6"/>
  <c r="AV206" i="6"/>
  <c r="K207" i="12" l="1"/>
  <c r="L208" i="12" a="1"/>
  <c r="L208" i="12" s="1"/>
  <c r="J208" i="12" a="1"/>
  <c r="J208" i="12" s="1"/>
  <c r="N207" i="6"/>
  <c r="M207" i="6"/>
  <c r="J208" i="6"/>
  <c r="A208" i="6"/>
  <c r="N208" i="6" s="1"/>
  <c r="B209" i="6"/>
  <c r="H209" i="5"/>
  <c r="F209" i="5"/>
  <c r="N209" i="5"/>
  <c r="D209" i="6" s="1"/>
  <c r="AD209" i="5"/>
  <c r="J209" i="5"/>
  <c r="G209" i="5"/>
  <c r="D209" i="5"/>
  <c r="B209" i="12" s="1"/>
  <c r="K209" i="5"/>
  <c r="AE209" i="5"/>
  <c r="E209" i="5"/>
  <c r="B209" i="5"/>
  <c r="C210" i="5" s="1"/>
  <c r="A209" i="12"/>
  <c r="H209" i="6" l="1"/>
  <c r="M208" i="6"/>
  <c r="J209" i="12" a="1"/>
  <c r="J209" i="12" s="1"/>
  <c r="L209" i="12" a="1"/>
  <c r="L209" i="12" s="1"/>
  <c r="J209" i="6"/>
  <c r="A209" i="6"/>
  <c r="M209" i="6" s="1"/>
  <c r="AD210" i="5"/>
  <c r="I210" i="5"/>
  <c r="AE210" i="5"/>
  <c r="E210" i="5"/>
  <c r="B210" i="6"/>
  <c r="H210" i="5"/>
  <c r="A210" i="12"/>
  <c r="G210" i="5"/>
  <c r="C211" i="5"/>
  <c r="W210" i="5"/>
  <c r="H210" i="12" s="1"/>
  <c r="N210" i="5"/>
  <c r="D210" i="6" s="1"/>
  <c r="F210" i="5"/>
  <c r="K206" i="5" s="1"/>
  <c r="B210" i="5"/>
  <c r="AI207" i="6"/>
  <c r="AM207" i="6"/>
  <c r="BE207" i="6"/>
  <c r="AY207" i="6"/>
  <c r="BC207" i="6"/>
  <c r="AZ207" i="6"/>
  <c r="AD207" i="6"/>
  <c r="AT207" i="6"/>
  <c r="BD207" i="6"/>
  <c r="AS207" i="6"/>
  <c r="AJ207" i="6"/>
  <c r="BA207" i="6"/>
  <c r="AB207" i="6"/>
  <c r="BB207" i="6"/>
  <c r="AN207" i="6"/>
  <c r="AX207" i="6"/>
  <c r="AO207" i="6"/>
  <c r="AE207" i="6"/>
  <c r="AV207" i="6"/>
  <c r="AP207" i="6"/>
  <c r="BG207" i="6"/>
  <c r="AG207" i="6"/>
  <c r="AR207" i="6"/>
  <c r="AF207" i="6"/>
  <c r="BF207" i="6"/>
  <c r="AU207" i="6"/>
  <c r="AK207" i="6"/>
  <c r="AQ207" i="6"/>
  <c r="AH207" i="6"/>
  <c r="AC207" i="6"/>
  <c r="K208" i="12"/>
  <c r="AP209" i="6" l="1"/>
  <c r="AM209" i="6"/>
  <c r="AQ209" i="6"/>
  <c r="BG209" i="6"/>
  <c r="BA209" i="6"/>
  <c r="AX209" i="6"/>
  <c r="AN209" i="6"/>
  <c r="BD209" i="6"/>
  <c r="AS209" i="6"/>
  <c r="AT209" i="6"/>
  <c r="AR209" i="6"/>
  <c r="AZ209" i="6"/>
  <c r="AE209" i="6"/>
  <c r="AU209" i="6"/>
  <c r="AO209" i="6"/>
  <c r="BB209" i="6"/>
  <c r="AV209" i="6"/>
  <c r="BC209" i="6"/>
  <c r="AY209" i="6"/>
  <c r="AK209" i="6"/>
  <c r="BE209" i="6"/>
  <c r="BF209" i="6"/>
  <c r="AD209" i="6"/>
  <c r="N210" i="6"/>
  <c r="H210" i="6"/>
  <c r="G210" i="6"/>
  <c r="M210" i="6"/>
  <c r="AO210" i="6" s="1"/>
  <c r="B211" i="6"/>
  <c r="C212" i="5"/>
  <c r="N211" i="5"/>
  <c r="D211" i="6" s="1"/>
  <c r="H211" i="6" s="1"/>
  <c r="T211" i="5" s="1"/>
  <c r="G211" i="12" s="1"/>
  <c r="D211" i="5"/>
  <c r="B211" i="12" s="1"/>
  <c r="B211" i="5"/>
  <c r="G211" i="5"/>
  <c r="A211" i="12"/>
  <c r="E211" i="5"/>
  <c r="AD211" i="5"/>
  <c r="AE211" i="5"/>
  <c r="F211" i="5"/>
  <c r="H211" i="5"/>
  <c r="K211" i="5"/>
  <c r="J211" i="5"/>
  <c r="K209" i="12"/>
  <c r="AS208" i="6"/>
  <c r="BC208" i="6"/>
  <c r="AZ208" i="6"/>
  <c r="BA208" i="6"/>
  <c r="BB208" i="6"/>
  <c r="AK208" i="6"/>
  <c r="AP208" i="6"/>
  <c r="AR208" i="6"/>
  <c r="AQ208" i="6"/>
  <c r="AO208" i="6"/>
  <c r="AI208" i="6"/>
  <c r="AN208" i="6"/>
  <c r="AU208" i="6"/>
  <c r="BG208" i="6"/>
  <c r="AF208" i="6"/>
  <c r="AX208" i="6"/>
  <c r="AT208" i="6"/>
  <c r="BE208" i="6"/>
  <c r="AC208" i="6"/>
  <c r="AM208" i="6"/>
  <c r="AD208" i="6"/>
  <c r="BF208" i="6"/>
  <c r="AG208" i="6"/>
  <c r="AE208" i="6"/>
  <c r="AV208" i="6"/>
  <c r="AJ208" i="6"/>
  <c r="AY208" i="6"/>
  <c r="AH208" i="6"/>
  <c r="BD208" i="6"/>
  <c r="AB208" i="6"/>
  <c r="A210" i="6"/>
  <c r="J210" i="6"/>
  <c r="T209" i="5"/>
  <c r="G209" i="12" s="1"/>
  <c r="AI209" i="6"/>
  <c r="AB209" i="6"/>
  <c r="AH209" i="6"/>
  <c r="AJ209" i="6"/>
  <c r="AG209" i="6"/>
  <c r="AC209" i="6"/>
  <c r="AF209" i="6"/>
  <c r="N209" i="6"/>
  <c r="AK210" i="6" l="1"/>
  <c r="AF210" i="6"/>
  <c r="L211" i="12" a="1"/>
  <c r="L211" i="12" s="1"/>
  <c r="J211" i="12" a="1"/>
  <c r="J211" i="12" s="1"/>
  <c r="AE212" i="5"/>
  <c r="B212" i="5"/>
  <c r="AD212" i="5"/>
  <c r="B212" i="6"/>
  <c r="C213" i="5"/>
  <c r="F212" i="5"/>
  <c r="D212" i="5"/>
  <c r="B212" i="12" s="1"/>
  <c r="A212" i="12"/>
  <c r="E212" i="5"/>
  <c r="H212" i="5"/>
  <c r="N212" i="5"/>
  <c r="D212" i="6" s="1"/>
  <c r="H212" i="6" s="1"/>
  <c r="T212" i="5" s="1"/>
  <c r="G212" i="12" s="1"/>
  <c r="G212" i="5"/>
  <c r="J212" i="5"/>
  <c r="K212" i="5"/>
  <c r="J211" i="6"/>
  <c r="A211" i="6"/>
  <c r="N211" i="6" s="1"/>
  <c r="BD210" i="6"/>
  <c r="BB210" i="6"/>
  <c r="AQ210" i="6"/>
  <c r="BA210" i="6"/>
  <c r="BF210" i="6"/>
  <c r="BC210" i="6"/>
  <c r="AU210" i="6"/>
  <c r="AV210" i="6"/>
  <c r="AP210" i="6"/>
  <c r="AX210" i="6"/>
  <c r="AY210" i="6"/>
  <c r="BE210" i="6"/>
  <c r="AM210" i="6"/>
  <c r="BG210" i="6"/>
  <c r="AR210" i="6"/>
  <c r="AS210" i="6"/>
  <c r="AZ210" i="6"/>
  <c r="AN210" i="6"/>
  <c r="AT210" i="6"/>
  <c r="T210" i="5"/>
  <c r="G210" i="12" s="1"/>
  <c r="AD210" i="6"/>
  <c r="AJ210" i="6"/>
  <c r="AC210" i="6"/>
  <c r="AE210" i="6"/>
  <c r="AG210" i="6"/>
  <c r="AI210" i="6"/>
  <c r="AB210" i="6"/>
  <c r="AH210" i="6"/>
  <c r="L212" i="12" l="1" a="1"/>
  <c r="L212" i="12" s="1"/>
  <c r="J212" i="12" a="1"/>
  <c r="J212" i="12" s="1"/>
  <c r="A213" i="12"/>
  <c r="E213" i="5"/>
  <c r="AD213" i="5"/>
  <c r="F213" i="5"/>
  <c r="AE213" i="5"/>
  <c r="G213" i="5"/>
  <c r="N213" i="5"/>
  <c r="D213" i="6" s="1"/>
  <c r="H213" i="6" s="1"/>
  <c r="T213" i="5" s="1"/>
  <c r="G213" i="12" s="1"/>
  <c r="H213" i="5"/>
  <c r="C214" i="5"/>
  <c r="B213" i="5"/>
  <c r="B213" i="6"/>
  <c r="K213" i="5"/>
  <c r="D213" i="5"/>
  <c r="B213" i="12" s="1"/>
  <c r="J213" i="5"/>
  <c r="J212" i="6"/>
  <c r="A212" i="6"/>
  <c r="M211" i="6"/>
  <c r="K211" i="12"/>
  <c r="D214" i="5" l="1"/>
  <c r="B214" i="12" s="1"/>
  <c r="AD214" i="5"/>
  <c r="C215" i="5"/>
  <c r="A214" i="12"/>
  <c r="F214" i="5"/>
  <c r="E214" i="5"/>
  <c r="H214" i="5"/>
  <c r="B214" i="6"/>
  <c r="J214" i="5"/>
  <c r="B214" i="5"/>
  <c r="AE214" i="5"/>
  <c r="G214" i="5"/>
  <c r="N214" i="5"/>
  <c r="D214" i="6" s="1"/>
  <c r="H214" i="6" s="1"/>
  <c r="T214" i="5" s="1"/>
  <c r="G214" i="12" s="1"/>
  <c r="K214" i="5"/>
  <c r="N212" i="6"/>
  <c r="M212" i="6"/>
  <c r="L213" i="12" a="1"/>
  <c r="L213" i="12" s="1"/>
  <c r="J213" i="12" a="1"/>
  <c r="J213" i="12" s="1"/>
  <c r="AN211" i="6"/>
  <c r="AD211" i="6"/>
  <c r="BG211" i="6"/>
  <c r="BB211" i="6"/>
  <c r="AR211" i="6"/>
  <c r="AM211" i="6"/>
  <c r="AQ211" i="6"/>
  <c r="AG211" i="6"/>
  <c r="AS211" i="6"/>
  <c r="AC211" i="6"/>
  <c r="AY211" i="6"/>
  <c r="BE211" i="6"/>
  <c r="BF211" i="6"/>
  <c r="AZ211" i="6"/>
  <c r="AX211" i="6"/>
  <c r="AO211" i="6"/>
  <c r="AJ211" i="6"/>
  <c r="AK211" i="6"/>
  <c r="AI211" i="6"/>
  <c r="AH211" i="6"/>
  <c r="AE211" i="6"/>
  <c r="BD211" i="6"/>
  <c r="AP211" i="6"/>
  <c r="AB211" i="6"/>
  <c r="AU211" i="6"/>
  <c r="BA211" i="6"/>
  <c r="AV211" i="6"/>
  <c r="AT211" i="6"/>
  <c r="AF211" i="6"/>
  <c r="BC211" i="6"/>
  <c r="J213" i="6"/>
  <c r="A213" i="6"/>
  <c r="K212" i="12"/>
  <c r="K213" i="12" l="1"/>
  <c r="A214" i="6"/>
  <c r="J214" i="6"/>
  <c r="AR212" i="6"/>
  <c r="BD212" i="6"/>
  <c r="AB212" i="6"/>
  <c r="AT212" i="6"/>
  <c r="AO212" i="6"/>
  <c r="AJ212" i="6"/>
  <c r="AM212" i="6"/>
  <c r="AU212" i="6"/>
  <c r="AG212" i="6"/>
  <c r="BA212" i="6"/>
  <c r="AP212" i="6"/>
  <c r="AE212" i="6"/>
  <c r="AF212" i="6"/>
  <c r="AN212" i="6"/>
  <c r="BG212" i="6"/>
  <c r="AQ212" i="6"/>
  <c r="AS212" i="6"/>
  <c r="AI212" i="6"/>
  <c r="AZ212" i="6"/>
  <c r="AH212" i="6"/>
  <c r="BB212" i="6"/>
  <c r="AV212" i="6"/>
  <c r="AK212" i="6"/>
  <c r="BC212" i="6"/>
  <c r="AD212" i="6"/>
  <c r="AX212" i="6"/>
  <c r="AY212" i="6"/>
  <c r="BE212" i="6"/>
  <c r="BF212" i="6"/>
  <c r="AC212" i="6"/>
  <c r="J214" i="12" a="1"/>
  <c r="J214" i="12" s="1"/>
  <c r="L214" i="12" a="1"/>
  <c r="L214" i="12" s="1"/>
  <c r="AE215" i="5"/>
  <c r="AD215" i="5"/>
  <c r="E215" i="5"/>
  <c r="A215" i="12"/>
  <c r="H215" i="5"/>
  <c r="G215" i="5"/>
  <c r="B215" i="6"/>
  <c r="F215" i="5"/>
  <c r="N215" i="5"/>
  <c r="D215" i="6" s="1"/>
  <c r="H215" i="6" s="1"/>
  <c r="T215" i="5" s="1"/>
  <c r="G215" i="12" s="1"/>
  <c r="J215" i="5"/>
  <c r="K215" i="5"/>
  <c r="D215" i="5"/>
  <c r="B215" i="12" s="1"/>
  <c r="B215" i="5"/>
  <c r="C216" i="5"/>
  <c r="N213" i="6"/>
  <c r="M213" i="6"/>
  <c r="K140" i="5"/>
  <c r="B216" i="5" l="1"/>
  <c r="N216" i="5"/>
  <c r="D216" i="6" s="1"/>
  <c r="H216" i="6" s="1"/>
  <c r="T216" i="5" s="1"/>
  <c r="G216" i="12" s="1"/>
  <c r="G216" i="5"/>
  <c r="F216" i="5"/>
  <c r="AD216" i="5"/>
  <c r="J216" i="5"/>
  <c r="A216" i="12"/>
  <c r="B216" i="6"/>
  <c r="H216" i="5"/>
  <c r="D216" i="5"/>
  <c r="B216" i="12" s="1"/>
  <c r="AE216" i="5"/>
  <c r="C217" i="5"/>
  <c r="E216" i="5"/>
  <c r="K216" i="5"/>
  <c r="K214" i="12"/>
  <c r="J215" i="6"/>
  <c r="A215" i="6"/>
  <c r="N215" i="6" s="1"/>
  <c r="J215" i="12" a="1"/>
  <c r="J215" i="12" s="1"/>
  <c r="L215" i="12" a="1"/>
  <c r="L215" i="12" s="1"/>
  <c r="AE213" i="6"/>
  <c r="AR213" i="6"/>
  <c r="AU213" i="6"/>
  <c r="AB213" i="6"/>
  <c r="AD213" i="6"/>
  <c r="BB213" i="6"/>
  <c r="BA213" i="6"/>
  <c r="AQ213" i="6"/>
  <c r="AS213" i="6"/>
  <c r="AP213" i="6"/>
  <c r="AH213" i="6"/>
  <c r="AY213" i="6"/>
  <c r="AJ213" i="6"/>
  <c r="AC213" i="6"/>
  <c r="AZ213" i="6"/>
  <c r="AN213" i="6"/>
  <c r="AO213" i="6"/>
  <c r="AK213" i="6"/>
  <c r="AV213" i="6"/>
  <c r="AT213" i="6"/>
  <c r="AX213" i="6"/>
  <c r="AF213" i="6"/>
  <c r="AG213" i="6"/>
  <c r="BE213" i="6"/>
  <c r="AM213" i="6"/>
  <c r="BF213" i="6"/>
  <c r="AI213" i="6"/>
  <c r="BC213" i="6"/>
  <c r="BD213" i="6"/>
  <c r="BG213" i="6"/>
  <c r="M214" i="6"/>
  <c r="N214" i="6"/>
  <c r="K215" i="12" l="1"/>
  <c r="J216" i="6"/>
  <c r="A216" i="6"/>
  <c r="J216" i="12" a="1"/>
  <c r="J216" i="12" s="1"/>
  <c r="L216" i="12" a="1"/>
  <c r="L216" i="12" s="1"/>
  <c r="M215" i="6"/>
  <c r="BD214" i="6"/>
  <c r="AF214" i="6"/>
  <c r="AV214" i="6"/>
  <c r="AU214" i="6"/>
  <c r="AX214" i="6"/>
  <c r="AJ214" i="6"/>
  <c r="AB214" i="6"/>
  <c r="AP214" i="6"/>
  <c r="BF214" i="6"/>
  <c r="AG214" i="6"/>
  <c r="AQ214" i="6"/>
  <c r="AC214" i="6"/>
  <c r="BA214" i="6"/>
  <c r="BE214" i="6"/>
  <c r="AO214" i="6"/>
  <c r="AS214" i="6"/>
  <c r="AK214" i="6"/>
  <c r="AZ214" i="6"/>
  <c r="AD214" i="6"/>
  <c r="BB214" i="6"/>
  <c r="AH214" i="6"/>
  <c r="AM214" i="6"/>
  <c r="AI214" i="6"/>
  <c r="AN214" i="6"/>
  <c r="BC214" i="6"/>
  <c r="AT214" i="6"/>
  <c r="BG214" i="6"/>
  <c r="AR214" i="6"/>
  <c r="AY214" i="6"/>
  <c r="AE214" i="6"/>
  <c r="H217" i="5"/>
  <c r="N217" i="5"/>
  <c r="D217" i="6" s="1"/>
  <c r="H217" i="6" s="1"/>
  <c r="T217" i="5" s="1"/>
  <c r="G217" i="12" s="1"/>
  <c r="G217" i="5"/>
  <c r="B217" i="6"/>
  <c r="A217" i="12"/>
  <c r="E217" i="5"/>
  <c r="J217" i="5"/>
  <c r="AE217" i="5"/>
  <c r="D217" i="5"/>
  <c r="B217" i="12" s="1"/>
  <c r="B217" i="5"/>
  <c r="C218" i="5" s="1"/>
  <c r="F217" i="5"/>
  <c r="K217" i="5"/>
  <c r="AD217" i="5"/>
  <c r="F221" i="6"/>
  <c r="E221" i="12"/>
  <c r="K216" i="12" l="1"/>
  <c r="AH215" i="6"/>
  <c r="AB215" i="6"/>
  <c r="AU215" i="6"/>
  <c r="AY215" i="6"/>
  <c r="AF215" i="6"/>
  <c r="AP215" i="6"/>
  <c r="BA215" i="6"/>
  <c r="BF215" i="6"/>
  <c r="AV215" i="6"/>
  <c r="AO215" i="6"/>
  <c r="AX215" i="6"/>
  <c r="AN215" i="6"/>
  <c r="AI215" i="6"/>
  <c r="BG215" i="6"/>
  <c r="AG215" i="6"/>
  <c r="AM215" i="6"/>
  <c r="AT215" i="6"/>
  <c r="AQ215" i="6"/>
  <c r="BB215" i="6"/>
  <c r="AS215" i="6"/>
  <c r="AZ215" i="6"/>
  <c r="AD215" i="6"/>
  <c r="AC215" i="6"/>
  <c r="AE215" i="6"/>
  <c r="BD215" i="6"/>
  <c r="AJ215" i="6"/>
  <c r="AR215" i="6"/>
  <c r="BE215" i="6"/>
  <c r="AK215" i="6"/>
  <c r="BC215" i="6"/>
  <c r="H218" i="5"/>
  <c r="AD218" i="5"/>
  <c r="G218" i="5"/>
  <c r="E218" i="5"/>
  <c r="AE218" i="5"/>
  <c r="A218" i="12"/>
  <c r="W218" i="5"/>
  <c r="H218" i="12" s="1"/>
  <c r="I218" i="5"/>
  <c r="B218" i="6"/>
  <c r="F218" i="5"/>
  <c r="K210" i="5" s="1"/>
  <c r="C219" i="5"/>
  <c r="N218" i="5"/>
  <c r="D218" i="6" s="1"/>
  <c r="B218" i="5"/>
  <c r="J217" i="12" a="1"/>
  <c r="J217" i="12" s="1"/>
  <c r="L217" i="12" a="1"/>
  <c r="L217" i="12" s="1"/>
  <c r="J217" i="6"/>
  <c r="A217" i="6"/>
  <c r="N216" i="6"/>
  <c r="M216" i="6"/>
  <c r="K217" i="12" l="1"/>
  <c r="N217" i="6"/>
  <c r="M217" i="6"/>
  <c r="H218" i="6"/>
  <c r="M218" i="6"/>
  <c r="BB218" i="6" s="1"/>
  <c r="N218" i="6"/>
  <c r="G218" i="6"/>
  <c r="B219" i="6"/>
  <c r="AD219" i="5"/>
  <c r="K219" i="5"/>
  <c r="N219" i="5"/>
  <c r="D219" i="6" s="1"/>
  <c r="H219" i="6" s="1"/>
  <c r="T219" i="5" s="1"/>
  <c r="G219" i="12" s="1"/>
  <c r="H219" i="5"/>
  <c r="E219" i="5"/>
  <c r="J219" i="5"/>
  <c r="F219" i="5"/>
  <c r="A219" i="12"/>
  <c r="C220" i="5"/>
  <c r="G219" i="5"/>
  <c r="AE219" i="5"/>
  <c r="B219" i="5"/>
  <c r="D219" i="5"/>
  <c r="B219" i="12" s="1"/>
  <c r="A218" i="6"/>
  <c r="J218" i="6"/>
  <c r="AI216" i="6"/>
  <c r="AC216" i="6"/>
  <c r="AU216" i="6"/>
  <c r="AM216" i="6"/>
  <c r="AT216" i="6"/>
  <c r="AH216" i="6"/>
  <c r="AV216" i="6"/>
  <c r="AB216" i="6"/>
  <c r="AZ216" i="6"/>
  <c r="AJ216" i="6"/>
  <c r="BF216" i="6"/>
  <c r="AE216" i="6"/>
  <c r="AR216" i="6"/>
  <c r="AF216" i="6"/>
  <c r="BD216" i="6"/>
  <c r="BA216" i="6"/>
  <c r="AN216" i="6"/>
  <c r="AG216" i="6"/>
  <c r="BB216" i="6"/>
  <c r="AS216" i="6"/>
  <c r="AD216" i="6"/>
  <c r="AQ216" i="6"/>
  <c r="BC216" i="6"/>
  <c r="AX216" i="6"/>
  <c r="AY216" i="6"/>
  <c r="BG216" i="6"/>
  <c r="AP216" i="6"/>
  <c r="AK216" i="6"/>
  <c r="AO216" i="6"/>
  <c r="BE216" i="6"/>
  <c r="F223" i="6"/>
  <c r="E223" i="12"/>
  <c r="AH218" i="6" l="1"/>
  <c r="AE218" i="6"/>
  <c r="AC218" i="6"/>
  <c r="AR218" i="6"/>
  <c r="AX218" i="6"/>
  <c r="AF218" i="6"/>
  <c r="AU218" i="6"/>
  <c r="AS218" i="6"/>
  <c r="AI218" i="6"/>
  <c r="AB218" i="6"/>
  <c r="AN218" i="6"/>
  <c r="AO218" i="6"/>
  <c r="AT218" i="6"/>
  <c r="AQ218" i="6"/>
  <c r="BE218" i="6"/>
  <c r="BA218" i="6"/>
  <c r="AZ218" i="6"/>
  <c r="AV218" i="6"/>
  <c r="BF218" i="6"/>
  <c r="BC218" i="6"/>
  <c r="AK218" i="6"/>
  <c r="T218" i="5"/>
  <c r="G218" i="12" s="1"/>
  <c r="AY218" i="6"/>
  <c r="BD218" i="6"/>
  <c r="A219" i="6"/>
  <c r="J219" i="6"/>
  <c r="BG218" i="6"/>
  <c r="AE217" i="6"/>
  <c r="AV217" i="6"/>
  <c r="AM217" i="6"/>
  <c r="BF217" i="6"/>
  <c r="BC217" i="6"/>
  <c r="AG217" i="6"/>
  <c r="BD217" i="6"/>
  <c r="AP217" i="6"/>
  <c r="AB217" i="6"/>
  <c r="AU217" i="6"/>
  <c r="AS217" i="6"/>
  <c r="AZ217" i="6"/>
  <c r="BA217" i="6"/>
  <c r="AQ217" i="6"/>
  <c r="AR217" i="6"/>
  <c r="AX217" i="6"/>
  <c r="AK217" i="6"/>
  <c r="AI217" i="6"/>
  <c r="AY217" i="6"/>
  <c r="AC217" i="6"/>
  <c r="AF217" i="6"/>
  <c r="AJ217" i="6"/>
  <c r="BB217" i="6"/>
  <c r="BE217" i="6"/>
  <c r="AD217" i="6"/>
  <c r="AT217" i="6"/>
  <c r="BG217" i="6"/>
  <c r="AH217" i="6"/>
  <c r="AO217" i="6"/>
  <c r="AN217" i="6"/>
  <c r="AP218" i="6"/>
  <c r="AM218" i="6"/>
  <c r="AJ218" i="6"/>
  <c r="D220" i="5"/>
  <c r="B220" i="12" s="1"/>
  <c r="A220" i="12"/>
  <c r="G220" i="5"/>
  <c r="B220" i="5"/>
  <c r="C221" i="5" s="1"/>
  <c r="H220" i="5"/>
  <c r="B220" i="6"/>
  <c r="E220" i="5"/>
  <c r="N220" i="5"/>
  <c r="D220" i="6" s="1"/>
  <c r="H220" i="6" s="1"/>
  <c r="T220" i="5" s="1"/>
  <c r="G220" i="12" s="1"/>
  <c r="AE220" i="5"/>
  <c r="AD220" i="5"/>
  <c r="J220" i="5"/>
  <c r="F220" i="5"/>
  <c r="K220" i="5"/>
  <c r="AD218" i="6"/>
  <c r="AG218" i="6"/>
  <c r="L219" i="12" a="1"/>
  <c r="L219" i="12" s="1"/>
  <c r="J219" i="12" a="1"/>
  <c r="J219" i="12" s="1"/>
  <c r="AF221" i="5"/>
  <c r="S221" i="5" l="1"/>
  <c r="F221" i="12" s="1"/>
  <c r="AG221" i="5"/>
  <c r="A220" i="6"/>
  <c r="N220" i="6" s="1"/>
  <c r="J220" i="6"/>
  <c r="N221" i="5"/>
  <c r="D221" i="6" s="1"/>
  <c r="M221" i="6" s="1"/>
  <c r="AU221" i="6" s="1"/>
  <c r="C222" i="5"/>
  <c r="B221" i="6"/>
  <c r="E221" i="5"/>
  <c r="B221" i="5"/>
  <c r="H221" i="5"/>
  <c r="AE221" i="5"/>
  <c r="W221" i="5"/>
  <c r="H221" i="12" s="1"/>
  <c r="G221" i="5"/>
  <c r="AD221" i="5"/>
  <c r="F221" i="5"/>
  <c r="A221" i="12"/>
  <c r="J220" i="12" a="1"/>
  <c r="J220" i="12" s="1"/>
  <c r="L220" i="12" a="1"/>
  <c r="L220" i="12" s="1"/>
  <c r="K219" i="12"/>
  <c r="N219" i="6"/>
  <c r="M219" i="6"/>
  <c r="N221" i="6" l="1"/>
  <c r="H221" i="6"/>
  <c r="T221" i="5" s="1"/>
  <c r="M220" i="6"/>
  <c r="AJ220" i="6" s="1"/>
  <c r="G221" i="6"/>
  <c r="AY219" i="6"/>
  <c r="AO219" i="6"/>
  <c r="AQ219" i="6"/>
  <c r="AP219" i="6"/>
  <c r="AZ219" i="6"/>
  <c r="BD219" i="6"/>
  <c r="AD219" i="6"/>
  <c r="AN219" i="6"/>
  <c r="BF219" i="6"/>
  <c r="AC219" i="6"/>
  <c r="BC219" i="6"/>
  <c r="BE219" i="6"/>
  <c r="BG219" i="6"/>
  <c r="AR219" i="6"/>
  <c r="AH219" i="6"/>
  <c r="AT219" i="6"/>
  <c r="AX219" i="6"/>
  <c r="BA219" i="6"/>
  <c r="AS219" i="6"/>
  <c r="AU219" i="6"/>
  <c r="AJ219" i="6"/>
  <c r="AF219" i="6"/>
  <c r="AM219" i="6"/>
  <c r="AK219" i="6"/>
  <c r="AE219" i="6"/>
  <c r="AI219" i="6"/>
  <c r="AG219" i="6"/>
  <c r="AB219" i="6"/>
  <c r="AV219" i="6"/>
  <c r="BB219" i="6"/>
  <c r="K220" i="12"/>
  <c r="J221" i="6"/>
  <c r="A221" i="6"/>
  <c r="B222" i="5"/>
  <c r="C223" i="5" s="1"/>
  <c r="AD222" i="5"/>
  <c r="F222" i="5"/>
  <c r="H222" i="5"/>
  <c r="D222" i="5"/>
  <c r="B222" i="12" s="1"/>
  <c r="N222" i="5"/>
  <c r="D222" i="6" s="1"/>
  <c r="H222" i="6" s="1"/>
  <c r="T222" i="5" s="1"/>
  <c r="G222" i="12" s="1"/>
  <c r="J222" i="5"/>
  <c r="K222" i="5"/>
  <c r="B222" i="6"/>
  <c r="E222" i="5"/>
  <c r="AE222" i="5"/>
  <c r="G222" i="5"/>
  <c r="A222" i="12"/>
  <c r="AF221" i="6"/>
  <c r="BB221" i="6"/>
  <c r="AI221" i="6"/>
  <c r="AZ221" i="6"/>
  <c r="AT221" i="6"/>
  <c r="AM221" i="6"/>
  <c r="AK221" i="6"/>
  <c r="AH221" i="6"/>
  <c r="AQ221" i="6"/>
  <c r="AX221" i="6"/>
  <c r="AS221" i="6"/>
  <c r="AV221" i="6"/>
  <c r="AO221" i="6"/>
  <c r="AR221" i="6"/>
  <c r="AJ221" i="6"/>
  <c r="BE221" i="6"/>
  <c r="BF221" i="6"/>
  <c r="BC221" i="6"/>
  <c r="BA221" i="6"/>
  <c r="AY221" i="6"/>
  <c r="AP221" i="6"/>
  <c r="AN221" i="6"/>
  <c r="BD221" i="6"/>
  <c r="AD221" i="6"/>
  <c r="AB221" i="6"/>
  <c r="BG221" i="6"/>
  <c r="AG221" i="6"/>
  <c r="G221" i="12"/>
  <c r="AC221" i="5" a="1"/>
  <c r="AC221" i="5" s="1"/>
  <c r="AF223" i="5"/>
  <c r="AE221" i="6" l="1"/>
  <c r="AC221" i="6"/>
  <c r="AF220" i="6"/>
  <c r="AU220" i="6"/>
  <c r="AH220" i="6"/>
  <c r="AB220" i="6"/>
  <c r="AG220" i="6"/>
  <c r="BF220" i="6"/>
  <c r="BD220" i="6"/>
  <c r="AM220" i="6"/>
  <c r="AQ220" i="6"/>
  <c r="BA220" i="6"/>
  <c r="AX220" i="6"/>
  <c r="AZ220" i="6"/>
  <c r="AI220" i="6"/>
  <c r="AE220" i="6"/>
  <c r="AN220" i="6"/>
  <c r="AT220" i="6"/>
  <c r="BC220" i="6"/>
  <c r="AV220" i="6"/>
  <c r="AK220" i="6"/>
  <c r="BB220" i="6"/>
  <c r="AR220" i="6"/>
  <c r="AD220" i="6"/>
  <c r="AS220" i="6"/>
  <c r="AO220" i="6"/>
  <c r="AC220" i="6"/>
  <c r="BG220" i="6"/>
  <c r="AP220" i="6"/>
  <c r="BE220" i="6"/>
  <c r="AY220" i="6"/>
  <c r="AG223" i="5"/>
  <c r="S223" i="5"/>
  <c r="F223" i="12" s="1"/>
  <c r="L222" i="12" a="1"/>
  <c r="L222" i="12" s="1"/>
  <c r="J222" i="12" a="1"/>
  <c r="J222" i="12" s="1"/>
  <c r="B223" i="5"/>
  <c r="AD223" i="5"/>
  <c r="F223" i="5"/>
  <c r="A223" i="12"/>
  <c r="N223" i="5"/>
  <c r="D223" i="6" s="1"/>
  <c r="N223" i="6" s="1"/>
  <c r="C224" i="5"/>
  <c r="E223" i="5"/>
  <c r="G223" i="5"/>
  <c r="B223" i="6"/>
  <c r="AE223" i="5"/>
  <c r="W223" i="5"/>
  <c r="H223" i="12" s="1"/>
  <c r="H223" i="5"/>
  <c r="J222" i="6"/>
  <c r="A222" i="6"/>
  <c r="K218" i="5"/>
  <c r="K95" i="5"/>
  <c r="K222" i="12" l="1"/>
  <c r="M223" i="6"/>
  <c r="AP223" i="6" s="1"/>
  <c r="K224" i="5"/>
  <c r="N224" i="5"/>
  <c r="D224" i="6" s="1"/>
  <c r="H224" i="6" s="1"/>
  <c r="T224" i="5" s="1"/>
  <c r="G224" i="12" s="1"/>
  <c r="J224" i="5"/>
  <c r="G224" i="5"/>
  <c r="B224" i="6"/>
  <c r="E224" i="5"/>
  <c r="B224" i="5"/>
  <c r="A224" i="12"/>
  <c r="H224" i="5"/>
  <c r="AD224" i="5"/>
  <c r="AE224" i="5"/>
  <c r="D224" i="5"/>
  <c r="B224" i="12" s="1"/>
  <c r="C225" i="5"/>
  <c r="F224" i="5"/>
  <c r="M222" i="6"/>
  <c r="N222" i="6"/>
  <c r="G223" i="6"/>
  <c r="H223" i="6"/>
  <c r="T223" i="5" s="1"/>
  <c r="G223" i="12" s="1"/>
  <c r="J223" i="6"/>
  <c r="A223" i="6"/>
  <c r="AU223" i="6" l="1"/>
  <c r="AD223" i="6"/>
  <c r="AQ223" i="6"/>
  <c r="AT223" i="6"/>
  <c r="BD223" i="6"/>
  <c r="BA223" i="6"/>
  <c r="BC223" i="6"/>
  <c r="BB223" i="6"/>
  <c r="BE223" i="6"/>
  <c r="AY223" i="6"/>
  <c r="AM223" i="6"/>
  <c r="AN223" i="6"/>
  <c r="AC223" i="5" a="1"/>
  <c r="AC223" i="5" s="1"/>
  <c r="AH223" i="6"/>
  <c r="AC223" i="6"/>
  <c r="BG223" i="6"/>
  <c r="AS223" i="6"/>
  <c r="AV223" i="6"/>
  <c r="AZ223" i="6"/>
  <c r="AF223" i="6"/>
  <c r="AG223" i="6"/>
  <c r="AX223" i="6"/>
  <c r="AR223" i="6"/>
  <c r="AB223" i="6"/>
  <c r="BF223" i="6"/>
  <c r="AO223" i="6"/>
  <c r="J224" i="12" a="1"/>
  <c r="J224" i="12" s="1"/>
  <c r="L224" i="12" a="1"/>
  <c r="L224" i="12" s="1"/>
  <c r="J224" i="6"/>
  <c r="A224" i="6"/>
  <c r="AT222" i="6"/>
  <c r="BF222" i="6"/>
  <c r="AK222" i="6"/>
  <c r="AS222" i="6"/>
  <c r="BC222" i="6"/>
  <c r="AX222" i="6"/>
  <c r="BB222" i="6"/>
  <c r="AB222" i="6"/>
  <c r="AU222" i="6"/>
  <c r="AY222" i="6"/>
  <c r="AH222" i="6"/>
  <c r="BG222" i="6"/>
  <c r="BD222" i="6"/>
  <c r="BA222" i="6"/>
  <c r="AP222" i="6"/>
  <c r="AR222" i="6"/>
  <c r="AQ222" i="6"/>
  <c r="BE222" i="6"/>
  <c r="AO222" i="6"/>
  <c r="AN222" i="6"/>
  <c r="AE222" i="6"/>
  <c r="AC222" i="6"/>
  <c r="AZ222" i="6"/>
  <c r="AI222" i="6"/>
  <c r="AM222" i="6"/>
  <c r="AF222" i="6"/>
  <c r="AV222" i="6"/>
  <c r="AD222" i="6"/>
  <c r="AG222" i="6"/>
  <c r="AJ222" i="6"/>
  <c r="AK223" i="6"/>
  <c r="AI223" i="6"/>
  <c r="N225" i="5"/>
  <c r="D225" i="6" s="1"/>
  <c r="H225" i="6" s="1"/>
  <c r="T225" i="5" s="1"/>
  <c r="G225" i="12" s="1"/>
  <c r="H225" i="5"/>
  <c r="E225" i="5"/>
  <c r="D225" i="5"/>
  <c r="B225" i="12" s="1"/>
  <c r="AE225" i="5"/>
  <c r="B225" i="5"/>
  <c r="C226" i="5" s="1"/>
  <c r="K225" i="5"/>
  <c r="B225" i="6"/>
  <c r="J225" i="5"/>
  <c r="F225" i="5"/>
  <c r="AD225" i="5"/>
  <c r="A225" i="12"/>
  <c r="G225" i="5"/>
  <c r="AE223" i="6"/>
  <c r="AJ223" i="6"/>
  <c r="K221" i="5"/>
  <c r="K224" i="12" l="1"/>
  <c r="J225" i="12" a="1"/>
  <c r="J225" i="12" s="1"/>
  <c r="L225" i="12" a="1"/>
  <c r="L225" i="12" s="1"/>
  <c r="J225" i="6"/>
  <c r="A225" i="6"/>
  <c r="F226" i="5"/>
  <c r="H226" i="5"/>
  <c r="B226" i="6"/>
  <c r="N226" i="5"/>
  <c r="D226" i="6" s="1"/>
  <c r="I226" i="5"/>
  <c r="W226" i="5"/>
  <c r="H226" i="12" s="1"/>
  <c r="AE226" i="5"/>
  <c r="B226" i="5"/>
  <c r="C227" i="5" s="1"/>
  <c r="E226" i="5"/>
  <c r="A226" i="12"/>
  <c r="AD226" i="5"/>
  <c r="G226" i="5"/>
  <c r="N224" i="6"/>
  <c r="M224" i="6"/>
  <c r="K145" i="5" l="1"/>
  <c r="K225" i="12"/>
  <c r="A227" i="12"/>
  <c r="B227" i="5"/>
  <c r="G227" i="5"/>
  <c r="AE227" i="5"/>
  <c r="H227" i="5"/>
  <c r="N227" i="5"/>
  <c r="D227" i="6" s="1"/>
  <c r="B227" i="6"/>
  <c r="F227" i="5"/>
  <c r="E227" i="5"/>
  <c r="W227" i="5"/>
  <c r="H227" i="12" s="1"/>
  <c r="I227" i="5"/>
  <c r="AD227" i="5"/>
  <c r="C228" i="5"/>
  <c r="G226" i="6"/>
  <c r="H226" i="6"/>
  <c r="N226" i="6"/>
  <c r="M226" i="6"/>
  <c r="AU226" i="6" s="1"/>
  <c r="AE224" i="6"/>
  <c r="AG224" i="6"/>
  <c r="AT224" i="6"/>
  <c r="AO224" i="6"/>
  <c r="AU224" i="6"/>
  <c r="AI224" i="6"/>
  <c r="AZ224" i="6"/>
  <c r="AC224" i="6"/>
  <c r="AS224" i="6"/>
  <c r="AN224" i="6"/>
  <c r="BF224" i="6"/>
  <c r="AP224" i="6"/>
  <c r="AJ224" i="6"/>
  <c r="BA224" i="6"/>
  <c r="AR224" i="6"/>
  <c r="AY224" i="6"/>
  <c r="AV224" i="6"/>
  <c r="BB224" i="6"/>
  <c r="AM224" i="6"/>
  <c r="AF224" i="6"/>
  <c r="AD224" i="6"/>
  <c r="AQ224" i="6"/>
  <c r="AB224" i="6"/>
  <c r="BD224" i="6"/>
  <c r="BE224" i="6"/>
  <c r="AK224" i="6"/>
  <c r="BG224" i="6"/>
  <c r="AH224" i="6"/>
  <c r="BC224" i="6"/>
  <c r="AX224" i="6"/>
  <c r="A226" i="6"/>
  <c r="J226" i="6"/>
  <c r="N225" i="6"/>
  <c r="M225" i="6"/>
  <c r="AC226" i="6" l="1"/>
  <c r="AZ226" i="6"/>
  <c r="AY226" i="6"/>
  <c r="AF226" i="6"/>
  <c r="BG226" i="6"/>
  <c r="BF226" i="6"/>
  <c r="AQ226" i="6"/>
  <c r="BC226" i="6"/>
  <c r="AI226" i="6"/>
  <c r="AX226" i="6"/>
  <c r="BD226" i="6"/>
  <c r="AK226" i="6"/>
  <c r="BA226" i="6"/>
  <c r="AJ226" i="6"/>
  <c r="AM226" i="6"/>
  <c r="AP226" i="6"/>
  <c r="AR226" i="6"/>
  <c r="AS226" i="6"/>
  <c r="AG226" i="6"/>
  <c r="BE226" i="6"/>
  <c r="T226" i="5"/>
  <c r="G226" i="12" s="1"/>
  <c r="AH226" i="6"/>
  <c r="AE226" i="6"/>
  <c r="BF225" i="6"/>
  <c r="AU225" i="6"/>
  <c r="AZ225" i="6"/>
  <c r="AS225" i="6"/>
  <c r="AI225" i="6"/>
  <c r="AP225" i="6"/>
  <c r="BA225" i="6"/>
  <c r="AB225" i="6"/>
  <c r="AV225" i="6"/>
  <c r="AX225" i="6"/>
  <c r="AD225" i="6"/>
  <c r="BC225" i="6"/>
  <c r="AG225" i="6"/>
  <c r="BG225" i="6"/>
  <c r="AM225" i="6"/>
  <c r="BE225" i="6"/>
  <c r="AY225" i="6"/>
  <c r="AC225" i="6"/>
  <c r="AR225" i="6"/>
  <c r="BB225" i="6"/>
  <c r="AQ225" i="6"/>
  <c r="BD225" i="6"/>
  <c r="AF225" i="6"/>
  <c r="AT225" i="6"/>
  <c r="AJ225" i="6"/>
  <c r="AO225" i="6"/>
  <c r="AH225" i="6"/>
  <c r="AN225" i="6"/>
  <c r="AK225" i="6"/>
  <c r="AE225" i="6"/>
  <c r="A227" i="6"/>
  <c r="J227" i="6"/>
  <c r="M227" i="6"/>
  <c r="N227" i="6"/>
  <c r="G227" i="6"/>
  <c r="H227" i="6"/>
  <c r="AB226" i="6"/>
  <c r="G228" i="5"/>
  <c r="B228" i="6"/>
  <c r="N228" i="5"/>
  <c r="D228" i="6" s="1"/>
  <c r="H228" i="6" s="1"/>
  <c r="T228" i="5" s="1"/>
  <c r="G228" i="12" s="1"/>
  <c r="E228" i="5"/>
  <c r="B228" i="5"/>
  <c r="AE228" i="5"/>
  <c r="A228" i="12"/>
  <c r="AD228" i="5"/>
  <c r="K228" i="5"/>
  <c r="F228" i="5"/>
  <c r="D228" i="5"/>
  <c r="B228" i="12" s="1"/>
  <c r="J228" i="5"/>
  <c r="H228" i="5"/>
  <c r="C229" i="5"/>
  <c r="AD226" i="6"/>
  <c r="AV226" i="6"/>
  <c r="AN226" i="6"/>
  <c r="AT226" i="6"/>
  <c r="AO226" i="6"/>
  <c r="BB226" i="6"/>
  <c r="AQ227" i="6" l="1"/>
  <c r="AS227" i="6"/>
  <c r="BG227" i="6"/>
  <c r="AY227" i="6"/>
  <c r="BA227" i="6"/>
  <c r="AV227" i="6"/>
  <c r="BE227" i="6"/>
  <c r="AR227" i="6"/>
  <c r="BD227" i="6"/>
  <c r="AN227" i="6"/>
  <c r="BB227" i="6"/>
  <c r="AP227" i="6"/>
  <c r="AM227" i="6"/>
  <c r="AO227" i="6"/>
  <c r="AX227" i="6"/>
  <c r="AZ227" i="6"/>
  <c r="BC227" i="6"/>
  <c r="AU227" i="6"/>
  <c r="BF227" i="6"/>
  <c r="AT227" i="6"/>
  <c r="J228" i="6"/>
  <c r="A228" i="6"/>
  <c r="N228" i="6" s="1"/>
  <c r="C230" i="5"/>
  <c r="N229" i="5"/>
  <c r="D229" i="6" s="1"/>
  <c r="H229" i="6" s="1"/>
  <c r="T229" i="5" s="1"/>
  <c r="G229" i="12" s="1"/>
  <c r="D229" i="5"/>
  <c r="B229" i="12" s="1"/>
  <c r="H229" i="5"/>
  <c r="E229" i="5"/>
  <c r="B229" i="6"/>
  <c r="B229" i="5"/>
  <c r="AE229" i="5"/>
  <c r="J229" i="5"/>
  <c r="G229" i="5"/>
  <c r="AD229" i="5"/>
  <c r="A229" i="12"/>
  <c r="F229" i="5"/>
  <c r="K229" i="5"/>
  <c r="T227" i="5"/>
  <c r="G227" i="12" s="1"/>
  <c r="AC227" i="6"/>
  <c r="AI227" i="6"/>
  <c r="AB227" i="6"/>
  <c r="AD227" i="6"/>
  <c r="AE227" i="6"/>
  <c r="AJ227" i="6"/>
  <c r="AF227" i="6"/>
  <c r="AG227" i="6"/>
  <c r="AK227" i="6"/>
  <c r="AH227" i="6"/>
  <c r="L228" i="12" a="1"/>
  <c r="L228" i="12" s="1"/>
  <c r="J228" i="12" a="1"/>
  <c r="J228" i="12" s="1"/>
  <c r="M228" i="6" l="1"/>
  <c r="AC228" i="6" s="1"/>
  <c r="G230" i="5"/>
  <c r="J230" i="5"/>
  <c r="AD230" i="5"/>
  <c r="F17" i="8" s="1"/>
  <c r="F18" i="8" s="1"/>
  <c r="H230" i="5"/>
  <c r="AE230" i="5"/>
  <c r="N230" i="5"/>
  <c r="D230" i="6" s="1"/>
  <c r="H230" i="6" s="1"/>
  <c r="T230" i="5" s="1"/>
  <c r="G230" i="12" s="1"/>
  <c r="F230" i="5"/>
  <c r="A230" i="12"/>
  <c r="B230" i="6"/>
  <c r="A5" i="5"/>
  <c r="D230" i="5"/>
  <c r="B230" i="12" s="1"/>
  <c r="E230" i="5"/>
  <c r="B230" i="5"/>
  <c r="K230" i="5"/>
  <c r="L229" i="12" a="1"/>
  <c r="L229" i="12" s="1"/>
  <c r="J229" i="12" a="1"/>
  <c r="J229" i="12" s="1"/>
  <c r="A229" i="6"/>
  <c r="J229" i="6"/>
  <c r="F77" i="8"/>
  <c r="F78" i="8" s="1"/>
  <c r="J77" i="8" s="1"/>
  <c r="K228" i="12"/>
  <c r="J195" i="5" l="1"/>
  <c r="D195" i="5" s="1"/>
  <c r="B195" i="12" s="1"/>
  <c r="J70" i="5"/>
  <c r="D70" i="5" s="1"/>
  <c r="B70" i="12" s="1"/>
  <c r="J17" i="5"/>
  <c r="D17" i="5" s="1"/>
  <c r="B17" i="12" s="1"/>
  <c r="J58" i="5"/>
  <c r="D58" i="5" s="1"/>
  <c r="B58" i="12" s="1"/>
  <c r="J95" i="5"/>
  <c r="D95" i="5" s="1"/>
  <c r="B95" i="12" s="1"/>
  <c r="J74" i="5"/>
  <c r="D74" i="5" s="1"/>
  <c r="B74" i="12" s="1"/>
  <c r="J23" i="5"/>
  <c r="D23" i="5" s="1"/>
  <c r="B23" i="12" s="1"/>
  <c r="J64" i="5"/>
  <c r="D64" i="5" s="1"/>
  <c r="B64" i="12" s="1"/>
  <c r="J38" i="5"/>
  <c r="D38" i="5" s="1"/>
  <c r="B38" i="12" s="1"/>
  <c r="J92" i="5"/>
  <c r="D92" i="5" s="1"/>
  <c r="B92" i="12" s="1"/>
  <c r="K16" i="5"/>
  <c r="J190" i="5"/>
  <c r="D190" i="5" s="1"/>
  <c r="B190" i="12" s="1"/>
  <c r="J223" i="5"/>
  <c r="J210" i="5"/>
  <c r="D210" i="5" s="1"/>
  <c r="B210" i="12" s="1"/>
  <c r="J206" i="5"/>
  <c r="D206" i="5" s="1"/>
  <c r="B206" i="12" s="1"/>
  <c r="J146" i="5"/>
  <c r="D146" i="5" s="1"/>
  <c r="B146" i="12" s="1"/>
  <c r="J221" i="5"/>
  <c r="D221" i="5" s="1"/>
  <c r="B221" i="12" s="1"/>
  <c r="J200" i="5"/>
  <c r="D200" i="5" s="1"/>
  <c r="B200" i="12" s="1"/>
  <c r="J164" i="5"/>
  <c r="D164" i="5" s="1"/>
  <c r="B164" i="12" s="1"/>
  <c r="J218" i="5"/>
  <c r="D218" i="5" s="1"/>
  <c r="B218" i="12" s="1"/>
  <c r="J173" i="5"/>
  <c r="D173" i="5" s="1"/>
  <c r="B173" i="12" s="1"/>
  <c r="K109" i="5"/>
  <c r="J110" i="5"/>
  <c r="D110" i="5" s="1"/>
  <c r="B110" i="12" s="1"/>
  <c r="J129" i="5"/>
  <c r="D129" i="5" s="1"/>
  <c r="B129" i="12" s="1"/>
  <c r="J122" i="5"/>
  <c r="D122" i="5" s="1"/>
  <c r="B122" i="12" s="1"/>
  <c r="J140" i="5"/>
  <c r="D140" i="5" s="1"/>
  <c r="B140" i="12" s="1"/>
  <c r="J133" i="5"/>
  <c r="D133" i="5" s="1"/>
  <c r="B133" i="12" s="1"/>
  <c r="K226" i="5"/>
  <c r="AD228" i="6"/>
  <c r="BB228" i="6"/>
  <c r="BF228" i="6"/>
  <c r="AZ228" i="6"/>
  <c r="AX228" i="6"/>
  <c r="K229" i="12"/>
  <c r="AV228" i="6"/>
  <c r="AG228" i="6"/>
  <c r="BA228" i="6"/>
  <c r="AM228" i="6"/>
  <c r="AK228" i="6"/>
  <c r="AY228" i="6"/>
  <c r="AS228" i="6"/>
  <c r="AU228" i="6"/>
  <c r="AH228" i="6"/>
  <c r="AP228" i="6"/>
  <c r="BD228" i="6"/>
  <c r="BC228" i="6"/>
  <c r="AF228" i="6"/>
  <c r="AQ228" i="6"/>
  <c r="BG228" i="6"/>
  <c r="AI228" i="6"/>
  <c r="AN228" i="6"/>
  <c r="M77" i="8"/>
  <c r="S79" i="8" s="1"/>
  <c r="AT228" i="6"/>
  <c r="AB228" i="6"/>
  <c r="BE228" i="6"/>
  <c r="AR228" i="6"/>
  <c r="AJ228" i="6"/>
  <c r="AO228" i="6"/>
  <c r="AE228" i="6"/>
  <c r="M17" i="8"/>
  <c r="J17" i="8"/>
  <c r="J230" i="12" a="1"/>
  <c r="J230" i="12" s="1"/>
  <c r="L230" i="12" a="1"/>
  <c r="L230" i="12" s="1"/>
  <c r="K99" i="5"/>
  <c r="J99" i="5"/>
  <c r="K223" i="5"/>
  <c r="J227" i="5"/>
  <c r="K227" i="5"/>
  <c r="J230" i="6"/>
  <c r="A230" i="6"/>
  <c r="N229" i="6"/>
  <c r="M229" i="6"/>
  <c r="F83" i="8"/>
  <c r="F84" i="8" s="1"/>
  <c r="F95" i="8"/>
  <c r="F53" i="8"/>
  <c r="F54" i="8" s="1"/>
  <c r="F26" i="8"/>
  <c r="F27" i="8" s="1"/>
  <c r="F74" i="8"/>
  <c r="F75" i="8" s="1"/>
  <c r="F71" i="8"/>
  <c r="F72" i="8" s="1"/>
  <c r="F20" i="8"/>
  <c r="F21" i="8" s="1"/>
  <c r="F62" i="8"/>
  <c r="F63" i="8" s="1"/>
  <c r="F44" i="8"/>
  <c r="F45" i="8" s="1"/>
  <c r="F59" i="8"/>
  <c r="F60" i="8" s="1"/>
  <c r="F89" i="8"/>
  <c r="F90" i="8" s="1"/>
  <c r="F50" i="8"/>
  <c r="F51" i="8" s="1"/>
  <c r="F23" i="8"/>
  <c r="F24" i="8" s="1"/>
  <c r="F35" i="8"/>
  <c r="F36" i="8" s="1"/>
  <c r="F98" i="8"/>
  <c r="F56" i="8"/>
  <c r="F57" i="8" s="1"/>
  <c r="F47" i="8"/>
  <c r="F48" i="8" s="1"/>
  <c r="F68" i="8"/>
  <c r="F69" i="8" s="1"/>
  <c r="F92" i="8"/>
  <c r="F93" i="8" s="1"/>
  <c r="F1" i="8"/>
  <c r="F2" i="8" s="1"/>
  <c r="F86" i="8"/>
  <c r="F87" i="8" s="1"/>
  <c r="F65" i="8"/>
  <c r="F66" i="8" s="1"/>
  <c r="F32" i="8"/>
  <c r="F33" i="8" s="1"/>
  <c r="F29" i="8"/>
  <c r="F30" i="8" s="1"/>
  <c r="F14" i="8"/>
  <c r="F15" i="8" s="1"/>
  <c r="F38" i="8"/>
  <c r="F39" i="8" s="1"/>
  <c r="F80" i="8"/>
  <c r="F81" i="8" s="1"/>
  <c r="J98" i="5"/>
  <c r="K98" i="5"/>
  <c r="J226" i="5"/>
  <c r="J109" i="5"/>
  <c r="D109" i="5" s="1"/>
  <c r="J16" i="5"/>
  <c r="J145" i="5"/>
  <c r="D145" i="5" s="1"/>
  <c r="A12" i="13"/>
  <c r="B12" i="13" s="1"/>
  <c r="AM12" i="13" s="1"/>
  <c r="B12" i="11"/>
  <c r="J22" i="5"/>
  <c r="D22" i="5" s="1"/>
  <c r="F41" i="8"/>
  <c r="F42" i="8" s="1"/>
  <c r="D16" i="5" l="1"/>
  <c r="D223" i="5"/>
  <c r="B223" i="12" s="1"/>
  <c r="D226" i="5"/>
  <c r="B226" i="12" s="1"/>
  <c r="F10" i="8" a="1"/>
  <c r="F10" i="8" s="1"/>
  <c r="Q77" i="8"/>
  <c r="P77" i="8"/>
  <c r="D98" i="5"/>
  <c r="B98" i="12" s="1"/>
  <c r="D227" i="5"/>
  <c r="B227" i="12" s="1"/>
  <c r="K230" i="12"/>
  <c r="D99" i="5"/>
  <c r="B99" i="12" s="1"/>
  <c r="B16" i="12"/>
  <c r="B14" i="13"/>
  <c r="M32" i="8"/>
  <c r="J32" i="8"/>
  <c r="M89" i="8"/>
  <c r="J89" i="8"/>
  <c r="B109" i="12"/>
  <c r="M65" i="8"/>
  <c r="J65" i="8"/>
  <c r="M59" i="8"/>
  <c r="J59" i="8"/>
  <c r="M230" i="6"/>
  <c r="C52" i="10" s="1"/>
  <c r="N230" i="6"/>
  <c r="J86" i="8"/>
  <c r="M86" i="8"/>
  <c r="M44" i="8"/>
  <c r="J44" i="8"/>
  <c r="S1" i="8"/>
  <c r="Q1" i="8"/>
  <c r="P1" i="8"/>
  <c r="J1" i="8"/>
  <c r="O1" i="8"/>
  <c r="I1" i="8"/>
  <c r="N1" i="8"/>
  <c r="M1" i="8"/>
  <c r="J62" i="8"/>
  <c r="M62" i="8"/>
  <c r="J20" i="8"/>
  <c r="M20" i="8"/>
  <c r="J41" i="8"/>
  <c r="M41" i="8"/>
  <c r="S43" i="8" s="1"/>
  <c r="M68" i="8"/>
  <c r="J68" i="8"/>
  <c r="J71" i="8"/>
  <c r="M71" i="8"/>
  <c r="J47" i="8"/>
  <c r="M47" i="8"/>
  <c r="M74" i="8"/>
  <c r="J74" i="8"/>
  <c r="J56" i="8"/>
  <c r="M56" i="8"/>
  <c r="M26" i="8"/>
  <c r="J26" i="8"/>
  <c r="B22" i="12"/>
  <c r="J80" i="8"/>
  <c r="M80" i="8"/>
  <c r="S82" i="8" s="1"/>
  <c r="J53" i="8"/>
  <c r="M53" i="8"/>
  <c r="K12" i="11"/>
  <c r="J12" i="13" s="1"/>
  <c r="AB12" i="11"/>
  <c r="N12" i="11" s="1"/>
  <c r="O12" i="11"/>
  <c r="G12" i="11"/>
  <c r="F12" i="13" s="1"/>
  <c r="C12" i="13"/>
  <c r="AA12" i="11"/>
  <c r="J38" i="8"/>
  <c r="M38" i="8"/>
  <c r="P38" i="8" s="1"/>
  <c r="M35" i="8"/>
  <c r="J35" i="8"/>
  <c r="J14" i="8"/>
  <c r="M14" i="8"/>
  <c r="J23" i="8"/>
  <c r="M23" i="8"/>
  <c r="M83" i="8"/>
  <c r="S85" i="8" s="1"/>
  <c r="J83" i="8"/>
  <c r="B145" i="12"/>
  <c r="J29" i="8"/>
  <c r="M29" i="8"/>
  <c r="M50" i="8"/>
  <c r="J50" i="8"/>
  <c r="AB229" i="6"/>
  <c r="AH229" i="6"/>
  <c r="AN229" i="6"/>
  <c r="AI229" i="6"/>
  <c r="AT229" i="6"/>
  <c r="AR229" i="6"/>
  <c r="BG229" i="6"/>
  <c r="BA229" i="6"/>
  <c r="AZ229" i="6"/>
  <c r="AG229" i="6"/>
  <c r="AJ229" i="6"/>
  <c r="AO229" i="6"/>
  <c r="AK229" i="6"/>
  <c r="AS229" i="6"/>
  <c r="AU229" i="6"/>
  <c r="AM229" i="6"/>
  <c r="AV229" i="6"/>
  <c r="BC229" i="6"/>
  <c r="BB229" i="6"/>
  <c r="AY229" i="6"/>
  <c r="BF229" i="6"/>
  <c r="AQ229" i="6"/>
  <c r="AE229" i="6"/>
  <c r="BE229" i="6"/>
  <c r="AP229" i="6"/>
  <c r="AD229" i="6"/>
  <c r="AC229" i="6"/>
  <c r="AX229" i="6"/>
  <c r="AF229" i="6"/>
  <c r="BD229" i="6"/>
  <c r="P17" i="8"/>
  <c r="S19" i="8"/>
  <c r="Q17" i="8"/>
  <c r="M92" i="8"/>
  <c r="J92" i="8"/>
  <c r="C39" i="10" l="1"/>
  <c r="A43" i="9"/>
  <c r="C57" i="9"/>
  <c r="F57" i="9" s="1"/>
  <c r="A30" i="10"/>
  <c r="A52" i="10"/>
  <c r="C64" i="9"/>
  <c r="F64" i="9" s="1"/>
  <c r="C23" i="9"/>
  <c r="F23" i="9" s="1"/>
  <c r="C24" i="9"/>
  <c r="F24" i="9" s="1"/>
  <c r="C63" i="9"/>
  <c r="F63" i="9" s="1"/>
  <c r="D15" i="5"/>
  <c r="C44" i="9"/>
  <c r="F44" i="9" s="1"/>
  <c r="C57" i="10"/>
  <c r="A29" i="10"/>
  <c r="A50" i="10"/>
  <c r="A58" i="10"/>
  <c r="A15" i="9"/>
  <c r="C52" i="9"/>
  <c r="F52" i="9" s="1"/>
  <c r="A18" i="10"/>
  <c r="C16" i="10"/>
  <c r="C34" i="9"/>
  <c r="F34" i="9" s="1"/>
  <c r="C49" i="9"/>
  <c r="F49" i="9" s="1"/>
  <c r="C55" i="10"/>
  <c r="A48" i="10"/>
  <c r="C36" i="9"/>
  <c r="F36" i="9" s="1"/>
  <c r="A51" i="10"/>
  <c r="C19" i="10"/>
  <c r="C58" i="9"/>
  <c r="F58" i="9" s="1"/>
  <c r="C45" i="9"/>
  <c r="F45" i="9" s="1"/>
  <c r="A55" i="9"/>
  <c r="C28" i="9"/>
  <c r="F28" i="9" s="1"/>
  <c r="A50" i="9"/>
  <c r="C40" i="9"/>
  <c r="F40" i="9" s="1"/>
  <c r="A49" i="10"/>
  <c r="C28" i="10"/>
  <c r="A30" i="9"/>
  <c r="A34" i="10"/>
  <c r="C56" i="10"/>
  <c r="A44" i="10"/>
  <c r="C37" i="9"/>
  <c r="F37" i="9" s="1"/>
  <c r="A57" i="10"/>
  <c r="C17" i="10"/>
  <c r="A46" i="9"/>
  <c r="C27" i="10"/>
  <c r="C32" i="9"/>
  <c r="F32" i="9" s="1"/>
  <c r="C20" i="10"/>
  <c r="A44" i="9"/>
  <c r="A46" i="10"/>
  <c r="C30" i="10"/>
  <c r="A32" i="10"/>
  <c r="C19" i="9"/>
  <c r="F19" i="9" s="1"/>
  <c r="C56" i="9"/>
  <c r="F56" i="9" s="1"/>
  <c r="C17" i="9"/>
  <c r="F17" i="9" s="1"/>
  <c r="A19" i="9"/>
  <c r="C26" i="10"/>
  <c r="C59" i="9"/>
  <c r="F59" i="9" s="1"/>
  <c r="A51" i="9"/>
  <c r="A45" i="10"/>
  <c r="A55" i="10"/>
  <c r="C41" i="9"/>
  <c r="F41" i="9" s="1"/>
  <c r="C46" i="9"/>
  <c r="F46" i="9" s="1"/>
  <c r="C29" i="10"/>
  <c r="C21" i="9"/>
  <c r="F21" i="9" s="1"/>
  <c r="A64" i="9"/>
  <c r="C38" i="10"/>
  <c r="A21" i="9"/>
  <c r="C45" i="10"/>
  <c r="C48" i="10"/>
  <c r="C22" i="10"/>
  <c r="C36" i="10"/>
  <c r="C18" i="9"/>
  <c r="F18" i="9" s="1"/>
  <c r="C1" i="10"/>
  <c r="A59" i="10"/>
  <c r="C49" i="10"/>
  <c r="C22" i="9"/>
  <c r="F22" i="9" s="1"/>
  <c r="A37" i="10"/>
  <c r="C50" i="10"/>
  <c r="A33" i="9"/>
  <c r="C41" i="10"/>
  <c r="A60" i="10"/>
  <c r="C42" i="10"/>
  <c r="A27" i="9"/>
  <c r="C55" i="9"/>
  <c r="F55" i="9" s="1"/>
  <c r="C64" i="10"/>
  <c r="A56" i="10"/>
  <c r="A56" i="9"/>
  <c r="C44" i="10"/>
  <c r="C38" i="9"/>
  <c r="F38" i="9" s="1"/>
  <c r="A39" i="9"/>
  <c r="A18" i="9"/>
  <c r="C27" i="9"/>
  <c r="F27" i="9" s="1"/>
  <c r="C62" i="10"/>
  <c r="A24" i="10"/>
  <c r="C1" i="9"/>
  <c r="F1" i="9" s="1"/>
  <c r="A21" i="10"/>
  <c r="C60" i="10"/>
  <c r="A59" i="9"/>
  <c r="C39" i="9"/>
  <c r="F39" i="9" s="1"/>
  <c r="A42" i="9"/>
  <c r="A52" i="9"/>
  <c r="C43" i="10"/>
  <c r="C35" i="9"/>
  <c r="F35" i="9" s="1"/>
  <c r="A34" i="9"/>
  <c r="A48" i="9"/>
  <c r="C26" i="9"/>
  <c r="F26" i="9" s="1"/>
  <c r="C51" i="10"/>
  <c r="A54" i="10"/>
  <c r="A26" i="10"/>
  <c r="A36" i="10"/>
  <c r="C47" i="10"/>
  <c r="A1" i="9"/>
  <c r="C40" i="10"/>
  <c r="C33" i="10"/>
  <c r="A63" i="9"/>
  <c r="A23" i="10"/>
  <c r="C58" i="10"/>
  <c r="A43" i="10"/>
  <c r="A31" i="9"/>
  <c r="A31" i="10"/>
  <c r="A17" i="10"/>
  <c r="A41" i="9"/>
  <c r="A41" i="10"/>
  <c r="C23" i="10"/>
  <c r="A24" i="9"/>
  <c r="C47" i="9"/>
  <c r="F47" i="9" s="1"/>
  <c r="A19" i="10"/>
  <c r="A38" i="9"/>
  <c r="A33" i="10"/>
  <c r="C61" i="9"/>
  <c r="F61" i="9" s="1"/>
  <c r="C31" i="10"/>
  <c r="C21" i="10"/>
  <c r="C48" i="9"/>
  <c r="F48" i="9" s="1"/>
  <c r="A49" i="9"/>
  <c r="C34" i="10"/>
  <c r="C50" i="9"/>
  <c r="F50" i="9" s="1"/>
  <c r="C16" i="9"/>
  <c r="F16" i="9" s="1"/>
  <c r="A22" i="10"/>
  <c r="A39" i="10"/>
  <c r="A25" i="9"/>
  <c r="C61" i="10"/>
  <c r="A62" i="9"/>
  <c r="A61" i="10"/>
  <c r="A23" i="9"/>
  <c r="A54" i="9"/>
  <c r="A47" i="10"/>
  <c r="C25" i="10"/>
  <c r="C60" i="9"/>
  <c r="F60" i="9" s="1"/>
  <c r="C51" i="9"/>
  <c r="F51" i="9" s="1"/>
  <c r="A1" i="10"/>
  <c r="A35" i="9"/>
  <c r="A25" i="10"/>
  <c r="C37" i="10"/>
  <c r="A38" i="10"/>
  <c r="C30" i="9"/>
  <c r="F30" i="9" s="1"/>
  <c r="A57" i="9"/>
  <c r="C20" i="9"/>
  <c r="F20" i="9" s="1"/>
  <c r="A45" i="9"/>
  <c r="A47" i="9"/>
  <c r="C25" i="9"/>
  <c r="F25" i="9" s="1"/>
  <c r="A53" i="10"/>
  <c r="C43" i="9"/>
  <c r="F43" i="9" s="1"/>
  <c r="C24" i="10"/>
  <c r="C53" i="9"/>
  <c r="F53" i="9" s="1"/>
  <c r="A26" i="9"/>
  <c r="C31" i="9"/>
  <c r="F31" i="9" s="1"/>
  <c r="C63" i="10"/>
  <c r="C59" i="10"/>
  <c r="A27" i="10"/>
  <c r="C29" i="9"/>
  <c r="F29" i="9" s="1"/>
  <c r="A64" i="10"/>
  <c r="A28" i="9"/>
  <c r="A22" i="9"/>
  <c r="A63" i="10"/>
  <c r="A28" i="10"/>
  <c r="A29" i="9"/>
  <c r="A32" i="9"/>
  <c r="C62" i="9"/>
  <c r="F62" i="9" s="1"/>
  <c r="A16" i="10"/>
  <c r="P83" i="8"/>
  <c r="A17" i="9"/>
  <c r="A40" i="10"/>
  <c r="A61" i="9"/>
  <c r="A40" i="9"/>
  <c r="C33" i="9"/>
  <c r="F33" i="9" s="1"/>
  <c r="A20" i="10"/>
  <c r="C54" i="10"/>
  <c r="A60" i="9"/>
  <c r="A16" i="9"/>
  <c r="A62" i="10"/>
  <c r="C35" i="10"/>
  <c r="T12" i="13"/>
  <c r="S12" i="13"/>
  <c r="O12" i="13"/>
  <c r="K12" i="13"/>
  <c r="M12" i="13"/>
  <c r="R12" i="13"/>
  <c r="U12" i="13"/>
  <c r="C54" i="9"/>
  <c r="F54" i="9" s="1"/>
  <c r="A35" i="10"/>
  <c r="S3" i="8"/>
  <c r="R1" i="8"/>
  <c r="A1" i="8"/>
  <c r="S73" i="8"/>
  <c r="Q71" i="8"/>
  <c r="P71" i="8"/>
  <c r="P12" i="11"/>
  <c r="L12" i="13"/>
  <c r="Z12" i="11"/>
  <c r="C12" i="11"/>
  <c r="C32" i="10"/>
  <c r="A20" i="9"/>
  <c r="S25" i="8"/>
  <c r="P23" i="8"/>
  <c r="Q23" i="8"/>
  <c r="Q68" i="8"/>
  <c r="P68" i="8"/>
  <c r="S70" i="8"/>
  <c r="S46" i="8"/>
  <c r="P44" i="8"/>
  <c r="Q44" i="8"/>
  <c r="Q89" i="8"/>
  <c r="P89" i="8"/>
  <c r="S91" i="8"/>
  <c r="C46" i="10"/>
  <c r="P26" i="8"/>
  <c r="Q26" i="8"/>
  <c r="S28" i="8"/>
  <c r="Q41" i="8"/>
  <c r="S88" i="8"/>
  <c r="Q86" i="8"/>
  <c r="P86" i="8"/>
  <c r="A53" i="9"/>
  <c r="Q50" i="8"/>
  <c r="O50" i="8"/>
  <c r="P50" i="8"/>
  <c r="S52" i="8"/>
  <c r="P14" i="8"/>
  <c r="S16" i="8"/>
  <c r="A14" i="8"/>
  <c r="O14" i="8"/>
  <c r="Q14" i="8"/>
  <c r="Q53" i="8"/>
  <c r="P53" i="8"/>
  <c r="S55" i="8"/>
  <c r="Q56" i="8"/>
  <c r="P56" i="8"/>
  <c r="S58" i="8"/>
  <c r="P41" i="8"/>
  <c r="P32" i="8"/>
  <c r="Q32" i="8"/>
  <c r="S34" i="8"/>
  <c r="S31" i="8"/>
  <c r="Q29" i="8"/>
  <c r="P29" i="8"/>
  <c r="AV230" i="6"/>
  <c r="AF230" i="6"/>
  <c r="AF15" i="6" s="1"/>
  <c r="U15" i="6" s="1"/>
  <c r="U11" i="6" s="1"/>
  <c r="AH230" i="6"/>
  <c r="AH15" i="6" s="1"/>
  <c r="W15" i="6" s="1"/>
  <c r="W11" i="6" s="1"/>
  <c r="AR230" i="6"/>
  <c r="AE230" i="6"/>
  <c r="AE15" i="6" s="1"/>
  <c r="T15" i="6" s="1"/>
  <c r="T11" i="6" s="1"/>
  <c r="AY230" i="6"/>
  <c r="BC230" i="6"/>
  <c r="AU230" i="6"/>
  <c r="AS230" i="6"/>
  <c r="AX230" i="6"/>
  <c r="AP230" i="6"/>
  <c r="BD230" i="6"/>
  <c r="BA230" i="6"/>
  <c r="AN230" i="6"/>
  <c r="BB230" i="6"/>
  <c r="AI230" i="6"/>
  <c r="AI15" i="6" s="1"/>
  <c r="X15" i="6" s="1"/>
  <c r="X11" i="6" s="1"/>
  <c r="AO230" i="6"/>
  <c r="AT230" i="6"/>
  <c r="BF230" i="6"/>
  <c r="AG230" i="6"/>
  <c r="AG15" i="6" s="1"/>
  <c r="V15" i="6" s="1"/>
  <c r="V11" i="6" s="1"/>
  <c r="AC230" i="6"/>
  <c r="AC15" i="6" s="1"/>
  <c r="R15" i="6" s="1"/>
  <c r="R11" i="6" s="1"/>
  <c r="AZ230" i="6"/>
  <c r="BE230" i="6"/>
  <c r="AQ230" i="6"/>
  <c r="AM230" i="6"/>
  <c r="BG230" i="6"/>
  <c r="AD230" i="6"/>
  <c r="AD15" i="6" s="1"/>
  <c r="S15" i="6" s="1"/>
  <c r="S11" i="6" s="1"/>
  <c r="AB230" i="6"/>
  <c r="AB15" i="6" s="1"/>
  <c r="Q15" i="6" s="1"/>
  <c r="Q11" i="6" s="1"/>
  <c r="AK230" i="6"/>
  <c r="AK15" i="6" s="1"/>
  <c r="Z15" i="6" s="1"/>
  <c r="Z11" i="6" s="1"/>
  <c r="AJ230" i="6"/>
  <c r="AJ15" i="6" s="1"/>
  <c r="Y15" i="6" s="1"/>
  <c r="Y11" i="6" s="1"/>
  <c r="A37" i="9"/>
  <c r="C42" i="9"/>
  <c r="F42" i="9" s="1"/>
  <c r="A36" i="9"/>
  <c r="S37" i="8"/>
  <c r="Q35" i="8"/>
  <c r="P35" i="8"/>
  <c r="P74" i="8"/>
  <c r="Q74" i="8"/>
  <c r="S76" i="8"/>
  <c r="P20" i="8"/>
  <c r="S22" i="8"/>
  <c r="O20" i="8"/>
  <c r="Q20" i="8"/>
  <c r="G1" i="8"/>
  <c r="G2" i="8" s="1" a="1"/>
  <c r="G2" i="8" s="1"/>
  <c r="H1" i="8" a="1"/>
  <c r="H1" i="8" s="1"/>
  <c r="J2" i="8" s="1"/>
  <c r="H2" i="8" a="1"/>
  <c r="H2" i="8" s="1"/>
  <c r="C53" i="10"/>
  <c r="S40" i="8"/>
  <c r="Q38" i="8"/>
  <c r="S49" i="8"/>
  <c r="P47" i="8"/>
  <c r="P59" i="8"/>
  <c r="S61" i="8"/>
  <c r="Q59" i="8"/>
  <c r="A42" i="10"/>
  <c r="C18" i="10"/>
  <c r="Q80" i="8"/>
  <c r="O68" i="8"/>
  <c r="A58" i="9"/>
  <c r="Q83" i="8"/>
  <c r="Q47" i="8"/>
  <c r="Q62" i="8"/>
  <c r="P62" i="8"/>
  <c r="S64" i="8"/>
  <c r="S67" i="8"/>
  <c r="Q65" i="8"/>
  <c r="P65" i="8"/>
  <c r="P80" i="8"/>
  <c r="Q92" i="8"/>
  <c r="P92" i="8"/>
  <c r="S94" i="8"/>
  <c r="F96" i="8"/>
  <c r="AE73" i="10" l="1" a="1"/>
  <c r="AE73" i="10" s="1"/>
  <c r="S73" i="10" a="1"/>
  <c r="S73" i="10" s="1"/>
  <c r="AA73" i="10" a="1"/>
  <c r="AA73" i="10" s="1"/>
  <c r="M73" i="10" a="1"/>
  <c r="M73" i="10" s="1"/>
  <c r="O73" i="10" a="1"/>
  <c r="O73" i="10" s="1"/>
  <c r="AC73" i="10" a="1"/>
  <c r="AC73" i="10" s="1"/>
  <c r="K73" i="10" a="1"/>
  <c r="K73" i="10" s="1"/>
  <c r="U73" i="10" a="1"/>
  <c r="U73" i="10" s="1"/>
  <c r="Q73" i="10" a="1"/>
  <c r="Q73" i="10" s="1"/>
  <c r="W73" i="10" a="1"/>
  <c r="W73" i="10" s="1"/>
  <c r="Y73" i="10" a="1"/>
  <c r="Y73" i="10" s="1"/>
  <c r="F11" i="6"/>
  <c r="I73" i="10" a="1"/>
  <c r="I73" i="10" s="1"/>
  <c r="I71" i="10" s="1" a="1"/>
  <c r="I71" i="10" s="1"/>
  <c r="AB1" i="8" a="1"/>
  <c r="AB1" i="8" s="1"/>
  <c r="AA1" i="8" a="1"/>
  <c r="AA1" i="8" s="1"/>
  <c r="AF1" i="8" a="1"/>
  <c r="AF1" i="8" s="1"/>
  <c r="V3" i="8" a="1"/>
  <c r="V3" i="8" s="1"/>
  <c r="Z1" i="8" a="1"/>
  <c r="Z1" i="8" s="1"/>
  <c r="Z3" i="8" a="1"/>
  <c r="Z3" i="8" s="1"/>
  <c r="X1" i="8" a="1"/>
  <c r="X1" i="8" s="1"/>
  <c r="AD3" i="8" a="1"/>
  <c r="AD3" i="8" s="1"/>
  <c r="F3" i="8"/>
  <c r="V1" i="8" a="1"/>
  <c r="V1" i="8" s="1"/>
  <c r="U1" i="8" a="1"/>
  <c r="U1" i="8" s="1"/>
  <c r="AB3" i="8" a="1"/>
  <c r="AB3" i="8" s="1"/>
  <c r="Y1" i="8" a="1"/>
  <c r="Y1" i="8" s="1"/>
  <c r="AC1" i="8" a="1"/>
  <c r="AC1" i="8" s="1"/>
  <c r="E1" i="8" a="1"/>
  <c r="E1" i="8" s="1"/>
  <c r="AF3" i="8" a="1"/>
  <c r="AF3" i="8" s="1"/>
  <c r="AD1" i="8" a="1"/>
  <c r="AD1" i="8" s="1"/>
  <c r="AA3" i="8" a="1"/>
  <c r="AA3" i="8" s="1"/>
  <c r="AE1" i="8" a="1"/>
  <c r="AE1" i="8" s="1"/>
  <c r="E3" i="8" a="1"/>
  <c r="E3" i="8" s="1"/>
  <c r="C1" i="8"/>
  <c r="Y3" i="8" a="1"/>
  <c r="Y3" i="8" s="1"/>
  <c r="X3" i="8" a="1"/>
  <c r="X3" i="8" s="1"/>
  <c r="AC3" i="8" a="1"/>
  <c r="AC3" i="8" s="1"/>
  <c r="U3" i="8" a="1"/>
  <c r="U3" i="8" s="1"/>
  <c r="W1" i="8" a="1"/>
  <c r="W1" i="8" s="1"/>
  <c r="AE3" i="8" a="1"/>
  <c r="AE3" i="8" s="1"/>
  <c r="D1" i="8"/>
  <c r="W3" i="8" a="1"/>
  <c r="W3" i="8" s="1"/>
  <c r="V12" i="13"/>
  <c r="D12" i="13"/>
  <c r="I12" i="6"/>
  <c r="N11" i="6"/>
  <c r="P12" i="13"/>
  <c r="N12" i="13"/>
  <c r="J95" i="8"/>
  <c r="M95" i="8"/>
  <c r="AE71" i="10" l="1"/>
  <c r="U71" i="10"/>
  <c r="Q71" i="10"/>
  <c r="O71" i="10"/>
  <c r="Y71" i="10"/>
  <c r="W71" i="10"/>
  <c r="K71" i="10"/>
  <c r="M71" i="10"/>
  <c r="AC71" i="10"/>
  <c r="S71" i="10"/>
  <c r="AA71" i="10"/>
  <c r="P95" i="8"/>
  <c r="Q95" i="8"/>
  <c r="S97" i="8"/>
  <c r="F99" i="8"/>
  <c r="M98" i="8" l="1"/>
  <c r="J98" i="8"/>
  <c r="N41" i="8" l="1"/>
  <c r="N23" i="8"/>
  <c r="N20" i="8"/>
  <c r="R20" i="8" s="1"/>
  <c r="F22" i="8" s="1"/>
  <c r="N35" i="8"/>
  <c r="N32" i="8"/>
  <c r="N17" i="8"/>
  <c r="N50" i="8"/>
  <c r="R50" i="8" s="1"/>
  <c r="F52" i="8" s="1"/>
  <c r="N38" i="8"/>
  <c r="N29" i="8"/>
  <c r="N14" i="8"/>
  <c r="R14" i="8" s="1"/>
  <c r="N26" i="8"/>
  <c r="N44" i="8"/>
  <c r="N53" i="8"/>
  <c r="N62" i="8"/>
  <c r="N59" i="8"/>
  <c r="N56" i="8"/>
  <c r="N71" i="8"/>
  <c r="N74" i="8"/>
  <c r="N80" i="8"/>
  <c r="N89" i="8"/>
  <c r="N68" i="8"/>
  <c r="R68" i="8" s="1"/>
  <c r="F70" i="8" s="1"/>
  <c r="N83" i="8"/>
  <c r="N77" i="8"/>
  <c r="N86" i="8"/>
  <c r="N47" i="8"/>
  <c r="N65" i="8"/>
  <c r="N92" i="8"/>
  <c r="O95" i="8"/>
  <c r="P98" i="8"/>
  <c r="Q98" i="8"/>
  <c r="S100" i="8"/>
  <c r="F16" i="8" l="1"/>
  <c r="D14" i="8"/>
  <c r="C14" i="8"/>
  <c r="N95" i="8"/>
  <c r="R95" i="8" s="1"/>
  <c r="N98" i="8"/>
  <c r="F97" i="8" l="1"/>
  <c r="O98" i="8" l="1"/>
  <c r="R98" i="8" s="1"/>
  <c r="F100" i="8" l="1"/>
  <c r="O89" i="8"/>
  <c r="R89" i="8" s="1"/>
  <c r="O92" i="8"/>
  <c r="R92" i="8" s="1"/>
  <c r="O83" i="8"/>
  <c r="R83" i="8" s="1"/>
  <c r="O86" i="8"/>
  <c r="R86" i="8" s="1"/>
  <c r="O77" i="8"/>
  <c r="R77" i="8" s="1"/>
  <c r="O80" i="8"/>
  <c r="R80" i="8" s="1"/>
  <c r="O71" i="8"/>
  <c r="R71" i="8" s="1"/>
  <c r="O74" i="8"/>
  <c r="R74" i="8" s="1"/>
  <c r="O62" i="8"/>
  <c r="R62" i="8" s="1"/>
  <c r="O65" i="8"/>
  <c r="R65" i="8" s="1"/>
  <c r="O56" i="8"/>
  <c r="R56" i="8" s="1"/>
  <c r="O59" i="8"/>
  <c r="R59" i="8" s="1"/>
  <c r="O47" i="8"/>
  <c r="R47" i="8" s="1"/>
  <c r="O53" i="8"/>
  <c r="R53" i="8" s="1"/>
  <c r="O41" i="8"/>
  <c r="R41" i="8" s="1"/>
  <c r="O44" i="8"/>
  <c r="R44" i="8" s="1"/>
  <c r="O35" i="8"/>
  <c r="R35" i="8" s="1"/>
  <c r="O38" i="8"/>
  <c r="R38" i="8" s="1"/>
  <c r="O29" i="8"/>
  <c r="R29" i="8" s="1"/>
  <c r="O32" i="8"/>
  <c r="R32" i="8" s="1"/>
  <c r="O23" i="8"/>
  <c r="R23" i="8" s="1"/>
  <c r="O26" i="8"/>
  <c r="R26" i="8" s="1"/>
  <c r="O17" i="8"/>
  <c r="R17" i="8" s="1"/>
  <c r="F91" i="8" l="1"/>
  <c r="F94" i="8"/>
  <c r="F85" i="8"/>
  <c r="F88" i="8"/>
  <c r="F79" i="8"/>
  <c r="F82" i="8"/>
  <c r="F73" i="8"/>
  <c r="F76" i="8"/>
  <c r="F64" i="8"/>
  <c r="F67" i="8"/>
  <c r="F58" i="8"/>
  <c r="F61" i="8"/>
  <c r="F49" i="8"/>
  <c r="F55" i="8"/>
  <c r="F37" i="8"/>
  <c r="F43" i="8"/>
  <c r="F46" i="8"/>
  <c r="F40" i="8"/>
  <c r="F31" i="8"/>
  <c r="F34" i="8"/>
  <c r="F25" i="8"/>
  <c r="F28" i="8"/>
  <c r="AD23" i="8" a="1"/>
  <c r="AD23" i="8" s="1"/>
  <c r="E23" i="8" a="1"/>
  <c r="E23" i="8" s="1"/>
  <c r="Y23" i="8" a="1"/>
  <c r="Y23" i="8" s="1"/>
  <c r="AE23" i="8" a="1"/>
  <c r="AE23" i="8" s="1"/>
  <c r="Z23" i="8" a="1"/>
  <c r="Z23" i="8" s="1"/>
  <c r="AC23" i="8" a="1"/>
  <c r="AC23" i="8" s="1"/>
  <c r="U23" i="8" a="1"/>
  <c r="U23" i="8" s="1"/>
  <c r="W23" i="8" a="1"/>
  <c r="W23" i="8" s="1"/>
  <c r="AA23" i="8" a="1"/>
  <c r="AA23" i="8" s="1"/>
  <c r="X23" i="8" a="1"/>
  <c r="X23" i="8" s="1"/>
  <c r="AB23" i="8" a="1"/>
  <c r="AB23" i="8" s="1"/>
  <c r="V23" i="8" a="1"/>
  <c r="V23" i="8" s="1"/>
  <c r="AF23" i="8" a="1"/>
  <c r="AF23" i="8" s="1"/>
  <c r="F19" i="8"/>
  <c r="AD17" i="8" l="1" a="1"/>
  <c r="AD17" i="8" s="1"/>
  <c r="Y17" i="8" a="1"/>
  <c r="Y17" i="8" s="1"/>
  <c r="AE17" i="8" l="1" a="1"/>
  <c r="AE17" i="8" s="1"/>
  <c r="AC17" i="8" a="1"/>
  <c r="AC17" i="8" s="1"/>
  <c r="Z17" i="8" a="1"/>
  <c r="Z17" i="8" s="1"/>
  <c r="E17" i="8" a="1"/>
  <c r="E17" i="8" s="1"/>
  <c r="AB17" i="8" a="1"/>
  <c r="AB17" i="8" s="1"/>
  <c r="AF17" i="8" a="1"/>
  <c r="AF17" i="8" s="1"/>
  <c r="X17" i="8" a="1"/>
  <c r="X17" i="8" s="1"/>
  <c r="AA17" i="8" a="1"/>
  <c r="AA17" i="8" s="1"/>
  <c r="U17" i="8" a="1"/>
  <c r="U17" i="8" s="1"/>
  <c r="W17" i="8" a="1"/>
  <c r="W17" i="8" s="1"/>
  <c r="V17" i="8" a="1"/>
  <c r="V17" i="8" s="1"/>
  <c r="U113" i="8" l="1"/>
  <c r="V113" i="8" l="1"/>
  <c r="W113" i="8" l="1"/>
  <c r="X113" i="8" l="1"/>
  <c r="Y113" i="8" l="1"/>
  <c r="Z113" i="8" l="1"/>
  <c r="AA113" i="8" l="1"/>
  <c r="AB113" i="8" l="1"/>
  <c r="AC113" i="8" l="1"/>
  <c r="AD113" i="8" l="1"/>
  <c r="AE113" i="8" l="1"/>
  <c r="AF113" i="8" l="1"/>
  <c r="T113" i="8" s="1"/>
  <c r="B6" i="9" l="1" a="1"/>
  <c r="B6" i="9" s="1"/>
  <c r="M13" i="9" s="1"/>
  <c r="I64" i="5" l="1"/>
  <c r="I133" i="5" l="1"/>
  <c r="U98" i="8" l="1" a="1"/>
  <c r="U98" i="8" s="1"/>
  <c r="AB98" i="8" a="1"/>
  <c r="AB98" i="8" s="1"/>
  <c r="W98" i="8" a="1"/>
  <c r="W98" i="8" s="1"/>
  <c r="Z98" i="8" a="1"/>
  <c r="Z98" i="8" s="1"/>
  <c r="AE98" i="8" a="1"/>
  <c r="AE98" i="8" s="1"/>
  <c r="AC98" i="8" a="1"/>
  <c r="AC98" i="8" s="1"/>
  <c r="V98" i="8" a="1"/>
  <c r="V98" i="8" s="1"/>
  <c r="AF98" i="8" a="1"/>
  <c r="AF98" i="8" s="1"/>
  <c r="E98" i="8" a="1"/>
  <c r="E98" i="8" s="1"/>
  <c r="X98" i="8" a="1"/>
  <c r="X98" i="8" s="1"/>
  <c r="Y98" i="8" a="1"/>
  <c r="Y98" i="8" s="1"/>
  <c r="AA98" i="8" a="1"/>
  <c r="AA98" i="8" s="1"/>
  <c r="AD98" i="8" a="1"/>
  <c r="AD98" i="8" s="1"/>
  <c r="AE92" i="8" l="1" a="1"/>
  <c r="AE92" i="8" s="1"/>
  <c r="U92" i="8" a="1"/>
  <c r="U92" i="8" s="1"/>
  <c r="E92" i="8" a="1"/>
  <c r="E92" i="8" s="1"/>
  <c r="AA92" i="8" a="1"/>
  <c r="AA92" i="8" s="1"/>
  <c r="W92" i="8" a="1"/>
  <c r="W92" i="8" s="1"/>
  <c r="AD92" i="8" a="1"/>
  <c r="AD92" i="8" s="1"/>
  <c r="AB92" i="8" a="1"/>
  <c r="AB92" i="8" s="1"/>
  <c r="AF92" i="8" a="1"/>
  <c r="AF92" i="8" s="1"/>
  <c r="Z92" i="8" a="1"/>
  <c r="Z92" i="8" s="1"/>
  <c r="V92" i="8" a="1"/>
  <c r="V92" i="8" s="1"/>
  <c r="X92" i="8" a="1"/>
  <c r="X92" i="8" s="1"/>
  <c r="AC92" i="8" a="1"/>
  <c r="AC92" i="8" s="1"/>
  <c r="Y92" i="8" a="1"/>
  <c r="Y92" i="8" s="1"/>
  <c r="I92" i="5" l="1"/>
  <c r="AE38" i="8" l="1" a="1"/>
  <c r="AE38" i="8" s="1"/>
  <c r="AA38" i="8" a="1"/>
  <c r="AA38" i="8" s="1"/>
  <c r="AC38" i="8" a="1"/>
  <c r="AC38" i="8" s="1"/>
  <c r="Y38" i="8" a="1"/>
  <c r="Y38" i="8" s="1"/>
  <c r="W38" i="8" a="1"/>
  <c r="W38" i="8" s="1"/>
  <c r="AF38" i="8" a="1"/>
  <c r="AF38" i="8" s="1"/>
  <c r="AF92" i="5"/>
  <c r="AF173" i="5"/>
  <c r="AF218" i="5"/>
  <c r="AF226" i="5"/>
  <c r="AF146" i="5"/>
  <c r="AF195" i="5"/>
  <c r="AF210" i="5"/>
  <c r="AF133" i="5"/>
  <c r="AF190" i="5"/>
  <c r="AF109" i="5"/>
  <c r="AF122" i="5"/>
  <c r="AF95" i="5"/>
  <c r="AF70" i="5"/>
  <c r="AF164" i="5"/>
  <c r="AF58" i="5"/>
  <c r="AF227" i="5"/>
  <c r="AF110" i="5"/>
  <c r="AF64" i="5"/>
  <c r="AF140" i="5"/>
  <c r="AF145" i="5"/>
  <c r="AF129" i="5"/>
  <c r="AF200" i="5"/>
  <c r="AF206" i="5"/>
  <c r="AF74" i="5"/>
  <c r="U95" i="5" l="1"/>
  <c r="AG95" i="5"/>
  <c r="S95" i="5"/>
  <c r="F95" i="12" s="1"/>
  <c r="U190" i="5"/>
  <c r="AG190" i="5"/>
  <c r="S190" i="5"/>
  <c r="F190" i="12" s="1"/>
  <c r="AG226" i="5"/>
  <c r="U226" i="5"/>
  <c r="AN226" i="5" s="1"/>
  <c r="S226" i="5"/>
  <c r="F226" i="12" s="1"/>
  <c r="U206" i="5"/>
  <c r="AN206" i="5" s="1"/>
  <c r="S206" i="5"/>
  <c r="F206" i="12" s="1"/>
  <c r="AG206" i="5"/>
  <c r="U173" i="5"/>
  <c r="AN173" i="5" s="1"/>
  <c r="AG173" i="5"/>
  <c r="S173" i="5"/>
  <c r="F173" i="12" s="1"/>
  <c r="U64" i="5"/>
  <c r="AN64" i="5" s="1"/>
  <c r="S64" i="5"/>
  <c r="F64" i="12" s="1"/>
  <c r="AG64" i="5"/>
  <c r="AG129" i="5"/>
  <c r="S129" i="5"/>
  <c r="F129" i="12" s="1"/>
  <c r="U129" i="5"/>
  <c r="AN129" i="5" s="1"/>
  <c r="S146" i="5"/>
  <c r="AG146" i="5"/>
  <c r="AG70" i="5"/>
  <c r="U70" i="5"/>
  <c r="S70" i="5"/>
  <c r="F70" i="12" s="1"/>
  <c r="AG122" i="5"/>
  <c r="U122" i="5"/>
  <c r="AN122" i="5" s="1"/>
  <c r="S122" i="5"/>
  <c r="F122" i="12" s="1"/>
  <c r="U58" i="5"/>
  <c r="AN58" i="5" s="1"/>
  <c r="AG58" i="5"/>
  <c r="S58" i="5"/>
  <c r="F58" i="12" s="1"/>
  <c r="AG110" i="5"/>
  <c r="S110" i="5"/>
  <c r="S195" i="5"/>
  <c r="F195" i="12" s="1"/>
  <c r="U195" i="5"/>
  <c r="AG195" i="5"/>
  <c r="AG164" i="5"/>
  <c r="S164" i="5"/>
  <c r="F164" i="12" s="1"/>
  <c r="U164" i="5"/>
  <c r="AN164" i="5" s="1"/>
  <c r="U145" i="5"/>
  <c r="AG145" i="5"/>
  <c r="S145" i="5"/>
  <c r="F145" i="12" s="1"/>
  <c r="AG140" i="5"/>
  <c r="S140" i="5"/>
  <c r="F140" i="12" s="1"/>
  <c r="U140" i="5"/>
  <c r="AN140" i="5" s="1"/>
  <c r="U133" i="5"/>
  <c r="S133" i="5"/>
  <c r="F133" i="12" s="1"/>
  <c r="AG133" i="5"/>
  <c r="S92" i="5"/>
  <c r="F92" i="12" s="1"/>
  <c r="AG92" i="5"/>
  <c r="U92" i="5"/>
  <c r="AN92" i="5" s="1"/>
  <c r="S109" i="5"/>
  <c r="AG109" i="5"/>
  <c r="AG200" i="5"/>
  <c r="S200" i="5"/>
  <c r="F200" i="12" s="1"/>
  <c r="U200" i="5"/>
  <c r="AN200" i="5" s="1"/>
  <c r="S74" i="5"/>
  <c r="F74" i="12" s="1"/>
  <c r="AG74" i="5"/>
  <c r="U74" i="5"/>
  <c r="AN74" i="5" s="1"/>
  <c r="S227" i="5"/>
  <c r="AG227" i="5"/>
  <c r="AG218" i="5"/>
  <c r="S218" i="5"/>
  <c r="F218" i="12" s="1"/>
  <c r="U218" i="5"/>
  <c r="AN218" i="5" s="1"/>
  <c r="S210" i="5"/>
  <c r="F210" i="12" s="1"/>
  <c r="AG210" i="5"/>
  <c r="U210" i="5"/>
  <c r="I99" i="5"/>
  <c r="AC173" i="5" l="1" a="1"/>
  <c r="AC173" i="5" s="1"/>
  <c r="AC218" i="5" a="1"/>
  <c r="AC218" i="5" s="1"/>
  <c r="AC164" i="5" a="1"/>
  <c r="AC164" i="5" s="1"/>
  <c r="AC140" i="5" a="1"/>
  <c r="AC140" i="5" s="1"/>
  <c r="AC206" i="5" a="1"/>
  <c r="AC206" i="5" s="1"/>
  <c r="AC58" i="5" a="1"/>
  <c r="AC58" i="5" s="1"/>
  <c r="AC92" i="5" a="1"/>
  <c r="AC92" i="5" s="1"/>
  <c r="AC226" i="5" a="1"/>
  <c r="AC226" i="5" s="1"/>
  <c r="AC200" i="5" a="1"/>
  <c r="AC200" i="5" s="1"/>
  <c r="AC129" i="5" a="1"/>
  <c r="AC129" i="5" s="1"/>
  <c r="AC227" i="5" a="1"/>
  <c r="AC227" i="5" s="1"/>
  <c r="F227" i="12"/>
  <c r="AN70" i="5"/>
  <c r="AC70" i="5" s="1" a="1"/>
  <c r="AC70" i="5" s="1"/>
  <c r="AN95" i="5"/>
  <c r="AC95" i="5" s="1" a="1"/>
  <c r="AC95" i="5" s="1"/>
  <c r="AC74" i="5" a="1"/>
  <c r="AC74" i="5" s="1"/>
  <c r="AN210" i="5"/>
  <c r="AC210" i="5" s="1" a="1"/>
  <c r="AC210" i="5" s="1"/>
  <c r="F109" i="12"/>
  <c r="AC109" i="5" a="1"/>
  <c r="AC109" i="5" s="1"/>
  <c r="AN145" i="5"/>
  <c r="AC145" i="5" s="1" a="1"/>
  <c r="AC145" i="5" s="1"/>
  <c r="AC122" i="5" a="1"/>
  <c r="AC122" i="5" s="1"/>
  <c r="AC64" i="5" a="1"/>
  <c r="AC64" i="5" s="1"/>
  <c r="AN190" i="5"/>
  <c r="AC190" i="5" s="1" a="1"/>
  <c r="AC190" i="5" s="1"/>
  <c r="AN195" i="5"/>
  <c r="AC195" i="5" s="1" a="1"/>
  <c r="AC195" i="5" s="1"/>
  <c r="AN133" i="5"/>
  <c r="AC133" i="5" s="1" a="1"/>
  <c r="AC133" i="5" s="1"/>
  <c r="AC110" i="5" a="1"/>
  <c r="AC110" i="5" s="1"/>
  <c r="F110" i="12"/>
  <c r="F146" i="12"/>
  <c r="AC146" i="5" a="1"/>
  <c r="AC146" i="5" s="1"/>
  <c r="V65" i="8" l="1" a="1"/>
  <c r="V65" i="8" s="1"/>
  <c r="V50" i="8" l="1" a="1"/>
  <c r="V50" i="8" s="1"/>
  <c r="W65" i="8" a="1"/>
  <c r="W65" i="8" s="1"/>
  <c r="Z65" i="8" a="1"/>
  <c r="Z65" i="8" s="1"/>
  <c r="AD65" i="8" a="1"/>
  <c r="AD65" i="8" s="1"/>
  <c r="Y65" i="8" a="1"/>
  <c r="Y65" i="8" s="1"/>
  <c r="AC65" i="8" a="1"/>
  <c r="AC65" i="8" s="1"/>
  <c r="U65" i="8" a="1"/>
  <c r="U65" i="8" s="1"/>
  <c r="AA65" i="8" a="1"/>
  <c r="AA65" i="8" s="1"/>
  <c r="AE65" i="8" a="1"/>
  <c r="AE65" i="8" s="1"/>
  <c r="AB65" i="8" a="1"/>
  <c r="AB65" i="8" s="1"/>
  <c r="AF65" i="8" a="1"/>
  <c r="AF65" i="8" s="1"/>
  <c r="X65" i="8" a="1"/>
  <c r="X65" i="8" s="1"/>
  <c r="E65" i="8" a="1"/>
  <c r="E65" i="8" s="1"/>
  <c r="AC50" i="8" l="1" a="1"/>
  <c r="AC50" i="8" s="1"/>
  <c r="AF50" i="8" a="1"/>
  <c r="AF50" i="8" s="1"/>
  <c r="Y50" i="8" a="1"/>
  <c r="Y50" i="8" s="1"/>
  <c r="X50" i="8" a="1"/>
  <c r="X50" i="8" s="1"/>
  <c r="AB50" i="8" a="1"/>
  <c r="AB50" i="8" s="1"/>
  <c r="AD50" i="8" a="1"/>
  <c r="AD50" i="8" s="1"/>
  <c r="AE50" i="8" a="1"/>
  <c r="AE50" i="8" s="1"/>
  <c r="Z50" i="8" a="1"/>
  <c r="Z50" i="8" s="1"/>
  <c r="AA50" i="8" a="1"/>
  <c r="AA50" i="8" s="1"/>
  <c r="W50" i="8" a="1"/>
  <c r="W50" i="8" s="1"/>
  <c r="E50" i="8" a="1"/>
  <c r="E50" i="8" s="1"/>
  <c r="U50" i="8" a="1"/>
  <c r="U50" i="8" s="1"/>
  <c r="AE95" i="8" a="1"/>
  <c r="AE95" i="8" s="1"/>
  <c r="Z95" i="8" a="1"/>
  <c r="Z95" i="8" s="1"/>
  <c r="AD95" i="8" a="1"/>
  <c r="AD95" i="8" s="1"/>
  <c r="W95" i="8" a="1"/>
  <c r="W95" i="8" s="1"/>
  <c r="E95" i="8" a="1"/>
  <c r="E95" i="8" s="1"/>
  <c r="U95" i="8" a="1"/>
  <c r="U95" i="8" s="1"/>
  <c r="X95" i="8" a="1"/>
  <c r="X95" i="8" s="1"/>
  <c r="AC95" i="8" a="1"/>
  <c r="AC95" i="8" s="1"/>
  <c r="Y95" i="8" a="1"/>
  <c r="Y95" i="8" s="1"/>
  <c r="AB95" i="8" a="1"/>
  <c r="AB95" i="8" s="1"/>
  <c r="AF95" i="8" a="1"/>
  <c r="AF95" i="8" s="1"/>
  <c r="AA95" i="8" a="1"/>
  <c r="AA95" i="8" s="1"/>
  <c r="U68" i="8" l="1" a="1"/>
  <c r="U68" i="8" s="1"/>
  <c r="AC68" i="8" a="1"/>
  <c r="AC68" i="8" s="1"/>
  <c r="AF68" i="8" a="1"/>
  <c r="AF68" i="8" s="1"/>
  <c r="W68" i="8" a="1"/>
  <c r="W68" i="8" s="1"/>
  <c r="AB68" i="8" a="1"/>
  <c r="AB68" i="8" s="1"/>
  <c r="Z68" i="8" a="1"/>
  <c r="Z68" i="8" s="1"/>
  <c r="AA68" i="8" a="1"/>
  <c r="AA68" i="8" s="1"/>
  <c r="E68" i="8" a="1"/>
  <c r="E68" i="8" s="1"/>
  <c r="Z56" i="8" l="1" a="1"/>
  <c r="Z56" i="8" s="1"/>
  <c r="AF56" i="8" a="1"/>
  <c r="AF56" i="8" s="1"/>
  <c r="V56" i="8" a="1"/>
  <c r="V56" i="8" s="1"/>
  <c r="AC56" i="8" a="1"/>
  <c r="AC56" i="8" s="1"/>
  <c r="E56" i="8" a="1"/>
  <c r="E56" i="8" s="1"/>
  <c r="W56" i="8" a="1"/>
  <c r="W56" i="8" s="1"/>
  <c r="X56" i="8" a="1"/>
  <c r="X56" i="8" s="1"/>
  <c r="AE56" i="8" a="1"/>
  <c r="AE56" i="8" s="1"/>
  <c r="AA56" i="8" a="1"/>
  <c r="AA56" i="8" s="1"/>
  <c r="AB56" i="8" a="1"/>
  <c r="AB56" i="8" s="1"/>
  <c r="Y56" i="8" a="1"/>
  <c r="Y56" i="8" s="1"/>
  <c r="AD56" i="8" a="1"/>
  <c r="AD56" i="8" s="1"/>
  <c r="U56" i="8" a="1"/>
  <c r="U56" i="8" s="1"/>
  <c r="I38" i="5" l="1"/>
  <c r="K10" i="8" l="1" a="1"/>
  <c r="K10" i="8" s="1"/>
  <c r="Y68" i="8" l="1" a="1"/>
  <c r="Y68" i="8" s="1"/>
  <c r="V29" i="8" l="1" a="1"/>
  <c r="V29" i="8" s="1"/>
  <c r="W29" i="8" a="1"/>
  <c r="W29" i="8" s="1"/>
  <c r="I173" i="5" l="1"/>
  <c r="Z77" i="8" l="1" a="1"/>
  <c r="Z77" i="8" s="1"/>
  <c r="Y77" i="8" a="1"/>
  <c r="Y77" i="8" s="1"/>
  <c r="AA77" i="8" a="1"/>
  <c r="AA77" i="8" s="1"/>
  <c r="X98" i="5" l="1" a="1"/>
  <c r="X98" i="5" s="1"/>
  <c r="X226" i="5" a="1"/>
  <c r="X226" i="5" s="1"/>
  <c r="AF21" i="5"/>
  <c r="AF61" i="5"/>
  <c r="AF132" i="5"/>
  <c r="AF123" i="5"/>
  <c r="AF51" i="5"/>
  <c r="AF101" i="5"/>
  <c r="AF194" i="5"/>
  <c r="AF72" i="5"/>
  <c r="AF78" i="5"/>
  <c r="AF36" i="5"/>
  <c r="AF24" i="5"/>
  <c r="AF174" i="5"/>
  <c r="AF215" i="5"/>
  <c r="AF162" i="5"/>
  <c r="AF100" i="5"/>
  <c r="AF85" i="5"/>
  <c r="AF160" i="5"/>
  <c r="AF149" i="5"/>
  <c r="AF93" i="5"/>
  <c r="AF204" i="5"/>
  <c r="AF161" i="5"/>
  <c r="AF152" i="5"/>
  <c r="AF216" i="5"/>
  <c r="AF42" i="5"/>
  <c r="AF57" i="5"/>
  <c r="AF197" i="5"/>
  <c r="AF124" i="5"/>
  <c r="AF138" i="5"/>
  <c r="AF134" i="5"/>
  <c r="AF127" i="5"/>
  <c r="AF183" i="5"/>
  <c r="AF130" i="5"/>
  <c r="AF29" i="5"/>
  <c r="AF225" i="5"/>
  <c r="AF220" i="5"/>
  <c r="AF40" i="5"/>
  <c r="AF67" i="5"/>
  <c r="AF26" i="5"/>
  <c r="AF148" i="5"/>
  <c r="AF111" i="5"/>
  <c r="AF32" i="5"/>
  <c r="AF47" i="5"/>
  <c r="AF65" i="5"/>
  <c r="AF198" i="5"/>
  <c r="AF69" i="5"/>
  <c r="AF193" i="5"/>
  <c r="AF196" i="5"/>
  <c r="AF17" i="5"/>
  <c r="AF202" i="5"/>
  <c r="AF63" i="5"/>
  <c r="AF83" i="5"/>
  <c r="AF212" i="5"/>
  <c r="AF139" i="5"/>
  <c r="AF80" i="5"/>
  <c r="AF126" i="5"/>
  <c r="AF224" i="5"/>
  <c r="AF16" i="5"/>
  <c r="AF107" i="5"/>
  <c r="AF142" i="5"/>
  <c r="AF18" i="5"/>
  <c r="AF84" i="5"/>
  <c r="AF23" i="5"/>
  <c r="AF168" i="5"/>
  <c r="AF205" i="5"/>
  <c r="AF28" i="5"/>
  <c r="AF179" i="5"/>
  <c r="AF165" i="5"/>
  <c r="AF68" i="5"/>
  <c r="AF39" i="5"/>
  <c r="AF20" i="5"/>
  <c r="AF187" i="5"/>
  <c r="AF169" i="5"/>
  <c r="AF192" i="5"/>
  <c r="AF102" i="5"/>
  <c r="AF155" i="5"/>
  <c r="AF222" i="5"/>
  <c r="AF44" i="5"/>
  <c r="AF182" i="5"/>
  <c r="AF30" i="5"/>
  <c r="AF34" i="5"/>
  <c r="AF219" i="5"/>
  <c r="AF33" i="5"/>
  <c r="AF89" i="5"/>
  <c r="AF143" i="5"/>
  <c r="AF81" i="5"/>
  <c r="AF125" i="5"/>
  <c r="AF90" i="5"/>
  <c r="AF153" i="5"/>
  <c r="AF62" i="5"/>
  <c r="AF35" i="5"/>
  <c r="AF175" i="5"/>
  <c r="AF157" i="5"/>
  <c r="AF66" i="5"/>
  <c r="AF43" i="5"/>
  <c r="AF135" i="5"/>
  <c r="AF79" i="5"/>
  <c r="AF211" i="5"/>
  <c r="AF163" i="5"/>
  <c r="AF14" i="5"/>
  <c r="AF56" i="5"/>
  <c r="AF73" i="5"/>
  <c r="AF156" i="5"/>
  <c r="AF229" i="5"/>
  <c r="AF52" i="5"/>
  <c r="AF201" i="5"/>
  <c r="AF159" i="5"/>
  <c r="AF118" i="5"/>
  <c r="AF77" i="5"/>
  <c r="AF166" i="5"/>
  <c r="AF189" i="5"/>
  <c r="AF158" i="5"/>
  <c r="AF38" i="5"/>
  <c r="AF184" i="5"/>
  <c r="AF48" i="5"/>
  <c r="AF137" i="5"/>
  <c r="AF60" i="5"/>
  <c r="AF191" i="5"/>
  <c r="AF112" i="5"/>
  <c r="AF19" i="5"/>
  <c r="AF217" i="5"/>
  <c r="AF31" i="5"/>
  <c r="AF128" i="5"/>
  <c r="AF25" i="5"/>
  <c r="AF207" i="5"/>
  <c r="AF41" i="5"/>
  <c r="AF136" i="5"/>
  <c r="AF116" i="5"/>
  <c r="AF54" i="5"/>
  <c r="AF121" i="5"/>
  <c r="AF96" i="5"/>
  <c r="AF106" i="5"/>
  <c r="AF22" i="5"/>
  <c r="AF172" i="5"/>
  <c r="AF171" i="5"/>
  <c r="AF147" i="5"/>
  <c r="AF150" i="5"/>
  <c r="AF117" i="5"/>
  <c r="AF154" i="5"/>
  <c r="AF104" i="5"/>
  <c r="AF75" i="5"/>
  <c r="AF188" i="5"/>
  <c r="AF151" i="5"/>
  <c r="AF113" i="5"/>
  <c r="AF27" i="5"/>
  <c r="AF170" i="5"/>
  <c r="AF141" i="5"/>
  <c r="AF177" i="5"/>
  <c r="AF49" i="5"/>
  <c r="AF55" i="5"/>
  <c r="AF176" i="5"/>
  <c r="AF120" i="5"/>
  <c r="AF208" i="5"/>
  <c r="AF97" i="5"/>
  <c r="AF94" i="5"/>
  <c r="AF45" i="5"/>
  <c r="AF230" i="5"/>
  <c r="AF185" i="5"/>
  <c r="AF108" i="5"/>
  <c r="AF37" i="5"/>
  <c r="AF91" i="5"/>
  <c r="AF119" i="5"/>
  <c r="AF181" i="5"/>
  <c r="AF213" i="5"/>
  <c r="AF203" i="5"/>
  <c r="AF59" i="5"/>
  <c r="AF228" i="5"/>
  <c r="AF50" i="5"/>
  <c r="AF144" i="5"/>
  <c r="AF186" i="5"/>
  <c r="AF88" i="5"/>
  <c r="AF105" i="5"/>
  <c r="AF178" i="5"/>
  <c r="AF214" i="5"/>
  <c r="AF46" i="5"/>
  <c r="AF167" i="5"/>
  <c r="AF76" i="5"/>
  <c r="AF199" i="5"/>
  <c r="AF115" i="5"/>
  <c r="AF86" i="5"/>
  <c r="AF103" i="5"/>
  <c r="AF87" i="5"/>
  <c r="AF82" i="5"/>
  <c r="AF180" i="5"/>
  <c r="AF114" i="5"/>
  <c r="AF131" i="5"/>
  <c r="AF209" i="5"/>
  <c r="AF53" i="5"/>
  <c r="AF71" i="5"/>
  <c r="R71" i="5" l="1"/>
  <c r="S71" i="5"/>
  <c r="U71" i="5"/>
  <c r="AG71" i="5"/>
  <c r="AG53" i="5"/>
  <c r="S53" i="5"/>
  <c r="R53" i="5"/>
  <c r="U53" i="5"/>
  <c r="S209" i="5"/>
  <c r="AG209" i="5"/>
  <c r="U209" i="5"/>
  <c r="R209" i="5"/>
  <c r="S131" i="5"/>
  <c r="R131" i="5"/>
  <c r="U131" i="5"/>
  <c r="AG131" i="5"/>
  <c r="U114" i="5"/>
  <c r="AG114" i="5"/>
  <c r="S114" i="5"/>
  <c r="R114" i="5"/>
  <c r="S180" i="5"/>
  <c r="AG180" i="5"/>
  <c r="R180" i="5"/>
  <c r="U180" i="5"/>
  <c r="R82" i="5"/>
  <c r="S82" i="5"/>
  <c r="AG82" i="5"/>
  <c r="U82" i="5" s="1"/>
  <c r="AG87" i="5"/>
  <c r="R87" i="5"/>
  <c r="S87" i="5"/>
  <c r="U87" i="5"/>
  <c r="AG103" i="5"/>
  <c r="S103" i="5"/>
  <c r="R103" i="5"/>
  <c r="U103" i="5"/>
  <c r="R86" i="5"/>
  <c r="S86" i="5"/>
  <c r="AG86" i="5"/>
  <c r="U86" i="5"/>
  <c r="U115" i="5"/>
  <c r="AG115" i="5"/>
  <c r="R115" i="5"/>
  <c r="S115" i="5"/>
  <c r="U199" i="5"/>
  <c r="AG199" i="5"/>
  <c r="R199" i="5"/>
  <c r="S199" i="5"/>
  <c r="U76" i="5"/>
  <c r="R76" i="5"/>
  <c r="S76" i="5"/>
  <c r="AG76" i="5"/>
  <c r="AG167" i="5"/>
  <c r="R167" i="5"/>
  <c r="S167" i="5"/>
  <c r="U167" i="5"/>
  <c r="S46" i="5"/>
  <c r="R46" i="5"/>
  <c r="U46" i="5"/>
  <c r="AG46" i="5"/>
  <c r="S214" i="5"/>
  <c r="R214" i="5"/>
  <c r="U214" i="5"/>
  <c r="AG214" i="5"/>
  <c r="S178" i="5"/>
  <c r="AG178" i="5"/>
  <c r="U178" i="5"/>
  <c r="R178" i="5"/>
  <c r="U105" i="5"/>
  <c r="AG105" i="5"/>
  <c r="R105" i="5"/>
  <c r="S105" i="5"/>
  <c r="U88" i="5"/>
  <c r="R88" i="5"/>
  <c r="S88" i="5"/>
  <c r="AG88" i="5"/>
  <c r="R186" i="5"/>
  <c r="AG186" i="5"/>
  <c r="U186" i="5"/>
  <c r="S186" i="5"/>
  <c r="R144" i="5"/>
  <c r="U144" i="5"/>
  <c r="S144" i="5"/>
  <c r="AG144" i="5"/>
  <c r="S50" i="5"/>
  <c r="AG50" i="5"/>
  <c r="R50" i="5"/>
  <c r="U50" i="5"/>
  <c r="R228" i="5"/>
  <c r="U228" i="5"/>
  <c r="AG228" i="5"/>
  <c r="S228" i="5"/>
  <c r="R59" i="5"/>
  <c r="S59" i="5"/>
  <c r="U59" i="5"/>
  <c r="AG59" i="5"/>
  <c r="U203" i="5"/>
  <c r="AG203" i="5"/>
  <c r="S203" i="5"/>
  <c r="R203" i="5"/>
  <c r="R213" i="5"/>
  <c r="S213" i="5"/>
  <c r="U213" i="5"/>
  <c r="AG213" i="5"/>
  <c r="R181" i="5"/>
  <c r="S181" i="5"/>
  <c r="AG181" i="5"/>
  <c r="U181" i="5"/>
  <c r="S119" i="5"/>
  <c r="AG119" i="5"/>
  <c r="R119" i="5"/>
  <c r="U119" i="5"/>
  <c r="AG91" i="5"/>
  <c r="S91" i="5"/>
  <c r="R91" i="5"/>
  <c r="U91" i="5"/>
  <c r="U37" i="5"/>
  <c r="AG37" i="5"/>
  <c r="R37" i="5"/>
  <c r="S37" i="5"/>
  <c r="AG108" i="5"/>
  <c r="R108" i="5"/>
  <c r="U108" i="5"/>
  <c r="S108" i="5"/>
  <c r="R185" i="5"/>
  <c r="AG185" i="5"/>
  <c r="U185" i="5"/>
  <c r="S185" i="5"/>
  <c r="AG230" i="5"/>
  <c r="R230" i="5"/>
  <c r="S230" i="5"/>
  <c r="U230" i="5"/>
  <c r="R45" i="5"/>
  <c r="AG45" i="5"/>
  <c r="U45" i="5"/>
  <c r="S45" i="5"/>
  <c r="AG94" i="5"/>
  <c r="S94" i="5"/>
  <c r="R94" i="5"/>
  <c r="U94" i="5"/>
  <c r="S97" i="5"/>
  <c r="R97" i="5"/>
  <c r="AG97" i="5"/>
  <c r="U97" i="5"/>
  <c r="S208" i="5"/>
  <c r="AG208" i="5"/>
  <c r="U208" i="5"/>
  <c r="R208" i="5"/>
  <c r="U120" i="5"/>
  <c r="AG120" i="5"/>
  <c r="S120" i="5"/>
  <c r="R120" i="5"/>
  <c r="AG176" i="5"/>
  <c r="S176" i="5"/>
  <c r="R176" i="5"/>
  <c r="U176" i="5"/>
  <c r="R55" i="5"/>
  <c r="U55" i="5"/>
  <c r="AG55" i="5"/>
  <c r="S55" i="5"/>
  <c r="U49" i="5"/>
  <c r="S49" i="5"/>
  <c r="R49" i="5"/>
  <c r="AG49" i="5"/>
  <c r="S177" i="5"/>
  <c r="U177" i="5"/>
  <c r="AG177" i="5"/>
  <c r="R177" i="5"/>
  <c r="S141" i="5"/>
  <c r="U141" i="5"/>
  <c r="AG141" i="5"/>
  <c r="R141" i="5"/>
  <c r="S170" i="5"/>
  <c r="AG170" i="5"/>
  <c r="U170" i="5"/>
  <c r="R170" i="5"/>
  <c r="AG27" i="5"/>
  <c r="U27" i="5" s="1"/>
  <c r="R27" i="5"/>
  <c r="S27" i="5"/>
  <c r="R113" i="5"/>
  <c r="AG113" i="5"/>
  <c r="U113" i="5"/>
  <c r="S113" i="5"/>
  <c r="U151" i="5"/>
  <c r="S151" i="5"/>
  <c r="AG151" i="5"/>
  <c r="R151" i="5"/>
  <c r="AG188" i="5"/>
  <c r="S188" i="5"/>
  <c r="R188" i="5"/>
  <c r="U188" i="5"/>
  <c r="U75" i="5"/>
  <c r="S75" i="5"/>
  <c r="AG75" i="5"/>
  <c r="R75" i="5"/>
  <c r="U104" i="5"/>
  <c r="AG104" i="5"/>
  <c r="R104" i="5"/>
  <c r="S104" i="5"/>
  <c r="S154" i="5"/>
  <c r="R154" i="5"/>
  <c r="AG154" i="5"/>
  <c r="U154" i="5"/>
  <c r="R117" i="5"/>
  <c r="U117" i="5"/>
  <c r="AG117" i="5"/>
  <c r="S117" i="5"/>
  <c r="AG150" i="5"/>
  <c r="R150" i="5"/>
  <c r="S150" i="5"/>
  <c r="U150" i="5"/>
  <c r="U147" i="5"/>
  <c r="R147" i="5"/>
  <c r="S147" i="5"/>
  <c r="AG147" i="5"/>
  <c r="U171" i="5"/>
  <c r="S171" i="5"/>
  <c r="AG171" i="5"/>
  <c r="R171" i="5"/>
  <c r="R172" i="5"/>
  <c r="AG172" i="5"/>
  <c r="S172" i="5"/>
  <c r="U172" i="5"/>
  <c r="AG22" i="5"/>
  <c r="S22" i="5"/>
  <c r="F22" i="12" s="1"/>
  <c r="U22" i="5"/>
  <c r="R106" i="5"/>
  <c r="S106" i="5"/>
  <c r="AG106" i="5"/>
  <c r="U106" i="5"/>
  <c r="U96" i="5"/>
  <c r="S96" i="5"/>
  <c r="R96" i="5"/>
  <c r="AG96" i="5"/>
  <c r="R121" i="5"/>
  <c r="S121" i="5"/>
  <c r="U121" i="5"/>
  <c r="AG121" i="5"/>
  <c r="S54" i="5"/>
  <c r="AG54" i="5"/>
  <c r="R54" i="5"/>
  <c r="U54" i="5"/>
  <c r="S116" i="5"/>
  <c r="AG116" i="5"/>
  <c r="R116" i="5"/>
  <c r="U116" i="5"/>
  <c r="U136" i="5"/>
  <c r="AG136" i="5"/>
  <c r="R136" i="5"/>
  <c r="S136" i="5"/>
  <c r="U41" i="5"/>
  <c r="AG41" i="5"/>
  <c r="R41" i="5"/>
  <c r="S41" i="5"/>
  <c r="S207" i="5"/>
  <c r="R207" i="5"/>
  <c r="AG207" i="5"/>
  <c r="U207" i="5"/>
  <c r="S25" i="5"/>
  <c r="U25" i="5"/>
  <c r="AG25" i="5"/>
  <c r="R25" i="5"/>
  <c r="R128" i="5"/>
  <c r="AG128" i="5"/>
  <c r="S128" i="5"/>
  <c r="U128" i="5"/>
  <c r="U31" i="5"/>
  <c r="AG31" i="5"/>
  <c r="S31" i="5"/>
  <c r="R31" i="5"/>
  <c r="S217" i="5"/>
  <c r="AG217" i="5"/>
  <c r="R217" i="5"/>
  <c r="U217" i="5"/>
  <c r="R19" i="5"/>
  <c r="AG19" i="5"/>
  <c r="S19" i="5"/>
  <c r="U19" i="5"/>
  <c r="AG112" i="5"/>
  <c r="U112" i="5" s="1"/>
  <c r="S112" i="5"/>
  <c r="R112" i="5"/>
  <c r="S191" i="5"/>
  <c r="U191" i="5"/>
  <c r="R191" i="5"/>
  <c r="AG191" i="5"/>
  <c r="AG60" i="5"/>
  <c r="R60" i="5"/>
  <c r="U60" i="5"/>
  <c r="S60" i="5"/>
  <c r="U137" i="5"/>
  <c r="AG137" i="5"/>
  <c r="S137" i="5"/>
  <c r="R137" i="5"/>
  <c r="AG48" i="5"/>
  <c r="S48" i="5"/>
  <c r="U48" i="5"/>
  <c r="R48" i="5"/>
  <c r="S184" i="5"/>
  <c r="R184" i="5"/>
  <c r="AG184" i="5"/>
  <c r="U184" i="5"/>
  <c r="AG38" i="5"/>
  <c r="U38" i="5"/>
  <c r="S38" i="5"/>
  <c r="F38" i="12" s="1"/>
  <c r="R158" i="5"/>
  <c r="U158" i="5"/>
  <c r="S158" i="5"/>
  <c r="AG158" i="5"/>
  <c r="AG189" i="5"/>
  <c r="U189" i="5" s="1"/>
  <c r="S189" i="5"/>
  <c r="R189" i="5"/>
  <c r="R166" i="5"/>
  <c r="AG166" i="5"/>
  <c r="U166" i="5" s="1"/>
  <c r="S166" i="5"/>
  <c r="AG77" i="5"/>
  <c r="R77" i="5"/>
  <c r="S77" i="5"/>
  <c r="U77" i="5"/>
  <c r="AG118" i="5"/>
  <c r="U118" i="5"/>
  <c r="S118" i="5"/>
  <c r="R118" i="5"/>
  <c r="AG159" i="5"/>
  <c r="U159" i="5"/>
  <c r="R159" i="5"/>
  <c r="S159" i="5"/>
  <c r="U201" i="5"/>
  <c r="AG201" i="5"/>
  <c r="S201" i="5"/>
  <c r="R201" i="5"/>
  <c r="U52" i="5"/>
  <c r="S52" i="5"/>
  <c r="AG52" i="5"/>
  <c r="R52" i="5"/>
  <c r="AG229" i="5"/>
  <c r="U229" i="5"/>
  <c r="S229" i="5"/>
  <c r="R229" i="5"/>
  <c r="AG156" i="5"/>
  <c r="R156" i="5"/>
  <c r="U156" i="5"/>
  <c r="S156" i="5"/>
  <c r="AG73" i="5"/>
  <c r="R73" i="5"/>
  <c r="U73" i="5"/>
  <c r="S73" i="5"/>
  <c r="R56" i="5"/>
  <c r="S56" i="5"/>
  <c r="U56" i="5"/>
  <c r="AG56" i="5"/>
  <c r="S14" i="5"/>
  <c r="R14" i="5"/>
  <c r="AG14" i="5"/>
  <c r="U163" i="5"/>
  <c r="AG163" i="5"/>
  <c r="S163" i="5"/>
  <c r="R163" i="5"/>
  <c r="R211" i="5"/>
  <c r="S211" i="5"/>
  <c r="AG211" i="5"/>
  <c r="U211" i="5"/>
  <c r="R79" i="5"/>
  <c r="U79" i="5"/>
  <c r="AG79" i="5"/>
  <c r="S79" i="5"/>
  <c r="R135" i="5"/>
  <c r="U135" i="5"/>
  <c r="AG135" i="5"/>
  <c r="S135" i="5"/>
  <c r="S43" i="5"/>
  <c r="U43" i="5"/>
  <c r="AG43" i="5"/>
  <c r="R43" i="5"/>
  <c r="R66" i="5"/>
  <c r="U66" i="5"/>
  <c r="AG66" i="5"/>
  <c r="S66" i="5"/>
  <c r="R157" i="5"/>
  <c r="U157" i="5"/>
  <c r="AG157" i="5"/>
  <c r="S157" i="5"/>
  <c r="R175" i="5"/>
  <c r="AG175" i="5"/>
  <c r="S175" i="5"/>
  <c r="U175" i="5"/>
  <c r="S35" i="5"/>
  <c r="U35" i="5"/>
  <c r="R35" i="5"/>
  <c r="AG35" i="5"/>
  <c r="R62" i="5"/>
  <c r="S62" i="5"/>
  <c r="U62" i="5"/>
  <c r="AN62" i="5" s="1"/>
  <c r="AG62" i="5"/>
  <c r="U153" i="5"/>
  <c r="AG153" i="5"/>
  <c r="R153" i="5"/>
  <c r="S153" i="5"/>
  <c r="R90" i="5"/>
  <c r="S90" i="5"/>
  <c r="U90" i="5"/>
  <c r="AG90" i="5"/>
  <c r="AG125" i="5"/>
  <c r="R125" i="5"/>
  <c r="U125" i="5"/>
  <c r="S125" i="5"/>
  <c r="S81" i="5"/>
  <c r="R81" i="5"/>
  <c r="AG81" i="5"/>
  <c r="U81" i="5"/>
  <c r="R143" i="5"/>
  <c r="AG143" i="5"/>
  <c r="S143" i="5"/>
  <c r="U143" i="5"/>
  <c r="AG89" i="5"/>
  <c r="R89" i="5"/>
  <c r="S89" i="5"/>
  <c r="U89" i="5"/>
  <c r="S33" i="5"/>
  <c r="AG33" i="5"/>
  <c r="U33" i="5"/>
  <c r="R33" i="5"/>
  <c r="R219" i="5"/>
  <c r="AG219" i="5"/>
  <c r="S219" i="5"/>
  <c r="U219" i="5"/>
  <c r="AG34" i="5"/>
  <c r="S34" i="5"/>
  <c r="U34" i="5"/>
  <c r="R34" i="5"/>
  <c r="AG30" i="5"/>
  <c r="R30" i="5"/>
  <c r="S30" i="5"/>
  <c r="U30" i="5"/>
  <c r="S182" i="5"/>
  <c r="R182" i="5"/>
  <c r="U182" i="5"/>
  <c r="AG182" i="5"/>
  <c r="S44" i="5"/>
  <c r="U44" i="5"/>
  <c r="R44" i="5"/>
  <c r="AG44" i="5"/>
  <c r="R222" i="5"/>
  <c r="S222" i="5"/>
  <c r="AG222" i="5"/>
  <c r="AG155" i="5"/>
  <c r="S155" i="5"/>
  <c r="R155" i="5"/>
  <c r="U155" i="5"/>
  <c r="S102" i="5"/>
  <c r="U102" i="5"/>
  <c r="R102" i="5"/>
  <c r="AG102" i="5"/>
  <c r="U192" i="5"/>
  <c r="R192" i="5"/>
  <c r="AG192" i="5"/>
  <c r="S192" i="5"/>
  <c r="U169" i="5"/>
  <c r="AG169" i="5"/>
  <c r="R169" i="5"/>
  <c r="S169" i="5"/>
  <c r="R187" i="5"/>
  <c r="U187" i="5"/>
  <c r="S187" i="5"/>
  <c r="AG187" i="5"/>
  <c r="R20" i="5"/>
  <c r="AG20" i="5"/>
  <c r="U20" i="5"/>
  <c r="S20" i="5"/>
  <c r="R39" i="5"/>
  <c r="AG39" i="5"/>
  <c r="S39" i="5"/>
  <c r="U39" i="5"/>
  <c r="R68" i="5"/>
  <c r="AG68" i="5"/>
  <c r="S68" i="5"/>
  <c r="U68" i="5"/>
  <c r="R165" i="5"/>
  <c r="S165" i="5"/>
  <c r="AG165" i="5"/>
  <c r="U165" i="5" s="1"/>
  <c r="AG179" i="5"/>
  <c r="U179" i="5"/>
  <c r="S179" i="5"/>
  <c r="R179" i="5"/>
  <c r="S28" i="5"/>
  <c r="R28" i="5"/>
  <c r="U28" i="5"/>
  <c r="AG28" i="5"/>
  <c r="R205" i="5"/>
  <c r="U205" i="5"/>
  <c r="AG205" i="5"/>
  <c r="S205" i="5"/>
  <c r="S168" i="5"/>
  <c r="AG168" i="5"/>
  <c r="R168" i="5"/>
  <c r="U168" i="5"/>
  <c r="S23" i="5"/>
  <c r="F23" i="12" s="1"/>
  <c r="AG23" i="5"/>
  <c r="U23" i="5"/>
  <c r="R84" i="5"/>
  <c r="S84" i="5"/>
  <c r="U84" i="5"/>
  <c r="AG84" i="5"/>
  <c r="U18" i="5"/>
  <c r="S18" i="5"/>
  <c r="AG18" i="5"/>
  <c r="R18" i="5"/>
  <c r="R142" i="5"/>
  <c r="S142" i="5"/>
  <c r="U142" i="5"/>
  <c r="AG142" i="5"/>
  <c r="R107" i="5"/>
  <c r="S107" i="5"/>
  <c r="AG107" i="5"/>
  <c r="U107" i="5"/>
  <c r="S16" i="5"/>
  <c r="AG16" i="5"/>
  <c r="R224" i="5"/>
  <c r="S224" i="5"/>
  <c r="AG224" i="5"/>
  <c r="U224" i="5" s="1"/>
  <c r="R126" i="5"/>
  <c r="S126" i="5"/>
  <c r="U126" i="5"/>
  <c r="AG126" i="5"/>
  <c r="AG80" i="5"/>
  <c r="U80" i="5"/>
  <c r="S80" i="5"/>
  <c r="R80" i="5"/>
  <c r="R139" i="5"/>
  <c r="S139" i="5"/>
  <c r="AG139" i="5"/>
  <c r="U139" i="5"/>
  <c r="U212" i="5"/>
  <c r="R212" i="5"/>
  <c r="AG212" i="5"/>
  <c r="S212" i="5"/>
  <c r="R83" i="5"/>
  <c r="AG83" i="5"/>
  <c r="U83" i="5" s="1"/>
  <c r="S83" i="5"/>
  <c r="R63" i="5"/>
  <c r="AG63" i="5"/>
  <c r="S63" i="5"/>
  <c r="U63" i="5"/>
  <c r="S202" i="5"/>
  <c r="U202" i="5"/>
  <c r="R202" i="5"/>
  <c r="AG202" i="5"/>
  <c r="S17" i="5"/>
  <c r="AG17" i="5"/>
  <c r="AG196" i="5"/>
  <c r="R196" i="5"/>
  <c r="U196" i="5"/>
  <c r="S196" i="5"/>
  <c r="R193" i="5"/>
  <c r="S193" i="5"/>
  <c r="U193" i="5"/>
  <c r="AG193" i="5"/>
  <c r="AG69" i="5"/>
  <c r="U69" i="5"/>
  <c r="S69" i="5"/>
  <c r="R69" i="5"/>
  <c r="U198" i="5"/>
  <c r="S198" i="5"/>
  <c r="R198" i="5"/>
  <c r="AG198" i="5"/>
  <c r="S65" i="5"/>
  <c r="R65" i="5"/>
  <c r="AG65" i="5"/>
  <c r="U65" i="5"/>
  <c r="AG47" i="5"/>
  <c r="R47" i="5"/>
  <c r="S47" i="5"/>
  <c r="U47" i="5"/>
  <c r="R32" i="5"/>
  <c r="AG32" i="5"/>
  <c r="S32" i="5"/>
  <c r="U32" i="5"/>
  <c r="AG111" i="5"/>
  <c r="U111" i="5" s="1"/>
  <c r="S111" i="5"/>
  <c r="R111" i="5"/>
  <c r="S148" i="5"/>
  <c r="R148" i="5"/>
  <c r="U148" i="5"/>
  <c r="AG148" i="5"/>
  <c r="R26" i="5"/>
  <c r="AG26" i="5"/>
  <c r="U26" i="5" s="1"/>
  <c r="S26" i="5"/>
  <c r="S67" i="5"/>
  <c r="R67" i="5"/>
  <c r="AG67" i="5"/>
  <c r="U67" i="5"/>
  <c r="S40" i="5"/>
  <c r="U40" i="5"/>
  <c r="AG40" i="5"/>
  <c r="R40" i="5"/>
  <c r="S220" i="5"/>
  <c r="U220" i="5"/>
  <c r="AG220" i="5"/>
  <c r="R220" i="5"/>
  <c r="R225" i="5"/>
  <c r="S225" i="5"/>
  <c r="AG225" i="5"/>
  <c r="U225" i="5" s="1"/>
  <c r="R29" i="5"/>
  <c r="U29" i="5"/>
  <c r="S29" i="5"/>
  <c r="AG29" i="5"/>
  <c r="R130" i="5"/>
  <c r="S130" i="5"/>
  <c r="AG130" i="5"/>
  <c r="U130" i="5"/>
  <c r="U183" i="5"/>
  <c r="R183" i="5"/>
  <c r="S183" i="5"/>
  <c r="AG183" i="5"/>
  <c r="U127" i="5"/>
  <c r="AG127" i="5"/>
  <c r="S127" i="5"/>
  <c r="R127" i="5"/>
  <c r="R134" i="5"/>
  <c r="U134" i="5"/>
  <c r="AG134" i="5"/>
  <c r="S134" i="5"/>
  <c r="S138" i="5"/>
  <c r="U138" i="5"/>
  <c r="AG138" i="5"/>
  <c r="R138" i="5"/>
  <c r="AG124" i="5"/>
  <c r="S124" i="5"/>
  <c r="R124" i="5"/>
  <c r="U124" i="5"/>
  <c r="AG197" i="5"/>
  <c r="U197" i="5"/>
  <c r="R197" i="5"/>
  <c r="S197" i="5"/>
  <c r="R57" i="5"/>
  <c r="S57" i="5"/>
  <c r="AG57" i="5"/>
  <c r="U57" i="5"/>
  <c r="AG42" i="5"/>
  <c r="R42" i="5"/>
  <c r="U42" i="5"/>
  <c r="S42" i="5"/>
  <c r="AG216" i="5"/>
  <c r="R216" i="5"/>
  <c r="S216" i="5"/>
  <c r="U216" i="5"/>
  <c r="U152" i="5"/>
  <c r="S152" i="5"/>
  <c r="R152" i="5"/>
  <c r="AG152" i="5"/>
  <c r="S161" i="5"/>
  <c r="AG161" i="5"/>
  <c r="R161" i="5"/>
  <c r="U161" i="5"/>
  <c r="AG204" i="5"/>
  <c r="U204" i="5"/>
  <c r="R204" i="5"/>
  <c r="S204" i="5"/>
  <c r="U93" i="5"/>
  <c r="R93" i="5"/>
  <c r="S93" i="5"/>
  <c r="AG93" i="5"/>
  <c r="S149" i="5"/>
  <c r="U149" i="5"/>
  <c r="AG149" i="5"/>
  <c r="R149" i="5"/>
  <c r="S160" i="5"/>
  <c r="R160" i="5"/>
  <c r="U160" i="5"/>
  <c r="AG160" i="5"/>
  <c r="AG85" i="5"/>
  <c r="S85" i="5"/>
  <c r="U85" i="5"/>
  <c r="R85" i="5"/>
  <c r="R100" i="5"/>
  <c r="U100" i="5"/>
  <c r="AG100" i="5"/>
  <c r="S100" i="5"/>
  <c r="R162" i="5"/>
  <c r="U162" i="5"/>
  <c r="S162" i="5"/>
  <c r="AG162" i="5"/>
  <c r="U215" i="5"/>
  <c r="S215" i="5"/>
  <c r="AG215" i="5"/>
  <c r="R215" i="5"/>
  <c r="AG174" i="5"/>
  <c r="S174" i="5"/>
  <c r="U174" i="5"/>
  <c r="R174" i="5"/>
  <c r="U24" i="5"/>
  <c r="AG24" i="5"/>
  <c r="R24" i="5"/>
  <c r="S24" i="5"/>
  <c r="U36" i="5"/>
  <c r="S36" i="5"/>
  <c r="AG36" i="5"/>
  <c r="R36" i="5"/>
  <c r="AG78" i="5"/>
  <c r="S78" i="5"/>
  <c r="R78" i="5"/>
  <c r="U78" i="5"/>
  <c r="U72" i="5"/>
  <c r="R72" i="5"/>
  <c r="AG72" i="5"/>
  <c r="S72" i="5"/>
  <c r="R194" i="5"/>
  <c r="AG194" i="5"/>
  <c r="U194" i="5"/>
  <c r="S194" i="5"/>
  <c r="R101" i="5"/>
  <c r="AG101" i="5"/>
  <c r="S101" i="5"/>
  <c r="U101" i="5"/>
  <c r="AG51" i="5"/>
  <c r="S51" i="5"/>
  <c r="R51" i="5"/>
  <c r="U51" i="5"/>
  <c r="S123" i="5"/>
  <c r="AG123" i="5"/>
  <c r="R123" i="5"/>
  <c r="U123" i="5"/>
  <c r="S132" i="5"/>
  <c r="U132" i="5"/>
  <c r="AG132" i="5"/>
  <c r="R132" i="5"/>
  <c r="R61" i="5"/>
  <c r="S61" i="5"/>
  <c r="U61" i="5"/>
  <c r="AG61" i="5"/>
  <c r="U21" i="5"/>
  <c r="AG21" i="5"/>
  <c r="R21" i="5"/>
  <c r="S21" i="5"/>
  <c r="U222" i="5"/>
  <c r="W62" i="5"/>
  <c r="S47" i="8"/>
  <c r="C47" i="8" s="1"/>
  <c r="Z98" i="5"/>
  <c r="AM98" i="5"/>
  <c r="I98" i="12"/>
  <c r="L98" i="5"/>
  <c r="L226" i="5"/>
  <c r="I226" i="12"/>
  <c r="AM226" i="5"/>
  <c r="Z226" i="5"/>
  <c r="AC62" i="5" l="1" a="1"/>
  <c r="AC62" i="5" s="1"/>
  <c r="G42" i="6"/>
  <c r="F42" i="12"/>
  <c r="G134" i="6"/>
  <c r="F134" i="12"/>
  <c r="W225" i="5"/>
  <c r="AN225" i="5"/>
  <c r="AC225" i="5" s="1" a="1"/>
  <c r="AC225" i="5" s="1"/>
  <c r="E148" i="12"/>
  <c r="F148" i="6"/>
  <c r="W198" i="5"/>
  <c r="AN198" i="5"/>
  <c r="AC198" i="5" s="1" a="1"/>
  <c r="AC198" i="5" s="1"/>
  <c r="G63" i="6"/>
  <c r="F63" i="12"/>
  <c r="F126" i="12"/>
  <c r="G126" i="6"/>
  <c r="W84" i="5"/>
  <c r="AN84" i="5"/>
  <c r="AC84" i="5" s="1" a="1"/>
  <c r="AC84" i="5" s="1"/>
  <c r="AN179" i="5"/>
  <c r="AC179" i="5" s="1" a="1"/>
  <c r="AC179" i="5" s="1"/>
  <c r="W179" i="5"/>
  <c r="E187" i="12"/>
  <c r="F187" i="6"/>
  <c r="E33" i="12"/>
  <c r="F33" i="6"/>
  <c r="G157" i="6"/>
  <c r="F157" i="12"/>
  <c r="W211" i="5"/>
  <c r="AN211" i="5"/>
  <c r="AC211" i="5" s="1" a="1"/>
  <c r="AC211" i="5" s="1"/>
  <c r="W156" i="5"/>
  <c r="AN156" i="5"/>
  <c r="AC156" i="5" s="1" a="1"/>
  <c r="AC156" i="5" s="1"/>
  <c r="F118" i="12"/>
  <c r="G118" i="6"/>
  <c r="W184" i="5"/>
  <c r="AN184" i="5"/>
  <c r="AC184" i="5" s="1" a="1"/>
  <c r="AC184" i="5" s="1"/>
  <c r="E112" i="12"/>
  <c r="F112" i="6"/>
  <c r="F54" i="6"/>
  <c r="E54" i="12"/>
  <c r="E154" i="12"/>
  <c r="F154" i="6"/>
  <c r="AN49" i="5"/>
  <c r="AC49" i="5" s="1" a="1"/>
  <c r="AC49" i="5" s="1"/>
  <c r="W49" i="5"/>
  <c r="G97" i="6"/>
  <c r="F97" i="12"/>
  <c r="E213" i="12"/>
  <c r="F213" i="6"/>
  <c r="W25" i="5"/>
  <c r="AN25" i="5"/>
  <c r="AC25" i="5" s="1" a="1"/>
  <c r="AC25" i="5" s="1"/>
  <c r="AN134" i="5"/>
  <c r="AC134" i="5" s="1" a="1"/>
  <c r="AC134" i="5" s="1"/>
  <c r="W134" i="5"/>
  <c r="W165" i="5"/>
  <c r="AN165" i="5"/>
  <c r="AC165" i="5" s="1" a="1"/>
  <c r="AC165" i="5" s="1"/>
  <c r="AN44" i="5"/>
  <c r="AC44" i="5" s="1" a="1"/>
  <c r="AC44" i="5" s="1"/>
  <c r="W44" i="5"/>
  <c r="G90" i="6"/>
  <c r="F90" i="12"/>
  <c r="AN157" i="5"/>
  <c r="AC157" i="5" s="1" a="1"/>
  <c r="AC157" i="5" s="1"/>
  <c r="W157" i="5"/>
  <c r="AN78" i="5"/>
  <c r="AC78" i="5" s="1" a="1"/>
  <c r="AC78" i="5" s="1"/>
  <c r="W78" i="5"/>
  <c r="G162" i="6"/>
  <c r="F162" i="12"/>
  <c r="G169" i="6"/>
  <c r="F169" i="12"/>
  <c r="F156" i="6"/>
  <c r="E156" i="12"/>
  <c r="F113" i="6"/>
  <c r="E113" i="12"/>
  <c r="AN162" i="5"/>
  <c r="AC162" i="5" s="1" a="1"/>
  <c r="AC162" i="5" s="1"/>
  <c r="W162" i="5"/>
  <c r="E63" i="12"/>
  <c r="F63" i="6"/>
  <c r="G204" i="6"/>
  <c r="F204" i="12"/>
  <c r="W83" i="5"/>
  <c r="AN83" i="5"/>
  <c r="AC83" i="5" s="1" a="1"/>
  <c r="AC83" i="5" s="1"/>
  <c r="AN169" i="5"/>
  <c r="AC169" i="5" s="1" a="1"/>
  <c r="AC169" i="5" s="1"/>
  <c r="W169" i="5"/>
  <c r="F229" i="12"/>
  <c r="G229" i="6"/>
  <c r="G77" i="6"/>
  <c r="F77" i="12"/>
  <c r="G171" i="6"/>
  <c r="F171" i="12"/>
  <c r="W203" i="5"/>
  <c r="AN203" i="5"/>
  <c r="AC203" i="5" s="1" a="1"/>
  <c r="AC203" i="5" s="1"/>
  <c r="G46" i="6"/>
  <c r="F46" i="12"/>
  <c r="E86" i="12"/>
  <c r="F86" i="6"/>
  <c r="G37" i="6"/>
  <c r="F37" i="12"/>
  <c r="F19" i="12"/>
  <c r="G19" i="6"/>
  <c r="F163" i="6"/>
  <c r="E163" i="12"/>
  <c r="G93" i="6"/>
  <c r="F93" i="12"/>
  <c r="E203" i="12"/>
  <c r="F203" i="6"/>
  <c r="G153" i="6"/>
  <c r="F153" i="12"/>
  <c r="F78" i="6"/>
  <c r="E78" i="12"/>
  <c r="W121" i="5"/>
  <c r="AN121" i="5"/>
  <c r="AC121" i="5" s="1" a="1"/>
  <c r="AC121" i="5" s="1"/>
  <c r="AN86" i="5"/>
  <c r="AC86" i="5" s="1" a="1"/>
  <c r="AC86" i="5" s="1"/>
  <c r="W86" i="5"/>
  <c r="F48" i="6"/>
  <c r="E48" i="12"/>
  <c r="F114" i="12"/>
  <c r="G114" i="6"/>
  <c r="F186" i="6"/>
  <c r="E186" i="12"/>
  <c r="E123" i="12"/>
  <c r="F123" i="6"/>
  <c r="F69" i="6"/>
  <c r="E69" i="12"/>
  <c r="AN33" i="5"/>
  <c r="AC33" i="5" s="1" a="1"/>
  <c r="AC33" i="5" s="1"/>
  <c r="W33" i="5"/>
  <c r="W118" i="5"/>
  <c r="AN118" i="5"/>
  <c r="AC118" i="5" s="1" a="1"/>
  <c r="AC118" i="5" s="1"/>
  <c r="F172" i="6"/>
  <c r="E172" i="12"/>
  <c r="F42" i="6"/>
  <c r="E42" i="12"/>
  <c r="G69" i="6"/>
  <c r="F69" i="12"/>
  <c r="W51" i="5"/>
  <c r="AN51" i="5"/>
  <c r="AC51" i="5" s="1" a="1"/>
  <c r="AC51" i="5" s="1"/>
  <c r="F165" i="6"/>
  <c r="E165" i="12"/>
  <c r="W27" i="5"/>
  <c r="AN27" i="5"/>
  <c r="AC27" i="5" s="1" a="1"/>
  <c r="AC27" i="5" s="1"/>
  <c r="E126" i="12"/>
  <c r="F126" i="6"/>
  <c r="G186" i="6"/>
  <c r="F186" i="12"/>
  <c r="E93" i="12"/>
  <c r="F93" i="6"/>
  <c r="E111" i="12"/>
  <c r="F111" i="6"/>
  <c r="W57" i="5"/>
  <c r="AN57" i="5"/>
  <c r="AC57" i="5" s="1" a="1"/>
  <c r="AC57" i="5" s="1"/>
  <c r="E224" i="12"/>
  <c r="F224" i="6"/>
  <c r="F66" i="12"/>
  <c r="G66" i="6"/>
  <c r="F55" i="6"/>
  <c r="E55" i="12"/>
  <c r="F148" i="12"/>
  <c r="G148" i="6"/>
  <c r="AN90" i="5"/>
  <c r="AC90" i="5" s="1" a="1"/>
  <c r="AC90" i="5" s="1"/>
  <c r="W90" i="5"/>
  <c r="AN94" i="5"/>
  <c r="AC94" i="5" s="1" a="1"/>
  <c r="AC94" i="5" s="1"/>
  <c r="W94" i="5"/>
  <c r="E225" i="12"/>
  <c r="F225" i="6"/>
  <c r="F169" i="6"/>
  <c r="E169" i="12"/>
  <c r="F36" i="6"/>
  <c r="E36" i="12"/>
  <c r="E127" i="12"/>
  <c r="F127" i="6"/>
  <c r="AN123" i="5"/>
  <c r="AC123" i="5" s="1" a="1"/>
  <c r="AC123" i="5" s="1"/>
  <c r="W123" i="5"/>
  <c r="AN42" i="5"/>
  <c r="AC42" i="5" s="1" a="1"/>
  <c r="AC42" i="5" s="1"/>
  <c r="W42" i="5"/>
  <c r="G84" i="6"/>
  <c r="F84" i="12"/>
  <c r="G112" i="6"/>
  <c r="F112" i="12"/>
  <c r="G154" i="6"/>
  <c r="F154" i="12"/>
  <c r="AN224" i="5"/>
  <c r="AC224" i="5" s="1" a="1"/>
  <c r="AC224" i="5" s="1"/>
  <c r="W224" i="5"/>
  <c r="W111" i="5"/>
  <c r="AN111" i="5"/>
  <c r="AC111" i="5" s="1" a="1"/>
  <c r="AC111" i="5" s="1"/>
  <c r="AN89" i="5"/>
  <c r="AC89" i="5" s="1" a="1"/>
  <c r="AC89" i="5" s="1"/>
  <c r="W89" i="5"/>
  <c r="AN37" i="5"/>
  <c r="AC37" i="5" s="1" a="1"/>
  <c r="AC37" i="5" s="1"/>
  <c r="W37" i="5"/>
  <c r="F225" i="12"/>
  <c r="G225" i="6"/>
  <c r="F44" i="6"/>
  <c r="E44" i="12"/>
  <c r="F55" i="12"/>
  <c r="G55" i="6"/>
  <c r="G78" i="6"/>
  <c r="F78" i="12"/>
  <c r="F84" i="6"/>
  <c r="E84" i="12"/>
  <c r="F100" i="12"/>
  <c r="G100" i="6"/>
  <c r="G211" i="6"/>
  <c r="F211" i="12"/>
  <c r="F184" i="6"/>
  <c r="E184" i="12"/>
  <c r="W112" i="5"/>
  <c r="AN112" i="5"/>
  <c r="AC112" i="5" s="1" a="1"/>
  <c r="AC112" i="5" s="1"/>
  <c r="G25" i="6"/>
  <c r="F25" i="12"/>
  <c r="F54" i="12"/>
  <c r="G54" i="6"/>
  <c r="E171" i="12"/>
  <c r="F171" i="6"/>
  <c r="F104" i="12"/>
  <c r="G104" i="6"/>
  <c r="F27" i="12"/>
  <c r="G27" i="6"/>
  <c r="E94" i="12"/>
  <c r="F94" i="6"/>
  <c r="E37" i="12"/>
  <c r="F37" i="6"/>
  <c r="F203" i="12"/>
  <c r="G203" i="6"/>
  <c r="AN186" i="5"/>
  <c r="AC186" i="5" s="1" a="1"/>
  <c r="AC186" i="5" s="1"/>
  <c r="W186" i="5"/>
  <c r="W46" i="5"/>
  <c r="AN46" i="5"/>
  <c r="AC46" i="5" s="1" a="1"/>
  <c r="AC46" i="5" s="1"/>
  <c r="F123" i="12"/>
  <c r="G123" i="6"/>
  <c r="F162" i="6"/>
  <c r="E162" i="12"/>
  <c r="AN93" i="5"/>
  <c r="AC93" i="5" s="1" a="1"/>
  <c r="AC93" i="5" s="1"/>
  <c r="W93" i="5"/>
  <c r="F220" i="12"/>
  <c r="G220" i="6"/>
  <c r="F182" i="6"/>
  <c r="E182" i="12"/>
  <c r="G48" i="6"/>
  <c r="F48" i="12"/>
  <c r="F19" i="6"/>
  <c r="E19" i="12"/>
  <c r="AN45" i="5"/>
  <c r="AC45" i="5" s="1" a="1"/>
  <c r="AC45" i="5" s="1"/>
  <c r="W45" i="5"/>
  <c r="E91" i="12"/>
  <c r="F91" i="6"/>
  <c r="W59" i="5"/>
  <c r="AN59" i="5"/>
  <c r="AC59" i="5" s="1" a="1"/>
  <c r="AC59" i="5" s="1"/>
  <c r="G88" i="6"/>
  <c r="F88" i="12"/>
  <c r="G167" i="6"/>
  <c r="F167" i="12"/>
  <c r="E103" i="12"/>
  <c r="F103" i="6"/>
  <c r="F131" i="6"/>
  <c r="E131" i="12"/>
  <c r="F57" i="12"/>
  <c r="G57" i="6"/>
  <c r="F176" i="6"/>
  <c r="E176" i="12"/>
  <c r="G21" i="6"/>
  <c r="F21" i="12"/>
  <c r="E68" i="12"/>
  <c r="F68" i="6"/>
  <c r="F217" i="6"/>
  <c r="E217" i="12"/>
  <c r="E147" i="12"/>
  <c r="F147" i="6"/>
  <c r="F21" i="6"/>
  <c r="E21" i="12"/>
  <c r="F101" i="12"/>
  <c r="G101" i="6"/>
  <c r="F24" i="6"/>
  <c r="E24" i="12"/>
  <c r="AN85" i="5"/>
  <c r="AC85" i="5" s="1" a="1"/>
  <c r="AC85" i="5" s="1"/>
  <c r="W85" i="5"/>
  <c r="E161" i="12"/>
  <c r="F161" i="6"/>
  <c r="F197" i="6"/>
  <c r="E197" i="12"/>
  <c r="G183" i="6"/>
  <c r="F183" i="12"/>
  <c r="W40" i="5"/>
  <c r="AN40" i="5"/>
  <c r="AC40" i="5" s="1" a="1"/>
  <c r="AC40" i="5" s="1"/>
  <c r="AN47" i="5"/>
  <c r="AC47" i="5" s="1" a="1"/>
  <c r="AC47" i="5" s="1"/>
  <c r="W47" i="5"/>
  <c r="F196" i="12"/>
  <c r="G196" i="6"/>
  <c r="AN212" i="5"/>
  <c r="AC212" i="5" s="1" a="1"/>
  <c r="AC212" i="5" s="1"/>
  <c r="W212" i="5"/>
  <c r="F107" i="12"/>
  <c r="G107" i="6"/>
  <c r="G168" i="6"/>
  <c r="F168" i="12"/>
  <c r="W39" i="5"/>
  <c r="AN39" i="5"/>
  <c r="AC39" i="5" s="1" a="1"/>
  <c r="AC39" i="5" s="1"/>
  <c r="G30" i="6"/>
  <c r="F30" i="12"/>
  <c r="F143" i="12"/>
  <c r="G143" i="6"/>
  <c r="AC14" i="5" a="1"/>
  <c r="AC14" i="5" s="1"/>
  <c r="E14" i="12"/>
  <c r="F14" i="6"/>
  <c r="G52" i="6"/>
  <c r="F52" i="12"/>
  <c r="F166" i="6"/>
  <c r="E166" i="12"/>
  <c r="F137" i="12"/>
  <c r="G137" i="6"/>
  <c r="F96" i="12"/>
  <c r="G96" i="6"/>
  <c r="AN147" i="5"/>
  <c r="AC147" i="5" s="1" a="1"/>
  <c r="AC147" i="5" s="1"/>
  <c r="W147" i="5"/>
  <c r="W75" i="5"/>
  <c r="AN75" i="5"/>
  <c r="AC75" i="5" s="1" a="1"/>
  <c r="AC75" i="5" s="1"/>
  <c r="E141" i="12"/>
  <c r="F141" i="6"/>
  <c r="E120" i="12"/>
  <c r="F120" i="6"/>
  <c r="W230" i="5"/>
  <c r="AN230" i="5"/>
  <c r="AC230" i="5" s="1" a="1"/>
  <c r="AC230" i="5" s="1"/>
  <c r="AN119" i="5"/>
  <c r="AC119" i="5" s="1" a="1"/>
  <c r="AC119" i="5" s="1"/>
  <c r="W119" i="5"/>
  <c r="F228" i="12"/>
  <c r="G228" i="6"/>
  <c r="G105" i="6"/>
  <c r="F105" i="12"/>
  <c r="AN87" i="5"/>
  <c r="AC87" i="5" s="1" a="1"/>
  <c r="AC87" i="5" s="1"/>
  <c r="W87" i="5"/>
  <c r="AN209" i="5"/>
  <c r="AC209" i="5" s="1" a="1"/>
  <c r="AC209" i="5" s="1"/>
  <c r="W209" i="5"/>
  <c r="E89" i="12"/>
  <c r="F89" i="6"/>
  <c r="F212" i="6"/>
  <c r="E212" i="12"/>
  <c r="F75" i="12"/>
  <c r="G75" i="6"/>
  <c r="AN21" i="5"/>
  <c r="AC21" i="5" s="1" a="1"/>
  <c r="AC21" i="5" s="1"/>
  <c r="W21" i="5"/>
  <c r="E101" i="12"/>
  <c r="F101" i="6"/>
  <c r="W24" i="5"/>
  <c r="AN24" i="5"/>
  <c r="AC24" i="5" s="1" a="1"/>
  <c r="AC24" i="5" s="1"/>
  <c r="G197" i="6"/>
  <c r="F197" i="12"/>
  <c r="F170" i="12"/>
  <c r="G170" i="6"/>
  <c r="G194" i="6"/>
  <c r="F194" i="12"/>
  <c r="F174" i="6"/>
  <c r="E174" i="12"/>
  <c r="AN66" i="5"/>
  <c r="AC66" i="5" s="1" a="1"/>
  <c r="AC66" i="5" s="1"/>
  <c r="W66" i="5"/>
  <c r="W61" i="5"/>
  <c r="AN61" i="5"/>
  <c r="AC61" i="5" s="1" a="1"/>
  <c r="AC61" i="5" s="1"/>
  <c r="W194" i="5"/>
  <c r="AN194" i="5"/>
  <c r="AC194" i="5" s="1" a="1"/>
  <c r="AC194" i="5" s="1"/>
  <c r="AN174" i="5"/>
  <c r="AC174" i="5" s="1" a="1"/>
  <c r="AC174" i="5" s="1"/>
  <c r="W174" i="5"/>
  <c r="W160" i="5"/>
  <c r="AN160" i="5"/>
  <c r="AC160" i="5" s="1" a="1"/>
  <c r="AC160" i="5" s="1"/>
  <c r="F85" i="6"/>
  <c r="E85" i="12"/>
  <c r="E45" i="12"/>
  <c r="F45" i="6"/>
  <c r="F36" i="12"/>
  <c r="G36" i="6"/>
  <c r="F212" i="12"/>
  <c r="G212" i="6"/>
  <c r="W170" i="5"/>
  <c r="AN170" i="5"/>
  <c r="AC170" i="5" s="1" a="1"/>
  <c r="AC170" i="5" s="1"/>
  <c r="F32" i="6"/>
  <c r="E32" i="12"/>
  <c r="W30" i="5"/>
  <c r="AN30" i="5"/>
  <c r="AC30" i="5" s="1" a="1"/>
  <c r="AC30" i="5" s="1"/>
  <c r="F51" i="12"/>
  <c r="G51" i="6"/>
  <c r="F32" i="12"/>
  <c r="G32" i="6"/>
  <c r="G68" i="6"/>
  <c r="F68" i="12"/>
  <c r="G207" i="6"/>
  <c r="F207" i="12"/>
  <c r="AN192" i="5"/>
  <c r="AC192" i="5" s="1" a="1"/>
  <c r="AC192" i="5" s="1"/>
  <c r="W192" i="5"/>
  <c r="F43" i="6"/>
  <c r="E43" i="12"/>
  <c r="F96" i="6"/>
  <c r="E96" i="12"/>
  <c r="W88" i="5"/>
  <c r="AN88" i="5"/>
  <c r="AC88" i="5" s="1" a="1"/>
  <c r="AC88" i="5" s="1"/>
  <c r="AN100" i="5"/>
  <c r="AC100" i="5" s="1" a="1"/>
  <c r="AC100" i="5" s="1"/>
  <c r="W100" i="5"/>
  <c r="F16" i="12"/>
  <c r="AC16" i="5" a="1"/>
  <c r="AC16" i="5" s="1"/>
  <c r="F121" i="6"/>
  <c r="E121" i="12"/>
  <c r="W161" i="5"/>
  <c r="AN161" i="5"/>
  <c r="AC161" i="5" s="1" a="1"/>
  <c r="AC161" i="5" s="1"/>
  <c r="F41" i="6"/>
  <c r="E41" i="12"/>
  <c r="E59" i="12"/>
  <c r="F59" i="6"/>
  <c r="W193" i="5"/>
  <c r="AN193" i="5"/>
  <c r="AC193" i="5" s="1" a="1"/>
  <c r="AC193" i="5" s="1"/>
  <c r="G24" i="6"/>
  <c r="F24" i="12"/>
  <c r="AN166" i="5"/>
  <c r="AC166" i="5" s="1" a="1"/>
  <c r="AC166" i="5" s="1"/>
  <c r="W166" i="5"/>
  <c r="F209" i="6"/>
  <c r="E209" i="12"/>
  <c r="W204" i="5"/>
  <c r="AN204" i="5"/>
  <c r="AC204" i="5" s="1" a="1"/>
  <c r="AC204" i="5" s="1"/>
  <c r="AN168" i="5"/>
  <c r="AC168" i="5" s="1" a="1"/>
  <c r="AC168" i="5" s="1"/>
  <c r="W168" i="5"/>
  <c r="F75" i="6"/>
  <c r="E75" i="12"/>
  <c r="W101" i="5"/>
  <c r="AN101" i="5"/>
  <c r="AC101" i="5" s="1" a="1"/>
  <c r="AC101" i="5" s="1"/>
  <c r="E193" i="12"/>
  <c r="F193" i="6"/>
  <c r="W143" i="5"/>
  <c r="AN143" i="5"/>
  <c r="AC143" i="5" s="1" a="1"/>
  <c r="AC143" i="5" s="1"/>
  <c r="E137" i="12"/>
  <c r="F137" i="6"/>
  <c r="E144" i="12"/>
  <c r="F144" i="6"/>
  <c r="F214" i="12"/>
  <c r="G214" i="6"/>
  <c r="AN115" i="5"/>
  <c r="AC115" i="5" s="1" a="1"/>
  <c r="AC115" i="5" s="1"/>
  <c r="W115" i="5"/>
  <c r="E114" i="12"/>
  <c r="F114" i="6"/>
  <c r="F134" i="6"/>
  <c r="E134" i="12"/>
  <c r="F220" i="6"/>
  <c r="E220" i="12"/>
  <c r="G111" i="6"/>
  <c r="F111" i="12"/>
  <c r="W69" i="5"/>
  <c r="AN69" i="5"/>
  <c r="AC69" i="5" s="1" a="1"/>
  <c r="AC69" i="5" s="1"/>
  <c r="G83" i="6"/>
  <c r="F83" i="12"/>
  <c r="F224" i="12"/>
  <c r="G224" i="6"/>
  <c r="AN23" i="5"/>
  <c r="AC23" i="5" s="1" a="1"/>
  <c r="AC23" i="5" s="1"/>
  <c r="F165" i="12"/>
  <c r="G165" i="6"/>
  <c r="G44" i="6"/>
  <c r="F44" i="12"/>
  <c r="F33" i="12"/>
  <c r="G33" i="6"/>
  <c r="F90" i="6"/>
  <c r="E90" i="12"/>
  <c r="F157" i="6"/>
  <c r="E157" i="12"/>
  <c r="F211" i="6"/>
  <c r="E211" i="12"/>
  <c r="F229" i="6"/>
  <c r="E229" i="12"/>
  <c r="W77" i="5"/>
  <c r="AN77" i="5"/>
  <c r="AC77" i="5" s="1" a="1"/>
  <c r="AC77" i="5" s="1"/>
  <c r="F184" i="12"/>
  <c r="G184" i="6"/>
  <c r="AN19" i="5"/>
  <c r="AC19" i="5" s="1" a="1"/>
  <c r="AC19" i="5" s="1"/>
  <c r="W19" i="5"/>
  <c r="W207" i="5"/>
  <c r="AN207" i="5"/>
  <c r="AC207" i="5" s="1" a="1"/>
  <c r="AC207" i="5" s="1"/>
  <c r="E104" i="12"/>
  <c r="F104" i="6"/>
  <c r="F27" i="6"/>
  <c r="E27" i="12"/>
  <c r="AN55" i="5"/>
  <c r="AC55" i="5" s="1" a="1"/>
  <c r="AC55" i="5" s="1"/>
  <c r="W55" i="5"/>
  <c r="G94" i="6"/>
  <c r="F94" i="12"/>
  <c r="E46" i="12"/>
  <c r="F46" i="6"/>
  <c r="G86" i="6"/>
  <c r="F86" i="12"/>
  <c r="AN114" i="5"/>
  <c r="AC114" i="5" s="1" a="1"/>
  <c r="AC114" i="5" s="1"/>
  <c r="W114" i="5"/>
  <c r="F51" i="6"/>
  <c r="E51" i="12"/>
  <c r="F204" i="6"/>
  <c r="E204" i="12"/>
  <c r="F127" i="12"/>
  <c r="G127" i="6"/>
  <c r="AN220" i="5"/>
  <c r="AC220" i="5" s="1" a="1"/>
  <c r="AC220" i="5" s="1"/>
  <c r="W220" i="5"/>
  <c r="W32" i="5"/>
  <c r="AN32" i="5"/>
  <c r="AC32" i="5" s="1" a="1"/>
  <c r="AC32" i="5" s="1"/>
  <c r="F83" i="6"/>
  <c r="E83" i="12"/>
  <c r="W68" i="5"/>
  <c r="AN68" i="5"/>
  <c r="AC68" i="5" s="1" a="1"/>
  <c r="AC68" i="5" s="1"/>
  <c r="F192" i="12"/>
  <c r="G192" i="6"/>
  <c r="W182" i="5"/>
  <c r="AN182" i="5"/>
  <c r="AC182" i="5" s="1" a="1"/>
  <c r="AC182" i="5" s="1"/>
  <c r="G89" i="6"/>
  <c r="F89" i="12"/>
  <c r="E153" i="12"/>
  <c r="F153" i="6"/>
  <c r="G163" i="6"/>
  <c r="F163" i="12"/>
  <c r="AN229" i="5"/>
  <c r="AC229" i="5" s="1" a="1"/>
  <c r="AC229" i="5" s="1"/>
  <c r="W229" i="5"/>
  <c r="E77" i="12"/>
  <c r="F77" i="6"/>
  <c r="W48" i="5"/>
  <c r="AN48" i="5"/>
  <c r="AC48" i="5" s="1" a="1"/>
  <c r="AC48" i="5" s="1"/>
  <c r="F207" i="6"/>
  <c r="E207" i="12"/>
  <c r="G121" i="6"/>
  <c r="F121" i="12"/>
  <c r="AN171" i="5"/>
  <c r="AC171" i="5" s="1" a="1"/>
  <c r="AC171" i="5" s="1"/>
  <c r="W171" i="5"/>
  <c r="W104" i="5"/>
  <c r="AN104" i="5"/>
  <c r="AC104" i="5" s="1" a="1"/>
  <c r="AC104" i="5" s="1"/>
  <c r="F170" i="6"/>
  <c r="E170" i="12"/>
  <c r="AN176" i="5"/>
  <c r="AC176" i="5" s="1" a="1"/>
  <c r="AC176" i="5" s="1"/>
  <c r="W176" i="5"/>
  <c r="F45" i="12"/>
  <c r="G45" i="6"/>
  <c r="AN91" i="5"/>
  <c r="AC91" i="5" s="1" a="1"/>
  <c r="AC91" i="5" s="1"/>
  <c r="W91" i="5"/>
  <c r="W167" i="5"/>
  <c r="AN167" i="5"/>
  <c r="AC167" i="5" s="1" a="1"/>
  <c r="AC167" i="5" s="1"/>
  <c r="W103" i="5"/>
  <c r="AN103" i="5"/>
  <c r="AC103" i="5" s="1" a="1"/>
  <c r="AC103" i="5" s="1"/>
  <c r="AN131" i="5"/>
  <c r="AC131" i="5" s="1" a="1"/>
  <c r="AC131" i="5" s="1"/>
  <c r="W131" i="5"/>
  <c r="AN36" i="5"/>
  <c r="AC36" i="5" s="1" a="1"/>
  <c r="AC36" i="5" s="1"/>
  <c r="W36" i="5"/>
  <c r="E100" i="12"/>
  <c r="F100" i="6"/>
  <c r="F57" i="6"/>
  <c r="E57" i="12"/>
  <c r="W127" i="5"/>
  <c r="AN127" i="5"/>
  <c r="AC127" i="5" s="1" a="1"/>
  <c r="AC127" i="5" s="1"/>
  <c r="E40" i="12"/>
  <c r="F40" i="6"/>
  <c r="F193" i="12"/>
  <c r="G193" i="6"/>
  <c r="AN107" i="5"/>
  <c r="AC107" i="5" s="1" a="1"/>
  <c r="AC107" i="5" s="1"/>
  <c r="W107" i="5"/>
  <c r="E168" i="12"/>
  <c r="F168" i="6"/>
  <c r="F192" i="6"/>
  <c r="E192" i="12"/>
  <c r="G182" i="6"/>
  <c r="F182" i="12"/>
  <c r="AN153" i="5"/>
  <c r="AC153" i="5" s="1" a="1"/>
  <c r="AC153" i="5" s="1"/>
  <c r="W153" i="5"/>
  <c r="F66" i="6"/>
  <c r="E66" i="12"/>
  <c r="W163" i="5"/>
  <c r="AN163" i="5"/>
  <c r="AC163" i="5" s="1" a="1"/>
  <c r="AC163" i="5" s="1"/>
  <c r="E52" i="12"/>
  <c r="F52" i="6"/>
  <c r="F166" i="12"/>
  <c r="G166" i="6"/>
  <c r="AN217" i="5"/>
  <c r="AC217" i="5" s="1" a="1"/>
  <c r="AC217" i="5" s="1"/>
  <c r="W217" i="5"/>
  <c r="G41" i="6"/>
  <c r="F41" i="12"/>
  <c r="G147" i="6"/>
  <c r="F147" i="12"/>
  <c r="F176" i="12"/>
  <c r="G176" i="6"/>
  <c r="F91" i="12"/>
  <c r="G91" i="6"/>
  <c r="G59" i="6"/>
  <c r="F59" i="12"/>
  <c r="E88" i="12"/>
  <c r="F88" i="6"/>
  <c r="F167" i="6"/>
  <c r="E167" i="12"/>
  <c r="F103" i="12"/>
  <c r="G103" i="6"/>
  <c r="G131" i="6"/>
  <c r="F131" i="12"/>
  <c r="F85" i="12"/>
  <c r="G85" i="6"/>
  <c r="AN197" i="5"/>
  <c r="AC197" i="5" s="1" a="1"/>
  <c r="AC197" i="5" s="1"/>
  <c r="W197" i="5"/>
  <c r="F183" i="6"/>
  <c r="E183" i="12"/>
  <c r="G40" i="6"/>
  <c r="F40" i="12"/>
  <c r="G47" i="6"/>
  <c r="F47" i="12"/>
  <c r="AN196" i="5"/>
  <c r="AC196" i="5" s="1" a="1"/>
  <c r="AC196" i="5" s="1"/>
  <c r="W196" i="5"/>
  <c r="W139" i="5"/>
  <c r="AN139" i="5"/>
  <c r="AC139" i="5" s="1" a="1"/>
  <c r="AC139" i="5" s="1"/>
  <c r="F107" i="6"/>
  <c r="E107" i="12"/>
  <c r="G205" i="6"/>
  <c r="F205" i="12"/>
  <c r="G39" i="6"/>
  <c r="F39" i="12"/>
  <c r="F102" i="6"/>
  <c r="E102" i="12"/>
  <c r="E30" i="12"/>
  <c r="F30" i="6"/>
  <c r="F62" i="12"/>
  <c r="G62" i="6"/>
  <c r="AN43" i="5"/>
  <c r="AC43" i="5" s="1" a="1"/>
  <c r="AC43" i="5" s="1"/>
  <c r="W43" i="5"/>
  <c r="G14" i="6"/>
  <c r="F14" i="12"/>
  <c r="AN52" i="5"/>
  <c r="AC52" i="5" s="1" a="1"/>
  <c r="AC52" i="5" s="1"/>
  <c r="W52" i="5"/>
  <c r="E189" i="12"/>
  <c r="F189" i="6"/>
  <c r="G217" i="6"/>
  <c r="F217" i="12"/>
  <c r="AN41" i="5"/>
  <c r="AC41" i="5" s="1" a="1"/>
  <c r="AC41" i="5" s="1"/>
  <c r="W41" i="5"/>
  <c r="AN96" i="5"/>
  <c r="AC96" i="5" s="1" a="1"/>
  <c r="AC96" i="5" s="1"/>
  <c r="W96" i="5"/>
  <c r="W150" i="5"/>
  <c r="AN150" i="5"/>
  <c r="AC150" i="5" s="1" a="1"/>
  <c r="AC150" i="5" s="1"/>
  <c r="AN188" i="5"/>
  <c r="AC188" i="5" s="1" a="1"/>
  <c r="AC188" i="5" s="1"/>
  <c r="W188" i="5"/>
  <c r="G120" i="6"/>
  <c r="F120" i="12"/>
  <c r="F230" i="12"/>
  <c r="G230" i="6"/>
  <c r="E119" i="12"/>
  <c r="F119" i="6"/>
  <c r="E105" i="12"/>
  <c r="F105" i="6"/>
  <c r="F76" i="12"/>
  <c r="G76" i="6"/>
  <c r="F87" i="12"/>
  <c r="G87" i="6"/>
  <c r="F161" i="12"/>
  <c r="G161" i="6"/>
  <c r="AN183" i="5"/>
  <c r="AC183" i="5" s="1" a="1"/>
  <c r="AC183" i="5" s="1"/>
  <c r="W183" i="5"/>
  <c r="W67" i="5"/>
  <c r="AN67" i="5"/>
  <c r="AC67" i="5" s="1" a="1"/>
  <c r="AC67" i="5" s="1"/>
  <c r="F47" i="6"/>
  <c r="E47" i="12"/>
  <c r="E196" i="12"/>
  <c r="F196" i="6"/>
  <c r="W102" i="5"/>
  <c r="AN102" i="5"/>
  <c r="AC102" i="5" s="1" a="1"/>
  <c r="AC102" i="5" s="1"/>
  <c r="E143" i="12"/>
  <c r="F143" i="6"/>
  <c r="F62" i="6"/>
  <c r="E62" i="12"/>
  <c r="F43" i="12"/>
  <c r="G43" i="6"/>
  <c r="F201" i="6"/>
  <c r="E201" i="12"/>
  <c r="F189" i="12"/>
  <c r="G189" i="6"/>
  <c r="AN137" i="5"/>
  <c r="AC137" i="5" s="1" a="1"/>
  <c r="AC137" i="5" s="1"/>
  <c r="W137" i="5"/>
  <c r="E31" i="12"/>
  <c r="F31" i="6"/>
  <c r="F136" i="12"/>
  <c r="G136" i="6"/>
  <c r="W106" i="5"/>
  <c r="AN106" i="5"/>
  <c r="AC106" i="5" s="1" a="1"/>
  <c r="AC106" i="5" s="1"/>
  <c r="G150" i="6"/>
  <c r="F150" i="12"/>
  <c r="F188" i="6"/>
  <c r="E188" i="12"/>
  <c r="W141" i="5"/>
  <c r="AN141" i="5"/>
  <c r="AC141" i="5" s="1" a="1"/>
  <c r="AC141" i="5" s="1"/>
  <c r="E230" i="12"/>
  <c r="F230" i="6"/>
  <c r="W228" i="5"/>
  <c r="AN228" i="5"/>
  <c r="AC228" i="5" s="1" a="1"/>
  <c r="AC228" i="5" s="1"/>
  <c r="E76" i="12"/>
  <c r="F76" i="6"/>
  <c r="F87" i="6"/>
  <c r="E87" i="12"/>
  <c r="G209" i="6"/>
  <c r="F209" i="12"/>
  <c r="AN124" i="5"/>
  <c r="AC124" i="5" s="1" a="1"/>
  <c r="AC124" i="5" s="1"/>
  <c r="W124" i="5"/>
  <c r="W130" i="5"/>
  <c r="AN130" i="5"/>
  <c r="AC130" i="5" s="1" a="1"/>
  <c r="AC130" i="5" s="1"/>
  <c r="F139" i="12"/>
  <c r="G139" i="6"/>
  <c r="W142" i="5"/>
  <c r="AN142" i="5"/>
  <c r="AC142" i="5" s="1" a="1"/>
  <c r="AC142" i="5" s="1"/>
  <c r="AN205" i="5"/>
  <c r="AC205" i="5" s="1" a="1"/>
  <c r="AC205" i="5" s="1"/>
  <c r="W205" i="5"/>
  <c r="F39" i="6"/>
  <c r="E39" i="12"/>
  <c r="G102" i="6"/>
  <c r="F102" i="12"/>
  <c r="F34" i="6"/>
  <c r="E34" i="12"/>
  <c r="W81" i="5"/>
  <c r="AN81" i="5"/>
  <c r="AC81" i="5" s="1" a="1"/>
  <c r="AC81" i="5" s="1"/>
  <c r="G135" i="6"/>
  <c r="F135" i="12"/>
  <c r="W56" i="5"/>
  <c r="AN56" i="5"/>
  <c r="AC56" i="5" s="1" a="1"/>
  <c r="AC56" i="5" s="1"/>
  <c r="G201" i="6"/>
  <c r="F201" i="12"/>
  <c r="W189" i="5"/>
  <c r="AN189" i="5"/>
  <c r="AC189" i="5" s="1" a="1"/>
  <c r="AC189" i="5" s="1"/>
  <c r="F60" i="12"/>
  <c r="G60" i="6"/>
  <c r="G31" i="6"/>
  <c r="F31" i="12"/>
  <c r="F136" i="6"/>
  <c r="E136" i="12"/>
  <c r="F150" i="6"/>
  <c r="E150" i="12"/>
  <c r="G188" i="6"/>
  <c r="F188" i="12"/>
  <c r="G141" i="6"/>
  <c r="F141" i="12"/>
  <c r="AN120" i="5"/>
  <c r="AC120" i="5" s="1" a="1"/>
  <c r="AC120" i="5" s="1"/>
  <c r="W120" i="5"/>
  <c r="G119" i="6"/>
  <c r="F119" i="12"/>
  <c r="E228" i="12"/>
  <c r="F228" i="6"/>
  <c r="W105" i="5"/>
  <c r="AN105" i="5"/>
  <c r="AC105" i="5" s="1" a="1"/>
  <c r="AC105" i="5" s="1"/>
  <c r="W76" i="5"/>
  <c r="AN76" i="5"/>
  <c r="AC76" i="5" s="1" a="1"/>
  <c r="AC76" i="5" s="1"/>
  <c r="AN53" i="5"/>
  <c r="AC53" i="5" s="1" a="1"/>
  <c r="AC53" i="5" s="1"/>
  <c r="W53" i="5"/>
  <c r="E152" i="12"/>
  <c r="F152" i="6"/>
  <c r="F124" i="6"/>
  <c r="E124" i="12"/>
  <c r="F67" i="6"/>
  <c r="E67" i="12"/>
  <c r="AN65" i="5"/>
  <c r="AC65" i="5" s="1" a="1"/>
  <c r="AC65" i="5" s="1"/>
  <c r="W65" i="5"/>
  <c r="E139" i="12"/>
  <c r="F139" i="6"/>
  <c r="F142" i="12"/>
  <c r="G142" i="6"/>
  <c r="E205" i="12"/>
  <c r="F205" i="6"/>
  <c r="G20" i="6"/>
  <c r="F20" i="12"/>
  <c r="AN155" i="5"/>
  <c r="AC155" i="5" s="1" a="1"/>
  <c r="AC155" i="5" s="1"/>
  <c r="W155" i="5"/>
  <c r="W34" i="5"/>
  <c r="AN34" i="5"/>
  <c r="AC34" i="5" s="1" a="1"/>
  <c r="AC34" i="5" s="1"/>
  <c r="E35" i="12"/>
  <c r="F35" i="6"/>
  <c r="G56" i="6"/>
  <c r="F56" i="12"/>
  <c r="W60" i="5"/>
  <c r="AN60" i="5"/>
  <c r="AC60" i="5" s="1" a="1"/>
  <c r="AC60" i="5" s="1"/>
  <c r="G106" i="6"/>
  <c r="F106" i="12"/>
  <c r="E177" i="12"/>
  <c r="F177" i="6"/>
  <c r="E208" i="12"/>
  <c r="F208" i="6"/>
  <c r="G185" i="6"/>
  <c r="F185" i="12"/>
  <c r="AN181" i="5"/>
  <c r="AC181" i="5" s="1" a="1"/>
  <c r="AC181" i="5" s="1"/>
  <c r="W181" i="5"/>
  <c r="W50" i="5"/>
  <c r="AN50" i="5"/>
  <c r="AC50" i="5" s="1" a="1"/>
  <c r="AC50" i="5" s="1"/>
  <c r="E178" i="12"/>
  <c r="F178" i="6"/>
  <c r="F199" i="12"/>
  <c r="G199" i="6"/>
  <c r="W82" i="5"/>
  <c r="AN82" i="5"/>
  <c r="AC82" i="5" s="1" a="1"/>
  <c r="AC82" i="5" s="1"/>
  <c r="F53" i="6"/>
  <c r="E53" i="12"/>
  <c r="G61" i="6"/>
  <c r="F61" i="12"/>
  <c r="F174" i="12"/>
  <c r="G174" i="6"/>
  <c r="F160" i="6"/>
  <c r="E160" i="12"/>
  <c r="G152" i="6"/>
  <c r="F152" i="12"/>
  <c r="F124" i="12"/>
  <c r="G124" i="6"/>
  <c r="G130" i="6"/>
  <c r="F130" i="12"/>
  <c r="G67" i="6"/>
  <c r="F67" i="12"/>
  <c r="AC17" i="5" a="1"/>
  <c r="AC17" i="5" s="1"/>
  <c r="F17" i="12"/>
  <c r="E80" i="12"/>
  <c r="F80" i="6"/>
  <c r="E142" i="12"/>
  <c r="F142" i="6"/>
  <c r="AN20" i="5"/>
  <c r="AC20" i="5" s="1" a="1"/>
  <c r="AC20" i="5" s="1"/>
  <c r="W20" i="5"/>
  <c r="F155" i="6"/>
  <c r="E155" i="12"/>
  <c r="F34" i="12"/>
  <c r="G34" i="6"/>
  <c r="E81" i="12"/>
  <c r="F81" i="6"/>
  <c r="W35" i="5"/>
  <c r="AN35" i="5"/>
  <c r="AC35" i="5" s="1" a="1"/>
  <c r="AC35" i="5" s="1"/>
  <c r="AN135" i="5"/>
  <c r="AC135" i="5" s="1" a="1"/>
  <c r="AC135" i="5" s="1"/>
  <c r="W135" i="5"/>
  <c r="F56" i="6"/>
  <c r="E56" i="12"/>
  <c r="W201" i="5"/>
  <c r="AN201" i="5"/>
  <c r="AC201" i="5" s="1" a="1"/>
  <c r="AC201" i="5" s="1"/>
  <c r="G158" i="6"/>
  <c r="F158" i="12"/>
  <c r="F60" i="6"/>
  <c r="E60" i="12"/>
  <c r="W31" i="5"/>
  <c r="AN31" i="5"/>
  <c r="AC31" i="5" s="1" a="1"/>
  <c r="AC31" i="5" s="1"/>
  <c r="AN136" i="5"/>
  <c r="AC136" i="5" s="1" a="1"/>
  <c r="AC136" i="5" s="1"/>
  <c r="W136" i="5"/>
  <c r="E106" i="12"/>
  <c r="F106" i="6"/>
  <c r="G117" i="6"/>
  <c r="F117" i="12"/>
  <c r="E151" i="12"/>
  <c r="F151" i="6"/>
  <c r="AN208" i="5"/>
  <c r="AC208" i="5" s="1" a="1"/>
  <c r="AC208" i="5" s="1"/>
  <c r="W208" i="5"/>
  <c r="W185" i="5"/>
  <c r="AN185" i="5"/>
  <c r="AC185" i="5" s="1" a="1"/>
  <c r="AC185" i="5" s="1"/>
  <c r="F50" i="6"/>
  <c r="E50" i="12"/>
  <c r="W178" i="5"/>
  <c r="AN178" i="5"/>
  <c r="AC178" i="5" s="1" a="1"/>
  <c r="AC178" i="5" s="1"/>
  <c r="E199" i="12"/>
  <c r="F199" i="6"/>
  <c r="G82" i="6"/>
  <c r="F82" i="12"/>
  <c r="F53" i="12"/>
  <c r="G53" i="6"/>
  <c r="E61" i="12"/>
  <c r="F61" i="6"/>
  <c r="F194" i="6"/>
  <c r="E194" i="12"/>
  <c r="G160" i="6"/>
  <c r="F160" i="12"/>
  <c r="W152" i="5"/>
  <c r="AN152" i="5"/>
  <c r="AC152" i="5" s="1" a="1"/>
  <c r="AC152" i="5" s="1"/>
  <c r="E130" i="12"/>
  <c r="F130" i="6"/>
  <c r="G26" i="6"/>
  <c r="F26" i="12"/>
  <c r="E65" i="12"/>
  <c r="F65" i="6"/>
  <c r="G80" i="6"/>
  <c r="F80" i="12"/>
  <c r="F18" i="6"/>
  <c r="E18" i="12"/>
  <c r="W28" i="5"/>
  <c r="AN28" i="5"/>
  <c r="AC28" i="5" s="1" a="1"/>
  <c r="AC28" i="5" s="1"/>
  <c r="G155" i="6"/>
  <c r="F155" i="12"/>
  <c r="F81" i="12"/>
  <c r="G81" i="6"/>
  <c r="F35" i="12"/>
  <c r="G35" i="6"/>
  <c r="E135" i="12"/>
  <c r="F135" i="6"/>
  <c r="G73" i="6"/>
  <c r="F73" i="12"/>
  <c r="F159" i="12"/>
  <c r="G159" i="6"/>
  <c r="W158" i="5"/>
  <c r="AN158" i="5"/>
  <c r="AC158" i="5" s="1" a="1"/>
  <c r="AC158" i="5" s="1"/>
  <c r="AN128" i="5"/>
  <c r="AC128" i="5" s="1" a="1"/>
  <c r="AC128" i="5" s="1"/>
  <c r="W128" i="5"/>
  <c r="W116" i="5"/>
  <c r="AN116" i="5"/>
  <c r="AC116" i="5" s="1" a="1"/>
  <c r="AC116" i="5" s="1"/>
  <c r="AN22" i="5"/>
  <c r="AC22" i="5" s="1" a="1"/>
  <c r="AC22" i="5" s="1"/>
  <c r="W177" i="5"/>
  <c r="AN177" i="5"/>
  <c r="AC177" i="5" s="1" a="1"/>
  <c r="AC177" i="5" s="1"/>
  <c r="F181" i="12"/>
  <c r="G181" i="6"/>
  <c r="F82" i="6"/>
  <c r="E82" i="12"/>
  <c r="E132" i="12"/>
  <c r="F132" i="6"/>
  <c r="F72" i="12"/>
  <c r="G72" i="6"/>
  <c r="E215" i="12"/>
  <c r="F215" i="6"/>
  <c r="F149" i="6"/>
  <c r="E149" i="12"/>
  <c r="W216" i="5"/>
  <c r="AN216" i="5"/>
  <c r="AC216" i="5" s="1" a="1"/>
  <c r="AC216" i="5" s="1"/>
  <c r="E138" i="12"/>
  <c r="F138" i="6"/>
  <c r="AN26" i="5"/>
  <c r="AC26" i="5" s="1" a="1"/>
  <c r="AC26" i="5" s="1"/>
  <c r="W26" i="5"/>
  <c r="F65" i="12"/>
  <c r="G65" i="6"/>
  <c r="E202" i="12"/>
  <c r="F202" i="6"/>
  <c r="AN80" i="5"/>
  <c r="AC80" i="5" s="1" a="1"/>
  <c r="AC80" i="5" s="1"/>
  <c r="W80" i="5"/>
  <c r="E28" i="12"/>
  <c r="F28" i="6"/>
  <c r="E20" i="12"/>
  <c r="F20" i="6"/>
  <c r="W219" i="5"/>
  <c r="AN219" i="5"/>
  <c r="AC219" i="5" s="1" a="1"/>
  <c r="AC219" i="5" s="1"/>
  <c r="G125" i="6"/>
  <c r="F125" i="12"/>
  <c r="W175" i="5"/>
  <c r="AN175" i="5"/>
  <c r="AC175" i="5" s="1" a="1"/>
  <c r="AC175" i="5" s="1"/>
  <c r="G79" i="6"/>
  <c r="F79" i="12"/>
  <c r="AN73" i="5"/>
  <c r="AC73" i="5" s="1" a="1"/>
  <c r="AC73" i="5" s="1"/>
  <c r="W73" i="5"/>
  <c r="E159" i="12"/>
  <c r="F159" i="6"/>
  <c r="F158" i="6"/>
  <c r="E158" i="12"/>
  <c r="F128" i="12"/>
  <c r="G128" i="6"/>
  <c r="E116" i="12"/>
  <c r="F116" i="6"/>
  <c r="AN117" i="5"/>
  <c r="AC117" i="5" s="1" a="1"/>
  <c r="AC117" i="5" s="1"/>
  <c r="W117" i="5"/>
  <c r="F151" i="12"/>
  <c r="G151" i="6"/>
  <c r="G177" i="6"/>
  <c r="F177" i="12"/>
  <c r="F208" i="12"/>
  <c r="G208" i="6"/>
  <c r="F185" i="6"/>
  <c r="E185" i="12"/>
  <c r="F181" i="6"/>
  <c r="E181" i="12"/>
  <c r="F50" i="12"/>
  <c r="G50" i="6"/>
  <c r="G178" i="6"/>
  <c r="F178" i="12"/>
  <c r="W199" i="5"/>
  <c r="AN199" i="5"/>
  <c r="AC199" i="5" s="1" a="1"/>
  <c r="AC199" i="5" s="1"/>
  <c r="AN180" i="5"/>
  <c r="AC180" i="5" s="1" a="1"/>
  <c r="AC180" i="5" s="1"/>
  <c r="W180" i="5"/>
  <c r="F216" i="12"/>
  <c r="G216" i="6"/>
  <c r="F29" i="12"/>
  <c r="G29" i="6"/>
  <c r="F26" i="6"/>
  <c r="E26" i="12"/>
  <c r="W202" i="5"/>
  <c r="AN202" i="5"/>
  <c r="AC202" i="5" s="1" a="1"/>
  <c r="AC202" i="5" s="1"/>
  <c r="F18" i="12"/>
  <c r="G18" i="6"/>
  <c r="G28" i="6"/>
  <c r="F28" i="12"/>
  <c r="G219" i="6"/>
  <c r="F219" i="12"/>
  <c r="W125" i="5"/>
  <c r="AN125" i="5"/>
  <c r="AC125" i="5" s="1" a="1"/>
  <c r="AC125" i="5" s="1"/>
  <c r="G175" i="6"/>
  <c r="F175" i="12"/>
  <c r="F73" i="6"/>
  <c r="E73" i="12"/>
  <c r="AN159" i="5"/>
  <c r="AC159" i="5" s="1" a="1"/>
  <c r="AC159" i="5" s="1"/>
  <c r="W159" i="5"/>
  <c r="F191" i="6"/>
  <c r="E191" i="12"/>
  <c r="E117" i="12"/>
  <c r="F117" i="6"/>
  <c r="W151" i="5"/>
  <c r="AN151" i="5"/>
  <c r="AC151" i="5" s="1" a="1"/>
  <c r="AC151" i="5" s="1"/>
  <c r="AN97" i="5"/>
  <c r="AC97" i="5" s="1" a="1"/>
  <c r="AC97" i="5" s="1"/>
  <c r="W97" i="5"/>
  <c r="G108" i="6"/>
  <c r="F108" i="12"/>
  <c r="G115" i="6"/>
  <c r="F115" i="12"/>
  <c r="F180" i="6"/>
  <c r="E180" i="12"/>
  <c r="W71" i="5"/>
  <c r="AN71" i="5"/>
  <c r="AC71" i="5" s="1" a="1"/>
  <c r="AC71" i="5" s="1"/>
  <c r="W132" i="5"/>
  <c r="AN132" i="5"/>
  <c r="AC132" i="5" s="1" a="1"/>
  <c r="AC132" i="5" s="1"/>
  <c r="F72" i="6"/>
  <c r="E72" i="12"/>
  <c r="G215" i="6"/>
  <c r="F215" i="12"/>
  <c r="AN149" i="5"/>
  <c r="AC149" i="5" s="1" a="1"/>
  <c r="AC149" i="5" s="1"/>
  <c r="W149" i="5"/>
  <c r="F216" i="6"/>
  <c r="E216" i="12"/>
  <c r="W138" i="5"/>
  <c r="AN138" i="5"/>
  <c r="AC138" i="5" s="1" a="1"/>
  <c r="AC138" i="5" s="1"/>
  <c r="W29" i="5"/>
  <c r="AN29" i="5"/>
  <c r="AC29" i="5" s="1" a="1"/>
  <c r="AC29" i="5" s="1"/>
  <c r="E198" i="12"/>
  <c r="F198" i="6"/>
  <c r="F202" i="12"/>
  <c r="G202" i="6"/>
  <c r="W18" i="5"/>
  <c r="AN18" i="5"/>
  <c r="AC18" i="5" s="1" a="1"/>
  <c r="AC18" i="5" s="1"/>
  <c r="E179" i="12"/>
  <c r="F179" i="6"/>
  <c r="F187" i="12"/>
  <c r="G187" i="6"/>
  <c r="G222" i="6"/>
  <c r="F222" i="12"/>
  <c r="F125" i="6"/>
  <c r="E125" i="12"/>
  <c r="AN79" i="5"/>
  <c r="AC79" i="5" s="1" a="1"/>
  <c r="AC79" i="5" s="1"/>
  <c r="W79" i="5"/>
  <c r="AN38" i="5"/>
  <c r="AC38" i="5" s="1" a="1"/>
  <c r="AC38" i="5" s="1"/>
  <c r="AN191" i="5"/>
  <c r="AC191" i="5" s="1" a="1"/>
  <c r="AC191" i="5" s="1"/>
  <c r="W191" i="5"/>
  <c r="E128" i="12"/>
  <c r="F128" i="6"/>
  <c r="G116" i="6"/>
  <c r="F116" i="12"/>
  <c r="AN172" i="5"/>
  <c r="AC172" i="5" s="1" a="1"/>
  <c r="AC172" i="5" s="1"/>
  <c r="W172" i="5"/>
  <c r="W154" i="5"/>
  <c r="AN154" i="5"/>
  <c r="AC154" i="5" s="1" a="1"/>
  <c r="AC154" i="5" s="1"/>
  <c r="G113" i="6"/>
  <c r="F113" i="12"/>
  <c r="E49" i="12"/>
  <c r="F49" i="6"/>
  <c r="W108" i="5"/>
  <c r="AN108" i="5"/>
  <c r="AC108" i="5" s="1" a="1"/>
  <c r="AC108" i="5" s="1"/>
  <c r="W213" i="5"/>
  <c r="AN213" i="5"/>
  <c r="AC213" i="5" s="1" a="1"/>
  <c r="AC213" i="5" s="1"/>
  <c r="G144" i="6"/>
  <c r="F144" i="12"/>
  <c r="AN214" i="5"/>
  <c r="AC214" i="5" s="1" a="1"/>
  <c r="AC214" i="5" s="1"/>
  <c r="W214" i="5"/>
  <c r="E115" i="12"/>
  <c r="F115" i="6"/>
  <c r="F71" i="12"/>
  <c r="G71" i="6"/>
  <c r="F132" i="12"/>
  <c r="G132" i="6"/>
  <c r="W72" i="5"/>
  <c r="AN72" i="5"/>
  <c r="AC72" i="5" s="1" a="1"/>
  <c r="AC72" i="5" s="1"/>
  <c r="AN215" i="5"/>
  <c r="AC215" i="5" s="1" a="1"/>
  <c r="AC215" i="5" s="1"/>
  <c r="W215" i="5"/>
  <c r="G149" i="6"/>
  <c r="F149" i="12"/>
  <c r="G138" i="6"/>
  <c r="F138" i="12"/>
  <c r="F29" i="6"/>
  <c r="E29" i="12"/>
  <c r="AN148" i="5"/>
  <c r="AC148" i="5" s="1" a="1"/>
  <c r="AC148" i="5" s="1"/>
  <c r="W148" i="5"/>
  <c r="F198" i="12"/>
  <c r="G198" i="6"/>
  <c r="W63" i="5"/>
  <c r="AN63" i="5"/>
  <c r="AC63" i="5" s="1" a="1"/>
  <c r="AC63" i="5" s="1"/>
  <c r="AN126" i="5"/>
  <c r="AC126" i="5" s="1" a="1"/>
  <c r="AC126" i="5" s="1"/>
  <c r="W126" i="5"/>
  <c r="G179" i="6"/>
  <c r="F179" i="12"/>
  <c r="W187" i="5"/>
  <c r="AN187" i="5"/>
  <c r="AC187" i="5" s="1" a="1"/>
  <c r="AC187" i="5" s="1"/>
  <c r="E222" i="12"/>
  <c r="F222" i="6"/>
  <c r="F219" i="6"/>
  <c r="E219" i="12"/>
  <c r="E175" i="12"/>
  <c r="F175" i="6"/>
  <c r="F79" i="6"/>
  <c r="E79" i="12"/>
  <c r="F156" i="12"/>
  <c r="G156" i="6"/>
  <c r="F118" i="6"/>
  <c r="E118" i="12"/>
  <c r="G191" i="6"/>
  <c r="F191" i="12"/>
  <c r="F25" i="6"/>
  <c r="E25" i="12"/>
  <c r="AN54" i="5"/>
  <c r="AC54" i="5" s="1" a="1"/>
  <c r="AC54" i="5" s="1"/>
  <c r="W54" i="5"/>
  <c r="F172" i="12"/>
  <c r="G172" i="6"/>
  <c r="AN113" i="5"/>
  <c r="AC113" i="5" s="1" a="1"/>
  <c r="AC113" i="5" s="1"/>
  <c r="W113" i="5"/>
  <c r="G49" i="6"/>
  <c r="F49" i="12"/>
  <c r="E97" i="12"/>
  <c r="F97" i="6"/>
  <c r="F108" i="6"/>
  <c r="E108" i="12"/>
  <c r="F213" i="12"/>
  <c r="G213" i="6"/>
  <c r="W144" i="5"/>
  <c r="AN144" i="5"/>
  <c r="AC144" i="5" s="1" a="1"/>
  <c r="AC144" i="5" s="1"/>
  <c r="F214" i="6"/>
  <c r="E214" i="12"/>
  <c r="F180" i="12"/>
  <c r="G180" i="6"/>
  <c r="F71" i="6"/>
  <c r="E71" i="12"/>
  <c r="AO226" i="12"/>
  <c r="M98" i="12"/>
  <c r="AO98" i="12"/>
  <c r="O98" i="12"/>
  <c r="O98" i="5"/>
  <c r="C98" i="6"/>
  <c r="L98" i="12" a="1"/>
  <c r="L98" i="12" s="1"/>
  <c r="C98" i="12"/>
  <c r="J98" i="12" a="1"/>
  <c r="J98" i="12" s="1"/>
  <c r="O145" i="12"/>
  <c r="C226" i="12"/>
  <c r="L226" i="12" a="1"/>
  <c r="L226" i="12" s="1"/>
  <c r="J226" i="12" a="1"/>
  <c r="J226" i="12" s="1"/>
  <c r="M145" i="12"/>
  <c r="C226" i="6"/>
  <c r="O226" i="5"/>
  <c r="H47" i="8" a="1"/>
  <c r="H47" i="8" s="1"/>
  <c r="J48" i="8" s="1"/>
  <c r="H48" i="8" a="1"/>
  <c r="H48" i="8" s="1"/>
  <c r="G47" i="8"/>
  <c r="G48" i="8" s="1" a="1"/>
  <c r="G48" i="8" s="1"/>
  <c r="M22" i="12"/>
  <c r="O22" i="12"/>
  <c r="O226" i="12"/>
  <c r="H62" i="12"/>
  <c r="X62" i="5" a="1"/>
  <c r="X62" i="5" s="1"/>
  <c r="AB98" i="5"/>
  <c r="AB226" i="5"/>
  <c r="M226" i="12"/>
  <c r="AN222" i="5"/>
  <c r="AC222" i="5" s="1" a="1"/>
  <c r="AC222" i="5" s="1"/>
  <c r="W222" i="5"/>
  <c r="X45" i="5" l="1" a="1"/>
  <c r="X45" i="5" s="1"/>
  <c r="H45" i="12"/>
  <c r="H88" i="12"/>
  <c r="X88" i="5" a="1"/>
  <c r="X88" i="5" s="1"/>
  <c r="H170" i="12"/>
  <c r="X170" i="5" a="1"/>
  <c r="X170" i="5" s="1"/>
  <c r="X212" i="5" a="1"/>
  <c r="X212" i="5" s="1"/>
  <c r="H212" i="12"/>
  <c r="H37" i="12"/>
  <c r="X37" i="5" a="1"/>
  <c r="X37" i="5" s="1"/>
  <c r="H49" i="12"/>
  <c r="X49" i="5" a="1"/>
  <c r="X49" i="5" s="1"/>
  <c r="X89" i="5" a="1"/>
  <c r="X89" i="5" s="1"/>
  <c r="H89" i="12"/>
  <c r="X33" i="5" a="1"/>
  <c r="X33" i="5" s="1"/>
  <c r="H33" i="12"/>
  <c r="H78" i="12"/>
  <c r="X78" i="5" a="1"/>
  <c r="X78" i="5" s="1"/>
  <c r="X179" i="5" a="1"/>
  <c r="X179" i="5" s="1"/>
  <c r="H179" i="12"/>
  <c r="H56" i="12"/>
  <c r="X56" i="5" a="1"/>
  <c r="X56" i="5" s="1"/>
  <c r="H207" i="12"/>
  <c r="X207" i="5" a="1"/>
  <c r="X207" i="5" s="1"/>
  <c r="H125" i="12"/>
  <c r="X125" i="5" a="1"/>
  <c r="X125" i="5" s="1"/>
  <c r="H63" i="12"/>
  <c r="X63" i="5" a="1"/>
  <c r="X63" i="5" s="1"/>
  <c r="X47" i="5" a="1"/>
  <c r="X47" i="5" s="1"/>
  <c r="H47" i="12"/>
  <c r="X186" i="5" a="1"/>
  <c r="X186" i="5" s="1"/>
  <c r="H186" i="12"/>
  <c r="X169" i="5" a="1"/>
  <c r="X169" i="5" s="1"/>
  <c r="H169" i="12"/>
  <c r="H157" i="12"/>
  <c r="X157" i="5" a="1"/>
  <c r="X157" i="5" s="1"/>
  <c r="H28" i="12"/>
  <c r="X28" i="5" a="1"/>
  <c r="X28" i="5" s="1"/>
  <c r="X67" i="5" a="1"/>
  <c r="X67" i="5" s="1"/>
  <c r="H67" i="12"/>
  <c r="H150" i="12"/>
  <c r="X150" i="5" a="1"/>
  <c r="X150" i="5" s="1"/>
  <c r="X192" i="5" a="1"/>
  <c r="X192" i="5" s="1"/>
  <c r="H192" i="12"/>
  <c r="X111" i="5" a="1"/>
  <c r="X111" i="5" s="1"/>
  <c r="H111" i="12"/>
  <c r="X84" i="5" a="1"/>
  <c r="X84" i="5" s="1"/>
  <c r="H84" i="12"/>
  <c r="H148" i="12"/>
  <c r="X148" i="5" a="1"/>
  <c r="X148" i="5" s="1"/>
  <c r="H97" i="12"/>
  <c r="X97" i="5" a="1"/>
  <c r="X97" i="5" s="1"/>
  <c r="H116" i="12"/>
  <c r="X116" i="5" a="1"/>
  <c r="X116" i="5" s="1"/>
  <c r="X31" i="5" a="1"/>
  <c r="X31" i="5" s="1"/>
  <c r="H31" i="12"/>
  <c r="H81" i="12"/>
  <c r="X81" i="5" a="1"/>
  <c r="X81" i="5" s="1"/>
  <c r="X213" i="5" a="1"/>
  <c r="X213" i="5" s="1"/>
  <c r="H213" i="12"/>
  <c r="H151" i="12"/>
  <c r="X151" i="5" a="1"/>
  <c r="X151" i="5" s="1"/>
  <c r="H202" i="12"/>
  <c r="X202" i="5" a="1"/>
  <c r="X202" i="5" s="1"/>
  <c r="H175" i="12"/>
  <c r="X175" i="5" a="1"/>
  <c r="X175" i="5" s="1"/>
  <c r="X216" i="5" a="1"/>
  <c r="X216" i="5" s="1"/>
  <c r="H216" i="12"/>
  <c r="X90" i="5" a="1"/>
  <c r="X90" i="5" s="1"/>
  <c r="H90" i="12"/>
  <c r="X60" i="5" a="1"/>
  <c r="X60" i="5" s="1"/>
  <c r="X58" i="5" s="1" a="1"/>
  <c r="X58" i="5" s="1"/>
  <c r="H60" i="12"/>
  <c r="H183" i="12"/>
  <c r="X183" i="5" a="1"/>
  <c r="X183" i="5" s="1"/>
  <c r="X138" i="5" a="1"/>
  <c r="X138" i="5" s="1"/>
  <c r="H138" i="12"/>
  <c r="H224" i="12"/>
  <c r="X224" i="5" a="1"/>
  <c r="X224" i="5" s="1"/>
  <c r="X65" i="5" a="1"/>
  <c r="X65" i="5" s="1"/>
  <c r="H65" i="12"/>
  <c r="X96" i="5" a="1"/>
  <c r="X96" i="5" s="1"/>
  <c r="H96" i="12"/>
  <c r="X143" i="5" a="1"/>
  <c r="X143" i="5" s="1"/>
  <c r="H143" i="12"/>
  <c r="H130" i="12"/>
  <c r="X130" i="5" a="1"/>
  <c r="X130" i="5" s="1"/>
  <c r="H176" i="12"/>
  <c r="X176" i="5" a="1"/>
  <c r="X176" i="5" s="1"/>
  <c r="H193" i="12"/>
  <c r="X193" i="5" a="1"/>
  <c r="X193" i="5" s="1"/>
  <c r="H94" i="12"/>
  <c r="X94" i="5" a="1"/>
  <c r="X94" i="5" s="1"/>
  <c r="X177" i="5" a="1"/>
  <c r="X177" i="5" s="1"/>
  <c r="H177" i="12"/>
  <c r="H20" i="12"/>
  <c r="X20" i="5" a="1"/>
  <c r="X20" i="5" s="1"/>
  <c r="X137" i="5" a="1"/>
  <c r="X137" i="5" s="1"/>
  <c r="H137" i="12"/>
  <c r="H44" i="12"/>
  <c r="X44" i="5" a="1"/>
  <c r="X44" i="5" s="1"/>
  <c r="X77" i="5" a="1"/>
  <c r="X77" i="5" s="1"/>
  <c r="H77" i="12"/>
  <c r="H167" i="12"/>
  <c r="X167" i="5" a="1"/>
  <c r="X167" i="5" s="1"/>
  <c r="X144" i="5" a="1"/>
  <c r="X144" i="5" s="1"/>
  <c r="H144" i="12"/>
  <c r="X24" i="5" a="1"/>
  <c r="X24" i="5" s="1"/>
  <c r="H24" i="12"/>
  <c r="H106" i="12"/>
  <c r="X106" i="5" a="1"/>
  <c r="X106" i="5" s="1"/>
  <c r="X29" i="5" a="1"/>
  <c r="X29" i="5" s="1"/>
  <c r="H29" i="12"/>
  <c r="X127" i="5" a="1"/>
  <c r="X127" i="5" s="1"/>
  <c r="H127" i="12"/>
  <c r="X124" i="5" a="1"/>
  <c r="X124" i="5" s="1"/>
  <c r="H124" i="12"/>
  <c r="H188" i="12"/>
  <c r="X188" i="5" a="1"/>
  <c r="X188" i="5" s="1"/>
  <c r="X197" i="5" a="1"/>
  <c r="X197" i="5" s="1"/>
  <c r="H197" i="12"/>
  <c r="X107" i="5" a="1"/>
  <c r="X107" i="5" s="1"/>
  <c r="H107" i="12"/>
  <c r="X91" i="5" a="1"/>
  <c r="X91" i="5" s="1"/>
  <c r="H91" i="12"/>
  <c r="H229" i="12"/>
  <c r="X229" i="5" a="1"/>
  <c r="X229" i="5" s="1"/>
  <c r="H166" i="12"/>
  <c r="X166" i="5" a="1"/>
  <c r="X166" i="5" s="1"/>
  <c r="X87" i="5" a="1"/>
  <c r="X87" i="5" s="1"/>
  <c r="H87" i="12"/>
  <c r="X118" i="5" a="1"/>
  <c r="X118" i="5" s="1"/>
  <c r="H118" i="12"/>
  <c r="X214" i="5" a="1"/>
  <c r="X214" i="5" s="1"/>
  <c r="H214" i="12"/>
  <c r="H191" i="12"/>
  <c r="X191" i="5" a="1"/>
  <c r="X191" i="5" s="1"/>
  <c r="H73" i="12"/>
  <c r="X73" i="5" a="1"/>
  <c r="X73" i="5" s="1"/>
  <c r="X26" i="5" a="1"/>
  <c r="X26" i="5" s="1"/>
  <c r="H26" i="12"/>
  <c r="H136" i="12"/>
  <c r="X136" i="5" a="1"/>
  <c r="X136" i="5" s="1"/>
  <c r="H120" i="12"/>
  <c r="X120" i="5" a="1"/>
  <c r="X120" i="5" s="1"/>
  <c r="H217" i="12"/>
  <c r="X217" i="5" a="1"/>
  <c r="X217" i="5" s="1"/>
  <c r="H19" i="12"/>
  <c r="X19" i="5" a="1"/>
  <c r="X19" i="5" s="1"/>
  <c r="X59" i="5" a="1"/>
  <c r="X59" i="5" s="1"/>
  <c r="H59" i="12"/>
  <c r="H46" i="12"/>
  <c r="X46" i="5" a="1"/>
  <c r="X46" i="5" s="1"/>
  <c r="X112" i="5" a="1"/>
  <c r="X112" i="5" s="1"/>
  <c r="H112" i="12"/>
  <c r="H79" i="12"/>
  <c r="X79" i="5" a="1"/>
  <c r="X79" i="5" s="1"/>
  <c r="H128" i="12"/>
  <c r="X128" i="5" a="1"/>
  <c r="X128" i="5" s="1"/>
  <c r="H41" i="12"/>
  <c r="X41" i="5" a="1"/>
  <c r="X41" i="5" s="1"/>
  <c r="X114" i="5" a="1"/>
  <c r="X114" i="5" s="1"/>
  <c r="H114" i="12"/>
  <c r="X119" i="5" a="1"/>
  <c r="X119" i="5" s="1"/>
  <c r="H119" i="12"/>
  <c r="H40" i="12"/>
  <c r="X40" i="5" a="1"/>
  <c r="X40" i="5" s="1"/>
  <c r="H83" i="12"/>
  <c r="X83" i="5" a="1"/>
  <c r="X83" i="5" s="1"/>
  <c r="X149" i="5" a="1"/>
  <c r="X149" i="5" s="1"/>
  <c r="H149" i="12"/>
  <c r="H27" i="12"/>
  <c r="X27" i="5" a="1"/>
  <c r="X27" i="5" s="1"/>
  <c r="X184" i="5" a="1"/>
  <c r="X184" i="5" s="1"/>
  <c r="H184" i="12"/>
  <c r="H108" i="12"/>
  <c r="X108" i="5" a="1"/>
  <c r="X108" i="5" s="1"/>
  <c r="H158" i="12"/>
  <c r="X158" i="5" a="1"/>
  <c r="X158" i="5" s="1"/>
  <c r="X178" i="5" a="1"/>
  <c r="X178" i="5" s="1"/>
  <c r="H178" i="12"/>
  <c r="H82" i="12"/>
  <c r="X82" i="5" a="1"/>
  <c r="X82" i="5" s="1"/>
  <c r="H228" i="12"/>
  <c r="X228" i="5" a="1"/>
  <c r="X228" i="5" s="1"/>
  <c r="X163" i="5" a="1"/>
  <c r="X163" i="5" s="1"/>
  <c r="H163" i="12"/>
  <c r="H104" i="12"/>
  <c r="X104" i="5" a="1"/>
  <c r="X104" i="5" s="1"/>
  <c r="H182" i="12"/>
  <c r="X182" i="5" a="1"/>
  <c r="X182" i="5" s="1"/>
  <c r="X69" i="5" a="1"/>
  <c r="X69" i="5" s="1"/>
  <c r="H69" i="12"/>
  <c r="X160" i="5" a="1"/>
  <c r="X160" i="5" s="1"/>
  <c r="H160" i="12"/>
  <c r="H230" i="12"/>
  <c r="X230" i="5" a="1"/>
  <c r="X230" i="5" s="1"/>
  <c r="H171" i="12"/>
  <c r="X171" i="5" a="1"/>
  <c r="X171" i="5" s="1"/>
  <c r="H174" i="12"/>
  <c r="X174" i="5" a="1"/>
  <c r="X174" i="5" s="1"/>
  <c r="X21" i="5" a="1"/>
  <c r="X21" i="5" s="1"/>
  <c r="H21" i="12"/>
  <c r="X165" i="5" a="1"/>
  <c r="X165" i="5" s="1"/>
  <c r="H165" i="12"/>
  <c r="X198" i="5" a="1"/>
  <c r="X198" i="5" s="1"/>
  <c r="H198" i="12"/>
  <c r="X219" i="5" a="1"/>
  <c r="X219" i="5" s="1"/>
  <c r="H219" i="12"/>
  <c r="X201" i="5" a="1"/>
  <c r="X201" i="5" s="1"/>
  <c r="H201" i="12"/>
  <c r="H139" i="12"/>
  <c r="X139" i="5" a="1"/>
  <c r="X139" i="5" s="1"/>
  <c r="X101" i="5" a="1"/>
  <c r="X101" i="5" s="1"/>
  <c r="H101" i="12"/>
  <c r="H161" i="12"/>
  <c r="X161" i="5" a="1"/>
  <c r="X161" i="5" s="1"/>
  <c r="H162" i="12"/>
  <c r="X162" i="5" a="1"/>
  <c r="X162" i="5" s="1"/>
  <c r="H134" i="12"/>
  <c r="X134" i="5" a="1"/>
  <c r="X134" i="5" s="1"/>
  <c r="X113" i="5" a="1"/>
  <c r="X113" i="5" s="1"/>
  <c r="H113" i="12"/>
  <c r="H215" i="12"/>
  <c r="X215" i="5" a="1"/>
  <c r="X215" i="5" s="1"/>
  <c r="H159" i="12"/>
  <c r="X159" i="5" a="1"/>
  <c r="X159" i="5" s="1"/>
  <c r="H117" i="12"/>
  <c r="X117" i="5" a="1"/>
  <c r="X117" i="5" s="1"/>
  <c r="H53" i="12"/>
  <c r="X53" i="5" a="1"/>
  <c r="X53" i="5" s="1"/>
  <c r="X205" i="5" a="1"/>
  <c r="X205" i="5" s="1"/>
  <c r="H205" i="12"/>
  <c r="H52" i="12"/>
  <c r="X52" i="5" a="1"/>
  <c r="X52" i="5" s="1"/>
  <c r="H196" i="12"/>
  <c r="X196" i="5" a="1"/>
  <c r="X196" i="5" s="1"/>
  <c r="H153" i="12"/>
  <c r="X153" i="5" a="1"/>
  <c r="X153" i="5" s="1"/>
  <c r="X36" i="5" a="1"/>
  <c r="X36" i="5" s="1"/>
  <c r="H36" i="12"/>
  <c r="X51" i="5" a="1"/>
  <c r="X51" i="5" s="1"/>
  <c r="H51" i="12"/>
  <c r="X156" i="5" a="1"/>
  <c r="X156" i="5" s="1"/>
  <c r="H156" i="12"/>
  <c r="X185" i="5" a="1"/>
  <c r="X185" i="5" s="1"/>
  <c r="H185" i="12"/>
  <c r="X34" i="5" a="1"/>
  <c r="X34" i="5" s="1"/>
  <c r="H34" i="12"/>
  <c r="X141" i="5" a="1"/>
  <c r="X141" i="5" s="1"/>
  <c r="H141" i="12"/>
  <c r="H68" i="12"/>
  <c r="X68" i="5" a="1"/>
  <c r="X68" i="5" s="1"/>
  <c r="X194" i="5" a="1"/>
  <c r="X194" i="5" s="1"/>
  <c r="H194" i="12"/>
  <c r="H85" i="12"/>
  <c r="X85" i="5" a="1"/>
  <c r="X85" i="5" s="1"/>
  <c r="H42" i="12"/>
  <c r="X42" i="5" a="1"/>
  <c r="X42" i="5" s="1"/>
  <c r="H86" i="12"/>
  <c r="X86" i="5" a="1"/>
  <c r="X86" i="5" s="1"/>
  <c r="H180" i="12"/>
  <c r="X180" i="5" a="1"/>
  <c r="X180" i="5" s="1"/>
  <c r="H208" i="12"/>
  <c r="X208" i="5" a="1"/>
  <c r="X208" i="5" s="1"/>
  <c r="X135" i="5" a="1"/>
  <c r="X135" i="5" s="1"/>
  <c r="H135" i="12"/>
  <c r="X155" i="5" a="1"/>
  <c r="X155" i="5" s="1"/>
  <c r="H155" i="12"/>
  <c r="H131" i="12"/>
  <c r="X131" i="5" a="1"/>
  <c r="X131" i="5" s="1"/>
  <c r="H55" i="12"/>
  <c r="X55" i="5" a="1"/>
  <c r="X55" i="5" s="1"/>
  <c r="H168" i="12"/>
  <c r="X168" i="5" a="1"/>
  <c r="X168" i="5" s="1"/>
  <c r="H39" i="12"/>
  <c r="X39" i="5" a="1"/>
  <c r="X39" i="5" s="1"/>
  <c r="X25" i="5" a="1"/>
  <c r="X25" i="5" s="1"/>
  <c r="H25" i="12"/>
  <c r="H211" i="12"/>
  <c r="X211" i="5" a="1"/>
  <c r="X211" i="5" s="1"/>
  <c r="H225" i="12"/>
  <c r="X225" i="5" a="1"/>
  <c r="X225" i="5" s="1"/>
  <c r="H187" i="12"/>
  <c r="X187" i="5" a="1"/>
  <c r="X187" i="5" s="1"/>
  <c r="H72" i="12"/>
  <c r="X72" i="5" a="1"/>
  <c r="X72" i="5" s="1"/>
  <c r="X154" i="5" a="1"/>
  <c r="X154" i="5" s="1"/>
  <c r="H154" i="12"/>
  <c r="X132" i="5" a="1"/>
  <c r="X132" i="5" s="1"/>
  <c r="H132" i="12"/>
  <c r="H152" i="12"/>
  <c r="X152" i="5" a="1"/>
  <c r="X152" i="5" s="1"/>
  <c r="X50" i="5" a="1"/>
  <c r="X50" i="5" s="1"/>
  <c r="H50" i="12"/>
  <c r="H76" i="12"/>
  <c r="X76" i="5" a="1"/>
  <c r="X76" i="5" s="1"/>
  <c r="X142" i="5" a="1"/>
  <c r="X142" i="5" s="1"/>
  <c r="H142" i="12"/>
  <c r="X30" i="5" a="1"/>
  <c r="X30" i="5" s="1"/>
  <c r="H30" i="12"/>
  <c r="H61" i="12"/>
  <c r="X61" i="5" a="1"/>
  <c r="X61" i="5" s="1"/>
  <c r="H75" i="12"/>
  <c r="X75" i="5" a="1"/>
  <c r="X75" i="5" s="1"/>
  <c r="H93" i="12"/>
  <c r="X93" i="5" a="1"/>
  <c r="X93" i="5" s="1"/>
  <c r="H123" i="12"/>
  <c r="X123" i="5" a="1"/>
  <c r="X123" i="5" s="1"/>
  <c r="H54" i="12"/>
  <c r="X54" i="5" a="1"/>
  <c r="X54" i="5" s="1"/>
  <c r="X172" i="5" a="1"/>
  <c r="X172" i="5" s="1"/>
  <c r="H172" i="12"/>
  <c r="H80" i="12"/>
  <c r="X80" i="5" a="1"/>
  <c r="X80" i="5" s="1"/>
  <c r="H181" i="12"/>
  <c r="X181" i="5" a="1"/>
  <c r="X181" i="5" s="1"/>
  <c r="X43" i="5" a="1"/>
  <c r="X43" i="5" s="1"/>
  <c r="H43" i="12"/>
  <c r="H100" i="12"/>
  <c r="X100" i="5" a="1"/>
  <c r="X100" i="5" s="1"/>
  <c r="X66" i="5" a="1"/>
  <c r="X66" i="5" s="1"/>
  <c r="H66" i="12"/>
  <c r="H147" i="12"/>
  <c r="X147" i="5" a="1"/>
  <c r="X147" i="5" s="1"/>
  <c r="H121" i="12"/>
  <c r="X121" i="5" a="1"/>
  <c r="X121" i="5" s="1"/>
  <c r="H203" i="12"/>
  <c r="X203" i="5" a="1"/>
  <c r="X203" i="5" s="1"/>
  <c r="X18" i="5" a="1"/>
  <c r="X18" i="5" s="1"/>
  <c r="H18" i="12"/>
  <c r="X71" i="5" a="1"/>
  <c r="X71" i="5" s="1"/>
  <c r="H71" i="12"/>
  <c r="X199" i="5" a="1"/>
  <c r="X199" i="5" s="1"/>
  <c r="H199" i="12"/>
  <c r="X35" i="5" a="1"/>
  <c r="X35" i="5" s="1"/>
  <c r="H35" i="12"/>
  <c r="X105" i="5" a="1"/>
  <c r="X105" i="5" s="1"/>
  <c r="H105" i="12"/>
  <c r="H189" i="12"/>
  <c r="X189" i="5" a="1"/>
  <c r="X189" i="5" s="1"/>
  <c r="H102" i="12"/>
  <c r="X102" i="5" a="1"/>
  <c r="X102" i="5" s="1"/>
  <c r="H103" i="12"/>
  <c r="X103" i="5" a="1"/>
  <c r="X103" i="5" s="1"/>
  <c r="H48" i="12"/>
  <c r="X48" i="5" a="1"/>
  <c r="X48" i="5" s="1"/>
  <c r="X32" i="5" a="1"/>
  <c r="X32" i="5" s="1"/>
  <c r="H32" i="12"/>
  <c r="H204" i="12"/>
  <c r="X204" i="5" a="1"/>
  <c r="X204" i="5" s="1"/>
  <c r="O12" i="5" a="1"/>
  <c r="O12" i="5" s="1"/>
  <c r="X126" i="5" a="1"/>
  <c r="X126" i="5" s="1"/>
  <c r="H126" i="12"/>
  <c r="X220" i="5" a="1"/>
  <c r="X220" i="5" s="1"/>
  <c r="H220" i="12"/>
  <c r="H115" i="12"/>
  <c r="X115" i="5" a="1"/>
  <c r="X115" i="5" s="1"/>
  <c r="X209" i="5" a="1"/>
  <c r="X209" i="5" s="1"/>
  <c r="H209" i="12"/>
  <c r="H57" i="12"/>
  <c r="X57" i="5" a="1"/>
  <c r="X57" i="5" s="1"/>
  <c r="K98" i="12"/>
  <c r="N226" i="12"/>
  <c r="N98" i="12"/>
  <c r="N22" i="12"/>
  <c r="K226" i="12"/>
  <c r="E98" i="6"/>
  <c r="I47" i="8"/>
  <c r="A47" i="8" s="1"/>
  <c r="D98" i="12"/>
  <c r="Y98" i="12"/>
  <c r="Y226" i="12"/>
  <c r="X222" i="5" a="1"/>
  <c r="X222" i="5" s="1"/>
  <c r="X109" i="5" s="1" a="1"/>
  <c r="X109" i="5" s="1"/>
  <c r="H222" i="12"/>
  <c r="AM62" i="5"/>
  <c r="L62" i="5"/>
  <c r="Z62" i="5"/>
  <c r="I62" i="12"/>
  <c r="X22" i="5" a="1"/>
  <c r="X22" i="5" s="1"/>
  <c r="E226" i="6"/>
  <c r="D226" i="12"/>
  <c r="N145" i="12"/>
  <c r="O109" i="12"/>
  <c r="M109" i="12"/>
  <c r="X99" i="5" l="1" a="1"/>
  <c r="X99" i="5" s="1"/>
  <c r="I100" i="12"/>
  <c r="Z100" i="5"/>
  <c r="AB100" i="5" s="1"/>
  <c r="AM100" i="5"/>
  <c r="L100" i="5"/>
  <c r="I100" i="5"/>
  <c r="I101" i="5" s="1"/>
  <c r="I102" i="5" s="1"/>
  <c r="I103" i="5" s="1"/>
  <c r="I104" i="5" s="1"/>
  <c r="I105" i="5" s="1"/>
  <c r="I106" i="5" s="1"/>
  <c r="I107" i="5" s="1"/>
  <c r="I108" i="5" s="1"/>
  <c r="I211" i="5"/>
  <c r="I212" i="5" s="1"/>
  <c r="I213" i="5" s="1"/>
  <c r="I214" i="5" s="1"/>
  <c r="I215" i="5" s="1"/>
  <c r="I216" i="5" s="1"/>
  <c r="I217" i="5" s="1"/>
  <c r="I211" i="12"/>
  <c r="AM211" i="5"/>
  <c r="X210" i="5" a="1"/>
  <c r="X210" i="5" s="1"/>
  <c r="Z211" i="5"/>
  <c r="AB211" i="5" s="1"/>
  <c r="L211" i="5"/>
  <c r="L86" i="5"/>
  <c r="AM86" i="5"/>
  <c r="Z86" i="5"/>
  <c r="AB86" i="5" s="1"/>
  <c r="I86" i="12"/>
  <c r="AM134" i="5"/>
  <c r="L134" i="5"/>
  <c r="Z134" i="5"/>
  <c r="AB134" i="5" s="1"/>
  <c r="AB133" i="5" s="1"/>
  <c r="I134" i="5"/>
  <c r="I135" i="5" s="1"/>
  <c r="I136" i="5" s="1"/>
  <c r="I137" i="5" s="1"/>
  <c r="I138" i="5" s="1"/>
  <c r="I139" i="5" s="1"/>
  <c r="I134" i="12"/>
  <c r="X133" i="5" a="1"/>
  <c r="X133" i="5" s="1"/>
  <c r="I174" i="5"/>
  <c r="I175" i="5" s="1"/>
  <c r="I176" i="5" s="1"/>
  <c r="I177" i="5" s="1"/>
  <c r="I178" i="5" s="1"/>
  <c r="I179" i="5" s="1"/>
  <c r="I180" i="5" s="1"/>
  <c r="I181" i="5" s="1"/>
  <c r="I182" i="5" s="1"/>
  <c r="I183" i="5" s="1"/>
  <c r="I184" i="5" s="1"/>
  <c r="I185" i="5" s="1"/>
  <c r="I186" i="5" s="1"/>
  <c r="I187" i="5" s="1"/>
  <c r="I188" i="5" s="1"/>
  <c r="L174" i="5"/>
  <c r="Z174" i="5"/>
  <c r="AB174" i="5" s="1"/>
  <c r="AM174" i="5"/>
  <c r="X173" i="5" a="1"/>
  <c r="X173" i="5" s="1"/>
  <c r="I174" i="12"/>
  <c r="I41" i="12"/>
  <c r="Z41" i="5"/>
  <c r="AB41" i="5" s="1"/>
  <c r="L41" i="5"/>
  <c r="AM41" i="5"/>
  <c r="AM44" i="5"/>
  <c r="I44" i="12"/>
  <c r="Z44" i="5"/>
  <c r="AB44" i="5" s="1"/>
  <c r="L44" i="5"/>
  <c r="AM30" i="5"/>
  <c r="I30" i="12"/>
  <c r="Z30" i="5"/>
  <c r="AB30" i="5" s="1"/>
  <c r="L30" i="5"/>
  <c r="Z36" i="5"/>
  <c r="AB36" i="5" s="1"/>
  <c r="I36" i="12"/>
  <c r="AM36" i="5"/>
  <c r="L36" i="5"/>
  <c r="L178" i="5"/>
  <c r="I178" i="12"/>
  <c r="AM178" i="5"/>
  <c r="Z178" i="5"/>
  <c r="AB178" i="5" s="1"/>
  <c r="AM26" i="5"/>
  <c r="I26" i="12"/>
  <c r="L26" i="5"/>
  <c r="Z26" i="5"/>
  <c r="AB26" i="5" s="1"/>
  <c r="Z197" i="5"/>
  <c r="AB197" i="5" s="1"/>
  <c r="I197" i="12"/>
  <c r="L197" i="5"/>
  <c r="AM197" i="5"/>
  <c r="I65" i="12"/>
  <c r="X64" i="5" a="1"/>
  <c r="X64" i="5" s="1"/>
  <c r="I65" i="5"/>
  <c r="I66" i="5" s="1"/>
  <c r="I67" i="5" s="1"/>
  <c r="I68" i="5" s="1"/>
  <c r="I69" i="5" s="1"/>
  <c r="Z65" i="5"/>
  <c r="AB65" i="5" s="1"/>
  <c r="AM65" i="5"/>
  <c r="L65" i="5"/>
  <c r="AM213" i="5"/>
  <c r="L213" i="5"/>
  <c r="I213" i="12"/>
  <c r="Z213" i="5"/>
  <c r="AB213" i="5" s="1"/>
  <c r="L67" i="5"/>
  <c r="I67" i="12"/>
  <c r="AM67" i="5"/>
  <c r="Z67" i="5"/>
  <c r="AB67" i="5" s="1"/>
  <c r="I179" i="12"/>
  <c r="Z179" i="5"/>
  <c r="AB179" i="5" s="1"/>
  <c r="AM179" i="5"/>
  <c r="L179" i="5"/>
  <c r="AM42" i="5"/>
  <c r="Z42" i="5"/>
  <c r="AB42" i="5" s="1"/>
  <c r="L42" i="5"/>
  <c r="I42" i="12"/>
  <c r="AM162" i="5"/>
  <c r="I162" i="12"/>
  <c r="Z162" i="5"/>
  <c r="AB162" i="5" s="1"/>
  <c r="L162" i="5"/>
  <c r="Z171" i="5"/>
  <c r="AB171" i="5" s="1"/>
  <c r="AM171" i="5"/>
  <c r="L171" i="5"/>
  <c r="I171" i="12"/>
  <c r="I158" i="12"/>
  <c r="L158" i="5"/>
  <c r="Z158" i="5"/>
  <c r="AB158" i="5" s="1"/>
  <c r="AM158" i="5"/>
  <c r="L128" i="5"/>
  <c r="I128" i="12"/>
  <c r="Z128" i="5"/>
  <c r="AB128" i="5" s="1"/>
  <c r="AM128" i="5"/>
  <c r="L188" i="5"/>
  <c r="Z188" i="5"/>
  <c r="AB188" i="5" s="1"/>
  <c r="AM188" i="5"/>
  <c r="I188" i="12"/>
  <c r="AM224" i="5"/>
  <c r="L224" i="5"/>
  <c r="C224" i="6" s="1"/>
  <c r="X223" i="5" a="1"/>
  <c r="X223" i="5" s="1"/>
  <c r="I224" i="12"/>
  <c r="Z224" i="5"/>
  <c r="AB224" i="5" s="1"/>
  <c r="L81" i="5"/>
  <c r="AM81" i="5"/>
  <c r="Z81" i="5"/>
  <c r="AB81" i="5" s="1"/>
  <c r="I81" i="12"/>
  <c r="Z28" i="5"/>
  <c r="AB28" i="5" s="1"/>
  <c r="I28" i="12"/>
  <c r="L28" i="5"/>
  <c r="AM28" i="5"/>
  <c r="Z78" i="5"/>
  <c r="AB78" i="5" s="1"/>
  <c r="AM78" i="5"/>
  <c r="I78" i="12"/>
  <c r="L78" i="5"/>
  <c r="I115" i="12"/>
  <c r="Z115" i="5"/>
  <c r="AB115" i="5" s="1"/>
  <c r="L115" i="5"/>
  <c r="AM115" i="5"/>
  <c r="L105" i="5"/>
  <c r="I105" i="12"/>
  <c r="Z105" i="5"/>
  <c r="AB105" i="5" s="1"/>
  <c r="AM105" i="5"/>
  <c r="I43" i="12"/>
  <c r="Z43" i="5"/>
  <c r="AB43" i="5" s="1"/>
  <c r="L43" i="5"/>
  <c r="AM43" i="5"/>
  <c r="AM142" i="5"/>
  <c r="Z142" i="5"/>
  <c r="AB142" i="5" s="1"/>
  <c r="L142" i="5"/>
  <c r="I142" i="12"/>
  <c r="AM25" i="5"/>
  <c r="L25" i="5"/>
  <c r="I25" i="12"/>
  <c r="Z25" i="5"/>
  <c r="AB25" i="5" s="1"/>
  <c r="Z137" i="5"/>
  <c r="AB137" i="5" s="1"/>
  <c r="AM137" i="5"/>
  <c r="L137" i="5"/>
  <c r="I137" i="12"/>
  <c r="AM153" i="5"/>
  <c r="Z153" i="5"/>
  <c r="AB153" i="5" s="1"/>
  <c r="L153" i="5"/>
  <c r="I153" i="12"/>
  <c r="Z73" i="5"/>
  <c r="AB73" i="5" s="1"/>
  <c r="L73" i="5"/>
  <c r="AM73" i="5"/>
  <c r="I73" i="12"/>
  <c r="AM181" i="5"/>
  <c r="L181" i="5"/>
  <c r="Z181" i="5"/>
  <c r="AB181" i="5" s="1"/>
  <c r="I181" i="12"/>
  <c r="L76" i="5"/>
  <c r="AM76" i="5"/>
  <c r="Z76" i="5"/>
  <c r="AB76" i="5" s="1"/>
  <c r="I76" i="12"/>
  <c r="AM39" i="5"/>
  <c r="X38" i="5" a="1"/>
  <c r="X38" i="5" s="1"/>
  <c r="Z39" i="5"/>
  <c r="AB39" i="5" s="1"/>
  <c r="I39" i="5"/>
  <c r="I40" i="5" s="1"/>
  <c r="I41" i="5" s="1"/>
  <c r="I42" i="5" s="1"/>
  <c r="I43" i="5" s="1"/>
  <c r="I44" i="5" s="1"/>
  <c r="I45" i="5" s="1"/>
  <c r="I46" i="5" s="1"/>
  <c r="I47" i="5" s="1"/>
  <c r="I48" i="5" s="1"/>
  <c r="I49" i="5" s="1"/>
  <c r="I50" i="5" s="1"/>
  <c r="I51" i="5" s="1"/>
  <c r="I52" i="5" s="1"/>
  <c r="I53" i="5" s="1"/>
  <c r="I54" i="5" s="1"/>
  <c r="I55" i="5" s="1"/>
  <c r="I56" i="5" s="1"/>
  <c r="I57" i="5" s="1"/>
  <c r="L39" i="5"/>
  <c r="I39" i="12"/>
  <c r="Z85" i="5"/>
  <c r="AB85" i="5" s="1"/>
  <c r="I85" i="12"/>
  <c r="AM85" i="5"/>
  <c r="L85" i="5"/>
  <c r="AM196" i="5"/>
  <c r="I196" i="12"/>
  <c r="L196" i="5"/>
  <c r="I196" i="5"/>
  <c r="I197" i="5" s="1"/>
  <c r="I198" i="5" s="1"/>
  <c r="I199" i="5" s="1"/>
  <c r="Z196" i="5"/>
  <c r="AB196" i="5" s="1"/>
  <c r="X195" i="5" a="1"/>
  <c r="X195" i="5" s="1"/>
  <c r="L161" i="5"/>
  <c r="Z161" i="5"/>
  <c r="AB161" i="5" s="1"/>
  <c r="I161" i="12"/>
  <c r="AM161" i="5"/>
  <c r="L230" i="5"/>
  <c r="AM230" i="5"/>
  <c r="I230" i="12"/>
  <c r="Z230" i="5"/>
  <c r="AB230" i="5" s="1"/>
  <c r="I108" i="12"/>
  <c r="AM108" i="5"/>
  <c r="L108" i="5"/>
  <c r="Z108" i="5"/>
  <c r="AB108" i="5" s="1"/>
  <c r="I79" i="12"/>
  <c r="Z79" i="5"/>
  <c r="AB79" i="5" s="1"/>
  <c r="AM79" i="5"/>
  <c r="L79" i="5"/>
  <c r="AM191" i="5"/>
  <c r="I191" i="12"/>
  <c r="X190" i="5" a="1"/>
  <c r="X190" i="5" s="1"/>
  <c r="Z191" i="5"/>
  <c r="AB191" i="5" s="1"/>
  <c r="L191" i="5"/>
  <c r="I191" i="5"/>
  <c r="I192" i="5" s="1"/>
  <c r="I193" i="5" s="1"/>
  <c r="I194" i="5" s="1"/>
  <c r="I20" i="12"/>
  <c r="AM20" i="5"/>
  <c r="L20" i="5"/>
  <c r="Z20" i="5"/>
  <c r="AB20" i="5" s="1"/>
  <c r="AM157" i="5"/>
  <c r="Z157" i="5"/>
  <c r="AB157" i="5" s="1"/>
  <c r="L157" i="5"/>
  <c r="I157" i="12"/>
  <c r="Z35" i="5"/>
  <c r="AB35" i="5" s="1"/>
  <c r="AM35" i="5"/>
  <c r="I35" i="12"/>
  <c r="L35" i="5"/>
  <c r="Z124" i="5"/>
  <c r="AB124" i="5" s="1"/>
  <c r="I124" i="12"/>
  <c r="AM124" i="5"/>
  <c r="L124" i="5"/>
  <c r="Z138" i="5"/>
  <c r="AB138" i="5" s="1"/>
  <c r="I138" i="12"/>
  <c r="L138" i="5"/>
  <c r="AM138" i="5"/>
  <c r="L31" i="5"/>
  <c r="Z31" i="5"/>
  <c r="AB31" i="5" s="1"/>
  <c r="I31" i="12"/>
  <c r="AM31" i="5"/>
  <c r="I33" i="12"/>
  <c r="AM33" i="5"/>
  <c r="Z33" i="5"/>
  <c r="AB33" i="5" s="1"/>
  <c r="L33" i="5"/>
  <c r="Z183" i="5"/>
  <c r="AB183" i="5" s="1"/>
  <c r="AM183" i="5"/>
  <c r="I183" i="12"/>
  <c r="L183" i="5"/>
  <c r="L116" i="5"/>
  <c r="I116" i="12"/>
  <c r="AM116" i="5"/>
  <c r="Z116" i="5"/>
  <c r="AB116" i="5" s="1"/>
  <c r="AM199" i="5"/>
  <c r="Z199" i="5"/>
  <c r="AB199" i="5" s="1"/>
  <c r="I199" i="12"/>
  <c r="L199" i="5"/>
  <c r="L50" i="5"/>
  <c r="AM50" i="5"/>
  <c r="Z50" i="5"/>
  <c r="AB50" i="5" s="1"/>
  <c r="I50" i="12"/>
  <c r="L194" i="5"/>
  <c r="Z194" i="5"/>
  <c r="AB194" i="5" s="1"/>
  <c r="I194" i="12"/>
  <c r="AM194" i="5"/>
  <c r="I101" i="12"/>
  <c r="L101" i="5"/>
  <c r="AM101" i="5"/>
  <c r="Z101" i="5"/>
  <c r="AB101" i="5" s="1"/>
  <c r="L160" i="5"/>
  <c r="AM160" i="5"/>
  <c r="Z160" i="5"/>
  <c r="AB160" i="5" s="1"/>
  <c r="I160" i="12"/>
  <c r="Z184" i="5"/>
  <c r="AB184" i="5" s="1"/>
  <c r="I184" i="12"/>
  <c r="AM184" i="5"/>
  <c r="L184" i="5"/>
  <c r="L112" i="5"/>
  <c r="AM112" i="5"/>
  <c r="I112" i="12"/>
  <c r="Z112" i="5"/>
  <c r="AB112" i="5" s="1"/>
  <c r="Z214" i="5"/>
  <c r="AB214" i="5" s="1"/>
  <c r="AM214" i="5"/>
  <c r="I214" i="12"/>
  <c r="L214" i="5"/>
  <c r="L127" i="5"/>
  <c r="AM127" i="5"/>
  <c r="Z127" i="5"/>
  <c r="AB127" i="5" s="1"/>
  <c r="I127" i="12"/>
  <c r="I177" i="12"/>
  <c r="Z177" i="5"/>
  <c r="AB177" i="5" s="1"/>
  <c r="AM177" i="5"/>
  <c r="L177" i="5"/>
  <c r="I169" i="12"/>
  <c r="AM169" i="5"/>
  <c r="Z169" i="5"/>
  <c r="AB169" i="5" s="1"/>
  <c r="L169" i="5"/>
  <c r="I89" i="12"/>
  <c r="Z89" i="5"/>
  <c r="AB89" i="5" s="1"/>
  <c r="L89" i="5"/>
  <c r="AM89" i="5"/>
  <c r="I94" i="12"/>
  <c r="Z94" i="5"/>
  <c r="AB94" i="5" s="1"/>
  <c r="AM94" i="5"/>
  <c r="L94" i="5"/>
  <c r="AM69" i="5"/>
  <c r="I69" i="12"/>
  <c r="L69" i="5"/>
  <c r="Z69" i="5"/>
  <c r="AB69" i="5" s="1"/>
  <c r="AM204" i="5"/>
  <c r="L204" i="5"/>
  <c r="I204" i="12"/>
  <c r="Z204" i="5"/>
  <c r="AB204" i="5" s="1"/>
  <c r="Z54" i="5"/>
  <c r="AB54" i="5" s="1"/>
  <c r="AM54" i="5"/>
  <c r="I54" i="12"/>
  <c r="L54" i="5"/>
  <c r="AM131" i="5"/>
  <c r="Z131" i="5"/>
  <c r="AB131" i="5" s="1"/>
  <c r="I131" i="12"/>
  <c r="L131" i="5"/>
  <c r="Z53" i="5"/>
  <c r="AB53" i="5" s="1"/>
  <c r="AM53" i="5"/>
  <c r="L53" i="5"/>
  <c r="I53" i="12"/>
  <c r="Z182" i="5"/>
  <c r="AB182" i="5" s="1"/>
  <c r="AM182" i="5"/>
  <c r="L182" i="5"/>
  <c r="I182" i="12"/>
  <c r="Z106" i="5"/>
  <c r="AB106" i="5" s="1"/>
  <c r="L106" i="5"/>
  <c r="AM106" i="5"/>
  <c r="I106" i="12"/>
  <c r="AM193" i="5"/>
  <c r="I193" i="12"/>
  <c r="L193" i="5"/>
  <c r="Z193" i="5"/>
  <c r="AB193" i="5" s="1"/>
  <c r="I148" i="12"/>
  <c r="AM148" i="5"/>
  <c r="Z148" i="5"/>
  <c r="AB148" i="5" s="1"/>
  <c r="L148" i="5"/>
  <c r="Z37" i="5"/>
  <c r="AB37" i="5" s="1"/>
  <c r="AM37" i="5"/>
  <c r="I37" i="12"/>
  <c r="L37" i="5"/>
  <c r="C37" i="6" s="1"/>
  <c r="Z220" i="5"/>
  <c r="AB220" i="5" s="1"/>
  <c r="I220" i="12"/>
  <c r="AM220" i="5"/>
  <c r="L220" i="5"/>
  <c r="Z46" i="5"/>
  <c r="AB46" i="5" s="1"/>
  <c r="AM46" i="5"/>
  <c r="L46" i="5"/>
  <c r="I46" i="12"/>
  <c r="L18" i="5"/>
  <c r="X17" i="5" a="1"/>
  <c r="X17" i="5" s="1"/>
  <c r="I18" i="12"/>
  <c r="Z18" i="5"/>
  <c r="AB18" i="5" s="1"/>
  <c r="I18" i="5"/>
  <c r="I19" i="5" s="1"/>
  <c r="I20" i="5" s="1"/>
  <c r="I21" i="5" s="1"/>
  <c r="I22" i="5" s="1"/>
  <c r="I23" i="5" s="1"/>
  <c r="I24" i="5" s="1"/>
  <c r="I25" i="5" s="1"/>
  <c r="I26" i="5" s="1"/>
  <c r="I27" i="5" s="1"/>
  <c r="I28" i="5" s="1"/>
  <c r="I29" i="5" s="1"/>
  <c r="I30" i="5" s="1"/>
  <c r="I31" i="5" s="1"/>
  <c r="I32" i="5" s="1"/>
  <c r="I33" i="5" s="1"/>
  <c r="I34" i="5" s="1"/>
  <c r="I35" i="5" s="1"/>
  <c r="I36" i="5" s="1"/>
  <c r="I37" i="5" s="1"/>
  <c r="O37" i="5" s="1"/>
  <c r="AM18" i="5"/>
  <c r="AM132" i="5"/>
  <c r="L132" i="5"/>
  <c r="I132" i="12"/>
  <c r="Z132" i="5"/>
  <c r="AB132" i="5" s="1"/>
  <c r="L141" i="5"/>
  <c r="Z141" i="5"/>
  <c r="AB141" i="5" s="1"/>
  <c r="AM141" i="5"/>
  <c r="I141" i="12"/>
  <c r="I141" i="5"/>
  <c r="I142" i="5" s="1"/>
  <c r="I143" i="5" s="1"/>
  <c r="I144" i="5" s="1"/>
  <c r="X140" i="5" a="1"/>
  <c r="X140" i="5" s="1"/>
  <c r="L201" i="5"/>
  <c r="AM201" i="5"/>
  <c r="Z201" i="5"/>
  <c r="AB201" i="5" s="1"/>
  <c r="I201" i="12"/>
  <c r="X200" i="5" a="1"/>
  <c r="X200" i="5" s="1"/>
  <c r="I201" i="5"/>
  <c r="I202" i="5" s="1"/>
  <c r="I203" i="5" s="1"/>
  <c r="I204" i="5" s="1"/>
  <c r="I205" i="5" s="1"/>
  <c r="AM149" i="5"/>
  <c r="I149" i="12"/>
  <c r="Z149" i="5"/>
  <c r="AB149" i="5" s="1"/>
  <c r="L149" i="5"/>
  <c r="AM59" i="5"/>
  <c r="L59" i="5"/>
  <c r="I59" i="5"/>
  <c r="I60" i="5" s="1"/>
  <c r="I61" i="5" s="1"/>
  <c r="I62" i="5" s="1"/>
  <c r="I63" i="5" s="1"/>
  <c r="O63" i="5" s="1"/>
  <c r="D63" i="12" s="1"/>
  <c r="I59" i="12"/>
  <c r="Z59" i="5"/>
  <c r="AB59" i="5" s="1"/>
  <c r="I87" i="12"/>
  <c r="AM87" i="5"/>
  <c r="L87" i="5"/>
  <c r="Z87" i="5"/>
  <c r="AB87" i="5" s="1"/>
  <c r="I90" i="12"/>
  <c r="AM90" i="5"/>
  <c r="Z90" i="5"/>
  <c r="AB90" i="5" s="1"/>
  <c r="L90" i="5"/>
  <c r="AM47" i="5"/>
  <c r="I47" i="12"/>
  <c r="Z47" i="5"/>
  <c r="AB47" i="5" s="1"/>
  <c r="L47" i="5"/>
  <c r="L203" i="5"/>
  <c r="Z203" i="5"/>
  <c r="AB203" i="5" s="1"/>
  <c r="I203" i="12"/>
  <c r="AM203" i="5"/>
  <c r="Z123" i="5"/>
  <c r="AB123" i="5" s="1"/>
  <c r="AB122" i="5" s="1"/>
  <c r="I123" i="5"/>
  <c r="I124" i="5" s="1"/>
  <c r="I125" i="5" s="1"/>
  <c r="I126" i="5" s="1"/>
  <c r="I127" i="5" s="1"/>
  <c r="I128" i="5" s="1"/>
  <c r="X122" i="5" a="1"/>
  <c r="X122" i="5" s="1"/>
  <c r="I123" i="12"/>
  <c r="AM123" i="5"/>
  <c r="L123" i="5"/>
  <c r="Z117" i="5"/>
  <c r="AB117" i="5" s="1"/>
  <c r="L117" i="5"/>
  <c r="I117" i="12"/>
  <c r="AM117" i="5"/>
  <c r="L104" i="5"/>
  <c r="Z104" i="5"/>
  <c r="AB104" i="5" s="1"/>
  <c r="AM104" i="5"/>
  <c r="I104" i="12"/>
  <c r="AM83" i="5"/>
  <c r="I83" i="12"/>
  <c r="L83" i="5"/>
  <c r="Z83" i="5"/>
  <c r="AB83" i="5" s="1"/>
  <c r="I19" i="12"/>
  <c r="AM19" i="5"/>
  <c r="Z19" i="5"/>
  <c r="AB19" i="5" s="1"/>
  <c r="L19" i="5"/>
  <c r="AM166" i="5"/>
  <c r="L166" i="5"/>
  <c r="I166" i="12"/>
  <c r="Z166" i="5"/>
  <c r="AB166" i="5" s="1"/>
  <c r="AM176" i="5"/>
  <c r="L176" i="5"/>
  <c r="Z176" i="5"/>
  <c r="AB176" i="5" s="1"/>
  <c r="I176" i="12"/>
  <c r="L63" i="5"/>
  <c r="C63" i="6" s="1"/>
  <c r="Z63" i="5"/>
  <c r="AB63" i="5" s="1"/>
  <c r="I63" i="12"/>
  <c r="AM63" i="5"/>
  <c r="L27" i="5"/>
  <c r="Z27" i="5"/>
  <c r="AB27" i="5" s="1"/>
  <c r="I27" i="12"/>
  <c r="AM27" i="5"/>
  <c r="L32" i="5"/>
  <c r="I32" i="12"/>
  <c r="AM32" i="5"/>
  <c r="Z32" i="5"/>
  <c r="AB32" i="5" s="1"/>
  <c r="L154" i="5"/>
  <c r="I154" i="12"/>
  <c r="AM154" i="5"/>
  <c r="Z154" i="5"/>
  <c r="AB154" i="5" s="1"/>
  <c r="I155" i="12"/>
  <c r="L155" i="5"/>
  <c r="AM155" i="5"/>
  <c r="Z155" i="5"/>
  <c r="AB155" i="5" s="1"/>
  <c r="AM34" i="5"/>
  <c r="L34" i="5"/>
  <c r="Z34" i="5"/>
  <c r="AB34" i="5" s="1"/>
  <c r="I34" i="12"/>
  <c r="L219" i="5"/>
  <c r="I219" i="12"/>
  <c r="Z219" i="5"/>
  <c r="AB219" i="5" s="1"/>
  <c r="AB218" i="5" s="1"/>
  <c r="X218" i="5" a="1"/>
  <c r="X218" i="5" s="1"/>
  <c r="I219" i="5"/>
  <c r="I220" i="5" s="1"/>
  <c r="I221" i="5" s="1"/>
  <c r="I222" i="5" s="1"/>
  <c r="I223" i="5" s="1"/>
  <c r="I224" i="5" s="1"/>
  <c r="AM219" i="5"/>
  <c r="Z24" i="5"/>
  <c r="AB24" i="5" s="1"/>
  <c r="I24" i="12"/>
  <c r="AM24" i="5"/>
  <c r="L24" i="5"/>
  <c r="X23" i="5" a="1"/>
  <c r="X23" i="5" s="1"/>
  <c r="Z216" i="5"/>
  <c r="AB216" i="5" s="1"/>
  <c r="L216" i="5"/>
  <c r="AM216" i="5"/>
  <c r="I216" i="12"/>
  <c r="I84" i="12"/>
  <c r="AM84" i="5"/>
  <c r="Z84" i="5"/>
  <c r="AB84" i="5" s="1"/>
  <c r="L84" i="5"/>
  <c r="Z212" i="5"/>
  <c r="AB212" i="5" s="1"/>
  <c r="L212" i="5"/>
  <c r="AM212" i="5"/>
  <c r="I212" i="12"/>
  <c r="AM80" i="5"/>
  <c r="L80" i="5"/>
  <c r="I80" i="12"/>
  <c r="Z80" i="5"/>
  <c r="AB80" i="5" s="1"/>
  <c r="L71" i="5"/>
  <c r="AM71" i="5"/>
  <c r="Z71" i="5"/>
  <c r="AB71" i="5" s="1"/>
  <c r="I71" i="5"/>
  <c r="I72" i="5" s="1"/>
  <c r="I73" i="5" s="1"/>
  <c r="X70" i="5" a="1"/>
  <c r="X70" i="5" s="1"/>
  <c r="I71" i="12"/>
  <c r="Z29" i="5"/>
  <c r="AB29" i="5" s="1"/>
  <c r="I29" i="12"/>
  <c r="AM29" i="5"/>
  <c r="L29" i="5"/>
  <c r="I48" i="12"/>
  <c r="AM48" i="5"/>
  <c r="Z48" i="5"/>
  <c r="AB48" i="5" s="1"/>
  <c r="L48" i="5"/>
  <c r="Z72" i="5"/>
  <c r="AB72" i="5" s="1"/>
  <c r="I72" i="12"/>
  <c r="AM72" i="5"/>
  <c r="L72" i="5"/>
  <c r="L159" i="5"/>
  <c r="I159" i="12"/>
  <c r="AM159" i="5"/>
  <c r="Z159" i="5"/>
  <c r="AB159" i="5" s="1"/>
  <c r="AM40" i="5"/>
  <c r="I40" i="12"/>
  <c r="Z40" i="5"/>
  <c r="AB40" i="5" s="1"/>
  <c r="L40" i="5"/>
  <c r="Z217" i="5"/>
  <c r="AB217" i="5" s="1"/>
  <c r="L217" i="5"/>
  <c r="I217" i="12"/>
  <c r="AM217" i="5"/>
  <c r="I229" i="12"/>
  <c r="Z229" i="5"/>
  <c r="AB229" i="5" s="1"/>
  <c r="AM229" i="5"/>
  <c r="L229" i="5"/>
  <c r="AM130" i="5"/>
  <c r="I130" i="12"/>
  <c r="Z130" i="5"/>
  <c r="AB130" i="5" s="1"/>
  <c r="I130" i="5"/>
  <c r="I131" i="5" s="1"/>
  <c r="I132" i="5" s="1"/>
  <c r="L130" i="5"/>
  <c r="X129" i="5" a="1"/>
  <c r="X129" i="5" s="1"/>
  <c r="L175" i="5"/>
  <c r="I175" i="12"/>
  <c r="Z175" i="5"/>
  <c r="AB175" i="5" s="1"/>
  <c r="AM175" i="5"/>
  <c r="Z125" i="5"/>
  <c r="AB125" i="5" s="1"/>
  <c r="AM125" i="5"/>
  <c r="I125" i="12"/>
  <c r="L125" i="5"/>
  <c r="Z170" i="5"/>
  <c r="AB170" i="5" s="1"/>
  <c r="L170" i="5"/>
  <c r="I170" i="12"/>
  <c r="AM170" i="5"/>
  <c r="L209" i="5"/>
  <c r="AM209" i="5"/>
  <c r="Z209" i="5"/>
  <c r="AB209" i="5" s="1"/>
  <c r="I209" i="12"/>
  <c r="Z52" i="5"/>
  <c r="AB52" i="5" s="1"/>
  <c r="L52" i="5"/>
  <c r="AM52" i="5"/>
  <c r="I52" i="12"/>
  <c r="AM126" i="5"/>
  <c r="L126" i="5"/>
  <c r="I126" i="12"/>
  <c r="Z126" i="5"/>
  <c r="AB126" i="5" s="1"/>
  <c r="AM55" i="5"/>
  <c r="Z55" i="5"/>
  <c r="AB55" i="5" s="1"/>
  <c r="I55" i="12"/>
  <c r="L55" i="5"/>
  <c r="L186" i="5"/>
  <c r="I186" i="12"/>
  <c r="Z186" i="5"/>
  <c r="AB186" i="5" s="1"/>
  <c r="AM186" i="5"/>
  <c r="L135" i="5"/>
  <c r="Z135" i="5"/>
  <c r="AB135" i="5" s="1"/>
  <c r="AM135" i="5"/>
  <c r="I135" i="12"/>
  <c r="Z185" i="5"/>
  <c r="AB185" i="5" s="1"/>
  <c r="I185" i="12"/>
  <c r="AM185" i="5"/>
  <c r="L185" i="5"/>
  <c r="I198" i="12"/>
  <c r="AM198" i="5"/>
  <c r="L198" i="5"/>
  <c r="Z198" i="5"/>
  <c r="AB198" i="5" s="1"/>
  <c r="L163" i="5"/>
  <c r="I163" i="12"/>
  <c r="Z163" i="5"/>
  <c r="AB163" i="5" s="1"/>
  <c r="AM163" i="5"/>
  <c r="AM144" i="5"/>
  <c r="L144" i="5"/>
  <c r="I144" i="12"/>
  <c r="Z144" i="5"/>
  <c r="AB144" i="5" s="1"/>
  <c r="L111" i="5"/>
  <c r="AM111" i="5"/>
  <c r="I111" i="12"/>
  <c r="X110" i="5" a="1"/>
  <c r="X110" i="5" s="1"/>
  <c r="Z111" i="5"/>
  <c r="AB111" i="5" s="1"/>
  <c r="I111" i="5"/>
  <c r="I112" i="5" s="1"/>
  <c r="I113" i="5" s="1"/>
  <c r="I114" i="5" s="1"/>
  <c r="I115" i="5" s="1"/>
  <c r="I116" i="5" s="1"/>
  <c r="I117" i="5" s="1"/>
  <c r="I118" i="5" s="1"/>
  <c r="I119" i="5" s="1"/>
  <c r="I120" i="5" s="1"/>
  <c r="I121" i="5" s="1"/>
  <c r="O121" i="5" s="1"/>
  <c r="AM189" i="5"/>
  <c r="L189" i="5"/>
  <c r="I189" i="5"/>
  <c r="I189" i="12"/>
  <c r="Z189" i="5"/>
  <c r="AB189" i="5" s="1"/>
  <c r="L68" i="5"/>
  <c r="AM68" i="5"/>
  <c r="I68" i="12"/>
  <c r="Z68" i="5"/>
  <c r="AB68" i="5" s="1"/>
  <c r="L49" i="5"/>
  <c r="Z49" i="5"/>
  <c r="AB49" i="5" s="1"/>
  <c r="AM49" i="5"/>
  <c r="I49" i="12"/>
  <c r="Z103" i="5"/>
  <c r="AB103" i="5" s="1"/>
  <c r="AM103" i="5"/>
  <c r="L103" i="5"/>
  <c r="I103" i="12"/>
  <c r="AM147" i="5"/>
  <c r="Z147" i="5"/>
  <c r="AB147" i="5" s="1"/>
  <c r="I147" i="5"/>
  <c r="I148" i="5" s="1"/>
  <c r="I149" i="5" s="1"/>
  <c r="I150" i="5" s="1"/>
  <c r="I151" i="5" s="1"/>
  <c r="I152" i="5" s="1"/>
  <c r="I153" i="5" s="1"/>
  <c r="I154" i="5" s="1"/>
  <c r="I155" i="5" s="1"/>
  <c r="I156" i="5" s="1"/>
  <c r="I157" i="5" s="1"/>
  <c r="I158" i="5" s="1"/>
  <c r="I159" i="5" s="1"/>
  <c r="I160" i="5" s="1"/>
  <c r="I161" i="5" s="1"/>
  <c r="I162" i="5" s="1"/>
  <c r="I163" i="5" s="1"/>
  <c r="L147" i="5"/>
  <c r="X146" i="5" a="1"/>
  <c r="X146" i="5" s="1"/>
  <c r="I147" i="12"/>
  <c r="I75" i="12"/>
  <c r="Z75" i="5"/>
  <c r="AB75" i="5" s="1"/>
  <c r="L75" i="5"/>
  <c r="AM75" i="5"/>
  <c r="I75" i="5"/>
  <c r="I76" i="5" s="1"/>
  <c r="I77" i="5" s="1"/>
  <c r="I78" i="5" s="1"/>
  <c r="I79" i="5" s="1"/>
  <c r="I80" i="5" s="1"/>
  <c r="I81" i="5" s="1"/>
  <c r="X74" i="5" a="1"/>
  <c r="X74" i="5" s="1"/>
  <c r="I187" i="12"/>
  <c r="AM187" i="5"/>
  <c r="Z187" i="5"/>
  <c r="AB187" i="5" s="1"/>
  <c r="L187" i="5"/>
  <c r="Z208" i="5"/>
  <c r="AB208" i="5" s="1"/>
  <c r="AM208" i="5"/>
  <c r="I208" i="12"/>
  <c r="L208" i="5"/>
  <c r="Z215" i="5"/>
  <c r="AB215" i="5" s="1"/>
  <c r="AM215" i="5"/>
  <c r="I215" i="12"/>
  <c r="L215" i="5"/>
  <c r="I228" i="12"/>
  <c r="L228" i="5"/>
  <c r="I228" i="5"/>
  <c r="I229" i="5" s="1"/>
  <c r="I230" i="5" s="1"/>
  <c r="X227" i="5" a="1"/>
  <c r="X227" i="5" s="1"/>
  <c r="Z228" i="5"/>
  <c r="AB228" i="5" s="1"/>
  <c r="AM228" i="5"/>
  <c r="L120" i="5"/>
  <c r="AM120" i="5"/>
  <c r="Z120" i="5"/>
  <c r="AB120" i="5" s="1"/>
  <c r="I120" i="12"/>
  <c r="Z167" i="5"/>
  <c r="AB167" i="5" s="1"/>
  <c r="I167" i="12"/>
  <c r="L167" i="5"/>
  <c r="AM167" i="5"/>
  <c r="I202" i="12"/>
  <c r="L202" i="5"/>
  <c r="Z202" i="5"/>
  <c r="AB202" i="5" s="1"/>
  <c r="AM202" i="5"/>
  <c r="I207" i="12"/>
  <c r="L207" i="5"/>
  <c r="X206" i="5" a="1"/>
  <c r="X206" i="5" s="1"/>
  <c r="AM207" i="5"/>
  <c r="I207" i="5"/>
  <c r="I208" i="5" s="1"/>
  <c r="I209" i="5" s="1"/>
  <c r="Z207" i="5"/>
  <c r="AB207" i="5" s="1"/>
  <c r="I88" i="12"/>
  <c r="AM88" i="5"/>
  <c r="L88" i="5"/>
  <c r="Z88" i="5"/>
  <c r="AB88" i="5" s="1"/>
  <c r="I205" i="12"/>
  <c r="Z205" i="5"/>
  <c r="AB205" i="5" s="1"/>
  <c r="L205" i="5"/>
  <c r="AM205" i="5"/>
  <c r="AM60" i="5"/>
  <c r="Z60" i="5"/>
  <c r="AB60" i="5" s="1"/>
  <c r="L60" i="5"/>
  <c r="I60" i="12"/>
  <c r="L156" i="5"/>
  <c r="I156" i="12"/>
  <c r="Z156" i="5"/>
  <c r="AB156" i="5" s="1"/>
  <c r="AM156" i="5"/>
  <c r="Z165" i="5"/>
  <c r="AB165" i="5" s="1"/>
  <c r="X164" i="5" a="1"/>
  <c r="X164" i="5" s="1"/>
  <c r="I165" i="12"/>
  <c r="I165" i="5"/>
  <c r="I166" i="5" s="1"/>
  <c r="I167" i="5" s="1"/>
  <c r="I168" i="5" s="1"/>
  <c r="I169" i="5" s="1"/>
  <c r="I170" i="5" s="1"/>
  <c r="I171" i="5" s="1"/>
  <c r="I172" i="5" s="1"/>
  <c r="L165" i="5"/>
  <c r="AM165" i="5"/>
  <c r="I119" i="12"/>
  <c r="AM119" i="5"/>
  <c r="L119" i="5"/>
  <c r="Z119" i="5"/>
  <c r="AB119" i="5" s="1"/>
  <c r="I91" i="12"/>
  <c r="AM91" i="5"/>
  <c r="L91" i="5"/>
  <c r="C91" i="6" s="1"/>
  <c r="Z91" i="5"/>
  <c r="AB91" i="5" s="1"/>
  <c r="Z143" i="5"/>
  <c r="AB143" i="5" s="1"/>
  <c r="AM143" i="5"/>
  <c r="L143" i="5"/>
  <c r="I143" i="12"/>
  <c r="I192" i="12"/>
  <c r="L192" i="5"/>
  <c r="AM192" i="5"/>
  <c r="Z192" i="5"/>
  <c r="AB192" i="5" s="1"/>
  <c r="I168" i="12"/>
  <c r="AM168" i="5"/>
  <c r="L168" i="5"/>
  <c r="Z168" i="5"/>
  <c r="AB168" i="5" s="1"/>
  <c r="Z152" i="5"/>
  <c r="AB152" i="5" s="1"/>
  <c r="AM152" i="5"/>
  <c r="L152" i="5"/>
  <c r="I152" i="12"/>
  <c r="Z139" i="5"/>
  <c r="AB139" i="5" s="1"/>
  <c r="I139" i="12"/>
  <c r="L139" i="5"/>
  <c r="AM139" i="5"/>
  <c r="I97" i="12"/>
  <c r="AM97" i="5"/>
  <c r="Z97" i="5"/>
  <c r="AB97" i="5" s="1"/>
  <c r="L97" i="5"/>
  <c r="AM172" i="5"/>
  <c r="I172" i="12"/>
  <c r="L172" i="5"/>
  <c r="C172" i="6" s="1"/>
  <c r="Z172" i="5"/>
  <c r="AB172" i="5" s="1"/>
  <c r="L118" i="5"/>
  <c r="AM118" i="5"/>
  <c r="I118" i="12"/>
  <c r="Z118" i="5"/>
  <c r="AB118" i="5" s="1"/>
  <c r="L93" i="5"/>
  <c r="AM93" i="5"/>
  <c r="Z93" i="5"/>
  <c r="AB93" i="5" s="1"/>
  <c r="I93" i="12"/>
  <c r="X92" i="5" a="1"/>
  <c r="X92" i="5" s="1"/>
  <c r="I93" i="5"/>
  <c r="I94" i="5" s="1"/>
  <c r="I102" i="12"/>
  <c r="L102" i="5"/>
  <c r="Z102" i="5"/>
  <c r="AB102" i="5" s="1"/>
  <c r="AM102" i="5"/>
  <c r="L61" i="5"/>
  <c r="AM61" i="5"/>
  <c r="I61" i="12"/>
  <c r="Z61" i="5"/>
  <c r="AB61" i="5" s="1"/>
  <c r="L225" i="5"/>
  <c r="C225" i="6" s="1"/>
  <c r="AM225" i="5"/>
  <c r="I225" i="12"/>
  <c r="Z225" i="5"/>
  <c r="AB225" i="5" s="1"/>
  <c r="Z180" i="5"/>
  <c r="AB180" i="5" s="1"/>
  <c r="I180" i="12"/>
  <c r="L180" i="5"/>
  <c r="AM180" i="5"/>
  <c r="AM82" i="5"/>
  <c r="I82" i="12"/>
  <c r="I82" i="5"/>
  <c r="I83" i="5" s="1"/>
  <c r="I84" i="5" s="1"/>
  <c r="I85" i="5" s="1"/>
  <c r="I86" i="5" s="1"/>
  <c r="I87" i="5" s="1"/>
  <c r="I88" i="5" s="1"/>
  <c r="I89" i="5" s="1"/>
  <c r="I90" i="5" s="1"/>
  <c r="I91" i="5" s="1"/>
  <c r="Z82" i="5"/>
  <c r="AB82" i="5" s="1"/>
  <c r="L82" i="5"/>
  <c r="AM136" i="5"/>
  <c r="L136" i="5"/>
  <c r="Z136" i="5"/>
  <c r="AB136" i="5" s="1"/>
  <c r="I136" i="12"/>
  <c r="L151" i="5"/>
  <c r="AM151" i="5"/>
  <c r="Z151" i="5"/>
  <c r="AB151" i="5" s="1"/>
  <c r="I151" i="12"/>
  <c r="L150" i="5"/>
  <c r="Z150" i="5"/>
  <c r="AB150" i="5" s="1"/>
  <c r="I150" i="12"/>
  <c r="AM150" i="5"/>
  <c r="L56" i="5"/>
  <c r="AM56" i="5"/>
  <c r="Z56" i="5"/>
  <c r="AB56" i="5" s="1"/>
  <c r="I56" i="12"/>
  <c r="Z121" i="5"/>
  <c r="AB121" i="5" s="1"/>
  <c r="L121" i="5"/>
  <c r="C121" i="6" s="1"/>
  <c r="I121" i="12"/>
  <c r="AM121" i="5"/>
  <c r="Z57" i="5"/>
  <c r="AB57" i="5" s="1"/>
  <c r="I57" i="12"/>
  <c r="AM57" i="5"/>
  <c r="L57" i="5"/>
  <c r="Z66" i="5"/>
  <c r="AB66" i="5" s="1"/>
  <c r="AM66" i="5"/>
  <c r="I66" i="12"/>
  <c r="L66" i="5"/>
  <c r="L51" i="5"/>
  <c r="I51" i="12"/>
  <c r="AM51" i="5"/>
  <c r="Z51" i="5"/>
  <c r="AB51" i="5" s="1"/>
  <c r="AM113" i="5"/>
  <c r="L113" i="5"/>
  <c r="Z113" i="5"/>
  <c r="AB113" i="5" s="1"/>
  <c r="I113" i="12"/>
  <c r="Z21" i="5"/>
  <c r="AB21" i="5" s="1"/>
  <c r="AM21" i="5"/>
  <c r="I21" i="12"/>
  <c r="L21" i="5"/>
  <c r="Z114" i="5"/>
  <c r="AB114" i="5" s="1"/>
  <c r="AM114" i="5"/>
  <c r="L114" i="5"/>
  <c r="I114" i="12"/>
  <c r="L107" i="5"/>
  <c r="AM107" i="5"/>
  <c r="I107" i="12"/>
  <c r="Z107" i="5"/>
  <c r="AB107" i="5" s="1"/>
  <c r="AM77" i="5"/>
  <c r="L77" i="5"/>
  <c r="I77" i="12"/>
  <c r="Z77" i="5"/>
  <c r="AB77" i="5" s="1"/>
  <c r="I96" i="5"/>
  <c r="I97" i="5" s="1"/>
  <c r="I98" i="5" s="1"/>
  <c r="L96" i="5"/>
  <c r="I96" i="12"/>
  <c r="AM96" i="5"/>
  <c r="Z96" i="5"/>
  <c r="AB96" i="5" s="1"/>
  <c r="X95" i="5" a="1"/>
  <c r="X95" i="5" s="1"/>
  <c r="L45" i="5"/>
  <c r="AM45" i="5"/>
  <c r="Z45" i="5"/>
  <c r="AB45" i="5" s="1"/>
  <c r="I45" i="12"/>
  <c r="X16" i="5" a="1"/>
  <c r="X16" i="5" s="1"/>
  <c r="L109" i="5"/>
  <c r="AM109" i="5"/>
  <c r="S53" i="8"/>
  <c r="Z109" i="5"/>
  <c r="I109" i="12"/>
  <c r="N109" i="12"/>
  <c r="AM22" i="5"/>
  <c r="I22" i="12"/>
  <c r="L22" i="5"/>
  <c r="Z22" i="5"/>
  <c r="S20" i="8"/>
  <c r="W77" i="8" a="1"/>
  <c r="W77" i="8" s="1"/>
  <c r="Z58" i="5"/>
  <c r="L58" i="5"/>
  <c r="AM58" i="5"/>
  <c r="I58" i="12"/>
  <c r="S29" i="8"/>
  <c r="V77" i="8" a="1"/>
  <c r="V77" i="8" s="1"/>
  <c r="X15" i="5"/>
  <c r="AM222" i="5"/>
  <c r="Z222" i="5"/>
  <c r="X221" i="5" a="1"/>
  <c r="X221" i="5" s="1"/>
  <c r="I222" i="12"/>
  <c r="L222" i="5"/>
  <c r="X145" i="5" a="1"/>
  <c r="X145" i="5" s="1"/>
  <c r="M62" i="12"/>
  <c r="AO62" i="12"/>
  <c r="C62" i="12"/>
  <c r="O62" i="12"/>
  <c r="X226" i="12"/>
  <c r="W226" i="12"/>
  <c r="AB62" i="5"/>
  <c r="O62" i="5"/>
  <c r="C62" i="6"/>
  <c r="W98" i="12"/>
  <c r="X98" i="12"/>
  <c r="AB38" i="5" l="1"/>
  <c r="O91" i="5"/>
  <c r="D37" i="12"/>
  <c r="E37" i="6"/>
  <c r="S77" i="8"/>
  <c r="L164" i="5"/>
  <c r="AM164" i="5"/>
  <c r="Z164" i="5"/>
  <c r="I164" i="12"/>
  <c r="Z110" i="5"/>
  <c r="S56" i="8"/>
  <c r="AM110" i="5"/>
  <c r="I110" i="12"/>
  <c r="L110" i="5"/>
  <c r="C77" i="6"/>
  <c r="O77" i="5"/>
  <c r="AO51" i="12"/>
  <c r="C51" i="12"/>
  <c r="O51" i="12"/>
  <c r="M51" i="12"/>
  <c r="AO225" i="12"/>
  <c r="C225" i="12"/>
  <c r="M225" i="12"/>
  <c r="O225" i="12"/>
  <c r="N225" i="12" s="1"/>
  <c r="C118" i="6"/>
  <c r="O118" i="5"/>
  <c r="AO168" i="12"/>
  <c r="C168" i="12"/>
  <c r="O168" i="12"/>
  <c r="M168" i="12"/>
  <c r="M165" i="12"/>
  <c r="O165" i="12"/>
  <c r="AO165" i="12"/>
  <c r="C165" i="12"/>
  <c r="C75" i="12"/>
  <c r="O75" i="12"/>
  <c r="AO75" i="12"/>
  <c r="M75" i="12"/>
  <c r="O189" i="12"/>
  <c r="C189" i="12"/>
  <c r="AO189" i="12"/>
  <c r="M189" i="12"/>
  <c r="O126" i="5"/>
  <c r="C126" i="6"/>
  <c r="AO175" i="12"/>
  <c r="M175" i="12"/>
  <c r="O175" i="12"/>
  <c r="N175" i="12" s="1"/>
  <c r="C175" i="12"/>
  <c r="C154" i="6"/>
  <c r="O154" i="5"/>
  <c r="I122" i="12"/>
  <c r="L122" i="5"/>
  <c r="S59" i="8"/>
  <c r="D59" i="8" s="1"/>
  <c r="AM122" i="5"/>
  <c r="Z122" i="5"/>
  <c r="M59" i="12"/>
  <c r="AO59" i="12"/>
  <c r="O59" i="12"/>
  <c r="C59" i="12"/>
  <c r="M137" i="12"/>
  <c r="AO137" i="12"/>
  <c r="Y137" i="12" s="1"/>
  <c r="C137" i="12"/>
  <c r="O137" i="12"/>
  <c r="O30" i="5"/>
  <c r="C30" i="6"/>
  <c r="C194" i="6"/>
  <c r="O194" i="5"/>
  <c r="C151" i="12"/>
  <c r="AO151" i="12"/>
  <c r="O151" i="12"/>
  <c r="M151" i="12"/>
  <c r="L129" i="5"/>
  <c r="AM129" i="5"/>
  <c r="Z129" i="5"/>
  <c r="S62" i="8"/>
  <c r="I129" i="12"/>
  <c r="O159" i="12"/>
  <c r="M159" i="12"/>
  <c r="AO159" i="12"/>
  <c r="Y159" i="12" s="1"/>
  <c r="C159" i="12"/>
  <c r="AB23" i="5"/>
  <c r="C59" i="6"/>
  <c r="O59" i="5"/>
  <c r="C132" i="6"/>
  <c r="O132" i="5"/>
  <c r="O148" i="5"/>
  <c r="C148" i="6"/>
  <c r="C131" i="6"/>
  <c r="O131" i="5"/>
  <c r="C50" i="12"/>
  <c r="M50" i="12"/>
  <c r="O50" i="12"/>
  <c r="N50" i="12" s="1"/>
  <c r="AO50" i="12"/>
  <c r="Y50" i="12" s="1"/>
  <c r="AM38" i="5"/>
  <c r="S26" i="8"/>
  <c r="D26" i="8" s="1"/>
  <c r="L38" i="5"/>
  <c r="I38" i="12"/>
  <c r="Z38" i="5"/>
  <c r="C42" i="6"/>
  <c r="O42" i="5"/>
  <c r="O65" i="12"/>
  <c r="M65" i="12"/>
  <c r="C65" i="12"/>
  <c r="AO65" i="12"/>
  <c r="C30" i="12"/>
  <c r="O30" i="12"/>
  <c r="M30" i="12"/>
  <c r="AO30" i="12"/>
  <c r="Y30" i="12" s="1"/>
  <c r="C134" i="6"/>
  <c r="O134" i="5"/>
  <c r="C107" i="12"/>
  <c r="O107" i="12"/>
  <c r="AO107" i="12"/>
  <c r="Y107" i="12" s="1"/>
  <c r="M107" i="12"/>
  <c r="C66" i="12"/>
  <c r="M66" i="12"/>
  <c r="O66" i="12"/>
  <c r="N66" i="12" s="1"/>
  <c r="AO66" i="12"/>
  <c r="C172" i="12"/>
  <c r="AO172" i="12"/>
  <c r="Y172" i="12" s="1"/>
  <c r="M172" i="12"/>
  <c r="O172" i="12"/>
  <c r="C192" i="6"/>
  <c r="O192" i="5"/>
  <c r="O207" i="5"/>
  <c r="C207" i="6"/>
  <c r="C215" i="6"/>
  <c r="O215" i="5"/>
  <c r="C147" i="6"/>
  <c r="O147" i="5"/>
  <c r="O130" i="5"/>
  <c r="C130" i="6"/>
  <c r="O159" i="5"/>
  <c r="C159" i="6"/>
  <c r="M80" i="12"/>
  <c r="C80" i="12"/>
  <c r="O80" i="12"/>
  <c r="AO80" i="12"/>
  <c r="M32" i="12"/>
  <c r="AO32" i="12"/>
  <c r="Y32" i="12" s="1"/>
  <c r="C32" i="12"/>
  <c r="O32" i="12"/>
  <c r="O131" i="12"/>
  <c r="C131" i="12"/>
  <c r="AO131" i="12"/>
  <c r="M131" i="12"/>
  <c r="C89" i="6"/>
  <c r="O89" i="5"/>
  <c r="AO112" i="12"/>
  <c r="C112" i="12"/>
  <c r="M112" i="12"/>
  <c r="O112" i="12"/>
  <c r="N112" i="12" s="1"/>
  <c r="M31" i="12"/>
  <c r="O31" i="12"/>
  <c r="AO31" i="12"/>
  <c r="C31" i="12"/>
  <c r="O20" i="5"/>
  <c r="C20" i="6"/>
  <c r="O230" i="5"/>
  <c r="C230" i="6"/>
  <c r="M115" i="12"/>
  <c r="AO115" i="12"/>
  <c r="O115" i="12"/>
  <c r="C115" i="12"/>
  <c r="O66" i="5"/>
  <c r="C66" i="6"/>
  <c r="AO61" i="12"/>
  <c r="M61" i="12"/>
  <c r="C61" i="12"/>
  <c r="O61" i="12"/>
  <c r="E121" i="6"/>
  <c r="D121" i="12"/>
  <c r="O185" i="12"/>
  <c r="AO185" i="12"/>
  <c r="C185" i="12"/>
  <c r="M185" i="12"/>
  <c r="O52" i="5"/>
  <c r="C52" i="6"/>
  <c r="O72" i="5"/>
  <c r="C72" i="6"/>
  <c r="O80" i="5"/>
  <c r="C80" i="6"/>
  <c r="C32" i="6"/>
  <c r="O32" i="5"/>
  <c r="C19" i="12"/>
  <c r="O19" i="12"/>
  <c r="M19" i="12"/>
  <c r="AO19" i="12"/>
  <c r="Y19" i="12" s="1"/>
  <c r="AO203" i="12"/>
  <c r="Y203" i="12" s="1"/>
  <c r="O203" i="12"/>
  <c r="C203" i="12"/>
  <c r="M203" i="12"/>
  <c r="C149" i="6"/>
  <c r="O149" i="5"/>
  <c r="O76" i="12"/>
  <c r="C76" i="12"/>
  <c r="AO76" i="12"/>
  <c r="Y76" i="12" s="1"/>
  <c r="M76" i="12"/>
  <c r="C78" i="6"/>
  <c r="O78" i="5"/>
  <c r="C188" i="6"/>
  <c r="O188" i="5"/>
  <c r="C197" i="6"/>
  <c r="O197" i="5"/>
  <c r="C44" i="6"/>
  <c r="O44" i="5"/>
  <c r="M86" i="12"/>
  <c r="C86" i="12"/>
  <c r="O86" i="12"/>
  <c r="AO86" i="12"/>
  <c r="O107" i="5"/>
  <c r="C107" i="6"/>
  <c r="O151" i="5"/>
  <c r="C151" i="6"/>
  <c r="C97" i="6"/>
  <c r="O97" i="5"/>
  <c r="O143" i="12"/>
  <c r="AO143" i="12"/>
  <c r="Y143" i="12" s="1"/>
  <c r="M143" i="12"/>
  <c r="C143" i="12"/>
  <c r="M156" i="12"/>
  <c r="C156" i="12"/>
  <c r="AO156" i="12"/>
  <c r="O156" i="12"/>
  <c r="N156" i="12" s="1"/>
  <c r="AB146" i="5"/>
  <c r="AB110" i="5"/>
  <c r="AB129" i="5"/>
  <c r="Z218" i="5"/>
  <c r="S98" i="8"/>
  <c r="D98" i="8" s="1"/>
  <c r="I218" i="12"/>
  <c r="AM218" i="5"/>
  <c r="L218" i="5"/>
  <c r="O148" i="12"/>
  <c r="C148" i="12"/>
  <c r="AO148" i="12"/>
  <c r="M148" i="12"/>
  <c r="M89" i="12"/>
  <c r="AO89" i="12"/>
  <c r="C89" i="12"/>
  <c r="O89" i="12"/>
  <c r="C112" i="6"/>
  <c r="O112" i="5"/>
  <c r="C50" i="6"/>
  <c r="O50" i="5"/>
  <c r="C31" i="6"/>
  <c r="O31" i="5"/>
  <c r="O20" i="12"/>
  <c r="C20" i="12"/>
  <c r="AO20" i="12"/>
  <c r="M20" i="12"/>
  <c r="AO161" i="12"/>
  <c r="C161" i="12"/>
  <c r="O161" i="12"/>
  <c r="M161" i="12"/>
  <c r="C25" i="12"/>
  <c r="AO25" i="12"/>
  <c r="O25" i="12"/>
  <c r="M25" i="12"/>
  <c r="C78" i="12"/>
  <c r="AO78" i="12"/>
  <c r="Y78" i="12" s="1"/>
  <c r="O78" i="12"/>
  <c r="M78" i="12"/>
  <c r="C179" i="6"/>
  <c r="O179" i="5"/>
  <c r="C197" i="12"/>
  <c r="O197" i="12"/>
  <c r="AO197" i="12"/>
  <c r="Y197" i="12" s="1"/>
  <c r="M197" i="12"/>
  <c r="AO198" i="12"/>
  <c r="M198" i="12"/>
  <c r="C198" i="12"/>
  <c r="O198" i="12"/>
  <c r="N198" i="12" s="1"/>
  <c r="AO230" i="12"/>
  <c r="Y230" i="12" s="1"/>
  <c r="M230" i="12"/>
  <c r="O230" i="12"/>
  <c r="C230" i="12"/>
  <c r="AO27" i="12"/>
  <c r="O27" i="12"/>
  <c r="M27" i="12"/>
  <c r="C27" i="12"/>
  <c r="C83" i="6"/>
  <c r="O83" i="5"/>
  <c r="O203" i="5"/>
  <c r="C203" i="6"/>
  <c r="C149" i="12"/>
  <c r="M149" i="12"/>
  <c r="O149" i="12"/>
  <c r="AO149" i="12"/>
  <c r="AB17" i="5"/>
  <c r="C54" i="6"/>
  <c r="O54" i="5"/>
  <c r="C169" i="6"/>
  <c r="O169" i="5"/>
  <c r="C184" i="6"/>
  <c r="O184" i="5"/>
  <c r="O199" i="5"/>
  <c r="C199" i="6"/>
  <c r="C25" i="6"/>
  <c r="O25" i="5"/>
  <c r="M44" i="12"/>
  <c r="O44" i="12"/>
  <c r="C44" i="12"/>
  <c r="AO44" i="12"/>
  <c r="Y44" i="12" s="1"/>
  <c r="C114" i="6"/>
  <c r="O114" i="5"/>
  <c r="M60" i="12"/>
  <c r="AO60" i="12"/>
  <c r="O60" i="12"/>
  <c r="C60" i="12"/>
  <c r="O202" i="5"/>
  <c r="C202" i="6"/>
  <c r="O208" i="5"/>
  <c r="C208" i="6"/>
  <c r="M103" i="12"/>
  <c r="O103" i="12"/>
  <c r="N103" i="12" s="1"/>
  <c r="C103" i="12"/>
  <c r="AO103" i="12"/>
  <c r="M111" i="12"/>
  <c r="O111" i="12"/>
  <c r="AO111" i="12"/>
  <c r="C111" i="12"/>
  <c r="C219" i="12"/>
  <c r="O219" i="12"/>
  <c r="AO219" i="12"/>
  <c r="M219" i="12"/>
  <c r="M83" i="12"/>
  <c r="C83" i="12"/>
  <c r="O83" i="12"/>
  <c r="AO83" i="12"/>
  <c r="O47" i="5"/>
  <c r="C47" i="6"/>
  <c r="O18" i="12"/>
  <c r="AO18" i="12"/>
  <c r="C18" i="12"/>
  <c r="M18" i="12"/>
  <c r="O193" i="5"/>
  <c r="C193" i="6"/>
  <c r="C54" i="12"/>
  <c r="M54" i="12"/>
  <c r="O54" i="12"/>
  <c r="AO54" i="12"/>
  <c r="Y54" i="12" s="1"/>
  <c r="M199" i="12"/>
  <c r="C199" i="12"/>
  <c r="O199" i="12"/>
  <c r="AO199" i="12"/>
  <c r="C138" i="6"/>
  <c r="O138" i="5"/>
  <c r="C191" i="6"/>
  <c r="O191" i="5"/>
  <c r="O161" i="5"/>
  <c r="C161" i="6"/>
  <c r="O76" i="5"/>
  <c r="C76" i="6"/>
  <c r="AO128" i="12"/>
  <c r="O128" i="12"/>
  <c r="C128" i="12"/>
  <c r="M128" i="12"/>
  <c r="C86" i="6"/>
  <c r="O86" i="5"/>
  <c r="C115" i="6"/>
  <c r="O115" i="5"/>
  <c r="AB195" i="5"/>
  <c r="C21" i="6"/>
  <c r="O21" i="5"/>
  <c r="O82" i="5"/>
  <c r="C82" i="6"/>
  <c r="O102" i="12"/>
  <c r="AO102" i="12"/>
  <c r="C102" i="12"/>
  <c r="M102" i="12"/>
  <c r="C139" i="6"/>
  <c r="O139" i="5"/>
  <c r="C167" i="6"/>
  <c r="O167" i="5"/>
  <c r="C84" i="6"/>
  <c r="O84" i="5"/>
  <c r="O63" i="12"/>
  <c r="AO63" i="12"/>
  <c r="M63" i="12"/>
  <c r="C63" i="12"/>
  <c r="O201" i="12"/>
  <c r="AO201" i="12"/>
  <c r="C201" i="12"/>
  <c r="M201" i="12"/>
  <c r="AO46" i="12"/>
  <c r="C46" i="12"/>
  <c r="O46" i="12"/>
  <c r="M46" i="12"/>
  <c r="M106" i="12"/>
  <c r="O106" i="12"/>
  <c r="C106" i="12"/>
  <c r="AO106" i="12"/>
  <c r="C177" i="6"/>
  <c r="O177" i="5"/>
  <c r="AO160" i="12"/>
  <c r="M160" i="12"/>
  <c r="O160" i="12"/>
  <c r="N160" i="12" s="1"/>
  <c r="C160" i="12"/>
  <c r="C124" i="6"/>
  <c r="O124" i="5"/>
  <c r="C191" i="12"/>
  <c r="AO191" i="12"/>
  <c r="O191" i="12"/>
  <c r="M191" i="12"/>
  <c r="C181" i="6"/>
  <c r="O181" i="5"/>
  <c r="O28" i="12"/>
  <c r="M28" i="12"/>
  <c r="AO28" i="12"/>
  <c r="C28" i="12"/>
  <c r="AM210" i="5"/>
  <c r="I210" i="12"/>
  <c r="Z210" i="5"/>
  <c r="S95" i="8"/>
  <c r="L210" i="5"/>
  <c r="Z206" i="5"/>
  <c r="L206" i="5"/>
  <c r="AM206" i="5"/>
  <c r="S92" i="8"/>
  <c r="I206" i="12"/>
  <c r="C142" i="12"/>
  <c r="AO142" i="12"/>
  <c r="M142" i="12"/>
  <c r="O142" i="12"/>
  <c r="C135" i="6"/>
  <c r="O135" i="5"/>
  <c r="C41" i="6"/>
  <c r="O41" i="5"/>
  <c r="C45" i="6"/>
  <c r="O45" i="5"/>
  <c r="O21" i="12"/>
  <c r="M21" i="12"/>
  <c r="AO21" i="12"/>
  <c r="C21" i="12"/>
  <c r="M121" i="12"/>
  <c r="C121" i="12"/>
  <c r="O121" i="12"/>
  <c r="AO121" i="12"/>
  <c r="M139" i="12"/>
  <c r="O139" i="12"/>
  <c r="AO139" i="12"/>
  <c r="Y139" i="12" s="1"/>
  <c r="C139" i="12"/>
  <c r="AO167" i="12"/>
  <c r="C167" i="12"/>
  <c r="M167" i="12"/>
  <c r="O167" i="12"/>
  <c r="C187" i="6"/>
  <c r="O187" i="5"/>
  <c r="O49" i="12"/>
  <c r="M49" i="12"/>
  <c r="AO49" i="12"/>
  <c r="Y49" i="12" s="1"/>
  <c r="C49" i="12"/>
  <c r="C144" i="12"/>
  <c r="O144" i="12"/>
  <c r="AO144" i="12"/>
  <c r="Y144" i="12" s="1"/>
  <c r="M144" i="12"/>
  <c r="AO170" i="12"/>
  <c r="Y170" i="12" s="1"/>
  <c r="C170" i="12"/>
  <c r="M170" i="12"/>
  <c r="O170" i="12"/>
  <c r="M229" i="12"/>
  <c r="C229" i="12"/>
  <c r="AO229" i="12"/>
  <c r="O229" i="12"/>
  <c r="N229" i="12" s="1"/>
  <c r="M48" i="12"/>
  <c r="C48" i="12"/>
  <c r="O48" i="12"/>
  <c r="AO48" i="12"/>
  <c r="C34" i="6"/>
  <c r="O34" i="5"/>
  <c r="C90" i="6"/>
  <c r="O90" i="5"/>
  <c r="AB200" i="5"/>
  <c r="D89" i="8" s="1"/>
  <c r="O46" i="5"/>
  <c r="C46" i="6"/>
  <c r="O204" i="12"/>
  <c r="M204" i="12"/>
  <c r="AO204" i="12"/>
  <c r="C204" i="12"/>
  <c r="C196" i="6"/>
  <c r="O196" i="5"/>
  <c r="O158" i="5"/>
  <c r="C158" i="6"/>
  <c r="AO67" i="12"/>
  <c r="C67" i="12"/>
  <c r="O67" i="12"/>
  <c r="M67" i="12"/>
  <c r="O41" i="12"/>
  <c r="AO41" i="12"/>
  <c r="C41" i="12"/>
  <c r="M41" i="12"/>
  <c r="C137" i="6"/>
  <c r="O137" i="5"/>
  <c r="M207" i="12"/>
  <c r="AO207" i="12"/>
  <c r="C207" i="12"/>
  <c r="O207" i="12"/>
  <c r="AM195" i="5"/>
  <c r="S86" i="8"/>
  <c r="I195" i="12"/>
  <c r="L195" i="5"/>
  <c r="Z195" i="5"/>
  <c r="S83" i="8"/>
  <c r="AM190" i="5"/>
  <c r="L190" i="5"/>
  <c r="I190" i="12"/>
  <c r="Z190" i="5"/>
  <c r="D91" i="12"/>
  <c r="E91" i="6"/>
  <c r="S41" i="8"/>
  <c r="Z92" i="5"/>
  <c r="AM92" i="5"/>
  <c r="I92" i="12"/>
  <c r="L92" i="5"/>
  <c r="AO91" i="12"/>
  <c r="O91" i="12"/>
  <c r="M91" i="12"/>
  <c r="C91" i="12"/>
  <c r="O205" i="5"/>
  <c r="C205" i="6"/>
  <c r="C144" i="6"/>
  <c r="O144" i="5"/>
  <c r="M186" i="12"/>
  <c r="C186" i="12"/>
  <c r="AO186" i="12"/>
  <c r="O186" i="12"/>
  <c r="N186" i="12" s="1"/>
  <c r="C170" i="6"/>
  <c r="O170" i="5"/>
  <c r="C29" i="6"/>
  <c r="O29" i="5"/>
  <c r="C104" i="6"/>
  <c r="O104" i="5"/>
  <c r="O106" i="5"/>
  <c r="C106" i="6"/>
  <c r="C204" i="6"/>
  <c r="O204" i="5"/>
  <c r="AO116" i="12"/>
  <c r="O116" i="12"/>
  <c r="N116" i="12" s="1"/>
  <c r="C116" i="12"/>
  <c r="M116" i="12"/>
  <c r="M124" i="12"/>
  <c r="C124" i="12"/>
  <c r="AO124" i="12"/>
  <c r="O124" i="12"/>
  <c r="N124" i="12" s="1"/>
  <c r="O79" i="5"/>
  <c r="C79" i="6"/>
  <c r="C196" i="12"/>
  <c r="O196" i="12"/>
  <c r="M196" i="12"/>
  <c r="AO196" i="12"/>
  <c r="O73" i="12"/>
  <c r="C73" i="12"/>
  <c r="M73" i="12"/>
  <c r="AO73" i="12"/>
  <c r="AO81" i="12"/>
  <c r="O81" i="12"/>
  <c r="M81" i="12"/>
  <c r="C81" i="12"/>
  <c r="M158" i="12"/>
  <c r="AO158" i="12"/>
  <c r="C158" i="12"/>
  <c r="O158" i="12"/>
  <c r="O67" i="5"/>
  <c r="C67" i="6"/>
  <c r="M174" i="12"/>
  <c r="AO174" i="12"/>
  <c r="O174" i="12"/>
  <c r="C174" i="12"/>
  <c r="O211" i="12"/>
  <c r="AO211" i="12"/>
  <c r="C211" i="12"/>
  <c r="M211" i="12"/>
  <c r="AB164" i="5"/>
  <c r="D77" i="8" s="1"/>
  <c r="O229" i="5"/>
  <c r="C229" i="6"/>
  <c r="AO82" i="12"/>
  <c r="O82" i="12"/>
  <c r="C82" i="12"/>
  <c r="M82" i="12"/>
  <c r="AO93" i="12"/>
  <c r="M93" i="12"/>
  <c r="O93" i="12"/>
  <c r="C93" i="12"/>
  <c r="AO152" i="12"/>
  <c r="C152" i="12"/>
  <c r="O152" i="12"/>
  <c r="M152" i="12"/>
  <c r="AO120" i="12"/>
  <c r="C120" i="12"/>
  <c r="O120" i="12"/>
  <c r="M120" i="12"/>
  <c r="O186" i="5"/>
  <c r="C186" i="6"/>
  <c r="O217" i="12"/>
  <c r="M217" i="12"/>
  <c r="AO217" i="12"/>
  <c r="Y217" i="12" s="1"/>
  <c r="C217" i="12"/>
  <c r="AO84" i="12"/>
  <c r="Y84" i="12" s="1"/>
  <c r="C84" i="12"/>
  <c r="M84" i="12"/>
  <c r="O84" i="12"/>
  <c r="M176" i="12"/>
  <c r="AO176" i="12"/>
  <c r="O176" i="12"/>
  <c r="C176" i="12"/>
  <c r="O201" i="5"/>
  <c r="C201" i="6"/>
  <c r="C177" i="12"/>
  <c r="AO177" i="12"/>
  <c r="M177" i="12"/>
  <c r="O177" i="12"/>
  <c r="N177" i="12" s="1"/>
  <c r="O160" i="5"/>
  <c r="C160" i="6"/>
  <c r="C116" i="6"/>
  <c r="O116" i="5"/>
  <c r="O43" i="5"/>
  <c r="C43" i="6"/>
  <c r="AO171" i="12"/>
  <c r="Y171" i="12" s="1"/>
  <c r="M171" i="12"/>
  <c r="C171" i="12"/>
  <c r="O171" i="12"/>
  <c r="Z173" i="5"/>
  <c r="L173" i="5"/>
  <c r="S80" i="8"/>
  <c r="AM173" i="5"/>
  <c r="I173" i="12"/>
  <c r="C24" i="12"/>
  <c r="M24" i="12"/>
  <c r="AO24" i="12"/>
  <c r="O24" i="12"/>
  <c r="C33" i="12"/>
  <c r="O33" i="12"/>
  <c r="M33" i="12"/>
  <c r="AO33" i="12"/>
  <c r="M114" i="12"/>
  <c r="AO114" i="12"/>
  <c r="C114" i="12"/>
  <c r="O114" i="12"/>
  <c r="O60" i="5"/>
  <c r="C60" i="6"/>
  <c r="C181" i="12"/>
  <c r="O181" i="12"/>
  <c r="AO181" i="12"/>
  <c r="M181" i="12"/>
  <c r="AO26" i="12"/>
  <c r="C26" i="12"/>
  <c r="O26" i="12"/>
  <c r="M26" i="12"/>
  <c r="AB92" i="5"/>
  <c r="C119" i="6"/>
  <c r="O119" i="5"/>
  <c r="AO205" i="12"/>
  <c r="Y205" i="12" s="1"/>
  <c r="M205" i="12"/>
  <c r="O205" i="12"/>
  <c r="C205" i="12"/>
  <c r="O49" i="5"/>
  <c r="C49" i="6"/>
  <c r="O125" i="5"/>
  <c r="C125" i="6"/>
  <c r="O217" i="5"/>
  <c r="C217" i="6"/>
  <c r="O29" i="12"/>
  <c r="C29" i="12"/>
  <c r="M29" i="12"/>
  <c r="AO29" i="12"/>
  <c r="AO216" i="12"/>
  <c r="O216" i="12"/>
  <c r="C216" i="12"/>
  <c r="M216" i="12"/>
  <c r="C117" i="12"/>
  <c r="M117" i="12"/>
  <c r="AO117" i="12"/>
  <c r="O117" i="12"/>
  <c r="AO90" i="12"/>
  <c r="O90" i="12"/>
  <c r="M90" i="12"/>
  <c r="C90" i="12"/>
  <c r="Z140" i="5"/>
  <c r="I140" i="12"/>
  <c r="L140" i="5"/>
  <c r="S68" i="8"/>
  <c r="AM140" i="5"/>
  <c r="O220" i="5"/>
  <c r="C220" i="6"/>
  <c r="O182" i="12"/>
  <c r="M182" i="12"/>
  <c r="AO182" i="12"/>
  <c r="C182" i="12"/>
  <c r="AO127" i="12"/>
  <c r="O127" i="12"/>
  <c r="C127" i="12"/>
  <c r="M127" i="12"/>
  <c r="O183" i="5"/>
  <c r="C183" i="6"/>
  <c r="C35" i="6"/>
  <c r="O35" i="5"/>
  <c r="C85" i="6"/>
  <c r="O85" i="5"/>
  <c r="O73" i="5"/>
  <c r="C73" i="6"/>
  <c r="C171" i="6"/>
  <c r="O171" i="5"/>
  <c r="M213" i="12"/>
  <c r="O213" i="12"/>
  <c r="C213" i="12"/>
  <c r="AO213" i="12"/>
  <c r="O178" i="12"/>
  <c r="AO178" i="12"/>
  <c r="M178" i="12"/>
  <c r="C178" i="12"/>
  <c r="O228" i="5"/>
  <c r="C228" i="6"/>
  <c r="M132" i="12"/>
  <c r="AO132" i="12"/>
  <c r="C132" i="12"/>
  <c r="O132" i="12"/>
  <c r="AO94" i="12"/>
  <c r="O94" i="12"/>
  <c r="N94" i="12" s="1"/>
  <c r="C94" i="12"/>
  <c r="M94" i="12"/>
  <c r="O188" i="12"/>
  <c r="AO188" i="12"/>
  <c r="M188" i="12"/>
  <c r="C188" i="12"/>
  <c r="AO228" i="12"/>
  <c r="M228" i="12"/>
  <c r="C228" i="12"/>
  <c r="O228" i="12"/>
  <c r="M215" i="12"/>
  <c r="AO215" i="12"/>
  <c r="O215" i="12"/>
  <c r="N215" i="12" s="1"/>
  <c r="C215" i="12"/>
  <c r="O136" i="12"/>
  <c r="N136" i="12" s="1"/>
  <c r="M136" i="12"/>
  <c r="C136" i="12"/>
  <c r="AO136" i="12"/>
  <c r="C135" i="12"/>
  <c r="O135" i="12"/>
  <c r="N135" i="12" s="1"/>
  <c r="AO135" i="12"/>
  <c r="M135" i="12"/>
  <c r="M45" i="12"/>
  <c r="C45" i="12"/>
  <c r="AO45" i="12"/>
  <c r="O45" i="12"/>
  <c r="N45" i="12" s="1"/>
  <c r="AO97" i="12"/>
  <c r="C97" i="12"/>
  <c r="O97" i="12"/>
  <c r="M97" i="12"/>
  <c r="C103" i="6"/>
  <c r="O103" i="5"/>
  <c r="C48" i="6"/>
  <c r="O48" i="5"/>
  <c r="O193" i="12"/>
  <c r="C193" i="12"/>
  <c r="AO193" i="12"/>
  <c r="M193" i="12"/>
  <c r="C211" i="6"/>
  <c r="O211" i="5"/>
  <c r="C47" i="12"/>
  <c r="M47" i="12"/>
  <c r="O47" i="12"/>
  <c r="AO47" i="12"/>
  <c r="C142" i="6"/>
  <c r="O142" i="5"/>
  <c r="O55" i="5"/>
  <c r="C55" i="6"/>
  <c r="M96" i="12"/>
  <c r="O96" i="12"/>
  <c r="AO96" i="12"/>
  <c r="C96" i="12"/>
  <c r="Z74" i="5"/>
  <c r="S38" i="8"/>
  <c r="I74" i="12"/>
  <c r="L74" i="5"/>
  <c r="AM74" i="5"/>
  <c r="M55" i="12"/>
  <c r="AO55" i="12"/>
  <c r="O55" i="12"/>
  <c r="C55" i="12"/>
  <c r="AO125" i="12"/>
  <c r="C125" i="12"/>
  <c r="O125" i="12"/>
  <c r="M125" i="12"/>
  <c r="C155" i="6"/>
  <c r="O155" i="5"/>
  <c r="C176" i="6"/>
  <c r="O176" i="5"/>
  <c r="C117" i="6"/>
  <c r="O117" i="5"/>
  <c r="C182" i="6"/>
  <c r="O182" i="5"/>
  <c r="O69" i="5"/>
  <c r="C69" i="6"/>
  <c r="O183" i="12"/>
  <c r="AO183" i="12"/>
  <c r="Y183" i="12" s="1"/>
  <c r="M183" i="12"/>
  <c r="C183" i="12"/>
  <c r="C35" i="12"/>
  <c r="M35" i="12"/>
  <c r="O35" i="12"/>
  <c r="AO35" i="12"/>
  <c r="O79" i="12"/>
  <c r="M79" i="12"/>
  <c r="C79" i="12"/>
  <c r="AO79" i="12"/>
  <c r="Y79" i="12" s="1"/>
  <c r="M43" i="12"/>
  <c r="O43" i="12"/>
  <c r="AO43" i="12"/>
  <c r="C43" i="12"/>
  <c r="O81" i="5"/>
  <c r="C81" i="6"/>
  <c r="C213" i="6"/>
  <c r="O213" i="5"/>
  <c r="C178" i="6"/>
  <c r="O178" i="5"/>
  <c r="O100" i="5"/>
  <c r="C100" i="6"/>
  <c r="O51" i="5"/>
  <c r="C51" i="6"/>
  <c r="C185" i="6"/>
  <c r="O185" i="5"/>
  <c r="O61" i="5"/>
  <c r="C61" i="6"/>
  <c r="M72" i="12"/>
  <c r="O72" i="12"/>
  <c r="AO72" i="12"/>
  <c r="Y72" i="12" s="1"/>
  <c r="C72" i="12"/>
  <c r="C136" i="6"/>
  <c r="O136" i="5"/>
  <c r="M202" i="12"/>
  <c r="O202" i="12"/>
  <c r="N202" i="12" s="1"/>
  <c r="C202" i="12"/>
  <c r="AO202" i="12"/>
  <c r="C27" i="6"/>
  <c r="O27" i="5"/>
  <c r="C26" i="6"/>
  <c r="O26" i="5"/>
  <c r="AM200" i="5"/>
  <c r="I200" i="12"/>
  <c r="Z200" i="5"/>
  <c r="S89" i="8"/>
  <c r="L200" i="5"/>
  <c r="C28" i="6"/>
  <c r="O28" i="5"/>
  <c r="AO113" i="12"/>
  <c r="C113" i="12"/>
  <c r="O113" i="12"/>
  <c r="M113" i="12"/>
  <c r="C96" i="6"/>
  <c r="O96" i="5"/>
  <c r="C113" i="6"/>
  <c r="O113" i="5"/>
  <c r="C180" i="6"/>
  <c r="O180" i="5"/>
  <c r="C93" i="6"/>
  <c r="O93" i="5"/>
  <c r="C119" i="12"/>
  <c r="M119" i="12"/>
  <c r="AO119" i="12"/>
  <c r="Y119" i="12" s="1"/>
  <c r="O119" i="12"/>
  <c r="C88" i="6"/>
  <c r="O88" i="5"/>
  <c r="C120" i="6"/>
  <c r="O120" i="5"/>
  <c r="C68" i="12"/>
  <c r="O68" i="12"/>
  <c r="M68" i="12"/>
  <c r="AO68" i="12"/>
  <c r="M163" i="12"/>
  <c r="O163" i="12"/>
  <c r="C163" i="12"/>
  <c r="AO163" i="12"/>
  <c r="O40" i="5"/>
  <c r="C40" i="6"/>
  <c r="O71" i="12"/>
  <c r="AO71" i="12"/>
  <c r="M71" i="12"/>
  <c r="M70" i="12" s="1"/>
  <c r="C71" i="12"/>
  <c r="C216" i="6"/>
  <c r="O216" i="5"/>
  <c r="AO155" i="12"/>
  <c r="O155" i="12"/>
  <c r="C155" i="12"/>
  <c r="M155" i="12"/>
  <c r="C87" i="6"/>
  <c r="O87" i="5"/>
  <c r="M141" i="12"/>
  <c r="C141" i="12"/>
  <c r="O141" i="12"/>
  <c r="AO141" i="12"/>
  <c r="M220" i="12"/>
  <c r="AO220" i="12"/>
  <c r="O220" i="12"/>
  <c r="C220" i="12"/>
  <c r="AO69" i="12"/>
  <c r="M69" i="12"/>
  <c r="O69" i="12"/>
  <c r="N69" i="12" s="1"/>
  <c r="C69" i="12"/>
  <c r="C101" i="6"/>
  <c r="O101" i="5"/>
  <c r="AO85" i="12"/>
  <c r="M85" i="12"/>
  <c r="O85" i="12"/>
  <c r="N85" i="12" s="1"/>
  <c r="C85" i="12"/>
  <c r="C153" i="12"/>
  <c r="M153" i="12"/>
  <c r="AO153" i="12"/>
  <c r="O153" i="12"/>
  <c r="AB223" i="5"/>
  <c r="C36" i="6"/>
  <c r="O36" i="5"/>
  <c r="C174" i="6"/>
  <c r="O174" i="5"/>
  <c r="C150" i="6"/>
  <c r="O150" i="5"/>
  <c r="O71" i="5"/>
  <c r="C71" i="6"/>
  <c r="AM146" i="5"/>
  <c r="L146" i="5"/>
  <c r="Z146" i="5"/>
  <c r="I146" i="12"/>
  <c r="S74" i="8"/>
  <c r="AO130" i="12"/>
  <c r="O130" i="12"/>
  <c r="M130" i="12"/>
  <c r="C130" i="12"/>
  <c r="C57" i="12"/>
  <c r="AO57" i="12"/>
  <c r="O57" i="12"/>
  <c r="M57" i="12"/>
  <c r="M208" i="12"/>
  <c r="C208" i="12"/>
  <c r="O208" i="12"/>
  <c r="AO208" i="12"/>
  <c r="C212" i="6"/>
  <c r="O212" i="5"/>
  <c r="AM17" i="5"/>
  <c r="S17" i="8"/>
  <c r="Z17" i="5"/>
  <c r="I17" i="12"/>
  <c r="L17" i="5"/>
  <c r="M138" i="12"/>
  <c r="C138" i="12"/>
  <c r="AO138" i="12"/>
  <c r="O138" i="12"/>
  <c r="N138" i="12" s="1"/>
  <c r="C128" i="6"/>
  <c r="O128" i="5"/>
  <c r="AB210" i="5"/>
  <c r="D95" i="8" s="1"/>
  <c r="I95" i="12"/>
  <c r="L95" i="5"/>
  <c r="S44" i="8"/>
  <c r="Z95" i="5"/>
  <c r="AM95" i="5"/>
  <c r="E63" i="6"/>
  <c r="C56" i="6"/>
  <c r="O56" i="5"/>
  <c r="C180" i="12"/>
  <c r="O180" i="12"/>
  <c r="M180" i="12"/>
  <c r="AO180" i="12"/>
  <c r="O163" i="5"/>
  <c r="C163" i="6"/>
  <c r="S35" i="8"/>
  <c r="I70" i="12"/>
  <c r="Z70" i="5"/>
  <c r="AM70" i="5"/>
  <c r="L70" i="5"/>
  <c r="C123" i="6"/>
  <c r="O123" i="5"/>
  <c r="O127" i="5"/>
  <c r="C127" i="6"/>
  <c r="AO101" i="12"/>
  <c r="C101" i="12"/>
  <c r="O101" i="12"/>
  <c r="M101" i="12"/>
  <c r="C108" i="6"/>
  <c r="O108" i="5"/>
  <c r="C153" i="6"/>
  <c r="O153" i="5"/>
  <c r="AO224" i="12"/>
  <c r="C224" i="12"/>
  <c r="O224" i="12"/>
  <c r="M224" i="12"/>
  <c r="M223" i="12" s="1"/>
  <c r="C162" i="6"/>
  <c r="O162" i="5"/>
  <c r="O65" i="5"/>
  <c r="C65" i="6"/>
  <c r="AB99" i="5"/>
  <c r="L64" i="5"/>
  <c r="AM64" i="5"/>
  <c r="I64" i="12"/>
  <c r="S32" i="8"/>
  <c r="Z64" i="5"/>
  <c r="O52" i="12"/>
  <c r="C52" i="12"/>
  <c r="AO52" i="12"/>
  <c r="Y52" i="12" s="1"/>
  <c r="M52" i="12"/>
  <c r="O143" i="5"/>
  <c r="C143" i="6"/>
  <c r="M212" i="12"/>
  <c r="AO212" i="12"/>
  <c r="C212" i="12"/>
  <c r="O212" i="12"/>
  <c r="N212" i="12" s="1"/>
  <c r="O184" i="12"/>
  <c r="M184" i="12"/>
  <c r="C184" i="12"/>
  <c r="AO184" i="12"/>
  <c r="C209" i="6"/>
  <c r="O209" i="5"/>
  <c r="M34" i="12"/>
  <c r="AO34" i="12"/>
  <c r="O34" i="12"/>
  <c r="N34" i="12" s="1"/>
  <c r="C34" i="12"/>
  <c r="O18" i="5"/>
  <c r="C18" i="6"/>
  <c r="AO56" i="12"/>
  <c r="O56" i="12"/>
  <c r="C56" i="12"/>
  <c r="M56" i="12"/>
  <c r="M187" i="12"/>
  <c r="C187" i="12"/>
  <c r="AO187" i="12"/>
  <c r="O187" i="12"/>
  <c r="N187" i="12" s="1"/>
  <c r="C118" i="12"/>
  <c r="M118" i="12"/>
  <c r="AO118" i="12"/>
  <c r="O118" i="12"/>
  <c r="C168" i="6"/>
  <c r="O168" i="5"/>
  <c r="O165" i="5"/>
  <c r="C165" i="6"/>
  <c r="C88" i="12"/>
  <c r="AO88" i="12"/>
  <c r="M88" i="12"/>
  <c r="O88" i="12"/>
  <c r="AB227" i="5"/>
  <c r="C75" i="6"/>
  <c r="O75" i="5"/>
  <c r="O68" i="5"/>
  <c r="C68" i="6"/>
  <c r="C40" i="12"/>
  <c r="O40" i="12"/>
  <c r="M40" i="12"/>
  <c r="AO40" i="12"/>
  <c r="I23" i="12"/>
  <c r="S23" i="8"/>
  <c r="L23" i="5"/>
  <c r="Z23" i="5"/>
  <c r="AM23" i="5"/>
  <c r="M166" i="12"/>
  <c r="AO166" i="12"/>
  <c r="O166" i="12"/>
  <c r="N166" i="12" s="1"/>
  <c r="C166" i="12"/>
  <c r="M87" i="12"/>
  <c r="C87" i="12"/>
  <c r="AO87" i="12"/>
  <c r="O87" i="12"/>
  <c r="AB140" i="5"/>
  <c r="D68" i="8" s="1"/>
  <c r="M53" i="12"/>
  <c r="C53" i="12"/>
  <c r="AO53" i="12"/>
  <c r="O53" i="12"/>
  <c r="O94" i="5"/>
  <c r="C94" i="6"/>
  <c r="O214" i="5"/>
  <c r="C214" i="6"/>
  <c r="C33" i="6"/>
  <c r="O33" i="5"/>
  <c r="C157" i="12"/>
  <c r="O157" i="12"/>
  <c r="AO157" i="12"/>
  <c r="M157" i="12"/>
  <c r="AO39" i="12"/>
  <c r="M39" i="12"/>
  <c r="C39" i="12"/>
  <c r="O39" i="12"/>
  <c r="O105" i="12"/>
  <c r="N105" i="12" s="1"/>
  <c r="C105" i="12"/>
  <c r="AO105" i="12"/>
  <c r="M105" i="12"/>
  <c r="AM223" i="5"/>
  <c r="I223" i="12"/>
  <c r="Z223" i="5"/>
  <c r="L223" i="5"/>
  <c r="C36" i="12"/>
  <c r="AO36" i="12"/>
  <c r="M36" i="12"/>
  <c r="O36" i="12"/>
  <c r="L133" i="5"/>
  <c r="I133" i="12"/>
  <c r="S65" i="8"/>
  <c r="Z133" i="5"/>
  <c r="AM133" i="5"/>
  <c r="O100" i="12"/>
  <c r="AO100" i="12"/>
  <c r="M100" i="12"/>
  <c r="C100" i="12"/>
  <c r="AO147" i="12"/>
  <c r="O147" i="12"/>
  <c r="M147" i="12"/>
  <c r="C147" i="12"/>
  <c r="O175" i="5"/>
  <c r="C175" i="6"/>
  <c r="C19" i="6"/>
  <c r="O19" i="5"/>
  <c r="M42" i="12"/>
  <c r="C42" i="12"/>
  <c r="O42" i="12"/>
  <c r="AO42" i="12"/>
  <c r="C189" i="6"/>
  <c r="O189" i="5"/>
  <c r="AO192" i="12"/>
  <c r="Y192" i="12" s="1"/>
  <c r="C192" i="12"/>
  <c r="M192" i="12"/>
  <c r="O192" i="12"/>
  <c r="C57" i="6"/>
  <c r="O57" i="5"/>
  <c r="C156" i="6"/>
  <c r="O156" i="5"/>
  <c r="C209" i="12"/>
  <c r="AO209" i="12"/>
  <c r="O209" i="12"/>
  <c r="M209" i="12"/>
  <c r="O219" i="5"/>
  <c r="C219" i="6"/>
  <c r="AB190" i="5"/>
  <c r="D83" i="8" s="1"/>
  <c r="O179" i="12"/>
  <c r="AO179" i="12"/>
  <c r="M179" i="12"/>
  <c r="C179" i="12"/>
  <c r="O102" i="5"/>
  <c r="C102" i="6"/>
  <c r="C111" i="6"/>
  <c r="O111" i="5"/>
  <c r="O104" i="12"/>
  <c r="AO104" i="12"/>
  <c r="Y104" i="12" s="1"/>
  <c r="C104" i="12"/>
  <c r="M104" i="12"/>
  <c r="AO169" i="12"/>
  <c r="M169" i="12"/>
  <c r="O169" i="12"/>
  <c r="C169" i="12"/>
  <c r="AB95" i="5"/>
  <c r="D47" i="8" s="1"/>
  <c r="C152" i="6"/>
  <c r="O152" i="5"/>
  <c r="AO77" i="12"/>
  <c r="C77" i="12"/>
  <c r="M77" i="12"/>
  <c r="O77" i="12"/>
  <c r="O150" i="12"/>
  <c r="C150" i="12"/>
  <c r="AO150" i="12"/>
  <c r="Y150" i="12" s="1"/>
  <c r="M150" i="12"/>
  <c r="O172" i="5"/>
  <c r="AB206" i="5"/>
  <c r="Z227" i="5"/>
  <c r="AM227" i="5"/>
  <c r="I227" i="12"/>
  <c r="L227" i="5"/>
  <c r="AB74" i="5"/>
  <c r="AB173" i="5"/>
  <c r="C198" i="6"/>
  <c r="O198" i="5"/>
  <c r="O126" i="12"/>
  <c r="AO126" i="12"/>
  <c r="C126" i="12"/>
  <c r="M126" i="12"/>
  <c r="AB70" i="5"/>
  <c r="D35" i="8" s="1"/>
  <c r="C24" i="6"/>
  <c r="O24" i="5"/>
  <c r="O154" i="12"/>
  <c r="M154" i="12"/>
  <c r="C154" i="12"/>
  <c r="AO154" i="12"/>
  <c r="C166" i="6"/>
  <c r="O166" i="5"/>
  <c r="AO123" i="12"/>
  <c r="C123" i="12"/>
  <c r="O123" i="12"/>
  <c r="M123" i="12"/>
  <c r="O141" i="5"/>
  <c r="C141" i="6"/>
  <c r="O37" i="12"/>
  <c r="AO37" i="12"/>
  <c r="M37" i="12"/>
  <c r="C37" i="12"/>
  <c r="C53" i="6"/>
  <c r="O53" i="5"/>
  <c r="M214" i="12"/>
  <c r="C214" i="12"/>
  <c r="AO214" i="12"/>
  <c r="O214" i="12"/>
  <c r="N214" i="12" s="1"/>
  <c r="O194" i="12"/>
  <c r="M194" i="12"/>
  <c r="AO194" i="12"/>
  <c r="C194" i="12"/>
  <c r="O157" i="5"/>
  <c r="C157" i="6"/>
  <c r="C108" i="12"/>
  <c r="O108" i="12"/>
  <c r="M108" i="12"/>
  <c r="AO108" i="12"/>
  <c r="O39" i="5"/>
  <c r="C39" i="6"/>
  <c r="C105" i="6"/>
  <c r="O105" i="5"/>
  <c r="M162" i="12"/>
  <c r="O162" i="12"/>
  <c r="C162" i="12"/>
  <c r="AO162" i="12"/>
  <c r="AB64" i="5"/>
  <c r="M134" i="12"/>
  <c r="O134" i="12"/>
  <c r="C134" i="12"/>
  <c r="AO134" i="12"/>
  <c r="S50" i="8"/>
  <c r="AM99" i="5"/>
  <c r="Z99" i="5"/>
  <c r="L99" i="5"/>
  <c r="I99" i="12"/>
  <c r="D53" i="8"/>
  <c r="C53" i="8"/>
  <c r="Z16" i="5"/>
  <c r="L16" i="5"/>
  <c r="AM16" i="5"/>
  <c r="I16" i="12"/>
  <c r="S14" i="8"/>
  <c r="O14" i="11"/>
  <c r="G53" i="8"/>
  <c r="G54" i="8" s="1" a="1"/>
  <c r="G54" i="8" s="1"/>
  <c r="H54" i="8" a="1"/>
  <c r="H54" i="8" s="1"/>
  <c r="H53" i="8" a="1"/>
  <c r="H53" i="8" s="1"/>
  <c r="J54" i="8" s="1"/>
  <c r="O109" i="5"/>
  <c r="C109" i="6"/>
  <c r="C109" i="12"/>
  <c r="L109" i="12" a="1"/>
  <c r="L109" i="12" s="1"/>
  <c r="J109" i="12" a="1"/>
  <c r="J109" i="12" s="1"/>
  <c r="H77" i="8" a="1"/>
  <c r="H77" i="8" s="1"/>
  <c r="J78" i="8" s="1"/>
  <c r="C20" i="8"/>
  <c r="D20" i="8"/>
  <c r="N62" i="12"/>
  <c r="O22" i="5"/>
  <c r="C22" i="6"/>
  <c r="Z221" i="5"/>
  <c r="L221" i="5"/>
  <c r="AM221" i="5"/>
  <c r="I221" i="12"/>
  <c r="AB222" i="5"/>
  <c r="AB16" i="5" s="1"/>
  <c r="AB14" i="11" s="1"/>
  <c r="N14" i="11" s="1"/>
  <c r="Z31" i="8" a="1"/>
  <c r="Z31" i="8" s="1"/>
  <c r="Z29" i="8" s="1" a="1"/>
  <c r="Z29" i="8" s="1"/>
  <c r="AA31" i="8" a="1"/>
  <c r="AA31" i="8" s="1"/>
  <c r="W31" i="8" a="1"/>
  <c r="W31" i="8" s="1"/>
  <c r="W22" i="8" s="1" a="1"/>
  <c r="W22" i="8" s="1"/>
  <c r="W20" i="8" s="1" a="1"/>
  <c r="W20" i="8" s="1"/>
  <c r="AF31" i="8" a="1"/>
  <c r="AF31" i="8" s="1"/>
  <c r="AF29" i="8" s="1" a="1"/>
  <c r="AF29" i="8" s="1"/>
  <c r="AE31" i="8" a="1"/>
  <c r="AE31" i="8" s="1"/>
  <c r="E31" i="8" a="1"/>
  <c r="E31" i="8" s="1"/>
  <c r="X31" i="8" a="1"/>
  <c r="X31" i="8" s="1"/>
  <c r="X29" i="8" s="1" a="1"/>
  <c r="X29" i="8" s="1"/>
  <c r="G29" i="8"/>
  <c r="G30" i="8" s="1" a="1"/>
  <c r="G30" i="8" s="1"/>
  <c r="AC31" i="8" a="1"/>
  <c r="AC31" i="8" s="1"/>
  <c r="AC29" i="8" s="1" a="1"/>
  <c r="AC29" i="8" s="1"/>
  <c r="H30" i="8" a="1"/>
  <c r="H30" i="8" s="1"/>
  <c r="V31" i="8" a="1"/>
  <c r="V31" i="8" s="1"/>
  <c r="V22" i="8" s="1" a="1"/>
  <c r="V22" i="8" s="1"/>
  <c r="U31" i="8" a="1"/>
  <c r="U31" i="8" s="1"/>
  <c r="U29" i="8" s="1" a="1"/>
  <c r="U29" i="8" s="1"/>
  <c r="AB31" i="8" a="1"/>
  <c r="AB31" i="8" s="1"/>
  <c r="AB29" i="8" s="1" a="1"/>
  <c r="AB29" i="8" s="1"/>
  <c r="Y31" i="8" a="1"/>
  <c r="Y31" i="8" s="1"/>
  <c r="Y29" i="8" s="1" a="1"/>
  <c r="Y29" i="8" s="1"/>
  <c r="AD31" i="8" a="1"/>
  <c r="AD31" i="8" s="1"/>
  <c r="AD29" i="8" s="1" a="1"/>
  <c r="AD29" i="8" s="1"/>
  <c r="U226" i="12"/>
  <c r="V226" i="12"/>
  <c r="T226" i="12"/>
  <c r="Y62" i="12"/>
  <c r="AO22" i="12"/>
  <c r="Y22" i="12" s="1"/>
  <c r="J58" i="12" a="1"/>
  <c r="J58" i="12" s="1"/>
  <c r="L58" i="12" a="1"/>
  <c r="L58" i="12" s="1"/>
  <c r="C58" i="12"/>
  <c r="L145" i="5"/>
  <c r="I145" i="12"/>
  <c r="AM145" i="5"/>
  <c r="S71" i="8"/>
  <c r="Z145" i="5"/>
  <c r="I225" i="5"/>
  <c r="O225" i="5" s="1"/>
  <c r="O224" i="5"/>
  <c r="L22" i="12" a="1"/>
  <c r="L22" i="12" s="1"/>
  <c r="J22" i="12" a="1"/>
  <c r="J22" i="12" s="1"/>
  <c r="C22" i="12"/>
  <c r="M222" i="12"/>
  <c r="M221" i="12" s="1"/>
  <c r="O222" i="12"/>
  <c r="C222" i="12"/>
  <c r="AO222" i="12"/>
  <c r="AO109" i="12" s="1"/>
  <c r="Y109" i="12" s="1"/>
  <c r="X109" i="12" s="1"/>
  <c r="V98" i="12"/>
  <c r="T98" i="12"/>
  <c r="U98" i="12"/>
  <c r="E62" i="6"/>
  <c r="D62" i="12"/>
  <c r="W70" i="10"/>
  <c r="Q70" i="10"/>
  <c r="AA70" i="10"/>
  <c r="AC70" i="10"/>
  <c r="U70" i="10"/>
  <c r="O72" i="10"/>
  <c r="O75" i="10" s="1"/>
  <c r="AE72" i="10"/>
  <c r="AE75" i="10" s="1"/>
  <c r="AA72" i="10"/>
  <c r="AA75" i="10" s="1"/>
  <c r="Y70" i="10"/>
  <c r="Y72" i="10"/>
  <c r="Y75" i="10" s="1"/>
  <c r="AC72" i="10"/>
  <c r="AC75" i="10" s="1"/>
  <c r="I70" i="10"/>
  <c r="Y9" i="10" s="1"/>
  <c r="I72" i="10"/>
  <c r="AE9" i="10" s="1"/>
  <c r="Z15" i="5"/>
  <c r="M70" i="10"/>
  <c r="M72" i="10"/>
  <c r="M75" i="10" s="1"/>
  <c r="U72" i="10"/>
  <c r="U75" i="10" s="1"/>
  <c r="K70" i="10"/>
  <c r="O70" i="10"/>
  <c r="Q72" i="10"/>
  <c r="Q75" i="10" s="1"/>
  <c r="AM15" i="5"/>
  <c r="W72" i="10"/>
  <c r="W75" i="10" s="1"/>
  <c r="AE70" i="10"/>
  <c r="K72" i="10"/>
  <c r="K75" i="10" s="1"/>
  <c r="S72" i="10"/>
  <c r="S75" i="10" s="1"/>
  <c r="S70" i="10"/>
  <c r="AB58" i="5"/>
  <c r="D29" i="8" s="1"/>
  <c r="AB22" i="5"/>
  <c r="C58" i="6"/>
  <c r="O58" i="5"/>
  <c r="O222" i="5"/>
  <c r="C222" i="6"/>
  <c r="G20" i="8"/>
  <c r="G21" i="8" s="1" a="1"/>
  <c r="G21" i="8" s="1"/>
  <c r="H21" i="8" a="1"/>
  <c r="H21" i="8" s="1"/>
  <c r="H20" i="8" a="1"/>
  <c r="H20" i="8" s="1"/>
  <c r="J21" i="8" s="1"/>
  <c r="N180" i="12" l="1"/>
  <c r="N56" i="12"/>
  <c r="AO58" i="12"/>
  <c r="Y94" i="12"/>
  <c r="Y194" i="12"/>
  <c r="Y193" i="12"/>
  <c r="N107" i="12"/>
  <c r="Y153" i="12"/>
  <c r="N20" i="12"/>
  <c r="D62" i="8"/>
  <c r="Y61" i="12"/>
  <c r="Y126" i="12"/>
  <c r="D56" i="8"/>
  <c r="Y27" i="12"/>
  <c r="X27" i="12" s="1"/>
  <c r="Y55" i="12"/>
  <c r="W55" i="12" s="1"/>
  <c r="N53" i="12"/>
  <c r="Y116" i="12"/>
  <c r="X116" i="12" s="1"/>
  <c r="Y35" i="12"/>
  <c r="W35" i="12" s="1"/>
  <c r="N47" i="12"/>
  <c r="N84" i="12"/>
  <c r="N55" i="12"/>
  <c r="Y204" i="12"/>
  <c r="N90" i="12"/>
  <c r="Y160" i="12"/>
  <c r="N128" i="12"/>
  <c r="Y25" i="12"/>
  <c r="X25" i="12" s="1"/>
  <c r="Y154" i="12"/>
  <c r="N52" i="12"/>
  <c r="N101" i="12"/>
  <c r="Y208" i="12"/>
  <c r="W208" i="12" s="1"/>
  <c r="Y31" i="12"/>
  <c r="X31" i="12" s="1"/>
  <c r="Y81" i="12"/>
  <c r="X81" i="12" s="1"/>
  <c r="Y91" i="12"/>
  <c r="X91" i="12" s="1"/>
  <c r="N220" i="12"/>
  <c r="Y202" i="12"/>
  <c r="N193" i="12"/>
  <c r="N117" i="12"/>
  <c r="Y21" i="12"/>
  <c r="W21" i="12" s="1"/>
  <c r="Y185" i="12"/>
  <c r="W185" i="12" s="1"/>
  <c r="N21" i="12"/>
  <c r="Y162" i="12"/>
  <c r="N150" i="12"/>
  <c r="N163" i="12"/>
  <c r="N127" i="12"/>
  <c r="N106" i="12"/>
  <c r="Y161" i="12"/>
  <c r="W161" i="12" s="1"/>
  <c r="N77" i="12"/>
  <c r="Y42" i="12"/>
  <c r="M195" i="12"/>
  <c r="Y28" i="12"/>
  <c r="W28" i="12" s="1"/>
  <c r="N61" i="12"/>
  <c r="N162" i="12"/>
  <c r="Y179" i="12"/>
  <c r="N42" i="12"/>
  <c r="N36" i="12"/>
  <c r="Y43" i="12"/>
  <c r="Y178" i="12"/>
  <c r="Y48" i="12"/>
  <c r="X48" i="12" s="1"/>
  <c r="Y102" i="12"/>
  <c r="W102" i="12" s="1"/>
  <c r="N83" i="12"/>
  <c r="N60" i="12"/>
  <c r="Y149" i="12"/>
  <c r="N86" i="12"/>
  <c r="N67" i="12"/>
  <c r="Y113" i="12"/>
  <c r="Y97" i="12"/>
  <c r="X97" i="12" s="1"/>
  <c r="N182" i="12"/>
  <c r="Y29" i="12"/>
  <c r="Y26" i="12"/>
  <c r="Y186" i="12"/>
  <c r="W186" i="12" s="1"/>
  <c r="Y46" i="12"/>
  <c r="X46" i="12" s="1"/>
  <c r="N197" i="12"/>
  <c r="N152" i="12"/>
  <c r="Y37" i="12"/>
  <c r="W37" i="12" s="1"/>
  <c r="Y40" i="12"/>
  <c r="X40" i="12" s="1"/>
  <c r="Y138" i="12"/>
  <c r="N213" i="12"/>
  <c r="N176" i="12"/>
  <c r="Y152" i="12"/>
  <c r="W152" i="12" s="1"/>
  <c r="Y67" i="12"/>
  <c r="X67" i="12" s="1"/>
  <c r="N142" i="12"/>
  <c r="N199" i="12"/>
  <c r="D74" i="8"/>
  <c r="Y131" i="12"/>
  <c r="Y87" i="12"/>
  <c r="Y118" i="12"/>
  <c r="W118" i="12" s="1"/>
  <c r="Y56" i="12"/>
  <c r="N68" i="12"/>
  <c r="Y174" i="12"/>
  <c r="Y209" i="12"/>
  <c r="W209" i="12" s="1"/>
  <c r="Y53" i="12"/>
  <c r="Y85" i="12"/>
  <c r="X85" i="12" s="1"/>
  <c r="Y155" i="12"/>
  <c r="N188" i="12"/>
  <c r="Y115" i="12"/>
  <c r="X115" i="12" s="1"/>
  <c r="M140" i="12"/>
  <c r="N108" i="12"/>
  <c r="Y125" i="12"/>
  <c r="W125" i="12" s="1"/>
  <c r="N78" i="12"/>
  <c r="Y216" i="12"/>
  <c r="X216" i="12" s="1"/>
  <c r="Y135" i="12"/>
  <c r="N89" i="12"/>
  <c r="Y225" i="12"/>
  <c r="C227" i="12"/>
  <c r="L227" i="12" a="1"/>
  <c r="L227" i="12" s="1"/>
  <c r="J227" i="12" a="1"/>
  <c r="J227" i="12" s="1"/>
  <c r="E205" i="6"/>
  <c r="D205" i="12"/>
  <c r="E86" i="6"/>
  <c r="D86" i="12"/>
  <c r="O64" i="12"/>
  <c r="N65" i="12"/>
  <c r="D157" i="12"/>
  <c r="E157" i="6"/>
  <c r="Y123" i="12"/>
  <c r="AO122" i="12"/>
  <c r="E57" i="6"/>
  <c r="D57" i="12"/>
  <c r="N87" i="12"/>
  <c r="E108" i="6"/>
  <c r="D108" i="12"/>
  <c r="E51" i="6"/>
  <c r="D51" i="12"/>
  <c r="D211" i="12"/>
  <c r="E211" i="6"/>
  <c r="E85" i="6"/>
  <c r="D85" i="12"/>
  <c r="E125" i="6"/>
  <c r="D125" i="12"/>
  <c r="N114" i="12"/>
  <c r="X171" i="12"/>
  <c r="W171" i="12"/>
  <c r="X84" i="12"/>
  <c r="W84" i="12"/>
  <c r="W204" i="12"/>
  <c r="X204" i="12"/>
  <c r="Y121" i="12"/>
  <c r="Y63" i="12"/>
  <c r="M110" i="12"/>
  <c r="N27" i="12"/>
  <c r="D72" i="12"/>
  <c r="E72" i="6"/>
  <c r="W32" i="12"/>
  <c r="X32" i="12"/>
  <c r="X172" i="12"/>
  <c r="W172" i="12"/>
  <c r="E42" i="6"/>
  <c r="D42" i="12"/>
  <c r="D23" i="8"/>
  <c r="X137" i="12"/>
  <c r="W137" i="12"/>
  <c r="AO173" i="12"/>
  <c r="Y189" i="12"/>
  <c r="W225" i="12"/>
  <c r="X225" i="12"/>
  <c r="E143" i="6"/>
  <c r="D143" i="12"/>
  <c r="E56" i="6"/>
  <c r="D56" i="12"/>
  <c r="E212" i="6"/>
  <c r="D212" i="12"/>
  <c r="D26" i="12"/>
  <c r="E26" i="6"/>
  <c r="W94" i="12"/>
  <c r="X94" i="12"/>
  <c r="N82" i="12"/>
  <c r="W116" i="12"/>
  <c r="O206" i="12"/>
  <c r="N207" i="12"/>
  <c r="X170" i="12"/>
  <c r="W170" i="12"/>
  <c r="N121" i="12"/>
  <c r="C206" i="6"/>
  <c r="O206" i="5"/>
  <c r="N63" i="12"/>
  <c r="Y103" i="12"/>
  <c r="W27" i="12"/>
  <c r="Y89" i="12"/>
  <c r="W143" i="12"/>
  <c r="X143" i="12"/>
  <c r="D230" i="12"/>
  <c r="E230" i="6"/>
  <c r="AO133" i="12"/>
  <c r="Y134" i="12"/>
  <c r="W194" i="12"/>
  <c r="X194" i="12"/>
  <c r="D92" i="8"/>
  <c r="N104" i="12"/>
  <c r="N192" i="12"/>
  <c r="AO99" i="12"/>
  <c r="Y100" i="12"/>
  <c r="N88" i="12"/>
  <c r="D71" i="12"/>
  <c r="E71" i="6"/>
  <c r="Y71" i="12"/>
  <c r="AO70" i="12"/>
  <c r="E93" i="6"/>
  <c r="D93" i="12"/>
  <c r="E100" i="6"/>
  <c r="D100" i="12"/>
  <c r="Y136" i="12"/>
  <c r="N132" i="12"/>
  <c r="E35" i="6"/>
  <c r="D35" i="12"/>
  <c r="D49" i="12"/>
  <c r="E49" i="6"/>
  <c r="Y114" i="12"/>
  <c r="D43" i="12"/>
  <c r="E43" i="6"/>
  <c r="X217" i="12"/>
  <c r="W217" i="12"/>
  <c r="Y82" i="12"/>
  <c r="N81" i="12"/>
  <c r="D204" i="12"/>
  <c r="E204" i="6"/>
  <c r="N91" i="12"/>
  <c r="N204" i="12"/>
  <c r="E84" i="6"/>
  <c r="D84" i="12"/>
  <c r="E193" i="6"/>
  <c r="D193" i="12"/>
  <c r="D199" i="12"/>
  <c r="E199" i="6"/>
  <c r="N25" i="12"/>
  <c r="N143" i="12"/>
  <c r="X76" i="12"/>
  <c r="W76" i="12"/>
  <c r="D52" i="12"/>
  <c r="E52" i="6"/>
  <c r="Y80" i="12"/>
  <c r="Y66" i="12"/>
  <c r="W159" i="12"/>
  <c r="X159" i="12"/>
  <c r="N189" i="12"/>
  <c r="N51" i="12"/>
  <c r="C200" i="12"/>
  <c r="J200" i="12" a="1"/>
  <c r="J200" i="12" s="1"/>
  <c r="L200" i="12" a="1"/>
  <c r="L200" i="12" s="1"/>
  <c r="K200" i="12" s="1"/>
  <c r="X135" i="12"/>
  <c r="W135" i="12"/>
  <c r="C140" i="12"/>
  <c r="J140" i="12" a="1"/>
  <c r="J140" i="12" s="1"/>
  <c r="L140" i="12" a="1"/>
  <c r="L140" i="12" s="1"/>
  <c r="Y69" i="12"/>
  <c r="N71" i="12"/>
  <c r="O70" i="12"/>
  <c r="N70" i="12" s="1"/>
  <c r="E27" i="6"/>
  <c r="D27" i="12"/>
  <c r="E178" i="6"/>
  <c r="D178" i="12"/>
  <c r="W183" i="12"/>
  <c r="X183" i="12"/>
  <c r="X193" i="12"/>
  <c r="W193" i="12"/>
  <c r="D116" i="12"/>
  <c r="E116" i="6"/>
  <c r="AO206" i="12"/>
  <c r="Y207" i="12"/>
  <c r="W144" i="12"/>
  <c r="X144" i="12"/>
  <c r="O210" i="5"/>
  <c r="C210" i="6"/>
  <c r="W160" i="12"/>
  <c r="X160" i="12"/>
  <c r="M17" i="12"/>
  <c r="M16" i="12"/>
  <c r="D184" i="12"/>
  <c r="E184" i="6"/>
  <c r="W25" i="12"/>
  <c r="E97" i="6"/>
  <c r="D97" i="12"/>
  <c r="D20" i="12"/>
  <c r="E20" i="6"/>
  <c r="N80" i="12"/>
  <c r="L38" i="12" a="1"/>
  <c r="L38" i="12" s="1"/>
  <c r="C38" i="12"/>
  <c r="J38" i="12" a="1"/>
  <c r="J38" i="12" s="1"/>
  <c r="N59" i="12"/>
  <c r="O58" i="12"/>
  <c r="M74" i="12"/>
  <c r="N134" i="12"/>
  <c r="O133" i="12"/>
  <c r="N194" i="12"/>
  <c r="Y39" i="12"/>
  <c r="AO38" i="12"/>
  <c r="Y88" i="12"/>
  <c r="N208" i="12"/>
  <c r="E180" i="6"/>
  <c r="D180" i="12"/>
  <c r="N183" i="12"/>
  <c r="C74" i="6"/>
  <c r="O74" i="5"/>
  <c r="Y132" i="12"/>
  <c r="Y90" i="12"/>
  <c r="N205" i="12"/>
  <c r="Y33" i="12"/>
  <c r="N217" i="12"/>
  <c r="D229" i="12"/>
  <c r="E229" i="6"/>
  <c r="Y73" i="12"/>
  <c r="O92" i="5"/>
  <c r="C92" i="6"/>
  <c r="M206" i="12"/>
  <c r="D46" i="12"/>
  <c r="E46" i="6"/>
  <c r="N144" i="12"/>
  <c r="G95" i="8"/>
  <c r="G96" i="8" s="1" a="1"/>
  <c r="G96" i="8" s="1"/>
  <c r="Z97" i="8" a="1"/>
  <c r="Z97" i="8" s="1"/>
  <c r="AE97" i="8" a="1"/>
  <c r="AE97" i="8" s="1"/>
  <c r="X97" i="8" a="1"/>
  <c r="X97" i="8" s="1"/>
  <c r="W97" i="8" a="1"/>
  <c r="W97" i="8" s="1"/>
  <c r="AB97" i="8" a="1"/>
  <c r="AB97" i="8" s="1"/>
  <c r="AF97" i="8" a="1"/>
  <c r="AF97" i="8" s="1"/>
  <c r="H96" i="8" a="1"/>
  <c r="H96" i="8" s="1"/>
  <c r="V97" i="8" a="1"/>
  <c r="V97" i="8" s="1"/>
  <c r="V95" i="8" s="1" a="1"/>
  <c r="V95" i="8" s="1"/>
  <c r="H95" i="8" s="1" a="1"/>
  <c r="H95" i="8" s="1"/>
  <c r="J96" i="8" s="1"/>
  <c r="AD97" i="8" a="1"/>
  <c r="AD97" i="8" s="1"/>
  <c r="E177" i="6"/>
  <c r="D177" i="12"/>
  <c r="E167" i="6"/>
  <c r="D167" i="12"/>
  <c r="Y128" i="12"/>
  <c r="N230" i="12"/>
  <c r="Y148" i="12"/>
  <c r="N76" i="12"/>
  <c r="C38" i="6"/>
  <c r="O38" i="5"/>
  <c r="N159" i="12"/>
  <c r="Y59" i="12"/>
  <c r="Y75" i="12"/>
  <c r="AO74" i="12"/>
  <c r="Y74" i="12" s="1"/>
  <c r="Y51" i="12"/>
  <c r="D183" i="12"/>
  <c r="E183" i="6"/>
  <c r="D149" i="12"/>
  <c r="E149" i="6"/>
  <c r="AF28" i="8" a="1"/>
  <c r="AF28" i="8" s="1"/>
  <c r="AF26" i="8" s="1" a="1"/>
  <c r="AF26" i="8" s="1"/>
  <c r="X28" i="8" a="1"/>
  <c r="X28" i="8" s="1"/>
  <c r="X26" i="8" s="1" a="1"/>
  <c r="X26" i="8" s="1"/>
  <c r="Y28" i="8" a="1"/>
  <c r="Y28" i="8" s="1"/>
  <c r="Y26" i="8" s="1" a="1"/>
  <c r="Y26" i="8" s="1"/>
  <c r="AE28" i="8" a="1"/>
  <c r="AE28" i="8" s="1"/>
  <c r="AE26" i="8" s="1" a="1"/>
  <c r="AE26" i="8" s="1"/>
  <c r="AB28" i="8" a="1"/>
  <c r="AB28" i="8" s="1"/>
  <c r="AB26" i="8" s="1" a="1"/>
  <c r="AB26" i="8" s="1"/>
  <c r="AC28" i="8" a="1"/>
  <c r="AC28" i="8" s="1"/>
  <c r="AC26" i="8" s="1" a="1"/>
  <c r="AC26" i="8" s="1"/>
  <c r="Z28" i="8" a="1"/>
  <c r="Z28" i="8" s="1"/>
  <c r="Z26" i="8" s="1" a="1"/>
  <c r="Z26" i="8" s="1"/>
  <c r="G26" i="8"/>
  <c r="G27" i="8" s="1" a="1"/>
  <c r="G27" i="8" s="1"/>
  <c r="W28" i="8" a="1"/>
  <c r="W28" i="8" s="1"/>
  <c r="W26" i="8" s="1" a="1"/>
  <c r="W26" i="8" s="1"/>
  <c r="AD28" i="8" a="1"/>
  <c r="AD28" i="8" s="1"/>
  <c r="AD26" i="8" s="1" a="1"/>
  <c r="AD26" i="8" s="1"/>
  <c r="H27" i="8" a="1"/>
  <c r="H27" i="8" s="1"/>
  <c r="AA28" i="8" a="1"/>
  <c r="AA28" i="8" s="1"/>
  <c r="AA26" i="8" s="1" a="1"/>
  <c r="AA26" i="8" s="1"/>
  <c r="U28" i="8" a="1"/>
  <c r="U28" i="8" s="1"/>
  <c r="U26" i="8" s="1" a="1"/>
  <c r="U26" i="8" s="1"/>
  <c r="V28" i="8" a="1"/>
  <c r="V28" i="8" s="1"/>
  <c r="V26" i="8" s="1" a="1"/>
  <c r="V26" i="8" s="1"/>
  <c r="E28" i="8" a="1"/>
  <c r="E28" i="8" s="1"/>
  <c r="E26" i="8" s="1" a="1"/>
  <c r="E26" i="8" s="1"/>
  <c r="H26" i="8" a="1"/>
  <c r="H26" i="8" s="1"/>
  <c r="J27" i="8" s="1"/>
  <c r="J129" i="12" a="1"/>
  <c r="J129" i="12" s="1"/>
  <c r="C129" i="12"/>
  <c r="L129" i="12" a="1"/>
  <c r="L129" i="12" s="1"/>
  <c r="M58" i="12"/>
  <c r="N75" i="12"/>
  <c r="O74" i="12"/>
  <c r="E77" i="6"/>
  <c r="D77" i="12"/>
  <c r="D32" i="8"/>
  <c r="Y214" i="12"/>
  <c r="N154" i="12"/>
  <c r="E102" i="6"/>
  <c r="D102" i="12"/>
  <c r="D189" i="12"/>
  <c r="E189" i="6"/>
  <c r="G65" i="8"/>
  <c r="G66" i="8" s="1" a="1"/>
  <c r="G66" i="8" s="1"/>
  <c r="AA67" i="8" a="1"/>
  <c r="AA67" i="8" s="1"/>
  <c r="Y67" i="8" a="1"/>
  <c r="Y67" i="8" s="1"/>
  <c r="W67" i="8" a="1"/>
  <c r="W67" i="8" s="1"/>
  <c r="E67" i="8" a="1"/>
  <c r="E67" i="8" s="1"/>
  <c r="Z67" i="8" a="1"/>
  <c r="Z67" i="8" s="1"/>
  <c r="V67" i="8" a="1"/>
  <c r="V67" i="8" s="1"/>
  <c r="X67" i="8" a="1"/>
  <c r="X67" i="8" s="1"/>
  <c r="AD67" i="8" a="1"/>
  <c r="AD67" i="8" s="1"/>
  <c r="AE67" i="8" a="1"/>
  <c r="AE67" i="8" s="1"/>
  <c r="U67" i="8" a="1"/>
  <c r="U67" i="8" s="1"/>
  <c r="H65" i="8" a="1"/>
  <c r="H65" i="8" s="1"/>
  <c r="J66" i="8" s="1"/>
  <c r="H66" i="8" a="1"/>
  <c r="H66" i="8" s="1"/>
  <c r="AC67" i="8" a="1"/>
  <c r="AC67" i="8" s="1"/>
  <c r="AB67" i="8" a="1"/>
  <c r="AB67" i="8" s="1"/>
  <c r="AF67" i="8" a="1"/>
  <c r="AF67" i="8" s="1"/>
  <c r="Y157" i="12"/>
  <c r="Y166" i="12"/>
  <c r="Y34" i="12"/>
  <c r="J64" i="12" a="1"/>
  <c r="J64" i="12" s="1"/>
  <c r="L64" i="12" a="1"/>
  <c r="L64" i="12" s="1"/>
  <c r="C64" i="12"/>
  <c r="W46" i="8" a="1"/>
  <c r="W46" i="8" s="1"/>
  <c r="W44" i="8" s="1" a="1"/>
  <c r="W44" i="8" s="1"/>
  <c r="X46" i="8" a="1"/>
  <c r="X46" i="8" s="1"/>
  <c r="X44" i="8" s="1" a="1"/>
  <c r="X44" i="8" s="1"/>
  <c r="D44" i="8"/>
  <c r="Z46" i="8" a="1"/>
  <c r="Z46" i="8" s="1"/>
  <c r="Z44" i="8" s="1" a="1"/>
  <c r="Z44" i="8" s="1"/>
  <c r="AF46" i="8" a="1"/>
  <c r="AF46" i="8" s="1"/>
  <c r="AF44" i="8" s="1" a="1"/>
  <c r="AF44" i="8" s="1"/>
  <c r="AC46" i="8" a="1"/>
  <c r="AC46" i="8" s="1"/>
  <c r="AC44" i="8" s="1" a="1"/>
  <c r="AC44" i="8" s="1"/>
  <c r="V46" i="8" a="1"/>
  <c r="V46" i="8" s="1"/>
  <c r="V44" i="8" s="1" a="1"/>
  <c r="V44" i="8" s="1"/>
  <c r="H45" i="8" a="1"/>
  <c r="H45" i="8" s="1"/>
  <c r="Y46" i="8" a="1"/>
  <c r="Y46" i="8" s="1"/>
  <c r="Y44" i="8" s="1" a="1"/>
  <c r="Y44" i="8" s="1"/>
  <c r="U46" i="8" a="1"/>
  <c r="U46" i="8" s="1"/>
  <c r="U44" i="8" s="1" a="1"/>
  <c r="U44" i="8" s="1"/>
  <c r="AB46" i="8" a="1"/>
  <c r="AB46" i="8" s="1"/>
  <c r="AB44" i="8" s="1" a="1"/>
  <c r="AB44" i="8" s="1"/>
  <c r="G44" i="8"/>
  <c r="G45" i="8" s="1" a="1"/>
  <c r="G45" i="8" s="1"/>
  <c r="AE46" i="8" a="1"/>
  <c r="AE46" i="8" s="1"/>
  <c r="AE44" i="8" s="1" a="1"/>
  <c r="AE44" i="8" s="1"/>
  <c r="AD46" i="8" a="1"/>
  <c r="AD46" i="8" s="1"/>
  <c r="AD44" i="8" s="1" a="1"/>
  <c r="AD44" i="8" s="1"/>
  <c r="AA46" i="8" a="1"/>
  <c r="AA46" i="8" s="1"/>
  <c r="AA44" i="8" s="1" a="1"/>
  <c r="AA44" i="8" s="1"/>
  <c r="E46" i="8" a="1"/>
  <c r="E46" i="8" s="1"/>
  <c r="E44" i="8" s="1" a="1"/>
  <c r="E44" i="8" s="1"/>
  <c r="H44" i="8" a="1"/>
  <c r="H44" i="8" s="1"/>
  <c r="J45" i="8" s="1"/>
  <c r="Y220" i="12"/>
  <c r="Y163" i="12"/>
  <c r="D113" i="12"/>
  <c r="E113" i="6"/>
  <c r="E69" i="6"/>
  <c r="D69" i="12"/>
  <c r="X40" i="8" a="1"/>
  <c r="X40" i="8" s="1"/>
  <c r="X38" i="8" s="1" a="1"/>
  <c r="X38" i="8" s="1"/>
  <c r="AA40" i="8" a="1"/>
  <c r="AA40" i="8" s="1"/>
  <c r="AC40" i="8" a="1"/>
  <c r="AC40" i="8" s="1"/>
  <c r="H39" i="8" a="1"/>
  <c r="H39" i="8" s="1"/>
  <c r="AB40" i="8" a="1"/>
  <c r="AB40" i="8" s="1"/>
  <c r="AB38" i="8" s="1" a="1"/>
  <c r="AB38" i="8" s="1"/>
  <c r="U40" i="8" a="1"/>
  <c r="U40" i="8" s="1"/>
  <c r="U38" i="8" s="1" a="1"/>
  <c r="U38" i="8" s="1"/>
  <c r="V40" i="8" a="1"/>
  <c r="V40" i="8" s="1"/>
  <c r="V38" i="8" s="1" a="1"/>
  <c r="V38" i="8" s="1"/>
  <c r="W40" i="8" a="1"/>
  <c r="W40" i="8" s="1"/>
  <c r="AD40" i="8" a="1"/>
  <c r="AD40" i="8" s="1"/>
  <c r="AD38" i="8" s="1" a="1"/>
  <c r="AD38" i="8" s="1"/>
  <c r="AE40" i="8" a="1"/>
  <c r="AE40" i="8" s="1"/>
  <c r="Z40" i="8" a="1"/>
  <c r="Z40" i="8" s="1"/>
  <c r="Z38" i="8" s="1" a="1"/>
  <c r="Z38" i="8" s="1"/>
  <c r="E40" i="8" a="1"/>
  <c r="E40" i="8" s="1"/>
  <c r="E38" i="8" s="1" a="1"/>
  <c r="E38" i="8" s="1"/>
  <c r="G38" i="8"/>
  <c r="G39" i="8" s="1" a="1"/>
  <c r="G39" i="8" s="1"/>
  <c r="AF40" i="8" a="1"/>
  <c r="AF40" i="8" s="1"/>
  <c r="Y40" i="8" a="1"/>
  <c r="Y40" i="8" s="1"/>
  <c r="H38" i="8" a="1"/>
  <c r="H38" i="8" s="1"/>
  <c r="J39" i="8" s="1"/>
  <c r="D48" i="12"/>
  <c r="E48" i="6"/>
  <c r="Y117" i="12"/>
  <c r="W205" i="12"/>
  <c r="X205" i="12"/>
  <c r="N33" i="12"/>
  <c r="D160" i="12"/>
  <c r="E160" i="6"/>
  <c r="D186" i="12"/>
  <c r="E186" i="6"/>
  <c r="M210" i="12"/>
  <c r="D104" i="12"/>
  <c r="E104" i="6"/>
  <c r="E90" i="6"/>
  <c r="D90" i="12"/>
  <c r="J210" i="12" a="1"/>
  <c r="J210" i="12" s="1"/>
  <c r="L210" i="12" a="1"/>
  <c r="L210" i="12" s="1"/>
  <c r="K210" i="12" s="1"/>
  <c r="C210" i="12"/>
  <c r="Y106" i="12"/>
  <c r="E139" i="6"/>
  <c r="D139" i="12"/>
  <c r="E76" i="6"/>
  <c r="D76" i="12"/>
  <c r="O16" i="12"/>
  <c r="N18" i="12"/>
  <c r="O17" i="12"/>
  <c r="E208" i="6"/>
  <c r="D208" i="12"/>
  <c r="W230" i="12"/>
  <c r="X230" i="12"/>
  <c r="N161" i="12"/>
  <c r="N148" i="12"/>
  <c r="D151" i="12"/>
  <c r="E151" i="6"/>
  <c r="N185" i="12"/>
  <c r="N31" i="12"/>
  <c r="AC64" i="8" a="1"/>
  <c r="AC64" i="8" s="1"/>
  <c r="AC62" i="8" s="1" a="1"/>
  <c r="AC62" i="8" s="1"/>
  <c r="W64" i="8" a="1"/>
  <c r="W64" i="8" s="1"/>
  <c r="W62" i="8" s="1" a="1"/>
  <c r="W62" i="8" s="1"/>
  <c r="E64" i="8" a="1"/>
  <c r="E64" i="8" s="1"/>
  <c r="E62" i="8" s="1" a="1"/>
  <c r="E62" i="8" s="1"/>
  <c r="V64" i="8" a="1"/>
  <c r="V64" i="8" s="1"/>
  <c r="V62" i="8" s="1" a="1"/>
  <c r="V62" i="8" s="1"/>
  <c r="AF64" i="8" a="1"/>
  <c r="AF64" i="8" s="1"/>
  <c r="AF62" i="8" s="1" a="1"/>
  <c r="AF62" i="8" s="1"/>
  <c r="G62" i="8"/>
  <c r="G63" i="8" s="1" a="1"/>
  <c r="G63" i="8" s="1"/>
  <c r="AA64" i="8" a="1"/>
  <c r="AA64" i="8" s="1"/>
  <c r="AA62" i="8" s="1" a="1"/>
  <c r="AA62" i="8" s="1"/>
  <c r="AE64" i="8" a="1"/>
  <c r="AE64" i="8" s="1"/>
  <c r="AE62" i="8" s="1" a="1"/>
  <c r="AE62" i="8" s="1"/>
  <c r="U64" i="8" a="1"/>
  <c r="U64" i="8" s="1"/>
  <c r="U62" i="8" s="1" a="1"/>
  <c r="U62" i="8" s="1"/>
  <c r="H63" i="8" a="1"/>
  <c r="H63" i="8" s="1"/>
  <c r="AB64" i="8" a="1"/>
  <c r="AB64" i="8" s="1"/>
  <c r="AB62" i="8" s="1" a="1"/>
  <c r="AB62" i="8" s="1"/>
  <c r="Z64" i="8" a="1"/>
  <c r="Z64" i="8" s="1"/>
  <c r="Z62" i="8" s="1" a="1"/>
  <c r="Z62" i="8" s="1"/>
  <c r="AD64" i="8" a="1"/>
  <c r="AD64" i="8" s="1"/>
  <c r="AD62" i="8" s="1" a="1"/>
  <c r="AD62" i="8" s="1"/>
  <c r="Y64" i="8" a="1"/>
  <c r="Y64" i="8" s="1"/>
  <c r="Y62" i="8" s="1" a="1"/>
  <c r="Y62" i="8" s="1"/>
  <c r="X64" i="8" a="1"/>
  <c r="X64" i="8" s="1"/>
  <c r="X62" i="8" s="1" a="1"/>
  <c r="X62" i="8" s="1"/>
  <c r="H62" i="8" a="1"/>
  <c r="H62" i="8" s="1"/>
  <c r="J63" i="8" s="1"/>
  <c r="E78" i="6"/>
  <c r="D78" i="12"/>
  <c r="W107" i="12"/>
  <c r="X107" i="12"/>
  <c r="AO140" i="12"/>
  <c r="Y141" i="12"/>
  <c r="AO210" i="12"/>
  <c r="Y210" i="12" s="1"/>
  <c r="Y211" i="12"/>
  <c r="W179" i="12"/>
  <c r="X179" i="12"/>
  <c r="D33" i="12"/>
  <c r="E33" i="6"/>
  <c r="D50" i="8"/>
  <c r="Y57" i="12"/>
  <c r="O140" i="12"/>
  <c r="N140" i="12" s="1"/>
  <c r="N141" i="12"/>
  <c r="E136" i="6"/>
  <c r="D136" i="12"/>
  <c r="D117" i="12"/>
  <c r="E117" i="6"/>
  <c r="Y96" i="12"/>
  <c r="AO95" i="12"/>
  <c r="Y127" i="12"/>
  <c r="D41" i="8"/>
  <c r="Y24" i="12"/>
  <c r="AO23" i="12"/>
  <c r="Y177" i="12"/>
  <c r="O210" i="12"/>
  <c r="N211" i="12"/>
  <c r="Y41" i="12"/>
  <c r="N49" i="12"/>
  <c r="D191" i="12"/>
  <c r="E191" i="6"/>
  <c r="Y83" i="12"/>
  <c r="D17" i="8"/>
  <c r="C218" i="12"/>
  <c r="J218" i="12" a="1"/>
  <c r="J218" i="12" s="1"/>
  <c r="L218" i="12" a="1"/>
  <c r="L218" i="12" s="1"/>
  <c r="Y86" i="12"/>
  <c r="N203" i="12"/>
  <c r="D130" i="12"/>
  <c r="E130" i="6"/>
  <c r="C129" i="6"/>
  <c r="O129" i="5"/>
  <c r="O122" i="5"/>
  <c r="C122" i="6"/>
  <c r="O164" i="12"/>
  <c r="N165" i="12"/>
  <c r="V94" i="8" a="1"/>
  <c r="V94" i="8" s="1"/>
  <c r="H92" i="8" a="1"/>
  <c r="H92" i="8" s="1"/>
  <c r="J93" i="8" s="1"/>
  <c r="AC94" i="8" a="1"/>
  <c r="AC94" i="8" s="1"/>
  <c r="X94" i="8" a="1"/>
  <c r="X94" i="8" s="1"/>
  <c r="G92" i="8"/>
  <c r="G93" i="8" s="1" a="1"/>
  <c r="G93" i="8" s="1"/>
  <c r="W94" i="8" a="1"/>
  <c r="W94" i="8" s="1"/>
  <c r="AA94" i="8" a="1"/>
  <c r="AA94" i="8" s="1"/>
  <c r="E94" i="8" a="1"/>
  <c r="E94" i="8" s="1"/>
  <c r="H93" i="8" a="1"/>
  <c r="H93" i="8" s="1"/>
  <c r="AE94" i="8" a="1"/>
  <c r="AE94" i="8" s="1"/>
  <c r="AD94" i="8" a="1"/>
  <c r="AD94" i="8" s="1"/>
  <c r="AF94" i="8" a="1"/>
  <c r="AF94" i="8" s="1"/>
  <c r="Y94" i="8" a="1"/>
  <c r="Y94" i="8" s="1"/>
  <c r="Z94" i="8" a="1"/>
  <c r="Z94" i="8" s="1"/>
  <c r="AB94" i="8" a="1"/>
  <c r="AB94" i="8" s="1"/>
  <c r="U94" i="8" a="1"/>
  <c r="U94" i="8" s="1"/>
  <c r="J133" i="12" a="1"/>
  <c r="J133" i="12" s="1"/>
  <c r="L133" i="12" a="1"/>
  <c r="L133" i="12" s="1"/>
  <c r="C133" i="12"/>
  <c r="E228" i="6"/>
  <c r="D228" i="12"/>
  <c r="AB43" i="8" a="1"/>
  <c r="AB43" i="8" s="1"/>
  <c r="AB41" i="8" s="1" a="1"/>
  <c r="AB41" i="8" s="1"/>
  <c r="Z43" i="8" a="1"/>
  <c r="Z43" i="8" s="1"/>
  <c r="Z41" i="8" s="1" a="1"/>
  <c r="Z41" i="8" s="1"/>
  <c r="AA43" i="8" a="1"/>
  <c r="AA43" i="8" s="1"/>
  <c r="AA41" i="8" s="1" a="1"/>
  <c r="AA41" i="8" s="1"/>
  <c r="X43" i="8" a="1"/>
  <c r="X43" i="8" s="1"/>
  <c r="X41" i="8" s="1" a="1"/>
  <c r="X41" i="8" s="1"/>
  <c r="E43" i="8" a="1"/>
  <c r="E43" i="8" s="1"/>
  <c r="E41" i="8" s="1" a="1"/>
  <c r="E41" i="8" s="1"/>
  <c r="H42" i="8" a="1"/>
  <c r="H42" i="8" s="1"/>
  <c r="U43" i="8" a="1"/>
  <c r="U43" i="8" s="1"/>
  <c r="U41" i="8" s="1" a="1"/>
  <c r="U41" i="8" s="1"/>
  <c r="AC43" i="8" a="1"/>
  <c r="AC43" i="8" s="1"/>
  <c r="AC41" i="8" s="1" a="1"/>
  <c r="AC41" i="8" s="1"/>
  <c r="V43" i="8" a="1"/>
  <c r="V43" i="8" s="1"/>
  <c r="V41" i="8" s="1" a="1"/>
  <c r="V41" i="8" s="1"/>
  <c r="Y43" i="8" a="1"/>
  <c r="Y43" i="8" s="1"/>
  <c r="Y41" i="8" s="1" a="1"/>
  <c r="Y41" i="8" s="1"/>
  <c r="AE43" i="8" a="1"/>
  <c r="AE43" i="8" s="1"/>
  <c r="AE41" i="8" s="1" a="1"/>
  <c r="AE41" i="8" s="1"/>
  <c r="G41" i="8"/>
  <c r="G42" i="8" s="1" a="1"/>
  <c r="G42" i="8" s="1"/>
  <c r="W43" i="8" a="1"/>
  <c r="W43" i="8" s="1"/>
  <c r="W41" i="8" s="1" a="1"/>
  <c r="W41" i="8" s="1"/>
  <c r="AD43" i="8" a="1"/>
  <c r="AD43" i="8" s="1"/>
  <c r="AD41" i="8" s="1" a="1"/>
  <c r="AD41" i="8" s="1"/>
  <c r="AF43" i="8" a="1"/>
  <c r="AF43" i="8" s="1"/>
  <c r="AF41" i="8" s="1" a="1"/>
  <c r="AF41" i="8" s="1"/>
  <c r="H41" i="8" a="1"/>
  <c r="H41" i="8" s="1"/>
  <c r="J42" i="8" s="1"/>
  <c r="AB61" i="8" a="1"/>
  <c r="AB61" i="8" s="1"/>
  <c r="AB59" i="8" s="1" a="1"/>
  <c r="AB59" i="8" s="1"/>
  <c r="V61" i="8" a="1"/>
  <c r="V61" i="8" s="1"/>
  <c r="V59" i="8" s="1" a="1"/>
  <c r="V59" i="8" s="1"/>
  <c r="AC61" i="8" a="1"/>
  <c r="AC61" i="8" s="1"/>
  <c r="AC59" i="8" s="1" a="1"/>
  <c r="AC59" i="8" s="1"/>
  <c r="G59" i="8"/>
  <c r="G60" i="8" s="1" a="1"/>
  <c r="G60" i="8" s="1"/>
  <c r="AF61" i="8" a="1"/>
  <c r="AF61" i="8" s="1"/>
  <c r="AF59" i="8" s="1" a="1"/>
  <c r="AF59" i="8" s="1"/>
  <c r="AE61" i="8" a="1"/>
  <c r="AE61" i="8" s="1"/>
  <c r="AE59" i="8" s="1" a="1"/>
  <c r="AE59" i="8" s="1"/>
  <c r="W61" i="8" a="1"/>
  <c r="W61" i="8" s="1"/>
  <c r="W59" i="8" s="1" a="1"/>
  <c r="W59" i="8" s="1"/>
  <c r="AD61" i="8" a="1"/>
  <c r="AD61" i="8" s="1"/>
  <c r="AD59" i="8" s="1" a="1"/>
  <c r="AD59" i="8" s="1"/>
  <c r="Y61" i="8" a="1"/>
  <c r="Y61" i="8" s="1"/>
  <c r="Y59" i="8" s="1" a="1"/>
  <c r="Y59" i="8" s="1"/>
  <c r="X61" i="8" a="1"/>
  <c r="X61" i="8" s="1"/>
  <c r="X59" i="8" s="1" a="1"/>
  <c r="X59" i="8" s="1"/>
  <c r="E61" i="8" a="1"/>
  <c r="E61" i="8" s="1"/>
  <c r="E59" i="8" s="1" a="1"/>
  <c r="E59" i="8" s="1"/>
  <c r="H60" i="8" a="1"/>
  <c r="H60" i="8" s="1"/>
  <c r="Z61" i="8" a="1"/>
  <c r="Z61" i="8" s="1"/>
  <c r="Z59" i="8" s="1" a="1"/>
  <c r="Z59" i="8" s="1"/>
  <c r="U61" i="8" a="1"/>
  <c r="U61" i="8" s="1"/>
  <c r="U59" i="8" s="1" a="1"/>
  <c r="U59" i="8" s="1"/>
  <c r="AA61" i="8" a="1"/>
  <c r="AA61" i="8" s="1"/>
  <c r="AA59" i="8" s="1" a="1"/>
  <c r="AA59" i="8" s="1"/>
  <c r="H59" i="8" a="1"/>
  <c r="H59" i="8" s="1"/>
  <c r="J60" i="8" s="1"/>
  <c r="N179" i="12"/>
  <c r="C23" i="6"/>
  <c r="O23" i="5"/>
  <c r="N118" i="12"/>
  <c r="Y184" i="12"/>
  <c r="C70" i="6"/>
  <c r="O70" i="5"/>
  <c r="D128" i="12"/>
  <c r="E128" i="6"/>
  <c r="N153" i="12"/>
  <c r="Y68" i="12"/>
  <c r="X43" i="12"/>
  <c r="W43" i="12"/>
  <c r="O95" i="12"/>
  <c r="N96" i="12"/>
  <c r="N228" i="12"/>
  <c r="O227" i="12"/>
  <c r="W178" i="12"/>
  <c r="X178" i="12"/>
  <c r="M23" i="12"/>
  <c r="Y120" i="12"/>
  <c r="N196" i="12"/>
  <c r="O195" i="12"/>
  <c r="N195" i="12" s="1"/>
  <c r="E170" i="6"/>
  <c r="D170" i="12"/>
  <c r="N41" i="12"/>
  <c r="E187" i="6"/>
  <c r="D187" i="12"/>
  <c r="E41" i="6"/>
  <c r="D41" i="12"/>
  <c r="X149" i="12"/>
  <c r="W149" i="12"/>
  <c r="Y198" i="12"/>
  <c r="Y20" i="12"/>
  <c r="U100" i="8" a="1"/>
  <c r="U100" i="8" s="1"/>
  <c r="U97" i="8" s="1" a="1"/>
  <c r="U97" i="8" s="1"/>
  <c r="Z100" i="8" a="1"/>
  <c r="Z100" i="8" s="1"/>
  <c r="AE100" i="8" a="1"/>
  <c r="AE100" i="8" s="1"/>
  <c r="V100" i="8" a="1"/>
  <c r="V100" i="8" s="1"/>
  <c r="AB100" i="8" a="1"/>
  <c r="AB100" i="8" s="1"/>
  <c r="X100" i="8" a="1"/>
  <c r="X100" i="8" s="1"/>
  <c r="W100" i="8" a="1"/>
  <c r="W100" i="8" s="1"/>
  <c r="AD100" i="8" a="1"/>
  <c r="AD100" i="8" s="1"/>
  <c r="Y100" i="8" a="1"/>
  <c r="Y100" i="8" s="1"/>
  <c r="Y97" i="8" s="1" a="1"/>
  <c r="Y97" i="8" s="1"/>
  <c r="AC100" i="8" a="1"/>
  <c r="AC100" i="8" s="1"/>
  <c r="AC97" i="8" s="1" a="1"/>
  <c r="AC97" i="8" s="1"/>
  <c r="AF100" i="8" a="1"/>
  <c r="AF100" i="8" s="1"/>
  <c r="H99" i="8" a="1"/>
  <c r="H99" i="8" s="1"/>
  <c r="AA100" i="8" a="1"/>
  <c r="AA100" i="8" s="1"/>
  <c r="AA97" i="8" s="1" a="1"/>
  <c r="AA97" i="8" s="1"/>
  <c r="H98" i="8" a="1"/>
  <c r="H98" i="8" s="1"/>
  <c r="J99" i="8" s="1"/>
  <c r="E100" i="8" a="1"/>
  <c r="E100" i="8" s="1"/>
  <c r="E97" i="8" s="1" a="1"/>
  <c r="E97" i="8" s="1"/>
  <c r="G98" i="8"/>
  <c r="G99" i="8" s="1" a="1"/>
  <c r="G99" i="8" s="1"/>
  <c r="X203" i="12"/>
  <c r="W203" i="12"/>
  <c r="D147" i="12"/>
  <c r="E147" i="6"/>
  <c r="D134" i="12"/>
  <c r="E134" i="6"/>
  <c r="L122" i="12" a="1"/>
  <c r="L122" i="12" s="1"/>
  <c r="J122" i="12" a="1"/>
  <c r="J122" i="12" s="1"/>
  <c r="C122" i="12"/>
  <c r="M164" i="12"/>
  <c r="E58" i="8" a="1"/>
  <c r="E58" i="8" s="1"/>
  <c r="AD58" i="8" a="1"/>
  <c r="AD58" i="8" s="1"/>
  <c r="Z58" i="8" a="1"/>
  <c r="Z58" i="8" s="1"/>
  <c r="H56" i="8" a="1"/>
  <c r="H56" i="8" s="1"/>
  <c r="J57" i="8" s="1"/>
  <c r="G56" i="8"/>
  <c r="G57" i="8" s="1" a="1"/>
  <c r="G57" i="8" s="1"/>
  <c r="U58" i="8" a="1"/>
  <c r="U58" i="8" s="1"/>
  <c r="H57" i="8" a="1"/>
  <c r="H57" i="8" s="1"/>
  <c r="V58" i="8" a="1"/>
  <c r="V58" i="8" s="1"/>
  <c r="AC58" i="8" a="1"/>
  <c r="AC58" i="8" s="1"/>
  <c r="AA58" i="8" a="1"/>
  <c r="AA58" i="8" s="1"/>
  <c r="X58" i="8" a="1"/>
  <c r="X58" i="8" s="1"/>
  <c r="AE58" i="8" a="1"/>
  <c r="AE58" i="8" s="1"/>
  <c r="W58" i="8" a="1"/>
  <c r="W58" i="8" s="1"/>
  <c r="AF58" i="8" a="1"/>
  <c r="AF58" i="8" s="1"/>
  <c r="AB58" i="8" a="1"/>
  <c r="AB58" i="8" s="1"/>
  <c r="Y58" i="8" a="1"/>
  <c r="Y58" i="8" s="1"/>
  <c r="Z52" i="8" a="1"/>
  <c r="Z52" i="8" s="1"/>
  <c r="Z49" i="8" s="1" a="1"/>
  <c r="Z49" i="8" s="1"/>
  <c r="Z47" i="8" s="1" a="1"/>
  <c r="Z47" i="8" s="1"/>
  <c r="H51" i="8" a="1"/>
  <c r="H51" i="8" s="1"/>
  <c r="W52" i="8" a="1"/>
  <c r="W52" i="8" s="1"/>
  <c r="W49" i="8" s="1" a="1"/>
  <c r="W49" i="8" s="1"/>
  <c r="W47" i="8" s="1" a="1"/>
  <c r="W47" i="8" s="1"/>
  <c r="H50" i="8" a="1"/>
  <c r="H50" i="8" s="1"/>
  <c r="J51" i="8" s="1"/>
  <c r="Y52" i="8" a="1"/>
  <c r="Y52" i="8" s="1"/>
  <c r="Y49" i="8" s="1" a="1"/>
  <c r="Y49" i="8" s="1"/>
  <c r="Y47" i="8" s="1" a="1"/>
  <c r="Y47" i="8" s="1"/>
  <c r="AD52" i="8" a="1"/>
  <c r="AD52" i="8" s="1"/>
  <c r="AD49" i="8" s="1" a="1"/>
  <c r="AD49" i="8" s="1"/>
  <c r="AD47" i="8" s="1" a="1"/>
  <c r="AD47" i="8" s="1"/>
  <c r="AE52" i="8" a="1"/>
  <c r="AE52" i="8" s="1"/>
  <c r="AE49" i="8" s="1" a="1"/>
  <c r="AE49" i="8" s="1"/>
  <c r="AE47" i="8" s="1" a="1"/>
  <c r="AE47" i="8" s="1"/>
  <c r="E52" i="8" a="1"/>
  <c r="E52" i="8" s="1"/>
  <c r="E49" i="8" s="1" a="1"/>
  <c r="E49" i="8" s="1"/>
  <c r="E47" i="8" s="1" a="1"/>
  <c r="E47" i="8" s="1"/>
  <c r="G50" i="8"/>
  <c r="G51" i="8" s="1" a="1"/>
  <c r="G51" i="8" s="1"/>
  <c r="AF52" i="8" a="1"/>
  <c r="AF52" i="8" s="1"/>
  <c r="AF49" i="8" s="1" a="1"/>
  <c r="AF49" i="8" s="1"/>
  <c r="AF47" i="8" s="1" a="1"/>
  <c r="AF47" i="8" s="1"/>
  <c r="X52" i="8" a="1"/>
  <c r="X52" i="8" s="1"/>
  <c r="X49" i="8" s="1" a="1"/>
  <c r="X49" i="8" s="1"/>
  <c r="X47" i="8" s="1" a="1"/>
  <c r="X47" i="8" s="1"/>
  <c r="U52" i="8" a="1"/>
  <c r="U52" i="8" s="1"/>
  <c r="U49" i="8" s="1" a="1"/>
  <c r="U49" i="8" s="1"/>
  <c r="U47" i="8" s="1" a="1"/>
  <c r="U47" i="8" s="1"/>
  <c r="AA52" i="8" a="1"/>
  <c r="AA52" i="8" s="1"/>
  <c r="AA49" i="8" s="1" a="1"/>
  <c r="AA49" i="8" s="1"/>
  <c r="AA47" i="8" s="1" a="1"/>
  <c r="AA47" i="8" s="1"/>
  <c r="AC52" i="8" a="1"/>
  <c r="AC52" i="8" s="1"/>
  <c r="AC49" i="8" s="1" a="1"/>
  <c r="AC49" i="8" s="1"/>
  <c r="AC47" i="8" s="1" a="1"/>
  <c r="AC47" i="8" s="1"/>
  <c r="V52" i="8" a="1"/>
  <c r="V52" i="8" s="1"/>
  <c r="V49" i="8" s="1" a="1"/>
  <c r="V49" i="8" s="1"/>
  <c r="V47" i="8" s="1" a="1"/>
  <c r="V47" i="8" s="1"/>
  <c r="AB52" i="8" a="1"/>
  <c r="AB52" i="8" s="1"/>
  <c r="AB49" i="8" s="1" a="1"/>
  <c r="AB49" i="8" s="1"/>
  <c r="AB47" i="8" s="1" a="1"/>
  <c r="AB47" i="8" s="1"/>
  <c r="D40" i="12"/>
  <c r="E40" i="6"/>
  <c r="E119" i="6"/>
  <c r="D119" i="12"/>
  <c r="E159" i="6"/>
  <c r="D159" i="12"/>
  <c r="W42" i="12"/>
  <c r="X42" i="12"/>
  <c r="Y165" i="12"/>
  <c r="AO164" i="12"/>
  <c r="Y164" i="12" s="1"/>
  <c r="Y77" i="12"/>
  <c r="Y36" i="12"/>
  <c r="U25" i="8" a="1"/>
  <c r="U25" i="8" s="1"/>
  <c r="AF25" i="8" a="1"/>
  <c r="AF25" i="8" s="1"/>
  <c r="AC25" i="8" a="1"/>
  <c r="AC25" i="8" s="1"/>
  <c r="W25" i="8" a="1"/>
  <c r="W25" i="8" s="1"/>
  <c r="V25" i="8" a="1"/>
  <c r="V25" i="8" s="1"/>
  <c r="AA25" i="8" a="1"/>
  <c r="AA25" i="8" s="1"/>
  <c r="G23" i="8"/>
  <c r="G24" i="8" s="1" a="1"/>
  <c r="G24" i="8" s="1"/>
  <c r="Z25" i="8" a="1"/>
  <c r="Z25" i="8" s="1"/>
  <c r="X25" i="8" a="1"/>
  <c r="X25" i="8" s="1"/>
  <c r="AB25" i="8" a="1"/>
  <c r="AB25" i="8" s="1"/>
  <c r="H24" i="8" a="1"/>
  <c r="H24" i="8" s="1"/>
  <c r="E25" i="8" a="1"/>
  <c r="E25" i="8" s="1"/>
  <c r="AD25" i="8" a="1"/>
  <c r="AD25" i="8" s="1"/>
  <c r="Y25" i="8" a="1"/>
  <c r="Y25" i="8" s="1"/>
  <c r="AE25" i="8" a="1"/>
  <c r="AE25" i="8" s="1"/>
  <c r="H23" i="8" a="1"/>
  <c r="H23" i="8" s="1"/>
  <c r="J24" i="8" s="1"/>
  <c r="E65" i="6"/>
  <c r="D65" i="12"/>
  <c r="X153" i="12"/>
  <c r="W153" i="12"/>
  <c r="N113" i="12"/>
  <c r="N43" i="12"/>
  <c r="E176" i="6"/>
  <c r="D176" i="12"/>
  <c r="M95" i="12"/>
  <c r="N97" i="12"/>
  <c r="N178" i="12"/>
  <c r="Y182" i="12"/>
  <c r="N216" i="12"/>
  <c r="N26" i="12"/>
  <c r="N174" i="12"/>
  <c r="O173" i="12"/>
  <c r="N48" i="12"/>
  <c r="N28" i="12"/>
  <c r="N46" i="12"/>
  <c r="N102" i="12"/>
  <c r="D138" i="12"/>
  <c r="E138" i="6"/>
  <c r="Y60" i="12"/>
  <c r="N149" i="12"/>
  <c r="X19" i="12"/>
  <c r="W19" i="12"/>
  <c r="Y112" i="12"/>
  <c r="E131" i="6"/>
  <c r="D131" i="12"/>
  <c r="N151" i="12"/>
  <c r="D154" i="12"/>
  <c r="E154" i="6"/>
  <c r="E73" i="6"/>
  <c r="D73" i="12"/>
  <c r="O110" i="12"/>
  <c r="N111" i="12"/>
  <c r="O38" i="12"/>
  <c r="N39" i="12"/>
  <c r="D172" i="12"/>
  <c r="E172" i="6"/>
  <c r="Y101" i="12"/>
  <c r="E53" i="6"/>
  <c r="D53" i="12"/>
  <c r="X126" i="12"/>
  <c r="W126" i="12"/>
  <c r="E152" i="6"/>
  <c r="D152" i="12"/>
  <c r="D19" i="12"/>
  <c r="E19" i="6"/>
  <c r="D214" i="12"/>
  <c r="E214" i="6"/>
  <c r="J23" i="12" a="1"/>
  <c r="J23" i="12" s="1"/>
  <c r="L23" i="12" a="1"/>
  <c r="L23" i="12" s="1"/>
  <c r="C23" i="12"/>
  <c r="D162" i="12"/>
  <c r="E162" i="6"/>
  <c r="M129" i="12"/>
  <c r="E87" i="6"/>
  <c r="D87" i="12"/>
  <c r="W72" i="12"/>
  <c r="X72" i="12"/>
  <c r="M227" i="12"/>
  <c r="Y213" i="12"/>
  <c r="L173" i="12" a="1"/>
  <c r="L173" i="12" s="1"/>
  <c r="J173" i="12" a="1"/>
  <c r="J173" i="12" s="1"/>
  <c r="C173" i="12"/>
  <c r="D201" i="12"/>
  <c r="E201" i="6"/>
  <c r="W174" i="12"/>
  <c r="X174" i="12"/>
  <c r="L190" i="12" a="1"/>
  <c r="L190" i="12" s="1"/>
  <c r="C190" i="12"/>
  <c r="J190" i="12" a="1"/>
  <c r="J190" i="12" s="1"/>
  <c r="N167" i="12"/>
  <c r="D135" i="12"/>
  <c r="E135" i="6"/>
  <c r="D181" i="12"/>
  <c r="E181" i="6"/>
  <c r="W197" i="12"/>
  <c r="X197" i="12"/>
  <c r="X61" i="12"/>
  <c r="W61" i="12"/>
  <c r="D89" i="12"/>
  <c r="E89" i="6"/>
  <c r="D215" i="12"/>
  <c r="E215" i="6"/>
  <c r="W30" i="12"/>
  <c r="X30" i="12"/>
  <c r="Y151" i="12"/>
  <c r="N168" i="12"/>
  <c r="C164" i="12"/>
  <c r="J164" i="12" a="1"/>
  <c r="J164" i="12" s="1"/>
  <c r="L164" i="12" a="1"/>
  <c r="L164" i="12" s="1"/>
  <c r="D75" i="12"/>
  <c r="E75" i="6"/>
  <c r="M99" i="12"/>
  <c r="J95" i="12" a="1"/>
  <c r="J95" i="12" s="1"/>
  <c r="L95" i="12" a="1"/>
  <c r="L95" i="12" s="1"/>
  <c r="C95" i="12"/>
  <c r="N120" i="12"/>
  <c r="X37" i="12"/>
  <c r="O223" i="5"/>
  <c r="C223" i="6"/>
  <c r="N184" i="12"/>
  <c r="J70" i="12" a="1"/>
  <c r="J70" i="12" s="1"/>
  <c r="C70" i="12"/>
  <c r="L70" i="12" a="1"/>
  <c r="L70" i="12" s="1"/>
  <c r="X138" i="12"/>
  <c r="W138" i="12"/>
  <c r="N130" i="12"/>
  <c r="O129" i="12"/>
  <c r="N129" i="12" s="1"/>
  <c r="X113" i="12"/>
  <c r="W113" i="12"/>
  <c r="N72" i="12"/>
  <c r="W79" i="12"/>
  <c r="X79" i="12"/>
  <c r="E155" i="6"/>
  <c r="D155" i="12"/>
  <c r="E55" i="6"/>
  <c r="D55" i="12"/>
  <c r="W97" i="12"/>
  <c r="AO227" i="12"/>
  <c r="Y228" i="12"/>
  <c r="W29" i="12"/>
  <c r="X29" i="12"/>
  <c r="X26" i="12"/>
  <c r="W26" i="12"/>
  <c r="M173" i="12"/>
  <c r="D79" i="12"/>
  <c r="E79" i="6"/>
  <c r="X186" i="12"/>
  <c r="O190" i="5"/>
  <c r="C190" i="6"/>
  <c r="D82" i="12"/>
  <c r="E82" i="6"/>
  <c r="Y199" i="12"/>
  <c r="M218" i="12"/>
  <c r="E114" i="6"/>
  <c r="D114" i="12"/>
  <c r="D31" i="12"/>
  <c r="E31" i="6"/>
  <c r="D44" i="12"/>
  <c r="E44" i="6"/>
  <c r="N19" i="12"/>
  <c r="E60" i="6"/>
  <c r="D60" i="12"/>
  <c r="AB88" i="8" a="1"/>
  <c r="AB88" i="8" s="1"/>
  <c r="AB86" i="8" s="1" a="1"/>
  <c r="AB86" i="8" s="1"/>
  <c r="AA88" i="8" a="1"/>
  <c r="AA88" i="8" s="1"/>
  <c r="AA86" i="8" s="1" a="1"/>
  <c r="AA86" i="8" s="1"/>
  <c r="AF88" i="8" a="1"/>
  <c r="AF88" i="8" s="1"/>
  <c r="AF86" i="8" s="1" a="1"/>
  <c r="AF86" i="8" s="1"/>
  <c r="W88" i="8" a="1"/>
  <c r="W88" i="8" s="1"/>
  <c r="W86" i="8" s="1" a="1"/>
  <c r="W86" i="8" s="1"/>
  <c r="AC88" i="8" a="1"/>
  <c r="AC88" i="8" s="1"/>
  <c r="AC86" i="8" s="1" a="1"/>
  <c r="AC86" i="8" s="1"/>
  <c r="Y88" i="8" a="1"/>
  <c r="Y88" i="8" s="1"/>
  <c r="Y86" i="8" s="1" a="1"/>
  <c r="Y86" i="8" s="1"/>
  <c r="V88" i="8" a="1"/>
  <c r="V88" i="8" s="1"/>
  <c r="V86" i="8" s="1" a="1"/>
  <c r="V86" i="8" s="1"/>
  <c r="X88" i="8" a="1"/>
  <c r="X88" i="8" s="1"/>
  <c r="X86" i="8" s="1" a="1"/>
  <c r="X86" i="8" s="1"/>
  <c r="E88" i="8" a="1"/>
  <c r="E88" i="8" s="1"/>
  <c r="E86" i="8" s="1" a="1"/>
  <c r="E86" i="8" s="1"/>
  <c r="Z88" i="8" a="1"/>
  <c r="Z88" i="8" s="1"/>
  <c r="Z86" i="8" s="1" a="1"/>
  <c r="Z86" i="8" s="1"/>
  <c r="AE88" i="8" a="1"/>
  <c r="AE88" i="8" s="1"/>
  <c r="AE86" i="8" s="1" a="1"/>
  <c r="AE86" i="8" s="1"/>
  <c r="AD88" i="8" a="1"/>
  <c r="AD88" i="8" s="1"/>
  <c r="AD86" i="8" s="1" a="1"/>
  <c r="AD86" i="8" s="1"/>
  <c r="H87" i="8" a="1"/>
  <c r="H87" i="8" s="1"/>
  <c r="U88" i="8" a="1"/>
  <c r="U88" i="8" s="1"/>
  <c r="U86" i="8" s="1" a="1"/>
  <c r="U86" i="8" s="1"/>
  <c r="G86" i="8"/>
  <c r="G87" i="8" s="1" a="1"/>
  <c r="G87" i="8" s="1"/>
  <c r="H86" i="8" a="1"/>
  <c r="H86" i="8" s="1"/>
  <c r="J87" i="8" s="1"/>
  <c r="X78" i="12"/>
  <c r="W78" i="12"/>
  <c r="W104" i="12"/>
  <c r="X104" i="12"/>
  <c r="W56" i="12"/>
  <c r="X56" i="12"/>
  <c r="O99" i="12"/>
  <c r="N99" i="12" s="1"/>
  <c r="N100" i="12"/>
  <c r="E150" i="6"/>
  <c r="D150" i="12"/>
  <c r="X150" i="12"/>
  <c r="W150" i="12"/>
  <c r="D174" i="12"/>
  <c r="E174" i="6"/>
  <c r="D213" i="12"/>
  <c r="E213" i="6"/>
  <c r="E106" i="6"/>
  <c r="D106" i="12"/>
  <c r="C95" i="6"/>
  <c r="O95" i="5"/>
  <c r="E182" i="6"/>
  <c r="D182" i="12"/>
  <c r="C110" i="6"/>
  <c r="O110" i="5"/>
  <c r="N57" i="12"/>
  <c r="O23" i="12"/>
  <c r="N24" i="12"/>
  <c r="AO195" i="12"/>
  <c r="Y196" i="12"/>
  <c r="E202" i="6"/>
  <c r="D202" i="12"/>
  <c r="X161" i="12"/>
  <c r="D107" i="12"/>
  <c r="E107" i="6"/>
  <c r="D142" i="12"/>
  <c r="E142" i="6"/>
  <c r="Z82" i="8" a="1"/>
  <c r="Z82" i="8" s="1"/>
  <c r="Z80" i="8" s="1" a="1"/>
  <c r="Z80" i="8" s="1"/>
  <c r="AC82" i="8" a="1"/>
  <c r="AC82" i="8" s="1"/>
  <c r="AC80" i="8" s="1" a="1"/>
  <c r="AC80" i="8" s="1"/>
  <c r="Y82" i="8" a="1"/>
  <c r="Y82" i="8" s="1"/>
  <c r="Y80" i="8" s="1" a="1"/>
  <c r="Y80" i="8" s="1"/>
  <c r="H81" i="8" a="1"/>
  <c r="H81" i="8" s="1"/>
  <c r="X82" i="8" a="1"/>
  <c r="X82" i="8" s="1"/>
  <c r="X80" i="8" s="1" a="1"/>
  <c r="X80" i="8" s="1"/>
  <c r="E82" i="8" a="1"/>
  <c r="E82" i="8" s="1"/>
  <c r="E80" i="8" s="1" a="1"/>
  <c r="E80" i="8" s="1"/>
  <c r="AD82" i="8" a="1"/>
  <c r="AD82" i="8" s="1"/>
  <c r="AD80" i="8" s="1" a="1"/>
  <c r="AD80" i="8" s="1"/>
  <c r="G80" i="8"/>
  <c r="G81" i="8" s="1" a="1"/>
  <c r="G81" i="8" s="1"/>
  <c r="AB82" i="8" a="1"/>
  <c r="AB82" i="8" s="1"/>
  <c r="AB80" i="8" s="1" a="1"/>
  <c r="AB80" i="8" s="1"/>
  <c r="U82" i="8" a="1"/>
  <c r="U82" i="8" s="1"/>
  <c r="U80" i="8" s="1" a="1"/>
  <c r="U80" i="8" s="1"/>
  <c r="V82" i="8" a="1"/>
  <c r="V82" i="8" s="1"/>
  <c r="V80" i="8" s="1" a="1"/>
  <c r="V80" i="8" s="1"/>
  <c r="AE82" i="8" a="1"/>
  <c r="AE82" i="8" s="1"/>
  <c r="AE80" i="8" s="1" a="1"/>
  <c r="AE80" i="8" s="1"/>
  <c r="W82" i="8" a="1"/>
  <c r="W82" i="8" s="1"/>
  <c r="W80" i="8" s="1" a="1"/>
  <c r="W80" i="8" s="1"/>
  <c r="AA82" i="8" a="1"/>
  <c r="AA82" i="8" s="1"/>
  <c r="AA80" i="8" s="1" a="1"/>
  <c r="AA80" i="8" s="1"/>
  <c r="AF82" i="8" a="1"/>
  <c r="AF82" i="8" s="1"/>
  <c r="AF80" i="8" s="1" a="1"/>
  <c r="AF80" i="8" s="1"/>
  <c r="H80" i="8" a="1"/>
  <c r="H80" i="8" s="1"/>
  <c r="J81" i="8" s="1"/>
  <c r="M190" i="12"/>
  <c r="E21" i="6"/>
  <c r="D21" i="12"/>
  <c r="AO218" i="12"/>
  <c r="Y219" i="12"/>
  <c r="D66" i="12"/>
  <c r="E66" i="6"/>
  <c r="N30" i="12"/>
  <c r="E148" i="6"/>
  <c r="D148" i="12"/>
  <c r="D194" i="12"/>
  <c r="E194" i="6"/>
  <c r="Y168" i="12"/>
  <c r="E25" i="6"/>
  <c r="D25" i="12"/>
  <c r="M38" i="12"/>
  <c r="N157" i="12"/>
  <c r="E36" i="6"/>
  <c r="D36" i="12"/>
  <c r="X49" i="12"/>
  <c r="W49" i="12"/>
  <c r="E54" i="6"/>
  <c r="D54" i="12"/>
  <c r="O64" i="5"/>
  <c r="C64" i="6"/>
  <c r="D81" i="12"/>
  <c r="E81" i="6"/>
  <c r="D47" i="12"/>
  <c r="E47" i="6"/>
  <c r="N126" i="12"/>
  <c r="D198" i="12"/>
  <c r="E198" i="6"/>
  <c r="M200" i="12"/>
  <c r="Y108" i="12"/>
  <c r="N209" i="12"/>
  <c r="E175" i="6"/>
  <c r="D175" i="12"/>
  <c r="C223" i="12"/>
  <c r="L223" i="12" a="1"/>
  <c r="L223" i="12" s="1"/>
  <c r="J223" i="12" a="1"/>
  <c r="J223" i="12" s="1"/>
  <c r="N40" i="12"/>
  <c r="Y187" i="12"/>
  <c r="O223" i="12"/>
  <c r="N223" i="12" s="1"/>
  <c r="N224" i="12"/>
  <c r="AE76" i="8" a="1"/>
  <c r="AE76" i="8" s="1"/>
  <c r="AE74" i="8" s="1" a="1"/>
  <c r="AE74" i="8" s="1"/>
  <c r="Z76" i="8" a="1"/>
  <c r="Z76" i="8" s="1"/>
  <c r="Z74" i="8" s="1" a="1"/>
  <c r="Z74" i="8" s="1"/>
  <c r="AB76" i="8" a="1"/>
  <c r="AB76" i="8" s="1"/>
  <c r="AB74" i="8" s="1" a="1"/>
  <c r="AB74" i="8" s="1"/>
  <c r="W76" i="8" a="1"/>
  <c r="W76" i="8" s="1"/>
  <c r="W74" i="8" s="1" a="1"/>
  <c r="W74" i="8" s="1"/>
  <c r="V76" i="8" a="1"/>
  <c r="V76" i="8" s="1"/>
  <c r="V74" i="8" s="1" a="1"/>
  <c r="V74" i="8" s="1"/>
  <c r="Y76" i="8" a="1"/>
  <c r="Y76" i="8" s="1"/>
  <c r="Y74" i="8" s="1" a="1"/>
  <c r="Y74" i="8" s="1"/>
  <c r="H75" i="8" a="1"/>
  <c r="H75" i="8" s="1"/>
  <c r="AA76" i="8" a="1"/>
  <c r="AA76" i="8" s="1"/>
  <c r="AA74" i="8" s="1" a="1"/>
  <c r="AA74" i="8" s="1"/>
  <c r="AC76" i="8" a="1"/>
  <c r="AC76" i="8" s="1"/>
  <c r="AC74" i="8" s="1" a="1"/>
  <c r="AC74" i="8" s="1"/>
  <c r="G74" i="8"/>
  <c r="G75" i="8" s="1" a="1"/>
  <c r="G75" i="8" s="1"/>
  <c r="AF76" i="8" a="1"/>
  <c r="AF76" i="8" s="1"/>
  <c r="AF74" i="8" s="1" a="1"/>
  <c r="AF74" i="8" s="1"/>
  <c r="AD76" i="8" a="1"/>
  <c r="AD76" i="8" s="1"/>
  <c r="AD74" i="8" s="1" a="1"/>
  <c r="AD74" i="8" s="1"/>
  <c r="U76" i="8" a="1"/>
  <c r="U76" i="8" s="1"/>
  <c r="U74" i="8" s="1" a="1"/>
  <c r="U74" i="8" s="1"/>
  <c r="X76" i="8" a="1"/>
  <c r="X76" i="8" s="1"/>
  <c r="X74" i="8" s="1" a="1"/>
  <c r="X74" i="8" s="1"/>
  <c r="E76" i="8" a="1"/>
  <c r="E76" i="8" s="1"/>
  <c r="E74" i="8" s="1" a="1"/>
  <c r="E74" i="8" s="1"/>
  <c r="H74" i="8" a="1"/>
  <c r="H74" i="8" s="1"/>
  <c r="J75" i="8" s="1"/>
  <c r="Y45" i="12"/>
  <c r="E220" i="6"/>
  <c r="D220" i="12"/>
  <c r="Y181" i="12"/>
  <c r="O173" i="5"/>
  <c r="C173" i="6"/>
  <c r="Y176" i="12"/>
  <c r="D67" i="12"/>
  <c r="E67" i="6"/>
  <c r="Y124" i="12"/>
  <c r="H84" i="8" a="1"/>
  <c r="H84" i="8" s="1"/>
  <c r="AD85" i="8" a="1"/>
  <c r="AD85" i="8" s="1"/>
  <c r="AD83" i="8" s="1" a="1"/>
  <c r="AD83" i="8" s="1"/>
  <c r="AF85" i="8" a="1"/>
  <c r="AF85" i="8" s="1"/>
  <c r="AF83" i="8" s="1" a="1"/>
  <c r="AF83" i="8" s="1"/>
  <c r="AB85" i="8" a="1"/>
  <c r="AB85" i="8" s="1"/>
  <c r="AB83" i="8" s="1" a="1"/>
  <c r="AB83" i="8" s="1"/>
  <c r="AC85" i="8" a="1"/>
  <c r="AC85" i="8" s="1"/>
  <c r="AC83" i="8" s="1" a="1"/>
  <c r="AC83" i="8" s="1"/>
  <c r="E85" i="8" a="1"/>
  <c r="E85" i="8" s="1"/>
  <c r="E83" i="8" s="1" a="1"/>
  <c r="E83" i="8" s="1"/>
  <c r="V85" i="8" a="1"/>
  <c r="V85" i="8" s="1"/>
  <c r="V83" i="8" s="1" a="1"/>
  <c r="V83" i="8" s="1"/>
  <c r="AA85" i="8" a="1"/>
  <c r="AA85" i="8" s="1"/>
  <c r="AA83" i="8" s="1" a="1"/>
  <c r="AA83" i="8" s="1"/>
  <c r="X85" i="8" a="1"/>
  <c r="X85" i="8" s="1"/>
  <c r="X83" i="8" s="1" a="1"/>
  <c r="X83" i="8" s="1"/>
  <c r="U85" i="8" a="1"/>
  <c r="U85" i="8" s="1"/>
  <c r="U83" i="8" s="1" a="1"/>
  <c r="U83" i="8" s="1"/>
  <c r="Z85" i="8" a="1"/>
  <c r="Z85" i="8" s="1"/>
  <c r="Z83" i="8" s="1" a="1"/>
  <c r="Z83" i="8" s="1"/>
  <c r="W85" i="8" a="1"/>
  <c r="W85" i="8" s="1"/>
  <c r="W83" i="8" s="1" a="1"/>
  <c r="W83" i="8" s="1"/>
  <c r="G83" i="8"/>
  <c r="G84" i="8" s="1" a="1"/>
  <c r="G84" i="8" s="1"/>
  <c r="AE85" i="8" a="1"/>
  <c r="AE85" i="8" s="1"/>
  <c r="AE83" i="8" s="1" a="1"/>
  <c r="AE83" i="8" s="1"/>
  <c r="Y85" i="8" a="1"/>
  <c r="Y85" i="8" s="1"/>
  <c r="Y83" i="8" s="1" a="1"/>
  <c r="Y83" i="8" s="1"/>
  <c r="H83" i="8" a="1"/>
  <c r="H83" i="8" s="1"/>
  <c r="J84" i="8" s="1"/>
  <c r="Y229" i="12"/>
  <c r="Y167" i="12"/>
  <c r="N191" i="12"/>
  <c r="O190" i="12"/>
  <c r="N190" i="12" s="1"/>
  <c r="N219" i="12"/>
  <c r="O218" i="12"/>
  <c r="W44" i="12"/>
  <c r="X44" i="12"/>
  <c r="D203" i="12"/>
  <c r="E203" i="6"/>
  <c r="D179" i="12"/>
  <c r="E179" i="6"/>
  <c r="D50" i="12"/>
  <c r="E50" i="6"/>
  <c r="E197" i="6"/>
  <c r="D197" i="12"/>
  <c r="D32" i="12"/>
  <c r="E32" i="6"/>
  <c r="D65" i="8"/>
  <c r="W131" i="12"/>
  <c r="X131" i="12"/>
  <c r="D207" i="12"/>
  <c r="E207" i="6"/>
  <c r="D132" i="12"/>
  <c r="E132" i="6"/>
  <c r="E118" i="6"/>
  <c r="D118" i="12"/>
  <c r="C164" i="6"/>
  <c r="O164" i="5"/>
  <c r="E19" i="8" a="1"/>
  <c r="E19" i="8" s="1"/>
  <c r="H18" i="8" a="1"/>
  <c r="H18" i="8" s="1"/>
  <c r="AD19" i="8" a="1"/>
  <c r="AD19" i="8" s="1"/>
  <c r="Y19" i="8" a="1"/>
  <c r="Y19" i="8" s="1"/>
  <c r="X19" i="8" a="1"/>
  <c r="X19" i="8" s="1"/>
  <c r="AA19" i="8" a="1"/>
  <c r="AA19" i="8" s="1"/>
  <c r="H17" i="8" a="1"/>
  <c r="H17" i="8" s="1"/>
  <c r="J18" i="8" s="1"/>
  <c r="V19" i="8" a="1"/>
  <c r="V19" i="8" s="1"/>
  <c r="W19" i="8" a="1"/>
  <c r="W19" i="8" s="1"/>
  <c r="G17" i="8"/>
  <c r="G18" i="8" s="1" a="1"/>
  <c r="G18" i="8" s="1"/>
  <c r="Z19" i="8" a="1"/>
  <c r="Z19" i="8" s="1"/>
  <c r="AC19" i="8" a="1"/>
  <c r="AC19" i="8" s="1"/>
  <c r="U19" i="8" a="1"/>
  <c r="U19" i="8" s="1"/>
  <c r="AE19" i="8" a="1"/>
  <c r="AE19" i="8" s="1"/>
  <c r="AF19" i="8" a="1"/>
  <c r="AF19" i="8" s="1"/>
  <c r="AB19" i="8" a="1"/>
  <c r="AB19" i="8" s="1"/>
  <c r="W52" i="12"/>
  <c r="X52" i="12"/>
  <c r="D111" i="12"/>
  <c r="E111" i="6"/>
  <c r="M133" i="12"/>
  <c r="X192" i="12"/>
  <c r="W192" i="12"/>
  <c r="L74" i="12" a="1"/>
  <c r="L74" i="12" s="1"/>
  <c r="J74" i="12" a="1"/>
  <c r="J74" i="12" s="1"/>
  <c r="C74" i="12"/>
  <c r="D137" i="12"/>
  <c r="E137" i="6"/>
  <c r="E169" i="6"/>
  <c r="D169" i="12"/>
  <c r="W162" i="12"/>
  <c r="X162" i="12"/>
  <c r="E168" i="6"/>
  <c r="D168" i="12"/>
  <c r="E103" i="6"/>
  <c r="D103" i="12"/>
  <c r="E45" i="6"/>
  <c r="D45" i="12"/>
  <c r="D141" i="12"/>
  <c r="E141" i="6"/>
  <c r="D80" i="8"/>
  <c r="N169" i="12"/>
  <c r="X209" i="12"/>
  <c r="X53" i="12"/>
  <c r="W53" i="12"/>
  <c r="Y212" i="12"/>
  <c r="E163" i="6"/>
  <c r="D163" i="12"/>
  <c r="C17" i="6"/>
  <c r="O17" i="5"/>
  <c r="J146" i="12" a="1"/>
  <c r="J146" i="12" s="1"/>
  <c r="C146" i="12"/>
  <c r="L146" i="12" a="1"/>
  <c r="L146" i="12" s="1"/>
  <c r="N155" i="12"/>
  <c r="D88" i="12"/>
  <c r="E88" i="6"/>
  <c r="O200" i="5"/>
  <c r="C200" i="6"/>
  <c r="E61" i="6"/>
  <c r="D61" i="12"/>
  <c r="N79" i="12"/>
  <c r="N125" i="12"/>
  <c r="Y47" i="12"/>
  <c r="Y188" i="12"/>
  <c r="E171" i="6"/>
  <c r="D171" i="12"/>
  <c r="N29" i="12"/>
  <c r="N181" i="12"/>
  <c r="O92" i="12"/>
  <c r="N93" i="12"/>
  <c r="N158" i="12"/>
  <c r="E144" i="6"/>
  <c r="D144" i="12"/>
  <c r="E158" i="6"/>
  <c r="D158" i="12"/>
  <c r="Y142" i="12"/>
  <c r="AO190" i="12"/>
  <c r="Y191" i="12"/>
  <c r="Y201" i="12"/>
  <c r="AO200" i="12"/>
  <c r="D86" i="8"/>
  <c r="E83" i="6"/>
  <c r="D83" i="12"/>
  <c r="Y156" i="12"/>
  <c r="E192" i="6"/>
  <c r="D192" i="12"/>
  <c r="Y65" i="12"/>
  <c r="AO64" i="12"/>
  <c r="Y64" i="12" s="1"/>
  <c r="Y175" i="12"/>
  <c r="V79" i="8" a="1"/>
  <c r="V79" i="8" s="1"/>
  <c r="Y79" i="8" a="1"/>
  <c r="Y79" i="8" s="1"/>
  <c r="W79" i="8" a="1"/>
  <c r="W79" i="8" s="1"/>
  <c r="AC79" i="8" a="1"/>
  <c r="AC79" i="8" s="1"/>
  <c r="AC77" i="8" s="1" a="1"/>
  <c r="AC77" i="8" s="1"/>
  <c r="U79" i="8" a="1"/>
  <c r="U79" i="8" s="1"/>
  <c r="U77" i="8" s="1" a="1"/>
  <c r="U77" i="8" s="1"/>
  <c r="AF79" i="8" a="1"/>
  <c r="AF79" i="8" s="1"/>
  <c r="AF77" i="8" s="1" a="1"/>
  <c r="AF77" i="8" s="1"/>
  <c r="G77" i="8"/>
  <c r="G78" i="8" s="1" a="1"/>
  <c r="G78" i="8" s="1"/>
  <c r="E79" i="8" a="1"/>
  <c r="E79" i="8" s="1"/>
  <c r="E77" i="8" s="1" a="1"/>
  <c r="E77" i="8" s="1"/>
  <c r="AE79" i="8" a="1"/>
  <c r="AE79" i="8" s="1"/>
  <c r="AE77" i="8" s="1" a="1"/>
  <c r="AE77" i="8" s="1"/>
  <c r="AD79" i="8" a="1"/>
  <c r="AD79" i="8" s="1"/>
  <c r="AD77" i="8" s="1" a="1"/>
  <c r="AD77" i="8" s="1"/>
  <c r="X79" i="8" a="1"/>
  <c r="X79" i="8" s="1"/>
  <c r="X77" i="8" s="1" a="1"/>
  <c r="X77" i="8" s="1"/>
  <c r="AA79" i="8" a="1"/>
  <c r="AA79" i="8" s="1"/>
  <c r="H78" i="8" a="1"/>
  <c r="H78" i="8" s="1"/>
  <c r="AB79" i="8" a="1"/>
  <c r="AB79" i="8" s="1"/>
  <c r="AB77" i="8" s="1" a="1"/>
  <c r="AB77" i="8" s="1"/>
  <c r="Z79" i="8" a="1"/>
  <c r="Z79" i="8" s="1"/>
  <c r="X154" i="12"/>
  <c r="W154" i="12"/>
  <c r="E18" i="6"/>
  <c r="D18" i="12"/>
  <c r="L92" i="12" a="1"/>
  <c r="L92" i="12" s="1"/>
  <c r="C92" i="12"/>
  <c r="J92" i="12" a="1"/>
  <c r="J92" i="12" s="1"/>
  <c r="Y18" i="12"/>
  <c r="AO17" i="12"/>
  <c r="Y17" i="12" s="1"/>
  <c r="E127" i="6"/>
  <c r="D127" i="12"/>
  <c r="N73" i="12"/>
  <c r="O133" i="5"/>
  <c r="C133" i="6"/>
  <c r="E123" i="6"/>
  <c r="D123" i="12"/>
  <c r="D34" i="12"/>
  <c r="E34" i="6"/>
  <c r="D219" i="12"/>
  <c r="E219" i="6"/>
  <c r="AO129" i="12"/>
  <c r="Y130" i="12"/>
  <c r="D120" i="12"/>
  <c r="E120" i="6"/>
  <c r="L99" i="12" a="1"/>
  <c r="L99" i="12" s="1"/>
  <c r="C99" i="12"/>
  <c r="J99" i="12" a="1"/>
  <c r="J99" i="12" s="1"/>
  <c r="M122" i="12"/>
  <c r="D38" i="8"/>
  <c r="M146" i="12"/>
  <c r="AO223" i="12"/>
  <c r="Y224" i="12"/>
  <c r="Y180" i="12"/>
  <c r="C17" i="12"/>
  <c r="J17" i="12" a="1"/>
  <c r="J17" i="12" s="1"/>
  <c r="L17" i="12" a="1"/>
  <c r="L17" i="12" s="1"/>
  <c r="X155" i="12"/>
  <c r="W155" i="12"/>
  <c r="G89" i="8"/>
  <c r="G90" i="8" s="1" a="1"/>
  <c r="G90" i="8" s="1"/>
  <c r="X91" i="8" a="1"/>
  <c r="X91" i="8" s="1"/>
  <c r="X89" i="8" s="1" a="1"/>
  <c r="X89" i="8" s="1"/>
  <c r="Y91" i="8" a="1"/>
  <c r="Y91" i="8" s="1"/>
  <c r="Y89" i="8" s="1" a="1"/>
  <c r="Y89" i="8" s="1"/>
  <c r="H90" i="8" a="1"/>
  <c r="H90" i="8" s="1"/>
  <c r="V91" i="8" a="1"/>
  <c r="V91" i="8" s="1"/>
  <c r="V89" i="8" s="1" a="1"/>
  <c r="V89" i="8" s="1"/>
  <c r="Z91" i="8" a="1"/>
  <c r="Z91" i="8" s="1"/>
  <c r="Z89" i="8" s="1" a="1"/>
  <c r="Z89" i="8" s="1"/>
  <c r="AA91" i="8" a="1"/>
  <c r="AA91" i="8" s="1"/>
  <c r="AA89" i="8" s="1" a="1"/>
  <c r="AA89" i="8" s="1"/>
  <c r="AC91" i="8" a="1"/>
  <c r="AC91" i="8" s="1"/>
  <c r="AC89" i="8" s="1" a="1"/>
  <c r="AC89" i="8" s="1"/>
  <c r="AD91" i="8" a="1"/>
  <c r="AD91" i="8" s="1"/>
  <c r="AD89" i="8" s="1" a="1"/>
  <c r="AD89" i="8" s="1"/>
  <c r="U91" i="8" a="1"/>
  <c r="U91" i="8" s="1"/>
  <c r="U89" i="8" s="1" a="1"/>
  <c r="U89" i="8" s="1"/>
  <c r="AB91" i="8" a="1"/>
  <c r="AB91" i="8" s="1"/>
  <c r="AB89" i="8" s="1" a="1"/>
  <c r="AB89" i="8" s="1"/>
  <c r="E91" i="8" a="1"/>
  <c r="E91" i="8" s="1"/>
  <c r="E89" i="8" s="1" a="1"/>
  <c r="E89" i="8" s="1"/>
  <c r="AE91" i="8" a="1"/>
  <c r="AE91" i="8" s="1"/>
  <c r="AE89" i="8" s="1" a="1"/>
  <c r="AE89" i="8" s="1"/>
  <c r="W91" i="8" a="1"/>
  <c r="W91" i="8" s="1"/>
  <c r="W89" i="8" s="1" a="1"/>
  <c r="W89" i="8" s="1"/>
  <c r="AF91" i="8" a="1"/>
  <c r="AF91" i="8" s="1"/>
  <c r="AF89" i="8" s="1" a="1"/>
  <c r="AF89" i="8" s="1"/>
  <c r="H89" i="8" a="1"/>
  <c r="H89" i="8" s="1"/>
  <c r="J90" i="8" s="1"/>
  <c r="E185" i="6"/>
  <c r="D185" i="12"/>
  <c r="Z70" i="8" a="1"/>
  <c r="Z70" i="8" s="1"/>
  <c r="Y70" i="8" a="1"/>
  <c r="Y70" i="8" s="1"/>
  <c r="AA70" i="8" a="1"/>
  <c r="AA70" i="8" s="1"/>
  <c r="E70" i="8" a="1"/>
  <c r="E70" i="8" s="1"/>
  <c r="AB70" i="8" a="1"/>
  <c r="AB70" i="8" s="1"/>
  <c r="G68" i="8"/>
  <c r="G69" i="8" s="1" a="1"/>
  <c r="G69" i="8" s="1"/>
  <c r="V70" i="8" a="1"/>
  <c r="V70" i="8" s="1"/>
  <c r="V68" i="8" s="1" a="1"/>
  <c r="V68" i="8" s="1"/>
  <c r="AD70" i="8" a="1"/>
  <c r="AD70" i="8" s="1"/>
  <c r="AD68" i="8" s="1" a="1"/>
  <c r="AD68" i="8" s="1"/>
  <c r="AF70" i="8" a="1"/>
  <c r="AF70" i="8" s="1"/>
  <c r="W70" i="8" a="1"/>
  <c r="W70" i="8" s="1"/>
  <c r="X70" i="8" a="1"/>
  <c r="X70" i="8" s="1"/>
  <c r="X68" i="8" s="1" a="1"/>
  <c r="X68" i="8" s="1"/>
  <c r="U70" i="8" a="1"/>
  <c r="U70" i="8" s="1"/>
  <c r="H69" i="8" a="1"/>
  <c r="H69" i="8" s="1"/>
  <c r="AE70" i="8" a="1"/>
  <c r="AE70" i="8" s="1"/>
  <c r="AE68" i="8" s="1" a="1"/>
  <c r="AE68" i="8" s="1"/>
  <c r="AC70" i="8" a="1"/>
  <c r="AC70" i="8" s="1"/>
  <c r="H68" i="8" a="1"/>
  <c r="H68" i="8" s="1"/>
  <c r="J69" i="8" s="1"/>
  <c r="N171" i="12"/>
  <c r="M92" i="12"/>
  <c r="O195" i="5"/>
  <c r="C195" i="6"/>
  <c r="E196" i="6"/>
  <c r="D196" i="12"/>
  <c r="W139" i="12"/>
  <c r="X139" i="12"/>
  <c r="O200" i="12"/>
  <c r="N201" i="12"/>
  <c r="E115" i="6"/>
  <c r="D115" i="12"/>
  <c r="W54" i="12"/>
  <c r="X54" i="12"/>
  <c r="N44" i="12"/>
  <c r="D112" i="12"/>
  <c r="E112" i="6"/>
  <c r="E188" i="6"/>
  <c r="D188" i="12"/>
  <c r="N115" i="12"/>
  <c r="N131" i="12"/>
  <c r="D59" i="12"/>
  <c r="E59" i="6"/>
  <c r="D30" i="12"/>
  <c r="E30" i="6"/>
  <c r="AO146" i="12"/>
  <c r="Y147" i="12"/>
  <c r="W119" i="12"/>
  <c r="X119" i="12"/>
  <c r="D166" i="12"/>
  <c r="E166" i="6"/>
  <c r="X87" i="12"/>
  <c r="W87" i="12"/>
  <c r="V34" i="8" a="1"/>
  <c r="V34" i="8" s="1"/>
  <c r="V32" i="8" s="1" a="1"/>
  <c r="V32" i="8" s="1"/>
  <c r="AF34" i="8" a="1"/>
  <c r="AF34" i="8" s="1"/>
  <c r="AF32" i="8" s="1" a="1"/>
  <c r="AF32" i="8" s="1"/>
  <c r="AA34" i="8" a="1"/>
  <c r="AA34" i="8" s="1"/>
  <c r="AA32" i="8" s="1" a="1"/>
  <c r="AA32" i="8" s="1"/>
  <c r="G32" i="8"/>
  <c r="G33" i="8" s="1" a="1"/>
  <c r="G33" i="8" s="1"/>
  <c r="E34" i="8" a="1"/>
  <c r="E34" i="8" s="1"/>
  <c r="E32" i="8" s="1" a="1"/>
  <c r="E32" i="8" s="1"/>
  <c r="W34" i="8" a="1"/>
  <c r="W34" i="8" s="1"/>
  <c r="W32" i="8" s="1" a="1"/>
  <c r="W32" i="8" s="1"/>
  <c r="AD34" i="8" a="1"/>
  <c r="AD34" i="8" s="1"/>
  <c r="AD32" i="8" s="1" a="1"/>
  <c r="AD32" i="8" s="1"/>
  <c r="AC34" i="8" a="1"/>
  <c r="AC34" i="8" s="1"/>
  <c r="AC32" i="8" s="1" a="1"/>
  <c r="AC32" i="8" s="1"/>
  <c r="Y34" i="8" a="1"/>
  <c r="Y34" i="8" s="1"/>
  <c r="Y32" i="8" s="1" a="1"/>
  <c r="Y32" i="8" s="1"/>
  <c r="X34" i="8" a="1"/>
  <c r="X34" i="8" s="1"/>
  <c r="X32" i="8" s="1" a="1"/>
  <c r="X32" i="8" s="1"/>
  <c r="AB34" i="8" a="1"/>
  <c r="AB34" i="8" s="1"/>
  <c r="AB32" i="8" s="1" a="1"/>
  <c r="AB32" i="8" s="1"/>
  <c r="U34" i="8" a="1"/>
  <c r="U34" i="8" s="1"/>
  <c r="U32" i="8" s="1" a="1"/>
  <c r="U32" i="8" s="1"/>
  <c r="H33" i="8" a="1"/>
  <c r="H33" i="8" s="1"/>
  <c r="AE34" i="8" a="1"/>
  <c r="AE34" i="8" s="1"/>
  <c r="AE32" i="8" s="1" a="1"/>
  <c r="AE32" i="8" s="1"/>
  <c r="Z34" i="8" a="1"/>
  <c r="Z34" i="8" s="1"/>
  <c r="Z32" i="8" s="1" a="1"/>
  <c r="Z32" i="8" s="1"/>
  <c r="H32" i="8" a="1"/>
  <c r="H32" i="8" s="1"/>
  <c r="J33" i="8" s="1"/>
  <c r="X202" i="12"/>
  <c r="W202" i="12"/>
  <c r="D24" i="12"/>
  <c r="E24" i="6"/>
  <c r="D165" i="12"/>
  <c r="E165" i="6"/>
  <c r="C218" i="6"/>
  <c r="O218" i="5"/>
  <c r="W50" i="12"/>
  <c r="X50" i="12"/>
  <c r="D209" i="12"/>
  <c r="E209" i="6"/>
  <c r="E96" i="6"/>
  <c r="D96" i="12"/>
  <c r="Y215" i="12"/>
  <c r="E29" i="6"/>
  <c r="D29" i="12"/>
  <c r="D161" i="12"/>
  <c r="E161" i="6"/>
  <c r="J110" i="12" a="1"/>
  <c r="J110" i="12" s="1"/>
  <c r="C110" i="12"/>
  <c r="L110" i="12" a="1"/>
  <c r="L110" i="12" s="1"/>
  <c r="D105" i="12"/>
  <c r="E105" i="6"/>
  <c r="Y58" i="12"/>
  <c r="W58" i="12" s="1"/>
  <c r="D39" i="12"/>
  <c r="E39" i="6"/>
  <c r="N37" i="12"/>
  <c r="D94" i="12"/>
  <c r="E94" i="6"/>
  <c r="X37" i="8" a="1"/>
  <c r="X37" i="8" s="1"/>
  <c r="X35" i="8" s="1" a="1"/>
  <c r="X35" i="8" s="1"/>
  <c r="H36" i="8" a="1"/>
  <c r="H36" i="8" s="1"/>
  <c r="Y37" i="8" a="1"/>
  <c r="Y37" i="8" s="1"/>
  <c r="Y35" i="8" s="1" a="1"/>
  <c r="Y35" i="8" s="1"/>
  <c r="V37" i="8" a="1"/>
  <c r="V37" i="8" s="1"/>
  <c r="V35" i="8" s="1" a="1"/>
  <c r="V35" i="8" s="1"/>
  <c r="U37" i="8" a="1"/>
  <c r="U37" i="8" s="1"/>
  <c r="U35" i="8" s="1" a="1"/>
  <c r="U35" i="8" s="1"/>
  <c r="AC37" i="8" a="1"/>
  <c r="AC37" i="8" s="1"/>
  <c r="AC35" i="8" s="1" a="1"/>
  <c r="AC35" i="8" s="1"/>
  <c r="Z37" i="8" a="1"/>
  <c r="Z37" i="8" s="1"/>
  <c r="Z35" i="8" s="1" a="1"/>
  <c r="Z35" i="8" s="1"/>
  <c r="AA37" i="8" a="1"/>
  <c r="AA37" i="8" s="1"/>
  <c r="AA35" i="8" s="1" a="1"/>
  <c r="AA35" i="8" s="1"/>
  <c r="AE37" i="8" a="1"/>
  <c r="AE37" i="8" s="1"/>
  <c r="AE35" i="8" s="1" a="1"/>
  <c r="AE35" i="8" s="1"/>
  <c r="AD37" i="8" a="1"/>
  <c r="AD37" i="8" s="1"/>
  <c r="AD35" i="8" s="1" a="1"/>
  <c r="AD35" i="8" s="1"/>
  <c r="W37" i="8" a="1"/>
  <c r="W37" i="8" s="1"/>
  <c r="W35" i="8" s="1" a="1"/>
  <c r="W35" i="8" s="1"/>
  <c r="AB37" i="8" a="1"/>
  <c r="AB37" i="8" s="1"/>
  <c r="AB35" i="8" s="1" a="1"/>
  <c r="AB35" i="8" s="1"/>
  <c r="G35" i="8"/>
  <c r="G36" i="8" s="1" a="1"/>
  <c r="G36" i="8" s="1"/>
  <c r="AF37" i="8" a="1"/>
  <c r="AF37" i="8" s="1"/>
  <c r="AF35" i="8" s="1" a="1"/>
  <c r="AF35" i="8" s="1"/>
  <c r="E37" i="8" a="1"/>
  <c r="E37" i="8" s="1"/>
  <c r="E35" i="8" s="1" a="1"/>
  <c r="E35" i="8" s="1"/>
  <c r="H35" i="8" a="1"/>
  <c r="H35" i="8" s="1"/>
  <c r="J36" i="8" s="1"/>
  <c r="E28" i="6"/>
  <c r="D28" i="12"/>
  <c r="C99" i="6"/>
  <c r="O99" i="5"/>
  <c r="O122" i="12"/>
  <c r="N123" i="12"/>
  <c r="O227" i="5"/>
  <c r="C227" i="6"/>
  <c r="Y169" i="12"/>
  <c r="E156" i="6"/>
  <c r="D156" i="12"/>
  <c r="N147" i="12"/>
  <c r="O146" i="12"/>
  <c r="Y105" i="12"/>
  <c r="E68" i="6"/>
  <c r="D68" i="12"/>
  <c r="E153" i="6"/>
  <c r="D153" i="12"/>
  <c r="O146" i="5"/>
  <c r="C146" i="6"/>
  <c r="E101" i="6"/>
  <c r="D101" i="12"/>
  <c r="E216" i="6"/>
  <c r="D216" i="12"/>
  <c r="N119" i="12"/>
  <c r="N35" i="12"/>
  <c r="O140" i="5"/>
  <c r="C140" i="6"/>
  <c r="E217" i="6"/>
  <c r="D217" i="12"/>
  <c r="AO92" i="12"/>
  <c r="Y92" i="12" s="1"/>
  <c r="Y93" i="12"/>
  <c r="Y158" i="12"/>
  <c r="L195" i="12" a="1"/>
  <c r="L195" i="12" s="1"/>
  <c r="C195" i="12"/>
  <c r="J195" i="12" a="1"/>
  <c r="J195" i="12" s="1"/>
  <c r="N170" i="12"/>
  <c r="N139" i="12"/>
  <c r="L206" i="12" a="1"/>
  <c r="L206" i="12" s="1"/>
  <c r="J206" i="12" a="1"/>
  <c r="J206" i="12" s="1"/>
  <c r="C206" i="12"/>
  <c r="D124" i="12"/>
  <c r="E124" i="6"/>
  <c r="N54" i="12"/>
  <c r="AO110" i="12"/>
  <c r="Y111" i="12"/>
  <c r="D80" i="12"/>
  <c r="E80" i="6"/>
  <c r="W115" i="12"/>
  <c r="N32" i="12"/>
  <c r="N172" i="12"/>
  <c r="M64" i="12"/>
  <c r="N137" i="12"/>
  <c r="D126" i="12"/>
  <c r="E126" i="6"/>
  <c r="H14" i="8" a="1"/>
  <c r="H14" i="8" s="1"/>
  <c r="J15" i="8" s="1"/>
  <c r="H15" i="8" a="1"/>
  <c r="H15" i="8" s="1"/>
  <c r="G14" i="8"/>
  <c r="G15" i="8" s="1" a="1"/>
  <c r="G15" i="8" s="1"/>
  <c r="L16" i="12" a="1"/>
  <c r="L16" i="12" s="1"/>
  <c r="C16" i="12"/>
  <c r="J16" i="12" a="1"/>
  <c r="J16" i="12" s="1"/>
  <c r="P14" i="11"/>
  <c r="L14" i="13"/>
  <c r="C14" i="11"/>
  <c r="C16" i="6"/>
  <c r="O16" i="5"/>
  <c r="AO16" i="12"/>
  <c r="Y16" i="12" s="1"/>
  <c r="AB15" i="5"/>
  <c r="AB109" i="5"/>
  <c r="W109" i="12"/>
  <c r="T109" i="12" s="1"/>
  <c r="K109" i="12"/>
  <c r="I53" i="8"/>
  <c r="A53" i="8" s="1"/>
  <c r="E109" i="6"/>
  <c r="D109" i="12"/>
  <c r="X71" i="8" a="1"/>
  <c r="X71" i="8" s="1"/>
  <c r="D71" i="8"/>
  <c r="C71" i="8"/>
  <c r="E73" i="8" a="1"/>
  <c r="E73" i="8" s="1"/>
  <c r="E55" i="8" s="1" a="1"/>
  <c r="E55" i="8" s="1"/>
  <c r="E53" i="8" s="1" a="1"/>
  <c r="E53" i="8" s="1"/>
  <c r="AE73" i="8" a="1"/>
  <c r="AE73" i="8" s="1"/>
  <c r="AB73" i="8" a="1"/>
  <c r="AB73" i="8" s="1"/>
  <c r="AB55" i="8" s="1" a="1"/>
  <c r="AB55" i="8" s="1"/>
  <c r="AB53" i="8" s="1" a="1"/>
  <c r="AB53" i="8" s="1"/>
  <c r="Y73" i="8" a="1"/>
  <c r="Y73" i="8" s="1"/>
  <c r="Y55" i="8" s="1" a="1"/>
  <c r="Y55" i="8" s="1"/>
  <c r="Y53" i="8" s="1" a="1"/>
  <c r="Y53" i="8" s="1"/>
  <c r="AF73" i="8" a="1"/>
  <c r="AF73" i="8" s="1"/>
  <c r="AF55" i="8" s="1" a="1"/>
  <c r="AF55" i="8" s="1"/>
  <c r="AF53" i="8" s="1" a="1"/>
  <c r="AF53" i="8" s="1"/>
  <c r="AE55" i="8" a="1"/>
  <c r="AE55" i="8" s="1"/>
  <c r="AE53" i="8" s="1" a="1"/>
  <c r="AE53" i="8" s="1"/>
  <c r="AA73" i="8" a="1"/>
  <c r="AA73" i="8" s="1"/>
  <c r="AA55" i="8" s="1" a="1"/>
  <c r="AA55" i="8" s="1"/>
  <c r="AA53" i="8" s="1" a="1"/>
  <c r="AA53" i="8" s="1"/>
  <c r="X73" i="8" a="1"/>
  <c r="X73" i="8" s="1"/>
  <c r="X55" i="8" s="1" a="1"/>
  <c r="X55" i="8" s="1"/>
  <c r="X53" i="8" s="1" a="1"/>
  <c r="X53" i="8" s="1"/>
  <c r="Z73" i="8" a="1"/>
  <c r="Z73" i="8" s="1"/>
  <c r="Z55" i="8" s="1" a="1"/>
  <c r="Z55" i="8" s="1"/>
  <c r="Z53" i="8" s="1" a="1"/>
  <c r="Z53" i="8" s="1"/>
  <c r="U73" i="8" a="1"/>
  <c r="U73" i="8" s="1"/>
  <c r="U55" i="8" s="1" a="1"/>
  <c r="U55" i="8" s="1"/>
  <c r="U53" i="8" s="1" a="1"/>
  <c r="U53" i="8" s="1"/>
  <c r="W73" i="8" a="1"/>
  <c r="W73" i="8" s="1"/>
  <c r="W55" i="8" s="1" a="1"/>
  <c r="W55" i="8" s="1"/>
  <c r="W53" i="8" s="1" a="1"/>
  <c r="W53" i="8" s="1"/>
  <c r="V73" i="8" a="1"/>
  <c r="V73" i="8" s="1"/>
  <c r="V55" i="8" s="1" a="1"/>
  <c r="V55" i="8" s="1"/>
  <c r="V53" i="8" s="1" a="1"/>
  <c r="V53" i="8" s="1"/>
  <c r="AD73" i="8" a="1"/>
  <c r="AD73" i="8" s="1"/>
  <c r="AD55" i="8" s="1" a="1"/>
  <c r="AD55" i="8" s="1"/>
  <c r="AD53" i="8" s="1" a="1"/>
  <c r="AD53" i="8" s="1"/>
  <c r="AC73" i="8" a="1"/>
  <c r="AC73" i="8" s="1"/>
  <c r="AC55" i="8" s="1" a="1"/>
  <c r="AC55" i="8" s="1"/>
  <c r="AC53" i="8" s="1" a="1"/>
  <c r="AC53" i="8" s="1"/>
  <c r="O15" i="11"/>
  <c r="AA7" i="11" s="1"/>
  <c r="K58" i="12"/>
  <c r="AF22" i="8" a="1"/>
  <c r="AF22" i="8" s="1"/>
  <c r="E71" i="8" a="1"/>
  <c r="E71" i="8" s="1"/>
  <c r="AE71" i="8" a="1"/>
  <c r="AE71" i="8" s="1"/>
  <c r="U71" i="8" a="1"/>
  <c r="U71" i="8" s="1"/>
  <c r="X22" i="8" a="1"/>
  <c r="X22" i="8" s="1"/>
  <c r="Y22" i="8" a="1"/>
  <c r="Y22" i="8" s="1"/>
  <c r="AD22" i="8" a="1"/>
  <c r="AD22" i="8" s="1"/>
  <c r="V20" i="8" a="1"/>
  <c r="V20" i="8" s="1"/>
  <c r="AA71" i="8" a="1"/>
  <c r="AA71" i="8" s="1"/>
  <c r="H71" i="8" a="1"/>
  <c r="H71" i="8" s="1"/>
  <c r="J72" i="8" s="1"/>
  <c r="H72" i="8" a="1"/>
  <c r="H72" i="8" s="1"/>
  <c r="G71" i="8"/>
  <c r="G72" i="8" s="1" a="1"/>
  <c r="G72" i="8" s="1"/>
  <c r="Z71" i="8" a="1"/>
  <c r="Z71" i="8" s="1"/>
  <c r="AD71" i="8" a="1"/>
  <c r="AD71" i="8" s="1"/>
  <c r="AB71" i="8" a="1"/>
  <c r="AB71" i="8" s="1"/>
  <c r="Y71" i="8" a="1"/>
  <c r="Y71" i="8" s="1"/>
  <c r="R102" i="8"/>
  <c r="I102" i="8" s="1"/>
  <c r="D222" i="12"/>
  <c r="E222" i="6"/>
  <c r="Z22" i="8" a="1"/>
  <c r="Z22" i="8" s="1"/>
  <c r="H75" i="10"/>
  <c r="AC22" i="8" a="1"/>
  <c r="AC22" i="8" s="1"/>
  <c r="AE29" i="8" a="1"/>
  <c r="AE29" i="8" s="1"/>
  <c r="AE22" i="8" a="1"/>
  <c r="AE22" i="8" s="1"/>
  <c r="E224" i="6"/>
  <c r="D224" i="12"/>
  <c r="AC71" i="8" a="1"/>
  <c r="AC71" i="8" s="1"/>
  <c r="U22" i="8" a="1"/>
  <c r="U22" i="8" s="1"/>
  <c r="V71" i="8" a="1"/>
  <c r="V71" i="8" s="1"/>
  <c r="O221" i="12"/>
  <c r="N221" i="12" s="1"/>
  <c r="N222" i="12"/>
  <c r="I29" i="8"/>
  <c r="A29" i="8" s="1"/>
  <c r="E58" i="6"/>
  <c r="D58" i="12"/>
  <c r="L145" i="12" a="1"/>
  <c r="L145" i="12" s="1"/>
  <c r="C145" i="12"/>
  <c r="J145" i="12" a="1"/>
  <c r="J145" i="12" s="1"/>
  <c r="AC11" i="5"/>
  <c r="O145" i="5"/>
  <c r="C145" i="6"/>
  <c r="K22" i="12"/>
  <c r="D225" i="12"/>
  <c r="E225" i="6"/>
  <c r="J221" i="12" a="1"/>
  <c r="J221" i="12" s="1"/>
  <c r="C221" i="12"/>
  <c r="L221" i="12" a="1"/>
  <c r="L221" i="12" s="1"/>
  <c r="AB22" i="8" a="1"/>
  <c r="AB22" i="8" s="1"/>
  <c r="E29" i="8" a="1"/>
  <c r="E29" i="8" s="1"/>
  <c r="E22" i="8" a="1"/>
  <c r="E22" i="8" s="1"/>
  <c r="AF71" i="8" a="1"/>
  <c r="AF71" i="8" s="1"/>
  <c r="AA29" i="8" a="1"/>
  <c r="AA29" i="8" s="1"/>
  <c r="AA22" i="8" a="1"/>
  <c r="AA22" i="8" s="1"/>
  <c r="O221" i="5"/>
  <c r="C221" i="6"/>
  <c r="X22" i="12"/>
  <c r="W22" i="12"/>
  <c r="AB221" i="5"/>
  <c r="AB145" i="5"/>
  <c r="AO221" i="12"/>
  <c r="Y222" i="12"/>
  <c r="AO145" i="12"/>
  <c r="Y145" i="12" s="1"/>
  <c r="W71" i="8" a="1"/>
  <c r="W71" i="8" s="1"/>
  <c r="W62" i="12"/>
  <c r="X62" i="12"/>
  <c r="D22" i="12"/>
  <c r="E22" i="6"/>
  <c r="I20" i="8"/>
  <c r="A20" i="8" s="1"/>
  <c r="X35" i="12" l="1"/>
  <c r="X125" i="12"/>
  <c r="K70" i="12"/>
  <c r="Y110" i="12"/>
  <c r="Y140" i="12"/>
  <c r="X118" i="12"/>
  <c r="Y95" i="12"/>
  <c r="X55" i="12"/>
  <c r="K95" i="12"/>
  <c r="N38" i="12"/>
  <c r="N92" i="12"/>
  <c r="N146" i="12"/>
  <c r="N227" i="12"/>
  <c r="N74" i="12"/>
  <c r="K110" i="12"/>
  <c r="K146" i="12"/>
  <c r="N210" i="12"/>
  <c r="Y70" i="12"/>
  <c r="W70" i="12" s="1"/>
  <c r="K99" i="12"/>
  <c r="K92" i="12"/>
  <c r="K190" i="12"/>
  <c r="W16" i="8" a="1"/>
  <c r="W16" i="8" s="1"/>
  <c r="W14" i="8" s="1" a="1"/>
  <c r="W14" i="8" s="1"/>
  <c r="W40" i="12"/>
  <c r="V40" i="12" s="1"/>
  <c r="X152" i="12"/>
  <c r="X102" i="12"/>
  <c r="Y227" i="12"/>
  <c r="W216" i="12"/>
  <c r="V216" i="12" s="1"/>
  <c r="W31" i="12"/>
  <c r="W85" i="12"/>
  <c r="V85" i="12" s="1"/>
  <c r="K129" i="12"/>
  <c r="K140" i="12"/>
  <c r="X185" i="12"/>
  <c r="W46" i="12"/>
  <c r="U46" i="12" s="1"/>
  <c r="X28" i="12"/>
  <c r="W67" i="12"/>
  <c r="X21" i="12"/>
  <c r="W91" i="12"/>
  <c r="W48" i="12"/>
  <c r="U48" i="12" s="1"/>
  <c r="X208" i="12"/>
  <c r="Y223" i="12"/>
  <c r="X223" i="12" s="1"/>
  <c r="Y195" i="12"/>
  <c r="W81" i="12"/>
  <c r="V81" i="12" s="1"/>
  <c r="N218" i="12"/>
  <c r="U72" i="12"/>
  <c r="V72" i="12"/>
  <c r="T72" i="12"/>
  <c r="T32" i="12"/>
  <c r="V32" i="12"/>
  <c r="U32" i="12"/>
  <c r="U208" i="12"/>
  <c r="T208" i="12"/>
  <c r="V208" i="12"/>
  <c r="V52" i="12"/>
  <c r="U52" i="12"/>
  <c r="T52" i="12"/>
  <c r="V186" i="12"/>
  <c r="U186" i="12"/>
  <c r="T186" i="12"/>
  <c r="T113" i="12"/>
  <c r="V113" i="12"/>
  <c r="U113" i="12"/>
  <c r="V118" i="12"/>
  <c r="T118" i="12"/>
  <c r="U118" i="12"/>
  <c r="X164" i="12"/>
  <c r="W164" i="12"/>
  <c r="N164" i="12"/>
  <c r="V179" i="12"/>
  <c r="U179" i="12"/>
  <c r="T179" i="12"/>
  <c r="I38" i="8"/>
  <c r="A38" i="8" s="1"/>
  <c r="D74" i="12"/>
  <c r="E74" i="6"/>
  <c r="X77" i="12"/>
  <c r="W77" i="12"/>
  <c r="K195" i="12"/>
  <c r="T202" i="12"/>
  <c r="V202" i="12"/>
  <c r="U202" i="12"/>
  <c r="U87" i="12"/>
  <c r="T87" i="12"/>
  <c r="V87" i="12"/>
  <c r="V54" i="12"/>
  <c r="U54" i="12"/>
  <c r="T54" i="12"/>
  <c r="W17" i="12"/>
  <c r="X17" i="12"/>
  <c r="N23" i="12"/>
  <c r="X165" i="12"/>
  <c r="W165" i="12"/>
  <c r="W184" i="12"/>
  <c r="X184" i="12"/>
  <c r="K133" i="12"/>
  <c r="W211" i="12"/>
  <c r="X211" i="12"/>
  <c r="X163" i="12"/>
  <c r="W163" i="12"/>
  <c r="K64" i="12"/>
  <c r="W51" i="12"/>
  <c r="X51" i="12"/>
  <c r="U27" i="12"/>
  <c r="V27" i="12"/>
  <c r="T27" i="12"/>
  <c r="W36" i="12"/>
  <c r="X36" i="12"/>
  <c r="E70" i="6"/>
  <c r="I35" i="8"/>
  <c r="A35" i="8" s="1"/>
  <c r="D70" i="12"/>
  <c r="U56" i="12"/>
  <c r="V56" i="12"/>
  <c r="T56" i="12"/>
  <c r="D122" i="12"/>
  <c r="I59" i="8"/>
  <c r="A59" i="8" s="1"/>
  <c r="E122" i="6"/>
  <c r="W177" i="12"/>
  <c r="X177" i="12"/>
  <c r="W210" i="12"/>
  <c r="X210" i="12"/>
  <c r="W106" i="12"/>
  <c r="X106" i="12"/>
  <c r="W220" i="12"/>
  <c r="X220" i="12"/>
  <c r="W74" i="12"/>
  <c r="X74" i="12"/>
  <c r="X71" i="12"/>
  <c r="W71" i="12"/>
  <c r="X103" i="12"/>
  <c r="W103" i="12"/>
  <c r="X93" i="12"/>
  <c r="W93" i="12"/>
  <c r="X105" i="12"/>
  <c r="W105" i="12"/>
  <c r="D110" i="12"/>
  <c r="E110" i="6"/>
  <c r="I56" i="8"/>
  <c r="A56" i="8" s="1"/>
  <c r="K164" i="12"/>
  <c r="V42" i="12"/>
  <c r="T42" i="12"/>
  <c r="U42" i="12"/>
  <c r="E23" i="6"/>
  <c r="D23" i="12"/>
  <c r="I23" i="8"/>
  <c r="A23" i="8" s="1"/>
  <c r="I62" i="8"/>
  <c r="A62" i="8" s="1"/>
  <c r="E129" i="6"/>
  <c r="D129" i="12"/>
  <c r="Y23" i="12"/>
  <c r="X141" i="12"/>
  <c r="W141" i="12"/>
  <c r="X34" i="12"/>
  <c r="W34" i="12"/>
  <c r="W75" i="12"/>
  <c r="X75" i="12"/>
  <c r="T25" i="12"/>
  <c r="U25" i="12"/>
  <c r="V25" i="12"/>
  <c r="V193" i="12"/>
  <c r="T193" i="12"/>
  <c r="U193" i="12"/>
  <c r="X63" i="12"/>
  <c r="W63" i="12"/>
  <c r="U79" i="12"/>
  <c r="T79" i="12"/>
  <c r="V79" i="12"/>
  <c r="N200" i="12"/>
  <c r="W175" i="12"/>
  <c r="X175" i="12"/>
  <c r="W229" i="12"/>
  <c r="X229" i="12"/>
  <c r="X176" i="12"/>
  <c r="W176" i="12"/>
  <c r="T78" i="12"/>
  <c r="U78" i="12"/>
  <c r="V78" i="12"/>
  <c r="U26" i="12"/>
  <c r="T26" i="12"/>
  <c r="V26" i="12"/>
  <c r="K23" i="12"/>
  <c r="N110" i="12"/>
  <c r="K122" i="12"/>
  <c r="X120" i="12"/>
  <c r="W120" i="12"/>
  <c r="X157" i="12"/>
  <c r="W157" i="12"/>
  <c r="V159" i="12"/>
  <c r="T159" i="12"/>
  <c r="U159" i="12"/>
  <c r="X82" i="12"/>
  <c r="W82" i="12"/>
  <c r="Y122" i="12"/>
  <c r="V44" i="12"/>
  <c r="T44" i="12"/>
  <c r="U44" i="12"/>
  <c r="W132" i="12"/>
  <c r="X132" i="12"/>
  <c r="T104" i="12"/>
  <c r="V104" i="12"/>
  <c r="U104" i="12"/>
  <c r="T138" i="12"/>
  <c r="V138" i="12"/>
  <c r="U138" i="12"/>
  <c r="W24" i="12"/>
  <c r="X24" i="12"/>
  <c r="X127" i="12"/>
  <c r="W127" i="12"/>
  <c r="I26" i="8"/>
  <c r="A26" i="8" s="1"/>
  <c r="E38" i="6"/>
  <c r="D38" i="12"/>
  <c r="W88" i="12"/>
  <c r="X88" i="12"/>
  <c r="U183" i="12"/>
  <c r="T183" i="12"/>
  <c r="V183" i="12"/>
  <c r="W66" i="12"/>
  <c r="X66" i="12"/>
  <c r="U217" i="12"/>
  <c r="V217" i="12"/>
  <c r="T217" i="12"/>
  <c r="X100" i="12"/>
  <c r="W100" i="12"/>
  <c r="T204" i="12"/>
  <c r="U204" i="12"/>
  <c r="V204" i="12"/>
  <c r="W123" i="12"/>
  <c r="X123" i="12"/>
  <c r="W224" i="12"/>
  <c r="X224" i="12"/>
  <c r="W18" i="12"/>
  <c r="X18" i="12"/>
  <c r="X140" i="12"/>
  <c r="W140" i="12"/>
  <c r="I92" i="8"/>
  <c r="A92" i="8" s="1"/>
  <c r="E206" i="6"/>
  <c r="D206" i="12"/>
  <c r="U107" i="12"/>
  <c r="T107" i="12"/>
  <c r="V107" i="12"/>
  <c r="T139" i="12"/>
  <c r="V139" i="12"/>
  <c r="U139" i="12"/>
  <c r="W65" i="12"/>
  <c r="X65" i="12"/>
  <c r="D173" i="12"/>
  <c r="I80" i="8"/>
  <c r="A80" i="8" s="1"/>
  <c r="E173" i="6"/>
  <c r="X219" i="12"/>
  <c r="W219" i="12"/>
  <c r="E95" i="6"/>
  <c r="D95" i="12"/>
  <c r="I44" i="8"/>
  <c r="A44" i="8" s="1"/>
  <c r="X151" i="12"/>
  <c r="W151" i="12"/>
  <c r="T174" i="12"/>
  <c r="U174" i="12"/>
  <c r="V174" i="12"/>
  <c r="W95" i="12"/>
  <c r="X95" i="12"/>
  <c r="X214" i="12"/>
  <c r="W214" i="12"/>
  <c r="Y38" i="12"/>
  <c r="W80" i="12"/>
  <c r="X80" i="12"/>
  <c r="Y99" i="12"/>
  <c r="U170" i="12"/>
  <c r="T170" i="12"/>
  <c r="V170" i="12"/>
  <c r="V225" i="12"/>
  <c r="U225" i="12"/>
  <c r="T225" i="12"/>
  <c r="T84" i="12"/>
  <c r="V84" i="12"/>
  <c r="U84" i="12"/>
  <c r="U81" i="12"/>
  <c r="W158" i="12"/>
  <c r="X158" i="12"/>
  <c r="X169" i="12"/>
  <c r="W169" i="12"/>
  <c r="W215" i="12"/>
  <c r="X215" i="12"/>
  <c r="Y146" i="12"/>
  <c r="W130" i="12"/>
  <c r="X130" i="12"/>
  <c r="V154" i="12"/>
  <c r="U154" i="12"/>
  <c r="T154" i="12"/>
  <c r="X212" i="12"/>
  <c r="W212" i="12"/>
  <c r="W181" i="12"/>
  <c r="X181" i="12"/>
  <c r="E64" i="6"/>
  <c r="I32" i="8"/>
  <c r="A32" i="8" s="1"/>
  <c r="D64" i="12"/>
  <c r="Y218" i="12"/>
  <c r="T29" i="12"/>
  <c r="V29" i="12"/>
  <c r="U29" i="12"/>
  <c r="W182" i="12"/>
  <c r="X182" i="12"/>
  <c r="X20" i="12"/>
  <c r="W20" i="12"/>
  <c r="V178" i="12"/>
  <c r="T178" i="12"/>
  <c r="U178" i="12"/>
  <c r="W86" i="12"/>
  <c r="X86" i="12"/>
  <c r="W96" i="12"/>
  <c r="X96" i="12"/>
  <c r="W39" i="12"/>
  <c r="X39" i="12"/>
  <c r="W189" i="12"/>
  <c r="X189" i="12"/>
  <c r="D190" i="12"/>
  <c r="I83" i="8"/>
  <c r="A83" i="8" s="1"/>
  <c r="E190" i="6"/>
  <c r="W167" i="12"/>
  <c r="X167" i="12"/>
  <c r="W147" i="12"/>
  <c r="X147" i="12"/>
  <c r="Y129" i="12"/>
  <c r="T53" i="12"/>
  <c r="V53" i="12"/>
  <c r="U53" i="12"/>
  <c r="X228" i="12"/>
  <c r="W228" i="12"/>
  <c r="U30" i="12"/>
  <c r="T30" i="12"/>
  <c r="V30" i="12"/>
  <c r="X198" i="12"/>
  <c r="W198" i="12"/>
  <c r="K218" i="12"/>
  <c r="X148" i="12"/>
  <c r="W148" i="12"/>
  <c r="Y173" i="12"/>
  <c r="T171" i="12"/>
  <c r="V171" i="12"/>
  <c r="U171" i="12"/>
  <c r="I74" i="8"/>
  <c r="A74" i="8" s="1"/>
  <c r="D146" i="12"/>
  <c r="E146" i="6"/>
  <c r="X90" i="12"/>
  <c r="W90" i="12"/>
  <c r="W156" i="12"/>
  <c r="X156" i="12"/>
  <c r="W188" i="12"/>
  <c r="X188" i="12"/>
  <c r="W187" i="12"/>
  <c r="X187" i="12"/>
  <c r="X227" i="12"/>
  <c r="W227" i="12"/>
  <c r="T203" i="12"/>
  <c r="U203" i="12"/>
  <c r="V203" i="12"/>
  <c r="T149" i="12"/>
  <c r="U149" i="12"/>
  <c r="V149" i="12"/>
  <c r="N133" i="12"/>
  <c r="U160" i="12"/>
  <c r="T160" i="12"/>
  <c r="V160" i="12"/>
  <c r="V76" i="12"/>
  <c r="U76" i="12"/>
  <c r="T76" i="12"/>
  <c r="W114" i="12"/>
  <c r="X114" i="12"/>
  <c r="N206" i="12"/>
  <c r="U137" i="12"/>
  <c r="V137" i="12"/>
  <c r="T137" i="12"/>
  <c r="N64" i="12"/>
  <c r="W101" i="12"/>
  <c r="X101" i="12"/>
  <c r="W121" i="12"/>
  <c r="X121" i="12"/>
  <c r="V115" i="12"/>
  <c r="T115" i="12"/>
  <c r="U115" i="12"/>
  <c r="W45" i="12"/>
  <c r="X45" i="12"/>
  <c r="T49" i="12"/>
  <c r="U49" i="12"/>
  <c r="V49" i="12"/>
  <c r="T97" i="12"/>
  <c r="U97" i="12"/>
  <c r="V97" i="12"/>
  <c r="X128" i="12"/>
  <c r="W128" i="12"/>
  <c r="E92" i="6"/>
  <c r="D92" i="12"/>
  <c r="I41" i="8"/>
  <c r="A41" i="8" s="1"/>
  <c r="W168" i="12"/>
  <c r="X168" i="12"/>
  <c r="AB16" i="8" a="1"/>
  <c r="AB16" i="8" s="1"/>
  <c r="AB14" i="8" s="1" a="1"/>
  <c r="AB14" i="8" s="1"/>
  <c r="T125" i="12"/>
  <c r="V125" i="12"/>
  <c r="U125" i="12"/>
  <c r="K173" i="12"/>
  <c r="N95" i="12"/>
  <c r="V230" i="12"/>
  <c r="U230" i="12"/>
  <c r="T230" i="12"/>
  <c r="W73" i="12"/>
  <c r="X73" i="12"/>
  <c r="D210" i="12"/>
  <c r="E210" i="6"/>
  <c r="I95" i="8"/>
  <c r="A95" i="8" s="1"/>
  <c r="T194" i="12"/>
  <c r="U194" i="12"/>
  <c r="V194" i="12"/>
  <c r="T116" i="12"/>
  <c r="U116" i="12"/>
  <c r="V116" i="12"/>
  <c r="V143" i="12"/>
  <c r="U143" i="12"/>
  <c r="T143" i="12"/>
  <c r="X166" i="12"/>
  <c r="W166" i="12"/>
  <c r="T119" i="12"/>
  <c r="U119" i="12"/>
  <c r="V119" i="12"/>
  <c r="D140" i="12"/>
  <c r="I68" i="8"/>
  <c r="A68" i="8" s="1"/>
  <c r="E140" i="6"/>
  <c r="X110" i="12"/>
  <c r="W110" i="12"/>
  <c r="U35" i="12"/>
  <c r="T35" i="12"/>
  <c r="V35" i="12"/>
  <c r="X47" i="12"/>
  <c r="W47" i="12"/>
  <c r="AC16" i="8" a="1"/>
  <c r="AC16" i="8" s="1"/>
  <c r="AC14" i="8" s="1" a="1"/>
  <c r="AC14" i="8" s="1"/>
  <c r="E99" i="6"/>
  <c r="I50" i="8"/>
  <c r="A50" i="8" s="1"/>
  <c r="D99" i="12"/>
  <c r="K74" i="12"/>
  <c r="K223" i="12"/>
  <c r="V152" i="12"/>
  <c r="T152" i="12"/>
  <c r="U152" i="12"/>
  <c r="W199" i="12"/>
  <c r="X199" i="12"/>
  <c r="D223" i="12"/>
  <c r="E223" i="6"/>
  <c r="U216" i="12"/>
  <c r="T216" i="12"/>
  <c r="T126" i="12"/>
  <c r="V126" i="12"/>
  <c r="U126" i="12"/>
  <c r="X112" i="12"/>
  <c r="W112" i="12"/>
  <c r="U102" i="12"/>
  <c r="V102" i="12"/>
  <c r="T102" i="12"/>
  <c r="U43" i="12"/>
  <c r="V43" i="12"/>
  <c r="T43" i="12"/>
  <c r="X83" i="12"/>
  <c r="W83" i="12"/>
  <c r="T31" i="12"/>
  <c r="V31" i="12"/>
  <c r="U31" i="12"/>
  <c r="N58" i="12"/>
  <c r="X69" i="12"/>
  <c r="W69" i="12"/>
  <c r="W134" i="12"/>
  <c r="X134" i="12"/>
  <c r="X41" i="12"/>
  <c r="W41" i="12"/>
  <c r="W124" i="12"/>
  <c r="X124" i="12"/>
  <c r="N173" i="12"/>
  <c r="X59" i="12"/>
  <c r="W59" i="12"/>
  <c r="W64" i="12"/>
  <c r="X64" i="12"/>
  <c r="V131" i="12"/>
  <c r="T131" i="12"/>
  <c r="U131" i="12"/>
  <c r="X111" i="12"/>
  <c r="W111" i="12"/>
  <c r="E227" i="6"/>
  <c r="D227" i="12"/>
  <c r="T155" i="12"/>
  <c r="U155" i="12"/>
  <c r="V155" i="12"/>
  <c r="N122" i="12"/>
  <c r="T209" i="12"/>
  <c r="U209" i="12"/>
  <c r="V209" i="12"/>
  <c r="X58" i="12"/>
  <c r="U50" i="12"/>
  <c r="V50" i="12"/>
  <c r="T50" i="12"/>
  <c r="K17" i="12"/>
  <c r="Y200" i="12"/>
  <c r="V192" i="12"/>
  <c r="U192" i="12"/>
  <c r="T192" i="12"/>
  <c r="V161" i="12"/>
  <c r="T161" i="12"/>
  <c r="U161" i="12"/>
  <c r="T37" i="12"/>
  <c r="V37" i="12"/>
  <c r="U37" i="12"/>
  <c r="V61" i="12"/>
  <c r="T61" i="12"/>
  <c r="U61" i="12"/>
  <c r="V19" i="12"/>
  <c r="T19" i="12"/>
  <c r="U19" i="12"/>
  <c r="U144" i="12"/>
  <c r="V144" i="12"/>
  <c r="T144" i="12"/>
  <c r="Y133" i="12"/>
  <c r="X142" i="12"/>
  <c r="W142" i="12"/>
  <c r="W108" i="12"/>
  <c r="X108" i="12"/>
  <c r="X92" i="12"/>
  <c r="W92" i="12"/>
  <c r="E17" i="6"/>
  <c r="I17" i="8"/>
  <c r="A17" i="8" s="1"/>
  <c r="D17" i="12"/>
  <c r="E195" i="6"/>
  <c r="I86" i="8"/>
  <c r="A86" i="8" s="1"/>
  <c r="D195" i="12"/>
  <c r="U85" i="12"/>
  <c r="X201" i="12"/>
  <c r="W201" i="12"/>
  <c r="U150" i="12"/>
  <c r="T150" i="12"/>
  <c r="V150" i="12"/>
  <c r="X213" i="12"/>
  <c r="W213" i="12"/>
  <c r="W68" i="12"/>
  <c r="X68" i="12"/>
  <c r="W57" i="12"/>
  <c r="X57" i="12"/>
  <c r="N17" i="12"/>
  <c r="X207" i="12"/>
  <c r="W207" i="12"/>
  <c r="T94" i="12"/>
  <c r="V94" i="12"/>
  <c r="U94" i="12"/>
  <c r="U172" i="12"/>
  <c r="V172" i="12"/>
  <c r="T172" i="12"/>
  <c r="X196" i="12"/>
  <c r="W196" i="12"/>
  <c r="V21" i="12"/>
  <c r="T21" i="12"/>
  <c r="U21" i="12"/>
  <c r="X117" i="12"/>
  <c r="W117" i="12"/>
  <c r="W195" i="12"/>
  <c r="X195" i="12"/>
  <c r="W89" i="12"/>
  <c r="X89" i="12"/>
  <c r="V162" i="12"/>
  <c r="U162" i="12"/>
  <c r="T162" i="12"/>
  <c r="V16" i="8" a="1"/>
  <c r="V16" i="8" s="1"/>
  <c r="V14" i="8" s="1" a="1"/>
  <c r="V14" i="8" s="1"/>
  <c r="I98" i="8"/>
  <c r="A98" i="8" s="1"/>
  <c r="E218" i="6"/>
  <c r="D218" i="12"/>
  <c r="K206" i="12"/>
  <c r="X191" i="12"/>
  <c r="W191" i="12"/>
  <c r="V153" i="12"/>
  <c r="T153" i="12"/>
  <c r="U153" i="12"/>
  <c r="T185" i="12"/>
  <c r="U185" i="12"/>
  <c r="V185" i="12"/>
  <c r="W33" i="12"/>
  <c r="X33" i="12"/>
  <c r="Y206" i="12"/>
  <c r="W136" i="12"/>
  <c r="X136" i="12"/>
  <c r="K227" i="12"/>
  <c r="X180" i="12"/>
  <c r="W180" i="12"/>
  <c r="D133" i="12"/>
  <c r="I65" i="8"/>
  <c r="A65" i="8" s="1"/>
  <c r="E133" i="6"/>
  <c r="Y190" i="12"/>
  <c r="D200" i="12"/>
  <c r="E200" i="6"/>
  <c r="I89" i="8"/>
  <c r="A89" i="8" s="1"/>
  <c r="U67" i="12"/>
  <c r="V67" i="12"/>
  <c r="T67" i="12"/>
  <c r="I77" i="8"/>
  <c r="A77" i="8" s="1"/>
  <c r="E164" i="6"/>
  <c r="D164" i="12"/>
  <c r="U197" i="12"/>
  <c r="T197" i="12"/>
  <c r="V197" i="12"/>
  <c r="X60" i="12"/>
  <c r="W60" i="12"/>
  <c r="U28" i="12"/>
  <c r="V28" i="12"/>
  <c r="T28" i="12"/>
  <c r="N16" i="12"/>
  <c r="T205" i="12"/>
  <c r="V205" i="12"/>
  <c r="U205" i="12"/>
  <c r="K38" i="12"/>
  <c r="V91" i="12"/>
  <c r="U91" i="12"/>
  <c r="T91" i="12"/>
  <c r="V135" i="12"/>
  <c r="T135" i="12"/>
  <c r="U135" i="12"/>
  <c r="T55" i="12"/>
  <c r="V55" i="12"/>
  <c r="U55" i="12"/>
  <c r="U109" i="12"/>
  <c r="E16" i="8" a="1"/>
  <c r="E16" i="8" s="1"/>
  <c r="E14" i="8" s="1" a="1"/>
  <c r="E14" i="8" s="1"/>
  <c r="AE16" i="8" a="1"/>
  <c r="AE16" i="8" s="1"/>
  <c r="AE14" i="8" s="1" a="1"/>
  <c r="AE14" i="8" s="1"/>
  <c r="AA16" i="8" a="1"/>
  <c r="AA16" i="8" s="1"/>
  <c r="AA14" i="8" s="1" a="1"/>
  <c r="AA14" i="8" s="1"/>
  <c r="D14" i="13"/>
  <c r="P14" i="13"/>
  <c r="V14" i="13"/>
  <c r="D16" i="12"/>
  <c r="I14" i="8"/>
  <c r="E16" i="6"/>
  <c r="Z16" i="8" a="1"/>
  <c r="Z16" i="8" s="1"/>
  <c r="Z14" i="8" s="1" a="1"/>
  <c r="Z14" i="8" s="1"/>
  <c r="U16" i="8" a="1"/>
  <c r="U16" i="8" s="1"/>
  <c r="U14" i="8" s="1" a="1"/>
  <c r="U14" i="8" s="1"/>
  <c r="K16" i="12"/>
  <c r="W16" i="12"/>
  <c r="X16" i="12"/>
  <c r="O16" i="11"/>
  <c r="V109" i="12"/>
  <c r="G11" i="11"/>
  <c r="AF20" i="8" a="1"/>
  <c r="AF20" i="8" s="1"/>
  <c r="AF16" i="8" a="1"/>
  <c r="AF16" i="8" s="1"/>
  <c r="AF14" i="8" s="1" a="1"/>
  <c r="AF14" i="8" s="1"/>
  <c r="AD20" i="8" a="1"/>
  <c r="AD20" i="8" s="1"/>
  <c r="AD16" i="8" a="1"/>
  <c r="AD16" i="8" s="1"/>
  <c r="AD14" i="8" s="1" a="1"/>
  <c r="AD14" i="8" s="1"/>
  <c r="Y20" i="8" a="1"/>
  <c r="Y20" i="8" s="1"/>
  <c r="Y16" i="8" a="1"/>
  <c r="Y16" i="8" s="1"/>
  <c r="Y14" i="8" s="1" a="1"/>
  <c r="Y14" i="8" s="1"/>
  <c r="X20" i="8" a="1"/>
  <c r="X20" i="8" s="1"/>
  <c r="X16" i="8" a="1"/>
  <c r="X16" i="8" s="1"/>
  <c r="X14" i="8" s="1" a="1"/>
  <c r="X14" i="8" s="1"/>
  <c r="K221" i="12"/>
  <c r="H29" i="8" a="1"/>
  <c r="H29" i="8" s="1"/>
  <c r="J30" i="8" s="1"/>
  <c r="AC20" i="8" a="1"/>
  <c r="AC20" i="8" s="1"/>
  <c r="T58" i="12"/>
  <c r="V58" i="12"/>
  <c r="U58" i="12"/>
  <c r="AB20" i="8" a="1"/>
  <c r="AB20" i="8" s="1"/>
  <c r="Z20" i="8" a="1"/>
  <c r="Z20" i="8" s="1"/>
  <c r="K145" i="12"/>
  <c r="U62" i="12"/>
  <c r="T62" i="12"/>
  <c r="V62" i="12"/>
  <c r="L19" i="13"/>
  <c r="W222" i="12"/>
  <c r="X222" i="12"/>
  <c r="I71" i="8"/>
  <c r="A71" i="8" s="1"/>
  <c r="D145" i="12"/>
  <c r="E145" i="6"/>
  <c r="Y221" i="12"/>
  <c r="T22" i="12"/>
  <c r="U22" i="12"/>
  <c r="V22" i="12"/>
  <c r="D221" i="12"/>
  <c r="E221" i="6"/>
  <c r="X145" i="12"/>
  <c r="W145" i="12"/>
  <c r="U20" i="8" a="1"/>
  <c r="U20" i="8" s="1"/>
  <c r="AA20" i="8" a="1"/>
  <c r="AA20" i="8" s="1"/>
  <c r="E20" i="8" a="1"/>
  <c r="E20" i="8" s="1"/>
  <c r="AE20" i="8" a="1"/>
  <c r="AE20" i="8" s="1"/>
  <c r="W223" i="12" l="1"/>
  <c r="T85" i="12"/>
  <c r="T48" i="12"/>
  <c r="V48" i="12"/>
  <c r="U40" i="12"/>
  <c r="T40" i="12"/>
  <c r="U111" i="8"/>
  <c r="X70" i="12"/>
  <c r="T46" i="12"/>
  <c r="V46" i="12"/>
  <c r="T81" i="12"/>
  <c r="V57" i="12"/>
  <c r="U57" i="12"/>
  <c r="T57" i="12"/>
  <c r="V156" i="12"/>
  <c r="T156" i="12"/>
  <c r="U156" i="12"/>
  <c r="V68" i="12"/>
  <c r="T68" i="12"/>
  <c r="U68" i="12"/>
  <c r="T108" i="12"/>
  <c r="V108" i="12"/>
  <c r="U108" i="12"/>
  <c r="U20" i="12"/>
  <c r="T20" i="12"/>
  <c r="V20" i="12"/>
  <c r="X146" i="12"/>
  <c r="W146" i="12"/>
  <c r="T24" i="12"/>
  <c r="V24" i="12"/>
  <c r="U24" i="12"/>
  <c r="V120" i="12"/>
  <c r="T120" i="12"/>
  <c r="U120" i="12"/>
  <c r="T220" i="12"/>
  <c r="U220" i="12"/>
  <c r="V220" i="12"/>
  <c r="V123" i="12"/>
  <c r="T123" i="12"/>
  <c r="U123" i="12"/>
  <c r="U157" i="12"/>
  <c r="T157" i="12"/>
  <c r="V157" i="12"/>
  <c r="V83" i="12"/>
  <c r="U83" i="12"/>
  <c r="T83" i="12"/>
  <c r="T90" i="12"/>
  <c r="U90" i="12"/>
  <c r="V90" i="12"/>
  <c r="T130" i="12"/>
  <c r="U130" i="12"/>
  <c r="V130" i="12"/>
  <c r="X99" i="12"/>
  <c r="W99" i="12"/>
  <c r="W190" i="12"/>
  <c r="X190" i="12"/>
  <c r="T213" i="12"/>
  <c r="V213" i="12"/>
  <c r="U213" i="12"/>
  <c r="U142" i="12"/>
  <c r="T142" i="12"/>
  <c r="V142" i="12"/>
  <c r="U166" i="12"/>
  <c r="V166" i="12"/>
  <c r="T166" i="12"/>
  <c r="W129" i="12"/>
  <c r="X129" i="12"/>
  <c r="V80" i="12"/>
  <c r="T80" i="12"/>
  <c r="U80" i="12"/>
  <c r="U65" i="12"/>
  <c r="T65" i="12"/>
  <c r="V65" i="12"/>
  <c r="T63" i="12"/>
  <c r="V63" i="12"/>
  <c r="U63" i="12"/>
  <c r="V60" i="12"/>
  <c r="T60" i="12"/>
  <c r="U60" i="12"/>
  <c r="T168" i="12"/>
  <c r="U168" i="12"/>
  <c r="V168" i="12"/>
  <c r="W173" i="12"/>
  <c r="X173" i="12"/>
  <c r="T121" i="12"/>
  <c r="U121" i="12"/>
  <c r="V121" i="12"/>
  <c r="T136" i="12"/>
  <c r="V136" i="12"/>
  <c r="U136" i="12"/>
  <c r="T41" i="12"/>
  <c r="U41" i="12"/>
  <c r="V41" i="12"/>
  <c r="T33" i="12"/>
  <c r="V33" i="12"/>
  <c r="U33" i="12"/>
  <c r="V134" i="12"/>
  <c r="U134" i="12"/>
  <c r="T134" i="12"/>
  <c r="V181" i="12"/>
  <c r="U181" i="12"/>
  <c r="T181" i="12"/>
  <c r="T207" i="12"/>
  <c r="V207" i="12"/>
  <c r="U207" i="12"/>
  <c r="T229" i="12"/>
  <c r="U229" i="12"/>
  <c r="V229" i="12"/>
  <c r="U191" i="12"/>
  <c r="V191" i="12"/>
  <c r="T191" i="12"/>
  <c r="X200" i="12"/>
  <c r="W200" i="12"/>
  <c r="V215" i="12"/>
  <c r="U215" i="12"/>
  <c r="T215" i="12"/>
  <c r="X38" i="12"/>
  <c r="W38" i="12"/>
  <c r="V100" i="12"/>
  <c r="U100" i="12"/>
  <c r="T100" i="12"/>
  <c r="T106" i="12"/>
  <c r="U106" i="12"/>
  <c r="V106" i="12"/>
  <c r="V70" i="12"/>
  <c r="U70" i="12"/>
  <c r="T70" i="12"/>
  <c r="T147" i="12"/>
  <c r="U147" i="12"/>
  <c r="V147" i="12"/>
  <c r="V182" i="12"/>
  <c r="T182" i="12"/>
  <c r="U182" i="12"/>
  <c r="V169" i="12"/>
  <c r="T169" i="12"/>
  <c r="U169" i="12"/>
  <c r="T214" i="12"/>
  <c r="V214" i="12"/>
  <c r="U214" i="12"/>
  <c r="V39" i="12"/>
  <c r="T39" i="12"/>
  <c r="U39" i="12"/>
  <c r="V187" i="12"/>
  <c r="U187" i="12"/>
  <c r="T187" i="12"/>
  <c r="U96" i="12"/>
  <c r="T96" i="12"/>
  <c r="V96" i="12"/>
  <c r="V117" i="12"/>
  <c r="T117" i="12"/>
  <c r="U117" i="12"/>
  <c r="U199" i="12"/>
  <c r="V199" i="12"/>
  <c r="T199" i="12"/>
  <c r="X133" i="12"/>
  <c r="W133" i="12"/>
  <c r="U64" i="12"/>
  <c r="V64" i="12"/>
  <c r="T64" i="12"/>
  <c r="V45" i="12"/>
  <c r="T45" i="12"/>
  <c r="U45" i="12"/>
  <c r="V59" i="12"/>
  <c r="U59" i="12"/>
  <c r="T59" i="12"/>
  <c r="V210" i="12"/>
  <c r="T210" i="12"/>
  <c r="U210" i="12"/>
  <c r="T51" i="12"/>
  <c r="U51" i="12"/>
  <c r="V51" i="12"/>
  <c r="E110" i="8" a="1"/>
  <c r="E110" i="8" s="1"/>
  <c r="E105" i="8" s="1"/>
  <c r="U18" i="12"/>
  <c r="T18" i="12"/>
  <c r="V18" i="12"/>
  <c r="V195" i="12"/>
  <c r="U195" i="12"/>
  <c r="T195" i="12"/>
  <c r="T223" i="12"/>
  <c r="U223" i="12"/>
  <c r="V223" i="12"/>
  <c r="T180" i="12"/>
  <c r="V180" i="12"/>
  <c r="U180" i="12"/>
  <c r="U167" i="12"/>
  <c r="V167" i="12"/>
  <c r="T167" i="12"/>
  <c r="V112" i="12"/>
  <c r="U112" i="12"/>
  <c r="T112" i="12"/>
  <c r="V196" i="12"/>
  <c r="U196" i="12"/>
  <c r="T196" i="12"/>
  <c r="V201" i="12"/>
  <c r="T201" i="12"/>
  <c r="U201" i="12"/>
  <c r="T158" i="12"/>
  <c r="U158" i="12"/>
  <c r="V158" i="12"/>
  <c r="U95" i="12"/>
  <c r="V95" i="12"/>
  <c r="T95" i="12"/>
  <c r="T177" i="12"/>
  <c r="V177" i="12"/>
  <c r="U177" i="12"/>
  <c r="T163" i="12"/>
  <c r="V163" i="12"/>
  <c r="U163" i="12"/>
  <c r="W218" i="12"/>
  <c r="X218" i="12"/>
  <c r="T77" i="12"/>
  <c r="V77" i="12"/>
  <c r="U77" i="12"/>
  <c r="T105" i="12"/>
  <c r="U105" i="12"/>
  <c r="V105" i="12"/>
  <c r="T211" i="12"/>
  <c r="U211" i="12"/>
  <c r="V211" i="12"/>
  <c r="T75" i="12"/>
  <c r="U75" i="12"/>
  <c r="V75" i="12"/>
  <c r="T124" i="12"/>
  <c r="U124" i="12"/>
  <c r="V124" i="12"/>
  <c r="V47" i="12"/>
  <c r="T47" i="12"/>
  <c r="U47" i="12"/>
  <c r="U148" i="12"/>
  <c r="V148" i="12"/>
  <c r="T148" i="12"/>
  <c r="V66" i="12"/>
  <c r="U66" i="12"/>
  <c r="T66" i="12"/>
  <c r="T132" i="12"/>
  <c r="V132" i="12"/>
  <c r="U132" i="12"/>
  <c r="W206" i="12"/>
  <c r="X206" i="12"/>
  <c r="T101" i="12"/>
  <c r="V101" i="12"/>
  <c r="U101" i="12"/>
  <c r="U189" i="12"/>
  <c r="T189" i="12"/>
  <c r="V189" i="12"/>
  <c r="T151" i="12"/>
  <c r="V151" i="12"/>
  <c r="U151" i="12"/>
  <c r="V128" i="12"/>
  <c r="T128" i="12"/>
  <c r="U128" i="12"/>
  <c r="T227" i="12"/>
  <c r="U227" i="12"/>
  <c r="V227" i="12"/>
  <c r="U198" i="12"/>
  <c r="T198" i="12"/>
  <c r="V198" i="12"/>
  <c r="U140" i="12"/>
  <c r="T140" i="12"/>
  <c r="V140" i="12"/>
  <c r="U176" i="12"/>
  <c r="T176" i="12"/>
  <c r="V176" i="12"/>
  <c r="V34" i="12"/>
  <c r="T34" i="12"/>
  <c r="U34" i="12"/>
  <c r="T93" i="12"/>
  <c r="U93" i="12"/>
  <c r="V93" i="12"/>
  <c r="W122" i="12"/>
  <c r="X122" i="12"/>
  <c r="U184" i="12"/>
  <c r="T184" i="12"/>
  <c r="V184" i="12"/>
  <c r="U89" i="12"/>
  <c r="T89" i="12"/>
  <c r="V89" i="12"/>
  <c r="U69" i="12"/>
  <c r="V69" i="12"/>
  <c r="T69" i="12"/>
  <c r="U110" i="12"/>
  <c r="T110" i="12"/>
  <c r="V110" i="12"/>
  <c r="U212" i="12"/>
  <c r="V212" i="12"/>
  <c r="T212" i="12"/>
  <c r="T88" i="12"/>
  <c r="V88" i="12"/>
  <c r="U88" i="12"/>
  <c r="T82" i="12"/>
  <c r="U82" i="12"/>
  <c r="V82" i="12"/>
  <c r="V141" i="12"/>
  <c r="U141" i="12"/>
  <c r="T141" i="12"/>
  <c r="U103" i="12"/>
  <c r="T103" i="12"/>
  <c r="V103" i="12"/>
  <c r="V165" i="12"/>
  <c r="U165" i="12"/>
  <c r="T165" i="12"/>
  <c r="U219" i="12"/>
  <c r="T219" i="12"/>
  <c r="V219" i="12"/>
  <c r="X23" i="12"/>
  <c r="W23" i="12"/>
  <c r="V71" i="12"/>
  <c r="U71" i="12"/>
  <c r="T71" i="12"/>
  <c r="U175" i="12"/>
  <c r="V175" i="12"/>
  <c r="T175" i="12"/>
  <c r="T73" i="12"/>
  <c r="U73" i="12"/>
  <c r="V73" i="12"/>
  <c r="T188" i="12"/>
  <c r="V188" i="12"/>
  <c r="U188" i="12"/>
  <c r="V228" i="12"/>
  <c r="U228" i="12"/>
  <c r="T228" i="12"/>
  <c r="V86" i="12"/>
  <c r="U86" i="12"/>
  <c r="T86" i="12"/>
  <c r="V224" i="12"/>
  <c r="T224" i="12"/>
  <c r="U224" i="12"/>
  <c r="U92" i="12"/>
  <c r="V92" i="12"/>
  <c r="T92" i="12"/>
  <c r="U111" i="12"/>
  <c r="V111" i="12"/>
  <c r="T111" i="12"/>
  <c r="V114" i="12"/>
  <c r="U114" i="12"/>
  <c r="T114" i="12"/>
  <c r="T127" i="12"/>
  <c r="V127" i="12"/>
  <c r="U127" i="12"/>
  <c r="V36" i="12"/>
  <c r="U36" i="12"/>
  <c r="T36" i="12"/>
  <c r="U17" i="12"/>
  <c r="V17" i="12"/>
  <c r="T17" i="12"/>
  <c r="T164" i="12"/>
  <c r="U164" i="12"/>
  <c r="V164" i="12"/>
  <c r="T74" i="12"/>
  <c r="V74" i="12"/>
  <c r="U74" i="12"/>
  <c r="E111" i="8"/>
  <c r="E107" i="8" s="1"/>
  <c r="U110" i="8" a="1"/>
  <c r="U110" i="8" s="1"/>
  <c r="V110" i="8" s="1" a="1"/>
  <c r="V110" i="8" s="1"/>
  <c r="V16" i="12"/>
  <c r="U16" i="12"/>
  <c r="T16" i="12"/>
  <c r="AB15" i="11"/>
  <c r="AB7" i="11" s="1"/>
  <c r="Z3" i="11" s="1"/>
  <c r="AA3" i="11" s="1"/>
  <c r="AA156" i="5" s="1"/>
  <c r="W221" i="12"/>
  <c r="X221" i="12"/>
  <c r="U145" i="12"/>
  <c r="T145" i="12"/>
  <c r="V145" i="12"/>
  <c r="V222" i="12"/>
  <c r="U222" i="12"/>
  <c r="T222" i="12"/>
  <c r="O15" i="13"/>
  <c r="E34" i="14"/>
  <c r="D33" i="14"/>
  <c r="L15" i="13"/>
  <c r="P15" i="13"/>
  <c r="N15" i="13"/>
  <c r="O20" i="13"/>
  <c r="M15" i="13"/>
  <c r="U106" i="8"/>
  <c r="H71" i="9"/>
  <c r="U107" i="8"/>
  <c r="V111" i="8"/>
  <c r="U173" i="12" l="1"/>
  <c r="V173" i="12"/>
  <c r="T173" i="12"/>
  <c r="T129" i="12"/>
  <c r="V129" i="12"/>
  <c r="U129" i="12"/>
  <c r="U146" i="12"/>
  <c r="T146" i="12"/>
  <c r="V146" i="12"/>
  <c r="T218" i="12"/>
  <c r="V218" i="12"/>
  <c r="U218" i="12"/>
  <c r="V122" i="12"/>
  <c r="T122" i="12"/>
  <c r="U122" i="12"/>
  <c r="E106" i="8"/>
  <c r="E102" i="8" s="1"/>
  <c r="T23" i="12"/>
  <c r="V23" i="12"/>
  <c r="U23" i="12"/>
  <c r="U206" i="12"/>
  <c r="V206" i="12"/>
  <c r="T206" i="12"/>
  <c r="V38" i="12"/>
  <c r="T38" i="12"/>
  <c r="U38" i="12"/>
  <c r="T133" i="12"/>
  <c r="V133" i="12"/>
  <c r="U133" i="12"/>
  <c r="U190" i="12"/>
  <c r="T190" i="12"/>
  <c r="V190" i="12"/>
  <c r="V99" i="12"/>
  <c r="U99" i="12"/>
  <c r="T99" i="12"/>
  <c r="U200" i="12"/>
  <c r="T200" i="12"/>
  <c r="V200" i="12"/>
  <c r="U105" i="8"/>
  <c r="N15" i="11"/>
  <c r="N16" i="11" s="1"/>
  <c r="AA107" i="5"/>
  <c r="AA85" i="5"/>
  <c r="AA18" i="5"/>
  <c r="AA54" i="5"/>
  <c r="AA162" i="5"/>
  <c r="AA177" i="5"/>
  <c r="AA154" i="5"/>
  <c r="AA225" i="5"/>
  <c r="AA142" i="5"/>
  <c r="AA62" i="5"/>
  <c r="AA93" i="5"/>
  <c r="AA159" i="5"/>
  <c r="AA127" i="5"/>
  <c r="AA72" i="5"/>
  <c r="AA165" i="5"/>
  <c r="AA148" i="5"/>
  <c r="AA212" i="5"/>
  <c r="AA199" i="5"/>
  <c r="AA179" i="5"/>
  <c r="AA170" i="5"/>
  <c r="AA67" i="5"/>
  <c r="AA123" i="5"/>
  <c r="AA97" i="5"/>
  <c r="AA68" i="5"/>
  <c r="AD12" i="11"/>
  <c r="AA26" i="5"/>
  <c r="AA103" i="5"/>
  <c r="AA201" i="5"/>
  <c r="AA176" i="5"/>
  <c r="AA124" i="5"/>
  <c r="AA55" i="5"/>
  <c r="AA191" i="5"/>
  <c r="AA149" i="5"/>
  <c r="AA125" i="5"/>
  <c r="AA117" i="5"/>
  <c r="AA20" i="5"/>
  <c r="AA155" i="5"/>
  <c r="AA78" i="5"/>
  <c r="AA141" i="5"/>
  <c r="AA52" i="5"/>
  <c r="AD14" i="11"/>
  <c r="AA189" i="5"/>
  <c r="AA151" i="5"/>
  <c r="AA185" i="5"/>
  <c r="AA130" i="5"/>
  <c r="AA128" i="5"/>
  <c r="AA196" i="5"/>
  <c r="AA100" i="5"/>
  <c r="AA115" i="5"/>
  <c r="AA65" i="5"/>
  <c r="AA31" i="5"/>
  <c r="AA119" i="5"/>
  <c r="AA30" i="5"/>
  <c r="AA178" i="5"/>
  <c r="AA36" i="5"/>
  <c r="AA21" i="5"/>
  <c r="AA208" i="5"/>
  <c r="AA220" i="5"/>
  <c r="AA35" i="5"/>
  <c r="AA153" i="5"/>
  <c r="AA158" i="5"/>
  <c r="AA187" i="5"/>
  <c r="AA82" i="5"/>
  <c r="AA181" i="5"/>
  <c r="AA180" i="5"/>
  <c r="AA113" i="5"/>
  <c r="AA215" i="5"/>
  <c r="AA71" i="5"/>
  <c r="AA160" i="5"/>
  <c r="AA198" i="5"/>
  <c r="AA51" i="5"/>
  <c r="AA182" i="5"/>
  <c r="AA203" i="5"/>
  <c r="AA63" i="5"/>
  <c r="AA56" i="5"/>
  <c r="AA57" i="5"/>
  <c r="AA230" i="5"/>
  <c r="AA44" i="5"/>
  <c r="AA114" i="5"/>
  <c r="AA34" i="5"/>
  <c r="AA126" i="5"/>
  <c r="AA205" i="5"/>
  <c r="AA204" i="5"/>
  <c r="AA144" i="5"/>
  <c r="AA150" i="5"/>
  <c r="AA224" i="5"/>
  <c r="AA216" i="5"/>
  <c r="AA152" i="5"/>
  <c r="AA167" i="5"/>
  <c r="AA139" i="5"/>
  <c r="AA83" i="5"/>
  <c r="AA46" i="5"/>
  <c r="AA75" i="5"/>
  <c r="AA197" i="5"/>
  <c r="AA166" i="5"/>
  <c r="AA136" i="5"/>
  <c r="AA120" i="5"/>
  <c r="AA101" i="5"/>
  <c r="AA121" i="5"/>
  <c r="AA111" i="5"/>
  <c r="AA50" i="5"/>
  <c r="AA94" i="5"/>
  <c r="AA132" i="5"/>
  <c r="AA106" i="5"/>
  <c r="AA73" i="5"/>
  <c r="AA89" i="5"/>
  <c r="AA61" i="5"/>
  <c r="AA118" i="5"/>
  <c r="AA81" i="5"/>
  <c r="AA163" i="5"/>
  <c r="AA84" i="5"/>
  <c r="AA39" i="5"/>
  <c r="AA188" i="5"/>
  <c r="AA135" i="5"/>
  <c r="AA211" i="5"/>
  <c r="AA69" i="5"/>
  <c r="AA104" i="5"/>
  <c r="AA96" i="5"/>
  <c r="AA19" i="5"/>
  <c r="AA32" i="5"/>
  <c r="AA53" i="5"/>
  <c r="AA171" i="5"/>
  <c r="AA157" i="5"/>
  <c r="AA219" i="5"/>
  <c r="AA137" i="5"/>
  <c r="AA169" i="5"/>
  <c r="AA174" i="5"/>
  <c r="AA172" i="5"/>
  <c r="AA86" i="5"/>
  <c r="AA175" i="5"/>
  <c r="AA24" i="5"/>
  <c r="AA88" i="5"/>
  <c r="AA29" i="5"/>
  <c r="AA192" i="5"/>
  <c r="AA27" i="5"/>
  <c r="AA25" i="5"/>
  <c r="AA37" i="5"/>
  <c r="AA229" i="5"/>
  <c r="AA79" i="5"/>
  <c r="AA102" i="5"/>
  <c r="AA147" i="5"/>
  <c r="AA214" i="5"/>
  <c r="AA161" i="5"/>
  <c r="AA131" i="5"/>
  <c r="AA228" i="5"/>
  <c r="AA226" i="5" s="1"/>
  <c r="AA77" i="5"/>
  <c r="AA76" i="5"/>
  <c r="AA41" i="5"/>
  <c r="AA90" i="5"/>
  <c r="AA207" i="5"/>
  <c r="AA168" i="5"/>
  <c r="AA108" i="5"/>
  <c r="AA80" i="5"/>
  <c r="AA184" i="5"/>
  <c r="AA138" i="5"/>
  <c r="AA116" i="5"/>
  <c r="AA87" i="5"/>
  <c r="AA217" i="5"/>
  <c r="AA45" i="5"/>
  <c r="AA42" i="5"/>
  <c r="AA40" i="5"/>
  <c r="AA194" i="5"/>
  <c r="AA183" i="5"/>
  <c r="AA143" i="5"/>
  <c r="AA202" i="5"/>
  <c r="AA47" i="5"/>
  <c r="AA186" i="5"/>
  <c r="AA222" i="5"/>
  <c r="AA221" i="5" s="1"/>
  <c r="AA112" i="5"/>
  <c r="AA91" i="5"/>
  <c r="AA43" i="5"/>
  <c r="AA213" i="5"/>
  <c r="AA66" i="5"/>
  <c r="AA28" i="5"/>
  <c r="AA48" i="5"/>
  <c r="AA105" i="5"/>
  <c r="AA209" i="5"/>
  <c r="AA60" i="5"/>
  <c r="AA33" i="5"/>
  <c r="AA134" i="5"/>
  <c r="AA193" i="5"/>
  <c r="AA59" i="5"/>
  <c r="AA49" i="5"/>
  <c r="U221" i="12"/>
  <c r="T221" i="12"/>
  <c r="V221" i="12"/>
  <c r="G10" i="13"/>
  <c r="F34" i="14"/>
  <c r="V105" i="8"/>
  <c r="W110" i="8" a="1"/>
  <c r="W110" i="8" s="1"/>
  <c r="AA98" i="5"/>
  <c r="H69" i="9"/>
  <c r="U102" i="8"/>
  <c r="H68" i="9" s="1"/>
  <c r="H70" i="9"/>
  <c r="H73" i="9" s="1"/>
  <c r="J71" i="9"/>
  <c r="V106" i="8"/>
  <c r="V107" i="8"/>
  <c r="J70" i="9" s="1"/>
  <c r="J73" i="9" s="1"/>
  <c r="W111" i="8"/>
  <c r="AA22" i="5"/>
  <c r="AA92" i="5" l="1"/>
  <c r="C41" i="8" s="1"/>
  <c r="L18" i="13"/>
  <c r="D32" i="14" s="1"/>
  <c r="AA122" i="5"/>
  <c r="C59" i="8" s="1"/>
  <c r="AA99" i="5"/>
  <c r="C50" i="8" s="1"/>
  <c r="AA206" i="5"/>
  <c r="C92" i="8" s="1"/>
  <c r="AA223" i="5"/>
  <c r="AA195" i="5"/>
  <c r="C86" i="8" s="1"/>
  <c r="AA16" i="5"/>
  <c r="AA14" i="11" s="1"/>
  <c r="Z14" i="11" s="1"/>
  <c r="AA70" i="5"/>
  <c r="C35" i="8" s="1"/>
  <c r="AA23" i="5"/>
  <c r="C23" i="8" s="1"/>
  <c r="AA218" i="5"/>
  <c r="C98" i="8" s="1"/>
  <c r="AA38" i="5"/>
  <c r="C26" i="8" s="1"/>
  <c r="AA17" i="5"/>
  <c r="C17" i="8" s="1"/>
  <c r="AA173" i="5"/>
  <c r="C80" i="8" s="1"/>
  <c r="AA190" i="5"/>
  <c r="C83" i="8" s="1"/>
  <c r="AA164" i="5"/>
  <c r="C77" i="8" s="1"/>
  <c r="AA140" i="5"/>
  <c r="C68" i="8" s="1"/>
  <c r="AA74" i="5"/>
  <c r="C38" i="8" s="1"/>
  <c r="AA109" i="5"/>
  <c r="AA95" i="5"/>
  <c r="C44" i="8" s="1"/>
  <c r="AA227" i="5"/>
  <c r="AA200" i="5"/>
  <c r="C89" i="8" s="1"/>
  <c r="AA210" i="5"/>
  <c r="C95" i="8" s="1"/>
  <c r="AA133" i="5"/>
  <c r="C65" i="8" s="1"/>
  <c r="AA110" i="5"/>
  <c r="C56" i="8" s="1"/>
  <c r="AA129" i="5"/>
  <c r="C62" i="8" s="1"/>
  <c r="AA64" i="5"/>
  <c r="C32" i="8" s="1"/>
  <c r="AA58" i="5"/>
  <c r="C29" i="8" s="1"/>
  <c r="AA146" i="5"/>
  <c r="C74" i="8" s="1"/>
  <c r="AA15" i="5"/>
  <c r="AE12" i="11"/>
  <c r="M12" i="11" s="1"/>
  <c r="L12" i="11" s="1"/>
  <c r="AA145" i="5"/>
  <c r="X111" i="8"/>
  <c r="W106" i="8"/>
  <c r="L71" i="9"/>
  <c r="W107" i="8"/>
  <c r="L70" i="9" s="1"/>
  <c r="L73" i="9" s="1"/>
  <c r="J69" i="9"/>
  <c r="V102" i="8"/>
  <c r="J68" i="9" s="1"/>
  <c r="X110" i="8" a="1"/>
  <c r="X110" i="8" s="1"/>
  <c r="W105" i="8"/>
  <c r="U109" i="8" l="1" a="1"/>
  <c r="U109" i="8" s="1"/>
  <c r="V109" i="8" s="1" a="1"/>
  <c r="V109" i="8" s="1"/>
  <c r="E109" i="8" a="1"/>
  <c r="E109" i="8" s="1"/>
  <c r="E104" i="8" s="1"/>
  <c r="AA15" i="11"/>
  <c r="N71" i="9"/>
  <c r="X107" i="8"/>
  <c r="X106" i="8"/>
  <c r="Y111" i="8"/>
  <c r="L69" i="9"/>
  <c r="W102" i="8"/>
  <c r="L68" i="9" s="1"/>
  <c r="Y110" i="8" a="1"/>
  <c r="Y110" i="8" s="1"/>
  <c r="X105" i="8"/>
  <c r="AE14" i="11" l="1"/>
  <c r="M14" i="11" s="1"/>
  <c r="L14" i="11" s="1"/>
  <c r="U108" i="8"/>
  <c r="U103" i="8" s="1"/>
  <c r="U104" i="8"/>
  <c r="E108" i="8"/>
  <c r="E103" i="8" s="1"/>
  <c r="Z15" i="11"/>
  <c r="L15" i="11"/>
  <c r="W109" i="8" a="1"/>
  <c r="W109" i="8" s="1"/>
  <c r="V104" i="8"/>
  <c r="V108" i="8"/>
  <c r="Y106" i="8"/>
  <c r="P71" i="9"/>
  <c r="Y107" i="8"/>
  <c r="P70" i="9" s="1"/>
  <c r="P73" i="9" s="1"/>
  <c r="Z111" i="8"/>
  <c r="N70" i="9"/>
  <c r="N73" i="9" s="1"/>
  <c r="Y105" i="8"/>
  <c r="Z110" i="8" a="1"/>
  <c r="Z110" i="8" s="1"/>
  <c r="N69" i="9"/>
  <c r="X102" i="8"/>
  <c r="N68" i="9" s="1"/>
  <c r="V103" i="8" l="1"/>
  <c r="L16" i="13"/>
  <c r="D30" i="14" s="1"/>
  <c r="L16" i="11"/>
  <c r="L10" i="11"/>
  <c r="M10" i="13" s="1"/>
  <c r="M15" i="11"/>
  <c r="P69" i="9"/>
  <c r="Y102" i="8"/>
  <c r="P68" i="9" s="1"/>
  <c r="Z105" i="8"/>
  <c r="AA110" i="8" a="1"/>
  <c r="AA110" i="8" s="1"/>
  <c r="R71" i="9"/>
  <c r="Z106" i="8"/>
  <c r="Z107" i="8"/>
  <c r="R70" i="9" s="1"/>
  <c r="R73" i="9" s="1"/>
  <c r="AA111" i="8"/>
  <c r="X109" i="8" a="1"/>
  <c r="X109" i="8" s="1"/>
  <c r="W104" i="8"/>
  <c r="W108" i="8"/>
  <c r="W103" i="8" s="1"/>
  <c r="L17" i="13" l="1"/>
  <c r="D31" i="14" s="1"/>
  <c r="M10" i="11"/>
  <c r="N10" i="13" s="1"/>
  <c r="M16" i="11"/>
  <c r="G9" i="11" s="1"/>
  <c r="AA107" i="8"/>
  <c r="T70" i="9" s="1"/>
  <c r="T73" i="9" s="1"/>
  <c r="T71" i="9"/>
  <c r="AA106" i="8"/>
  <c r="AB111" i="8"/>
  <c r="X104" i="8"/>
  <c r="Y109" i="8" a="1"/>
  <c r="Y109" i="8" s="1"/>
  <c r="X108" i="8"/>
  <c r="X103" i="8" s="1"/>
  <c r="R69" i="9"/>
  <c r="Z102" i="8"/>
  <c r="R68" i="9" s="1"/>
  <c r="AA105" i="8"/>
  <c r="AB110" i="8" a="1"/>
  <c r="AB110" i="8" s="1"/>
  <c r="AB106" i="8" l="1"/>
  <c r="AB107" i="8"/>
  <c r="V70" i="9" s="1"/>
  <c r="V73" i="9" s="1"/>
  <c r="V71" i="9"/>
  <c r="AC111" i="8"/>
  <c r="Z109" i="8" a="1"/>
  <c r="Z109" i="8" s="1"/>
  <c r="Y104" i="8"/>
  <c r="Y108" i="8"/>
  <c r="Y103" i="8" s="1"/>
  <c r="AA102" i="8"/>
  <c r="T68" i="9" s="1"/>
  <c r="T69" i="9"/>
  <c r="AB105" i="8"/>
  <c r="AC110" i="8" a="1"/>
  <c r="AC110" i="8" s="1"/>
  <c r="AD110" i="8" l="1" a="1"/>
  <c r="AD110" i="8" s="1"/>
  <c r="AC105" i="8"/>
  <c r="AC107" i="8"/>
  <c r="X70" i="9" s="1"/>
  <c r="X73" i="9" s="1"/>
  <c r="X71" i="9"/>
  <c r="AC106" i="8"/>
  <c r="AD111" i="8"/>
  <c r="AA109" i="8" a="1"/>
  <c r="AA109" i="8" s="1"/>
  <c r="Z104" i="8"/>
  <c r="Z108" i="8"/>
  <c r="Z103" i="8" s="1"/>
  <c r="AB102" i="8"/>
  <c r="V68" i="9" s="1"/>
  <c r="V69" i="9"/>
  <c r="AA104" i="8" l="1"/>
  <c r="AB109" i="8" a="1"/>
  <c r="AB109" i="8" s="1"/>
  <c r="AA108" i="8"/>
  <c r="AA103" i="8" s="1"/>
  <c r="Z71" i="9"/>
  <c r="AD106" i="8"/>
  <c r="AD107" i="8"/>
  <c r="Z70" i="9" s="1"/>
  <c r="Z73" i="9" s="1"/>
  <c r="AE111" i="8"/>
  <c r="X69" i="9"/>
  <c r="AC102" i="8"/>
  <c r="X68" i="9" s="1"/>
  <c r="AE110" i="8" a="1"/>
  <c r="AE110" i="8" s="1"/>
  <c r="AD105" i="8"/>
  <c r="AF110" i="8" l="1" a="1"/>
  <c r="AF110" i="8" s="1"/>
  <c r="AF105" i="8" s="1"/>
  <c r="AE105" i="8"/>
  <c r="AB71" i="9"/>
  <c r="AE106" i="8"/>
  <c r="AE107" i="8"/>
  <c r="AB70" i="9" s="1"/>
  <c r="AB73" i="9" s="1"/>
  <c r="AF111" i="8"/>
  <c r="AD102" i="8"/>
  <c r="Z68" i="9" s="1"/>
  <c r="Z69" i="9"/>
  <c r="AC109" i="8" a="1"/>
  <c r="AC109" i="8" s="1"/>
  <c r="AB104" i="8"/>
  <c r="AB108" i="8"/>
  <c r="AB103" i="8" s="1"/>
  <c r="AC104" i="8" l="1"/>
  <c r="AD109" i="8" a="1"/>
  <c r="AD109" i="8" s="1"/>
  <c r="AC108" i="8"/>
  <c r="AC103" i="8" s="1"/>
  <c r="AD71" i="9"/>
  <c r="AF107" i="8"/>
  <c r="AF106" i="8"/>
  <c r="AB69" i="9"/>
  <c r="AE102" i="8"/>
  <c r="AB68" i="9" s="1"/>
  <c r="AF102" i="8" l="1"/>
  <c r="AD68" i="9" s="1"/>
  <c r="AD69" i="9"/>
  <c r="AD70" i="9"/>
  <c r="AD73" i="9" s="1"/>
  <c r="G73" i="9" s="1"/>
  <c r="F11" i="8" a="1"/>
  <c r="F11" i="8" s="1"/>
  <c r="AD104" i="8"/>
  <c r="AE109" i="8" a="1"/>
  <c r="AE109" i="8" s="1"/>
  <c r="AD108" i="8"/>
  <c r="AD103" i="8" s="1"/>
  <c r="AF109" i="8" l="1" a="1"/>
  <c r="AF109" i="8" s="1"/>
  <c r="AE104" i="8"/>
  <c r="AE108" i="8"/>
  <c r="AE103" i="8" s="1"/>
  <c r="AF104" i="8" l="1"/>
  <c r="AF108" i="8"/>
  <c r="AF103"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16"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<sst xmlns="http://schemas.openxmlformats.org/spreadsheetml/2006/main" count="3127" uniqueCount="1183">
  <si>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</si>
  <si>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</si>
  <si>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</si>
  <si>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</si>
  <si>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</si>
  <si>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</si>
  <si>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</si>
  <si>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</si>
  <si>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</si>
  <si>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</si>
  <si>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</si>
  <si>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</si>
  <si>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</si>
  <si>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</si>
  <si>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</si>
  <si>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</si>
  <si>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</si>
  <si>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</si>
  <si>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</si>
  <si>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</si>
  <si>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</si>
  <si>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</si>
  <si>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</si>
  <si>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</si>
  <si>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</si>
  <si>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</si>
  <si>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</si>
  <si>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</si>
  <si>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</si>
  <si>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</si>
  <si>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</si>
  <si>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</si>
  <si>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</si>
  <si>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</si>
  <si>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</si>
  <si>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</si>
  <si>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</si>
  <si>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</si>
  <si>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</si>
  <si>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</si>
  <si>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</si>
  <si>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</si>
  <si>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</si>
  <si>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</si>
  <si>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</si>
  <si>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</si>
  <si>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</si>
  <si>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</si>
  <si>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</si>
  <si>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</si>
  <si>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</si>
  <si>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</si>
  <si>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</si>
  <si>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</si>
  <si>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</si>
  <si>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</si>
  <si>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</si>
  <si>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</si>
  <si>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</si>
  <si>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</si>
  <si>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</si>
  <si>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</si>
  <si>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</si>
  <si>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</si>
  <si>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</si>
  <si>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</si>
  <si>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</si>
  <si>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</si>
  <si>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</si>
  <si>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</si>
  <si>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</si>
  <si>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</si>
  <si>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</si>
  <si>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</si>
  <si>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</si>
  <si>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</si>
  <si>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</si>
  <si>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</si>
  <si>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</si>
  <si>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</si>
  <si>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</si>
  <si>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</si>
  <si>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</si>
  <si>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</si>
  <si>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</si>
  <si>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</si>
  <si>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</si>
  <si>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</si>
  <si>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</si>
  <si>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</si>
  <si>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</si>
  <si>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</si>
  <si>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</si>
  <si>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</si>
  <si>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</si>
  <si>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</si>
  <si>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</si>
  <si>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</si>
  <si>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</si>
  <si>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</si>
  <si>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</si>
  <si>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</si>
  <si>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</si>
  <si>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</si>
  <si>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</si>
  <si>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</si>
  <si>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</si>
  <si>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</si>
  <si>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</si>
  <si>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</si>
  <si>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</si>
  <si>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</si>
  <si>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</si>
  <si>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</si>
  <si>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</si>
  <si>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</si>
  <si>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</si>
  <si>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</si>
  <si>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</si>
  <si>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</si>
  <si>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</si>
  <si>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</si>
  <si>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</si>
  <si>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</si>
  <si>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</si>
  <si>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</si>
  <si>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</si>
  <si>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</si>
  <si>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</si>
  <si>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</si>
  <si>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</si>
  <si>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</si>
  <si>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</si>
  <si>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</si>
  <si>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</si>
  <si>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</si>
  <si>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</si>
  <si>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</si>
  <si>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</si>
  <si>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</si>
  <si>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</si>
  <si>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</si>
  <si>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</si>
  <si>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</si>
  <si>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</si>
  <si>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</si>
  <si>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</si>
  <si>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</si>
  <si>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</si>
  <si>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</si>
  <si>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</si>
  <si>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</si>
  <si>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</si>
  <si>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</si>
  <si>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</si>
  <si>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</si>
  <si>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</si>
  <si>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</si>
  <si>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</si>
  <si>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</si>
  <si>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</si>
  <si>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</si>
  <si>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</si>
  <si>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</si>
  <si>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</si>
  <si>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</si>
  <si>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</si>
  <si>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</si>
  <si>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</si>
  <si>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</si>
  <si>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</si>
  <si>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</si>
  <si>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</si>
  <si>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</si>
  <si>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</si>
  <si>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</si>
  <si>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</si>
  <si>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</si>
  <si>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</si>
  <si>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</si>
  <si>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</si>
  <si>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</si>
  <si>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</si>
  <si>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</si>
  <si>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</si>
  <si>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</si>
  <si>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</si>
  <si>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</si>
  <si>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</si>
  <si>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</si>
  <si>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</si>
  <si>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</si>
  <si>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</si>
  <si>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</si>
  <si>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</si>
  <si>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</si>
  <si>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</si>
  <si>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</si>
  <si>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</si>
  <si>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</si>
  <si>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</si>
  <si>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</si>
  <si>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</si>
  <si>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</si>
  <si>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</si>
  <si>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</si>
  <si>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</si>
  <si>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</si>
  <si>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</si>
  <si>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</si>
  <si>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</si>
  <si>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</si>
  <si>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</si>
  <si>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</si>
  <si>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</si>
  <si>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</si>
  <si>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</si>
  <si>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</si>
  <si>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</si>
  <si>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</si>
  <si>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</si>
  <si>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</si>
  <si>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</si>
  <si>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</si>
  <si>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</si>
  <si>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</si>
  <si>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</si>
  <si>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</si>
  <si>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</si>
  <si>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</si>
  <si>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</si>
  <si>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</si>
  <si>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</si>
  <si>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</si>
  <si>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</si>
  <si>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</si>
  <si>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</si>
  <si>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</si>
  <si>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</si>
  <si>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</si>
  <si>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</si>
  <si>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</si>
  <si>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</si>
  <si>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</si>
  <si>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</si>
  <si>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</si>
  <si>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</si>
  <si>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</si>
  <si>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</si>
  <si>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</si>
  <si>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</si>
  <si>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</si>
  <si>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</si>
  <si>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</si>
  <si>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</si>
  <si>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</si>
  <si>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</si>
  <si>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</si>
  <si>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</si>
  <si>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</si>
  <si>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</si>
  <si>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</si>
  <si>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</si>
  <si>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</si>
  <si>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</si>
  <si>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TransfereGOV</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</si>
  <si>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</si>
  <si>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</si>
  <si>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</si>
  <si>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</si>
  <si>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</si>
  <si>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</si>
  <si>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</si>
  <si>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</si>
  <si>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</si>
  <si>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</si>
  <si>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</si>
  <si>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</si>
  <si>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</si>
  <si>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</si>
  <si>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</si>
  <si>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</si>
  <si>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</si>
  <si>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</si>
  <si>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</si>
  <si>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</si>
  <si>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</si>
  <si>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</si>
  <si>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</si>
  <si>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</si>
  <si>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</si>
  <si>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</si>
  <si>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</si>
  <si>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</si>
  <si>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</si>
  <si>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</si>
  <si>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</si>
  <si>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</si>
  <si>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</si>
  <si>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</si>
  <si>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</si>
  <si>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</si>
  <si>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</si>
  <si>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</si>
  <si>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</si>
  <si>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</si>
  <si>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</si>
  <si>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</si>
  <si>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</si>
  <si>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</si>
  <si>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</si>
  <si>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</si>
  <si>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</si>
  <si>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</si>
  <si>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</si>
  <si>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</si>
  <si>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</si>
  <si>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</si>
  <si>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</si>
  <si>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</si>
  <si>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</si>
  <si>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</si>
  <si>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</si>
  <si>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</si>
  <si>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</si>
  <si>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</si>
  <si>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</si>
  <si>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</si>
  <si>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</si>
  <si>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</si>
  <si>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</si>
  <si>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</si>
  <si>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</si>
  <si>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</si>
  <si>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</si>
  <si>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</si>
  <si>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</si>
  <si>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</si>
  <si>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</si>
  <si>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</si>
  <si>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</si>
  <si>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</si>
  <si>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</si>
  <si>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</si>
  <si>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</si>
  <si>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</si>
  <si>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</si>
  <si>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</si>
  <si>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</si>
  <si>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</si>
  <si>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</si>
  <si>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</si>
  <si>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</si>
  <si>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</si>
  <si>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</si>
  <si>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</si>
  <si>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</si>
  <si>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</si>
  <si>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</si>
  <si>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</si>
  <si>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</si>
  <si>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</si>
  <si>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</si>
  <si>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</si>
  <si>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</si>
  <si>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</si>
  <si>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</si>
  <si>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</si>
  <si>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</si>
  <si>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</si>
  <si>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</si>
  <si>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</si>
  <si>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</si>
  <si>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</si>
  <si>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</si>
  <si>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</si>
  <si>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</si>
  <si>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</si>
  <si>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</si>
  <si>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</si>
  <si>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</si>
  <si>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</si>
  <si>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</si>
  <si>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</si>
  <si>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</si>
  <si>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</si>
  <si>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</si>
  <si>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</si>
  <si>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</si>
  <si>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</si>
  <si>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</si>
  <si>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</si>
  <si>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</si>
  <si>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</si>
  <si>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</si>
  <si>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</si>
  <si>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</si>
  <si>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</si>
  <si>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</si>
  <si>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</si>
  <si>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</si>
  <si>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</si>
  <si>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</si>
  <si>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</si>
  <si>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</si>
  <si>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</si>
  <si>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</si>
  <si>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</si>
  <si>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</si>
  <si>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</si>
  <si>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</si>
  <si>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</si>
  <si>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</si>
  <si>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</si>
  <si>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</si>
  <si>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</si>
  <si>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</si>
  <si>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</si>
  <si>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</si>
  <si>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</si>
  <si>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</si>
  <si>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</si>
  <si>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</si>
  <si>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</si>
  <si>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</si>
  <si>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</si>
  <si>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</si>
  <si>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</si>
  <si>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</si>
  <si>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</si>
  <si>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</si>
  <si>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</si>
  <si>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</si>
  <si>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</si>
  <si>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</si>
  <si>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</si>
  <si>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</si>
  <si>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</si>
  <si>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</si>
  <si>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</si>
  <si>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</si>
  <si>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</si>
  <si>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</si>
  <si>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</si>
  <si>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</si>
  <si>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</si>
  <si>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</si>
  <si>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</si>
  <si>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</si>
  <si>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</si>
  <si>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</si>
  <si>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</si>
  <si>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</si>
  <si>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</si>
  <si>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</si>
  <si>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</si>
  <si>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</si>
  <si>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</si>
  <si>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</si>
  <si>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</si>
  <si>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</si>
  <si>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</si>
  <si>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</si>
  <si>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</si>
  <si>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</si>
  <si>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</si>
  <si>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</si>
  <si>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</si>
  <si>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</si>
  <si>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</si>
  <si>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</si>
  <si>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</si>
  <si>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</si>
  <si>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</si>
  <si>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</si>
  <si>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</si>
  <si>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</si>
  <si>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</si>
  <si>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</si>
  <si>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</si>
  <si>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</si>
  <si>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</si>
  <si>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</si>
  <si>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</si>
  <si>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</si>
  <si>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</si>
  <si>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</si>
  <si>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</si>
  <si>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</si>
  <si>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</si>
  <si>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</si>
  <si>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</si>
  <si>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</si>
  <si>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</si>
  <si>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</si>
  <si>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</si>
  <si>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</si>
  <si>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</si>
  <si>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</si>
  <si>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</si>
  <si>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</si>
  <si>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</si>
  <si>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</si>
  <si>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</si>
  <si>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</si>
  <si>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</si>
  <si>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</si>
  <si>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</si>
  <si>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</si>
  <si>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</si>
  <si>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</si>
  <si>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</si>
  <si>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</si>
  <si>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</si>
  <si>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</si>
  <si>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</si>
  <si>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</si>
  <si>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</si>
  <si>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</si>
  <si>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</si>
  <si>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</si>
  <si>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</si>
  <si>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</si>
  <si>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</si>
  <si>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</si>
  <si>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</si>
  <si>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</si>
  <si>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</si>
  <si>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</si>
  <si>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</si>
  <si>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</si>
  <si>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</si>
  <si>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</si>
  <si>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</si>
  <si>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</si>
  <si>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</si>
  <si>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</si>
  <si>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</si>
  <si>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</si>
  <si>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</si>
  <si>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</si>
  <si>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</si>
  <si>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</si>
  <si>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</si>
  <si>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</si>
  <si>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</si>
  <si>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</si>
  <si>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</si>
  <si>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</si>
  <si>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</si>
  <si>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</si>
  <si>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</si>
  <si>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</si>
  <si>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</si>
  <si>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</si>
  <si>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</si>
  <si>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</si>
  <si>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</si>
  <si>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</si>
  <si>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</si>
  <si>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</si>
  <si>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</si>
  <si>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</si>
  <si>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</si>
  <si>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</si>
  <si>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</si>
  <si>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</si>
  <si>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</si>
  <si>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</si>
  <si>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</si>
  <si>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</si>
  <si>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</si>
  <si>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</si>
  <si>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</si>
  <si>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</si>
  <si>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</si>
  <si>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</si>
  <si>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</si>
  <si>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</si>
  <si>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</si>
  <si>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</si>
  <si>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</si>
  <si>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</si>
  <si>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</si>
  <si>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</si>
  <si>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</si>
  <si>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</si>
  <si>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</si>
  <si>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</si>
  <si>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</si>
  <si>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</si>
  <si>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</si>
  <si>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</si>
  <si>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</si>
  <si>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</si>
  <si>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</si>
  <si>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</si>
  <si>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</si>
  <si>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</si>
  <si>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</si>
  <si>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</si>
  <si>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</si>
  <si>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</si>
  <si>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</si>
  <si>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</si>
  <si>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</si>
  <si>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</si>
  <si>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</si>
  <si>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</si>
  <si>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</si>
  <si>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</si>
  <si>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</si>
  <si>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</si>
  <si>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</si>
  <si>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</si>
  <si>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</si>
  <si>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</si>
  <si>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</si>
  <si>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</si>
  <si>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</si>
  <si>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</si>
  <si>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</si>
  <si>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</si>
  <si>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</si>
  <si>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</si>
  <si>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</si>
  <si>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</si>
  <si>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</si>
  <si>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</si>
  <si>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</si>
  <si>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</si>
  <si>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</si>
  <si>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</si>
  <si>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</si>
  <si>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</si>
  <si>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</si>
  <si>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</si>
  <si>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</si>
  <si>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</si>
  <si>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</si>
  <si>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</si>
  <si>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</si>
  <si>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</si>
  <si>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</si>
  <si>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</si>
  <si>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</si>
  <si>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</si>
  <si>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</si>
  <si>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</si>
  <si>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</si>
  <si>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</si>
  <si>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</si>
  <si>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</si>
  <si>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</si>
  <si>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</si>
  <si>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</si>
  <si>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</si>
  <si>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</si>
  <si>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</si>
  <si>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</si>
  <si>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</si>
  <si>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</si>
  <si>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</si>
  <si>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</si>
  <si>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</si>
  <si>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</si>
  <si>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</si>
  <si>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</si>
  <si>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</si>
  <si>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</si>
  <si>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</si>
  <si>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</si>
  <si>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</si>
  <si>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</si>
  <si>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</si>
  <si>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</si>
  <si>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</si>
  <si>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</si>
  <si>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</si>
  <si>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</si>
  <si>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</si>
  <si>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</si>
  <si>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</si>
  <si>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</si>
  <si>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</si>
  <si>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</si>
  <si>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</si>
  <si>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</si>
  <si>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</si>
  <si>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</si>
  <si>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</si>
  <si>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</si>
  <si>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</si>
  <si>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</si>
  <si>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</si>
  <si>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</si>
  <si>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</si>
  <si>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</si>
  <si>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</si>
  <si>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</si>
  <si>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</si>
  <si>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</si>
  <si>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</si>
  <si>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</si>
  <si>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</si>
  <si>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</si>
  <si>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</si>
  <si>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</si>
  <si>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</si>
  <si>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</si>
  <si>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</si>
  <si>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</si>
  <si>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</si>
  <si>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</si>
  <si>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</si>
  <si>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</si>
  <si>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</si>
  <si>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</si>
  <si>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</si>
  <si>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</si>
  <si>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</si>
  <si>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</si>
  <si>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</si>
  <si>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</si>
  <si>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</si>
  <si>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</si>
  <si>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</si>
  <si>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</si>
  <si>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</si>
  <si>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</si>
  <si>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</si>
  <si>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</si>
  <si>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</si>
  <si>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</si>
  <si>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</si>
  <si>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</si>
  <si>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</si>
  <si>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</si>
  <si>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</si>
  <si>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</si>
  <si>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</si>
  <si>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</si>
  <si>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</si>
  <si>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</si>
  <si>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</si>
  <si>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</si>
  <si>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</si>
  <si>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</si>
  <si>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</si>
  <si>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</si>
  <si>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</si>
  <si>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</si>
  <si>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</si>
  <si>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</si>
  <si>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</si>
  <si>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</si>
  <si>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</si>
  <si>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</si>
  <si>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</si>
  <si>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</si>
  <si>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</si>
  <si>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</si>
  <si>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</si>
  <si>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</si>
  <si>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</si>
  <si>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</si>
  <si>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</si>
  <si>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</si>
  <si>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</si>
  <si>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</si>
  <si>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</si>
  <si>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</si>
  <si>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</si>
  <si>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</si>
  <si>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</si>
  <si>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</si>
  <si>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</si>
  <si>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</si>
  <si>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</si>
  <si>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</si>
  <si>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</si>
  <si>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</si>
  <si>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</si>
  <si>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</si>
  <si>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</si>
  <si>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</si>
  <si>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</si>
  <si>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</si>
  <si>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</si>
  <si>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</si>
  <si>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</si>
  <si>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</si>
  <si>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</si>
  <si>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</si>
  <si>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</si>
  <si>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</si>
  <si>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</si>
  <si>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</si>
  <si>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</si>
  <si>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</si>
  <si>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</si>
  <si>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</si>
  <si>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</si>
  <si>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</si>
  <si>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</si>
  <si>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</si>
  <si>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</si>
  <si>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</si>
  <si>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</si>
  <si>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</si>
  <si>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</si>
  <si>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</si>
  <si>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</si>
  <si>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</si>
  <si>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</si>
  <si>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</si>
  <si>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</si>
  <si>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</si>
  <si>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</si>
  <si>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</si>
  <si>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</si>
  <si>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</si>
  <si>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</si>
  <si>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</si>
  <si>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</si>
  <si>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</si>
  <si>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</si>
  <si>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</si>
  <si>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</si>
  <si>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</si>
  <si>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</si>
  <si>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</si>
  <si>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</si>
  <si>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</si>
  <si>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</si>
  <si>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</si>
  <si>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</si>
  <si>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</si>
  <si>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</si>
  <si>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</si>
  <si>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</si>
  <si>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</si>
  <si>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</si>
  <si>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</si>
  <si>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</si>
  <si>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</si>
  <si>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</si>
  <si>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</si>
  <si>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</si>
  <si>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</si>
  <si>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</si>
  <si>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</si>
  <si>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</si>
  <si>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</si>
  <si>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</si>
  <si>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</si>
  <si>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</si>
  <si>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</si>
  <si>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</si>
  <si>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</si>
  <si>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</si>
  <si>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</si>
  <si>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</si>
  <si>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</si>
  <si>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</si>
  <si>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</si>
  <si>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</si>
  <si>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</si>
  <si>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</si>
  <si>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</si>
  <si>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</si>
  <si>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</si>
  <si>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</si>
  <si>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</si>
  <si>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</si>
  <si>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</si>
  <si>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</si>
  <si>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</si>
  <si>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</si>
  <si>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</si>
  <si>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</si>
  <si>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</si>
  <si>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</si>
  <si>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</si>
  <si>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</si>
  <si>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</si>
  <si>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</si>
  <si>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</si>
  <si>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</si>
  <si>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</si>
  <si>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</si>
  <si>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</si>
  <si>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</si>
  <si>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</si>
  <si>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</si>
  <si>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</si>
  <si>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</si>
  <si>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</si>
  <si>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</si>
  <si>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</si>
  <si>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</si>
  <si>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</si>
  <si>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</si>
  <si>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</si>
  <si>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</si>
  <si>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</si>
  <si>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</si>
  <si>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</si>
  <si>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</si>
  <si>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</si>
  <si>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</si>
  <si>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</si>
  <si>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</si>
  <si>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</si>
  <si>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</si>
  <si>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</si>
  <si>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</si>
  <si>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</si>
  <si>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</si>
  <si>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</si>
  <si>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</si>
  <si>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</si>
  <si>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</si>
  <si>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</si>
  <si>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</si>
  <si>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</si>
  <si>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</si>
  <si>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</si>
  <si>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</si>
  <si>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</si>
  <si>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</si>
  <si>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</si>
  <si>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</si>
  <si>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</si>
  <si>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</si>
  <si>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</si>
  <si>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</si>
  <si>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</si>
  <si>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</si>
  <si>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</si>
  <si>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</si>
  <si>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</si>
  <si>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</si>
  <si>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</si>
  <si>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</si>
  <si>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</si>
  <si>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</si>
  <si>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</si>
  <si>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v3.12</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</si>
  <si>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</si>
  <si>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</si>
  <si>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</si>
  <si>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FGTS</t>
  </si>
  <si>
    <t>PREFEITURA MUNICIPAL DE PASSOS/MG</t>
  </si>
  <si>
    <t>PASSOS/MG</t>
  </si>
  <si>
    <t>56000003291</t>
  </si>
  <si>
    <t>0639.998-99</t>
  </si>
  <si>
    <t>AMPLIAÇÃO DO SISTEMA DE ESGOTAMENTO SANITÁRIO</t>
  </si>
  <si>
    <t>ELEVATÓRIA DE ESGOTO BRUTO ACLIMAÇÃO, LINHA DE RECALQUE E EMISSÁRIO DE ESGOTO</t>
  </si>
  <si>
    <t>NÃO DESONERADO</t>
  </si>
  <si>
    <t>DIEGO RODRIGO OLIVEIRA</t>
  </si>
  <si>
    <t>PREFEITO MUNICIPAL</t>
  </si>
  <si>
    <t>APARECIDO REIS DOS SANTOS</t>
  </si>
  <si>
    <t>ENGENHEIRO CIVIL- GERENTE DE PROJETOS</t>
  </si>
  <si>
    <t>248.358/D</t>
  </si>
  <si>
    <t>65000007</t>
  </si>
  <si>
    <t>65003892</t>
  </si>
  <si>
    <t>2706</t>
  </si>
  <si>
    <t>COPASA</t>
  </si>
  <si>
    <t>SINAPI-I</t>
  </si>
  <si>
    <t>ADMINISTRAÇÃO LOCAL - CANTEIRO DE OBRAS</t>
  </si>
  <si>
    <t>LINHA DE RECALQUE</t>
  </si>
  <si>
    <t>ASSENTAMENTO LINHA DE RECALQUE</t>
  </si>
  <si>
    <t>65001168</t>
  </si>
  <si>
    <t>65000160</t>
  </si>
  <si>
    <t>65000152</t>
  </si>
  <si>
    <t>65000199</t>
  </si>
  <si>
    <t>65000172</t>
  </si>
  <si>
    <t>65000173</t>
  </si>
  <si>
    <t>100574</t>
  </si>
  <si>
    <t>65000221</t>
  </si>
  <si>
    <t>65000232</t>
  </si>
  <si>
    <t>65000395</t>
  </si>
  <si>
    <t>65004986</t>
  </si>
  <si>
    <t>65000207</t>
  </si>
  <si>
    <t>BLOCOS DE ANCORAGEM</t>
  </si>
  <si>
    <t>65002373</t>
  </si>
  <si>
    <t>TRAVESSIA RODOVIA MG-050</t>
  </si>
  <si>
    <t>65002557</t>
  </si>
  <si>
    <t>65000329</t>
  </si>
  <si>
    <t>65000313</t>
  </si>
  <si>
    <t>65002838</t>
  </si>
  <si>
    <t>POÇO DE VISITA PARA PROTEÇÃO VENTOSAS E DESCARGAS</t>
  </si>
  <si>
    <t>Cotação</t>
  </si>
  <si>
    <t>Composição</t>
  </si>
  <si>
    <t>COT 10</t>
  </si>
  <si>
    <t>COT 11</t>
  </si>
  <si>
    <t>COT 12</t>
  </si>
  <si>
    <t>COT 13</t>
  </si>
  <si>
    <t>COT 14</t>
  </si>
  <si>
    <t>COT 15</t>
  </si>
  <si>
    <t>COT 16</t>
  </si>
  <si>
    <t>COT 17</t>
  </si>
  <si>
    <t>COT 18</t>
  </si>
  <si>
    <t>LINHA DE RECALQUE INCLUI TRAVESSIA - MATERIAIS</t>
  </si>
  <si>
    <t>COT 19</t>
  </si>
  <si>
    <t>COT 20</t>
  </si>
  <si>
    <t>COT 21</t>
  </si>
  <si>
    <t>COT 22</t>
  </si>
  <si>
    <t>COT 23</t>
  </si>
  <si>
    <t>COT 24</t>
  </si>
  <si>
    <t>COT 25</t>
  </si>
  <si>
    <t>COT 27</t>
  </si>
  <si>
    <t>11301</t>
  </si>
  <si>
    <t xml:space="preserve">TRAVESSIA RODOVIA MG-050 - MATERIAIS </t>
  </si>
  <si>
    <t>41934</t>
  </si>
  <si>
    <t>COT 01</t>
  </si>
  <si>
    <t>COT 02</t>
  </si>
  <si>
    <t>COT 03</t>
  </si>
  <si>
    <t>COT 04</t>
  </si>
  <si>
    <t>COT 05</t>
  </si>
  <si>
    <t>COT 06</t>
  </si>
  <si>
    <t>COT 07</t>
  </si>
  <si>
    <t>COT 08</t>
  </si>
  <si>
    <t>COT 09</t>
  </si>
  <si>
    <t>BY-PASS - MATERIAIS</t>
  </si>
  <si>
    <t>BY-PASS</t>
  </si>
  <si>
    <t>REDE EMISSÁRIO DE ESGOTO</t>
  </si>
  <si>
    <t>65000161</t>
  </si>
  <si>
    <t>65000162</t>
  </si>
  <si>
    <t>65000181</t>
  </si>
  <si>
    <t>65002545</t>
  </si>
  <si>
    <t>65000176</t>
  </si>
  <si>
    <t>ESCORAMENTO, ESGOTAMENTO E DRENAGEM</t>
  </si>
  <si>
    <t>65000208</t>
  </si>
  <si>
    <t>65002540</t>
  </si>
  <si>
    <t>65004183</t>
  </si>
  <si>
    <t>65001171</t>
  </si>
  <si>
    <t>65000380</t>
  </si>
  <si>
    <t>ASSENTAMENTOS</t>
  </si>
  <si>
    <t>POÇO DE VISITA</t>
  </si>
  <si>
    <t>65003547</t>
  </si>
  <si>
    <t>65003548</t>
  </si>
  <si>
    <t>65003553</t>
  </si>
  <si>
    <t>65003793</t>
  </si>
  <si>
    <t>65004184</t>
  </si>
  <si>
    <t>41932</t>
  </si>
  <si>
    <t>11299</t>
  </si>
  <si>
    <t>99059</t>
  </si>
  <si>
    <t>65000196</t>
  </si>
  <si>
    <t>65000180</t>
  </si>
  <si>
    <t>EMISSÁRIO DE ESGOTO - MATERIAIS</t>
  </si>
  <si>
    <t>ELEVATÓRIA DE ESGOTO</t>
  </si>
  <si>
    <t>SERVIÇOS PRELIMINARES</t>
  </si>
  <si>
    <t>MOVIMENTO DE TERRA</t>
  </si>
  <si>
    <t>96523</t>
  </si>
  <si>
    <t>100577</t>
  </si>
  <si>
    <t>96534</t>
  </si>
  <si>
    <t>94962</t>
  </si>
  <si>
    <t>96544</t>
  </si>
  <si>
    <t>96545</t>
  </si>
  <si>
    <t>96546</t>
  </si>
  <si>
    <t>ED-49806</t>
  </si>
  <si>
    <t>104110</t>
  </si>
  <si>
    <t>104108</t>
  </si>
  <si>
    <t>FUNDAÇÃO</t>
  </si>
  <si>
    <t>SEINFRA</t>
  </si>
  <si>
    <t>PISO</t>
  </si>
  <si>
    <t>97086</t>
  </si>
  <si>
    <t>92771</t>
  </si>
  <si>
    <t>104107</t>
  </si>
  <si>
    <t>92411</t>
  </si>
  <si>
    <t>ESTRUTURA</t>
  </si>
  <si>
    <t>100067</t>
  </si>
  <si>
    <t>92916</t>
  </si>
  <si>
    <t>92919</t>
  </si>
  <si>
    <t>99439</t>
  </si>
  <si>
    <t>65004979</t>
  </si>
  <si>
    <t>PAREDE DE CONTENÇÃO ARMADA</t>
  </si>
  <si>
    <t>ED-50847</t>
  </si>
  <si>
    <t>LAJE COBERTURA</t>
  </si>
  <si>
    <t>94990</t>
  </si>
  <si>
    <t>65000403</t>
  </si>
  <si>
    <t>65002366</t>
  </si>
  <si>
    <t>65001138</t>
  </si>
  <si>
    <t>65001132</t>
  </si>
  <si>
    <t>ED-50949</t>
  </si>
  <si>
    <t>ED-50846</t>
  </si>
  <si>
    <t>COT 29</t>
  </si>
  <si>
    <t>87794</t>
  </si>
  <si>
    <t>65004834</t>
  </si>
  <si>
    <t>DIVERSOS</t>
  </si>
  <si>
    <t>REVESTIMENTO, IMPERMEABILIZAÇÃO E PINTURA</t>
  </si>
  <si>
    <t>103387</t>
  </si>
  <si>
    <t xml:space="preserve">1226/5,80 = 211,37 </t>
  </si>
  <si>
    <t>001</t>
  </si>
  <si>
    <t>Em Análise</t>
  </si>
  <si>
    <t>PLACA DE OBRA 4,00X1,50M</t>
  </si>
  <si>
    <t>CONSIDERADO 8 MESES DE OBRA</t>
  </si>
  <si>
    <t>CONSIDERADO 8 MESES DE OBRA, E ATUAÇÃO DE 10H/MÊS</t>
  </si>
  <si>
    <t>CONSIDERADO 8 MESES DE OBRA, E ATUAÇÃO DE 100H/MÊS</t>
  </si>
  <si>
    <t xml:space="preserve">CONFORME PROJETO </t>
  </si>
  <si>
    <t>UMA NO INÍCIO E OUTRA NO FINAL</t>
  </si>
  <si>
    <t>DESVIO REALIZADO PARA MANUTENÇÃO</t>
  </si>
  <si>
    <t>TAMPA SOBRE DESVIO REALIZADO PARA MANUTENÇÃO</t>
  </si>
  <si>
    <t>CONSIDERADO TODAS AS TAMPAS DOS PVS</t>
  </si>
  <si>
    <t>CONFORME PROJETO POSSUI 2</t>
  </si>
  <si>
    <t>CONFORME PROJETO POSSUI 8</t>
  </si>
  <si>
    <t>PROLONGAMENTO DOS PVS PARA ATENDER AS COTAS DE NÍVEIS</t>
  </si>
  <si>
    <t>PRAZO ESTIMADO PARA PRESTAÇÃO DE SERVIÇOS</t>
  </si>
  <si>
    <t>CONFORME PROJETO</t>
  </si>
  <si>
    <t>USADA NO INICIO E NO FIM</t>
  </si>
  <si>
    <t>ESCOPO DE SERVIÇO PARA EXTENSÃO DE 52,00M</t>
  </si>
  <si>
    <t>CONFORME PROJETO 1.126,00M E FOLGA DE EXECUÇÃO</t>
  </si>
  <si>
    <t>65000177</t>
  </si>
  <si>
    <t>CONSIDERAR 8,00 * 4 = 32,00</t>
  </si>
  <si>
    <t>CONSIDERAR 8,00 * 8,00 *0,1= 3,60</t>
  </si>
  <si>
    <t>65000149</t>
  </si>
  <si>
    <t>REATERRO DE MATERIAL PARA ACERTO</t>
  </si>
  <si>
    <t>CONSIDERANDO ÁREA E DEIXANDO PARTE PARA REATERRO</t>
  </si>
  <si>
    <t>CONSIDERAR APENAS UMA PARCELA E OUTRA SERÁ DESTINADA PARA REATERRO</t>
  </si>
  <si>
    <t xml:space="preserve">SOMATÓRIO DO TRAJETO DE AMBAS REDES </t>
  </si>
  <si>
    <t>IGUAL A CARGA</t>
  </si>
  <si>
    <t>ELEVATÓRIA DE ESGOTO - MATERIAIS</t>
  </si>
  <si>
    <t>PV3+4+5+6+7+9+10+11+12+13+14+16 ++PV68+73+74+75+76+78+79+80+81+82+83+84+85+86+87+88</t>
  </si>
  <si>
    <t>PV1+2++PV69+70+72+77+89</t>
  </si>
  <si>
    <t>PV16+22+71</t>
  </si>
  <si>
    <t>PV8+17+18+19+20+21</t>
  </si>
  <si>
    <t>65000381</t>
  </si>
  <si>
    <t>CONCLUSÃO DA OBRA</t>
  </si>
  <si>
    <t>PROJETO AS BUILT</t>
  </si>
  <si>
    <t>65001149</t>
  </si>
  <si>
    <t>65001205</t>
  </si>
  <si>
    <t>ED-21776</t>
  </si>
  <si>
    <t>65001150</t>
  </si>
  <si>
    <t>1192+1698=2890M</t>
  </si>
  <si>
    <t>ED-29821</t>
  </si>
  <si>
    <t>ED-29822</t>
  </si>
  <si>
    <t>ED-49741</t>
  </si>
  <si>
    <t>002</t>
  </si>
  <si>
    <t>EXTENSÃO DE REDE A SER EXECUTADA DO PONTO DA SUBESTAÇAO EXISTENTE ATÉ A ESTAÇÃO ELEVATÓRIA DE ESGOTO, EM TRECHO ESTIMADO DE 120METROS, COM 2 TRANSFORMADOR E EMPREITADA GLOBAL COM LIGAÇÃO JUNTO A CEMIG.</t>
  </si>
  <si>
    <t>CONFORME PROJETO: AREA DO FUNDO [1,80x1,80=3,24m²] ÁREA DE FORMAS [1,80x2,50x4=18,00M² + 1,4x2,50x4=14,00 = 32,00m²] CONCRETO 15MPA FUNDO [3,42*0,1= 0,33M³] PAREDES DE CONCRETO [1,28M²x2,50=3,20M³ + 2,17 DO BLOCO DE COROAMENTO=5,37M³] O AÇO REFERENCIA A ESTIMATIVA DE [70KG/M3 DE CONCRETO X 5,37=375,9KG] SUPORTE DE ALVENARIA PARA TAMPAO 0,75M² E 1 TAMPAO FOFO DN600</t>
  </si>
  <si>
    <t>CO-28390</t>
  </si>
  <si>
    <t>CO-28388</t>
  </si>
  <si>
    <t>CONSIDERAR 8 FUROS COM PROFUNDIDADE MÍNIMA DE 10METROS</t>
  </si>
  <si>
    <t>CONSIDERADO EFETUAR EM DOIS DIAS</t>
  </si>
  <si>
    <t>CONFORME PERFIL APRESENTADO EM CAD</t>
  </si>
  <si>
    <t>CONFORME PERFIL PROJETO CAD</t>
  </si>
  <si>
    <t>2890,00 x 1,00</t>
  </si>
  <si>
    <t>TRAJETO DO PV68 AO PV 90</t>
  </si>
  <si>
    <t xml:space="preserve">TRAJETO CONSIDERADO DO PV01 A PV23 </t>
  </si>
  <si>
    <t>103072</t>
  </si>
  <si>
    <t>BASE PARA GERADOR 2,50 X 1,10</t>
  </si>
  <si>
    <t>CONSIDERADO QUE NECESSIDA DE 1 DIAS IDA E VOLTA</t>
  </si>
  <si>
    <t>TRAJETO CONSIDERADO DO PV68 A PV89</t>
  </si>
  <si>
    <t>PAVIMENTAÇÃO</t>
  </si>
  <si>
    <t>65000038</t>
  </si>
  <si>
    <t>65000486</t>
  </si>
  <si>
    <t>65000010</t>
  </si>
  <si>
    <t>65000009</t>
  </si>
  <si>
    <t>65000012</t>
  </si>
  <si>
    <t>65000008</t>
  </si>
  <si>
    <t>65000037</t>
  </si>
  <si>
    <t>65000493</t>
  </si>
  <si>
    <t>65002965</t>
  </si>
  <si>
    <t>EXTENSÃO REDE ELÉTRICA</t>
  </si>
  <si>
    <t>COT 28</t>
  </si>
  <si>
    <t>URBANIZAÇÃO</t>
  </si>
  <si>
    <t>65000076</t>
  </si>
  <si>
    <t>65003581</t>
  </si>
  <si>
    <t>TAMPAO PARA OS PVs</t>
  </si>
  <si>
    <t>CONSIDERADO CONJUNTO PARA CONTEMPLAR TODOS OS ITENS NECESSÁRIOS A EXTENSÃO DE 120,00 METROS DE REDE ELÉTRICA</t>
  </si>
  <si>
    <t>PARA REALIZAR O CERCAMENTO DA ÁREA</t>
  </si>
  <si>
    <t>BASE DO CERCAMENTO DO ALAMBRADO EM MEIO-FIO</t>
  </si>
  <si>
    <t>1226M</t>
  </si>
  <si>
    <t>LUCAS REZENDE CARVALHO</t>
  </si>
  <si>
    <t>MG20253685005</t>
  </si>
  <si>
    <t>126.061/D</t>
  </si>
  <si>
    <t>CONSIDERANDO EFETUAR 1 PONTO A CADA 400M LOGO 3PONTOS X 10M PROF.= 30M</t>
  </si>
  <si>
    <t>CONSIDERANDO EFETUAR 1 PONTO A CADA 400M 2890/400 LOGO 7PONTOS X 10M PROF.= 70M</t>
  </si>
  <si>
    <t>CONSIDERADO QUE NECESSIDA DE 1 DIAS IDA E VOLTA PELA QUANTIDADE DE 7PONTOS</t>
  </si>
  <si>
    <t>CONSIDERANDO EFETUAR 6PONTOS X 10M PROF.= 60M</t>
  </si>
  <si>
    <t>CONSIDERADO QUE NECESSIDA DE 1 DIAS IDA E VOLTA PELA QUANTIDADE DE 6PONTOS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</si>
</sst>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0"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914">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10" fontId="0" fillId="0" borderId="0" xfId="0" applyNumberFormat="1"/>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0" fillId="0" borderId="0" xfId="0"/>
    <xf numFmtId="0" fontId="0" fillId="0" borderId="0" xfId="0"/>
    <xf numFmtId="49" fontId="56" fillId="0" borderId="135" xfId="50" applyNumberFormat="1" applyFont="1" applyBorder="1" applyAlignment="1">
      <alignment horizontal="center" vertical="center" wrapText="1"/>
    </xf>
    <xf numFmtId="49" fontId="56" fillId="0" borderId="135" xfId="50" quotePrefix="1" applyNumberFormat="1" applyFont="1" applyBorder="1" applyAlignment="1">
      <alignment horizontal="center" vertical="center" wrapText="1"/>
    </xf>
    <xf numFmtId="4" fontId="56" fillId="28" borderId="135" xfId="50" applyNumberFormat="1" applyFont="1" applyFill="1" applyBorder="1" applyAlignment="1">
      <alignment horizontal="center" vertical="center"/>
    </xf>
    <xf numFmtId="189" fontId="56" fillId="0" borderId="135" xfId="50" applyNumberFormat="1" applyFont="1" applyBorder="1" applyAlignment="1">
      <alignment horizontal="center" vertical="center"/>
    </xf>
    <xf numFmtId="2" fontId="56" fillId="0" borderId="135" xfId="50" applyNumberFormat="1" applyFont="1" applyBorder="1" applyAlignment="1">
      <alignment horizontal="center" vertical="center"/>
    </xf>
    <xf numFmtId="189" fontId="56" fillId="28" borderId="135" xfId="50" applyNumberFormat="1" applyFont="1" applyFill="1" applyBorder="1" applyAlignment="1">
      <alignment horizontal="center" vertical="center"/>
    </xf>
    <xf numFmtId="189" fontId="56" fillId="28" borderId="135" xfId="50" applyNumberFormat="1" applyFont="1" applyFill="1" applyBorder="1" applyAlignment="1">
      <alignment horizontal="center" vertical="center" wrapText="1"/>
    </xf>
    <xf numFmtId="1" fontId="56" fillId="0" borderId="135" xfId="50" applyNumberFormat="1" applyFont="1" applyBorder="1" applyAlignment="1">
      <alignment horizontal="center" vertical="center" wrapText="1"/>
    </xf>
    <xf numFmtId="4" fontId="56" fillId="0" borderId="135" xfId="50" applyNumberFormat="1" applyFont="1" applyBorder="1" applyAlignment="1">
      <alignment horizontal="center" vertical="center"/>
    </xf>
    <xf numFmtId="0" fontId="56" fillId="0" borderId="137" xfId="50" applyFont="1" applyBorder="1" applyAlignment="1">
      <alignment horizontal="center" vertical="center" wrapText="1"/>
    </xf>
    <xf numFmtId="0" fontId="56" fillId="0" borderId="136" xfId="50" applyFont="1" applyBorder="1" applyAlignment="1">
      <alignment horizontal="center" vertical="center" wrapText="1"/>
    </xf>
    <xf numFmtId="0" fontId="0" fillId="0" borderId="0" xfId="0"/>
    <xf numFmtId="0" fontId="0" fillId="0" borderId="0" xfId="0" applyAlignment="1">
      <alignment horizontal="center"/>
    </xf>
    <xf numFmtId="0" fontId="79" fillId="0" borderId="0" xfId="0" applyFont="1" applyAlignment="1">
      <alignment vertical="center"/>
    </xf>
    <xf numFmtId="0" fontId="0" fillId="16" borderId="138" xfId="48" applyNumberFormat="1" applyFont="1" applyFill="1" applyBorder="1" applyAlignment="1" applyProtection="1">
      <alignment horizontal="left" vertical="center"/>
      <protection locked="0"/>
    </xf>
    <xf numFmtId="0" fontId="0" fillId="0" borderId="0" xfId="0"/>
    <xf numFmtId="0" fontId="0" fillId="0" borderId="138" xfId="0" applyBorder="1" applyAlignment="1">
      <alignment horizontal="center"/>
    </xf>
    <xf numFmtId="0" fontId="0" fillId="0" borderId="0" xfId="0" applyAlignment="1">
      <alignment horizontal="center"/>
    </xf>
    <xf numFmtId="0" fontId="46" fillId="0" borderId="13" xfId="34" applyFont="1" applyBorder="1" applyAlignment="1">
      <alignment horizontal="center"/>
    </xf>
    <xf numFmtId="0" fontId="0" fillId="0" borderId="39" xfId="0" applyBorder="1" applyAlignment="1">
      <alignment horizontal="left"/>
    </xf>
    <xf numFmtId="0" fontId="0" fillId="0" borderId="0" xfId="0" applyAlignment="1">
      <alignment horizontal="left"/>
    </xf>
    <xf numFmtId="0" fontId="0" fillId="0" borderId="0" xfId="0"/>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171" fontId="0" fillId="6" borderId="41" xfId="48" applyFont="1" applyFill="1" applyBorder="1" applyAlignment="1" applyProtection="1">
      <alignment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49" fontId="0" fillId="6" borderId="39" xfId="0" applyNumberFormat="1" applyFont="1" applyFill="1" applyBorder="1" applyAlignment="1" applyProtection="1">
      <alignment horizontal="center" vertical="center" wrapText="1"/>
      <protection locked="0"/>
    </xf>
    <xf numFmtId="171" fontId="0" fillId="6" borderId="41" xfId="48" applyFont="1" applyFill="1" applyBorder="1" applyAlignment="1" applyProtection="1">
      <alignment vertical="center" wrapText="1"/>
      <protection locked="0"/>
    </xf>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41" xfId="0" applyBorder="1" applyAlignment="1">
      <alignment horizontal="center"/>
    </xf>
    <xf numFmtId="0" fontId="0" fillId="0" borderId="142" xfId="0" applyBorder="1" applyAlignment="1">
      <alignment horizontal="center"/>
    </xf>
    <xf numFmtId="0" fontId="37" fillId="0" borderId="0" xfId="0" applyFont="1" applyAlignment="1">
      <alignment horizontal="left" vertical="center" indent="10"/>
    </xf>
    <xf numFmtId="0" fontId="24" fillId="0" borderId="139" xfId="0" applyFont="1" applyBorder="1" applyAlignment="1">
      <alignment horizontal="center"/>
    </xf>
    <xf numFmtId="0" fontId="24" fillId="0" borderId="140" xfId="0" applyFont="1" applyBorder="1" applyAlignment="1">
      <alignment horizontal="center"/>
    </xf>
    <xf numFmtId="0" fontId="24" fillId="17" borderId="31" xfId="0" applyFont="1" applyFill="1" applyBorder="1" applyAlignment="1">
      <alignment horizontal="left" vertical="center" wrapTex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0" fontId="46" fillId="32" borderId="122" xfId="37" applyNumberFormat="1" applyFont="1" applyFill="1" applyBorder="1" applyAlignment="1" applyProtection="1">
      <alignment horizontal="center"/>
    </xf>
    <xf numFmtId="188" fontId="46" fillId="0" borderId="122" xfId="48" applyNumberFormat="1" applyFont="1"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86" fontId="63" fillId="0" borderId="29" xfId="0" applyNumberFormat="1" applyFont="1" applyBorder="1" applyAlignment="1">
      <alignment horizontal="left"/>
    </xf>
    <xf numFmtId="171" fontId="56" fillId="0" borderId="122"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18" xfId="0" applyFont="1" applyBorder="1" applyAlignment="1">
      <alignment horizontal="right" vertical="center"/>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77" fontId="56" fillId="0" borderId="29" xfId="48" applyNumberFormat="1" applyFill="1" applyBorder="1" applyAlignment="1" applyProtection="1">
      <alignment horizontal="center" shrinkToFit="1"/>
    </xf>
    <xf numFmtId="177" fontId="56" fillId="0" borderId="13"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10" fontId="56" fillId="0" borderId="0" xfId="37" applyNumberFormat="1" applyFill="1" applyBorder="1" applyAlignment="1" applyProtection="1">
      <alignment horizontal="center"/>
    </xf>
    <xf numFmtId="14" fontId="0" fillId="6" borderId="46" xfId="0" applyNumberFormat="1" applyFill="1" applyBorder="1" applyAlignment="1" applyProtection="1">
      <alignment horizontal="center"/>
      <protection locked="0"/>
    </xf>
    <xf numFmtId="176" fontId="24" fillId="8" borderId="31" xfId="0" applyNumberFormat="1" applyFont="1" applyFill="1" applyBorder="1" applyAlignment="1">
      <alignment horizontal="center" shrinkToFit="1"/>
    </xf>
    <xf numFmtId="10" fontId="56" fillId="0" borderId="78" xfId="37" applyNumberFormat="1" applyFill="1" applyBorder="1" applyAlignment="1" applyProtection="1">
      <alignment horizontal="center"/>
    </xf>
    <xf numFmtId="0" fontId="24" fillId="0" borderId="31" xfId="0" applyFont="1" applyBorder="1" applyAlignment="1">
      <alignment horizontal="right" vertical="center"/>
    </xf>
    <xf numFmtId="10" fontId="56" fillId="0" borderId="33" xfId="37" applyNumberFormat="1" applyFill="1" applyBorder="1" applyAlignment="1" applyProtection="1">
      <alignment horizontal="center"/>
    </xf>
    <xf numFmtId="10" fontId="56" fillId="0" borderId="10" xfId="37" applyNumberFormat="1" applyFill="1" applyBorder="1" applyAlignment="1" applyProtection="1">
      <alignment horizont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18" borderId="39" xfId="0" applyFill="1" applyBorder="1"/>
    <xf numFmtId="0" fontId="31" fillId="0" borderId="99" xfId="0" applyFont="1" applyBorder="1" applyAlignment="1">
      <alignment horizontal="center" vertical="top" wrapText="1"/>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4" fontId="0" fillId="6" borderId="36" xfId="0" applyNumberFormat="1" applyFill="1" applyBorder="1" applyAlignment="1" applyProtection="1">
      <alignment horizontal="center"/>
      <protection locked="0"/>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887">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57"/>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57"/>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675" y="971552"/>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75" y="971552"/>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457902" y="1381125"/>
          <a:ext cx="4700058"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66675</xdr:rowOff>
        </xdr:from>
        <xdr:to>
          <xdr:col>19</xdr:col>
          <xdr:colOff>904875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447675</xdr:colOff>
          <xdr:row>9</xdr:row>
          <xdr:rowOff>66675</xdr:rowOff>
        </xdr:from>
        <xdr:to>
          <xdr:col>20</xdr:col>
          <xdr:colOff>876300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295275</xdr:colOff>
          <xdr:row>9</xdr:row>
          <xdr:rowOff>66675</xdr:rowOff>
        </xdr:from>
        <xdr:to>
          <xdr:col>21</xdr:col>
          <xdr:colOff>714375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371475</xdr:colOff>
          <xdr:row>9</xdr:row>
          <xdr:rowOff>66675</xdr:rowOff>
        </xdr:from>
        <xdr:to>
          <xdr:col>22</xdr:col>
          <xdr:colOff>790575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447675</xdr:colOff>
          <xdr:row>9</xdr:row>
          <xdr:rowOff>47625</xdr:rowOff>
        </xdr:from>
        <xdr:to>
          <xdr:col>23</xdr:col>
          <xdr:colOff>876300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3:E154"/>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500" t="s">
        <v>3</v>
      </c>
    </row>
    <row r="9" spans="1:4" ht="15" x14ac:dyDescent="0.25">
      <c r="A9" s="4"/>
      <c r="B9" s="47"/>
      <c r="C9" s="48" t="str">
        <f>IF(D9&lt;&gt;"","▪","")</f>
        <v/>
      </c>
      <c r="D9" s="500"/>
    </row>
    <row r="10" spans="1:4" ht="18.75" x14ac:dyDescent="0.3">
      <c r="A10" s="603" t="s">
        <v>4</v>
      </c>
      <c r="B10" s="604"/>
      <c r="C10" s="604"/>
      <c r="D10" s="605"/>
    </row>
    <row r="11" spans="1:4" ht="15" x14ac:dyDescent="0.25">
      <c r="A11" s="4"/>
      <c r="B11" s="47" t="s">
        <v>2</v>
      </c>
      <c r="C11" s="47"/>
      <c r="D11" s="500"/>
    </row>
    <row r="12" spans="1:4" ht="15" x14ac:dyDescent="0.25">
      <c r="A12" s="4"/>
      <c r="B12" s="47"/>
      <c r="C12" s="48" t="str">
        <f>IF(D12&lt;&gt;"","▪","")</f>
        <v>▪</v>
      </c>
      <c r="D12" s="500" t="s">
        <v>5</v>
      </c>
    </row>
    <row r="13" spans="1:4" ht="15" x14ac:dyDescent="0.25">
      <c r="A13" s="4"/>
      <c r="B13" s="47" t="s">
        <v>6</v>
      </c>
      <c r="C13" s="47"/>
      <c r="D13" s="500"/>
    </row>
    <row r="14" spans="1:4" ht="15" x14ac:dyDescent="0.25">
      <c r="A14" s="415"/>
      <c r="B14" s="47"/>
      <c r="C14" s="48" t="str">
        <f>IF(D14&lt;&gt;"","▪","")</f>
        <v>▪</v>
      </c>
      <c r="D14" s="500" t="s">
        <v>7</v>
      </c>
    </row>
    <row r="15" spans="1:4" ht="15" x14ac:dyDescent="0.2">
      <c r="A15" s="415"/>
      <c r="C15" s="48" t="str">
        <f>IF(D15&lt;&gt;"","▪","")</f>
        <v>▪</v>
      </c>
      <c r="D15" s="500" t="s">
        <v>8</v>
      </c>
    </row>
    <row r="16" spans="1:4" x14ac:dyDescent="0.2">
      <c r="A16" s="419"/>
      <c r="D16" s="86"/>
    </row>
    <row r="17" spans="1:4" ht="18.75" x14ac:dyDescent="0.3">
      <c r="A17" s="603" t="s">
        <v>9</v>
      </c>
      <c r="B17" s="604"/>
      <c r="C17" s="604"/>
      <c r="D17" s="605"/>
    </row>
    <row r="18" spans="1:4" ht="15" x14ac:dyDescent="0.25">
      <c r="A18" s="4"/>
      <c r="B18" s="47" t="s">
        <v>2</v>
      </c>
      <c r="C18" s="47"/>
      <c r="D18" s="500"/>
    </row>
    <row r="19" spans="1:4" ht="15" x14ac:dyDescent="0.25">
      <c r="A19" s="4"/>
      <c r="B19" s="47"/>
      <c r="C19" s="48" t="str">
        <f>IF(D19&lt;&gt;"","▪","")</f>
        <v>▪</v>
      </c>
      <c r="D19" s="500" t="s">
        <v>5</v>
      </c>
    </row>
    <row r="20" spans="1:4" ht="15" x14ac:dyDescent="0.25">
      <c r="A20" s="4"/>
      <c r="B20" s="47"/>
      <c r="C20" s="48" t="str">
        <f>IF(D20&lt;&gt;"","▪","")</f>
        <v>▪</v>
      </c>
      <c r="D20" s="500" t="s">
        <v>10</v>
      </c>
    </row>
    <row r="21" spans="1:4" ht="15" x14ac:dyDescent="0.25">
      <c r="A21" s="415"/>
      <c r="B21" s="47" t="s">
        <v>11</v>
      </c>
      <c r="C21" s="47"/>
      <c r="D21" s="500"/>
    </row>
    <row r="22" spans="1:4" ht="15" x14ac:dyDescent="0.25">
      <c r="A22" s="415"/>
      <c r="B22" s="47"/>
      <c r="C22" s="48" t="str">
        <f>IF(D22&lt;&gt;"","▪","")</f>
        <v>▪</v>
      </c>
      <c r="D22" s="500" t="s">
        <v>12</v>
      </c>
    </row>
    <row r="23" spans="1:4" ht="15" x14ac:dyDescent="0.25">
      <c r="A23" s="415"/>
      <c r="B23" s="47" t="s">
        <v>13</v>
      </c>
      <c r="C23" s="47"/>
      <c r="D23" s="500"/>
    </row>
    <row r="24" spans="1:4" ht="15" x14ac:dyDescent="0.25">
      <c r="A24" s="415"/>
      <c r="B24" s="47"/>
      <c r="C24" s="48" t="str">
        <f>IF(D24&lt;&gt;"","▪","")</f>
        <v>▪</v>
      </c>
      <c r="D24" s="500" t="s">
        <v>14</v>
      </c>
    </row>
    <row r="25" spans="1:4" ht="15" x14ac:dyDescent="0.25">
      <c r="A25" s="415"/>
      <c r="B25" s="47" t="s">
        <v>15</v>
      </c>
      <c r="C25" s="47"/>
      <c r="D25" s="500"/>
    </row>
    <row r="26" spans="1:4" ht="15" x14ac:dyDescent="0.25">
      <c r="A26" s="415"/>
      <c r="B26" s="47"/>
      <c r="C26" s="48" t="str">
        <f>IF(D26&lt;&gt;"","▪","")</f>
        <v>▪</v>
      </c>
      <c r="D26" s="500" t="s">
        <v>16</v>
      </c>
    </row>
    <row r="27" spans="1:4" ht="15" x14ac:dyDescent="0.25">
      <c r="A27" s="415"/>
      <c r="B27" s="47" t="s">
        <v>17</v>
      </c>
      <c r="C27" s="47"/>
      <c r="D27" s="500"/>
    </row>
    <row r="28" spans="1:4" ht="15" x14ac:dyDescent="0.25">
      <c r="A28" s="415"/>
      <c r="B28" s="47"/>
      <c r="C28" s="48" t="str">
        <f>IF(D28&lt;&gt;"","▪","")</f>
        <v>▪</v>
      </c>
      <c r="D28" s="500" t="s">
        <v>18</v>
      </c>
    </row>
    <row r="29" spans="1:4" x14ac:dyDescent="0.2">
      <c r="A29" s="419"/>
      <c r="D29" s="86"/>
    </row>
    <row r="30" spans="1:4" ht="18.75" x14ac:dyDescent="0.3">
      <c r="A30" s="603" t="s">
        <v>19</v>
      </c>
      <c r="B30" s="604"/>
      <c r="C30" s="604"/>
      <c r="D30" s="605"/>
    </row>
    <row r="31" spans="1:4" ht="15" x14ac:dyDescent="0.25">
      <c r="A31" s="4"/>
      <c r="B31" s="47" t="s">
        <v>2</v>
      </c>
      <c r="C31" s="47"/>
      <c r="D31" s="500"/>
    </row>
    <row r="32" spans="1:4" ht="15" x14ac:dyDescent="0.25">
      <c r="A32" s="4"/>
      <c r="B32" s="47"/>
      <c r="C32" s="48" t="str">
        <f>IF(D32&lt;&gt;"","▪","")</f>
        <v>▪</v>
      </c>
      <c r="D32" s="500" t="s">
        <v>10</v>
      </c>
    </row>
    <row r="33" spans="1:5" ht="15" x14ac:dyDescent="0.25">
      <c r="A33" s="4"/>
      <c r="B33" s="47" t="s">
        <v>20</v>
      </c>
      <c r="C33" s="48"/>
      <c r="D33" s="500"/>
    </row>
    <row r="34" spans="1:5" ht="15" x14ac:dyDescent="0.25">
      <c r="A34" s="4"/>
      <c r="B34" s="47"/>
      <c r="C34" s="48" t="str">
        <f>IF(D34&lt;&gt;"","▪","")</f>
        <v>▪</v>
      </c>
      <c r="D34" s="500" t="s">
        <v>21</v>
      </c>
    </row>
    <row r="35" spans="1:5" ht="15" x14ac:dyDescent="0.25">
      <c r="A35" s="4"/>
      <c r="B35" s="47"/>
      <c r="C35" s="47"/>
      <c r="D35" s="501"/>
      <c r="E35" s="47"/>
    </row>
    <row r="36" spans="1:5" x14ac:dyDescent="0.2">
      <c r="A36" s="419"/>
      <c r="D36" s="86"/>
    </row>
    <row r="37" spans="1:5" ht="18.75" x14ac:dyDescent="0.3">
      <c r="A37" s="603" t="s">
        <v>22</v>
      </c>
      <c r="B37" s="604"/>
      <c r="C37" s="604"/>
      <c r="D37" s="605"/>
    </row>
    <row r="38" spans="1:5" ht="15" x14ac:dyDescent="0.25">
      <c r="A38" s="4"/>
      <c r="B38" s="47" t="s">
        <v>23</v>
      </c>
      <c r="C38" s="47"/>
      <c r="D38" s="500"/>
    </row>
    <row r="39" spans="1:5" ht="15" x14ac:dyDescent="0.25">
      <c r="A39" s="4"/>
      <c r="B39" s="47"/>
      <c r="C39" s="48" t="str">
        <f>IF(D39&lt;&gt;"","▪","")</f>
        <v>▪</v>
      </c>
      <c r="D39" s="500" t="s">
        <v>24</v>
      </c>
    </row>
    <row r="40" spans="1:5" ht="15" x14ac:dyDescent="0.25">
      <c r="A40" s="4"/>
      <c r="B40" s="47" t="s">
        <v>13</v>
      </c>
      <c r="C40" s="47"/>
      <c r="D40" s="500"/>
    </row>
    <row r="41" spans="1:5" ht="15" x14ac:dyDescent="0.25">
      <c r="A41" s="4"/>
      <c r="B41" s="47"/>
      <c r="C41" s="48" t="str">
        <f>IF(D41&lt;&gt;"","▪","")</f>
        <v>▪</v>
      </c>
      <c r="D41" s="500" t="s">
        <v>25</v>
      </c>
    </row>
    <row r="42" spans="1:5" ht="15" x14ac:dyDescent="0.25">
      <c r="A42" s="4"/>
      <c r="B42" s="47" t="s">
        <v>15</v>
      </c>
      <c r="C42" s="47"/>
      <c r="D42" s="500"/>
      <c r="E42" s="47"/>
    </row>
    <row r="43" spans="1:5" ht="15" x14ac:dyDescent="0.25">
      <c r="A43" s="4"/>
      <c r="B43" s="47"/>
      <c r="C43" s="48" t="str">
        <f>IF(D43&lt;&gt;"","▪","")</f>
        <v>▪</v>
      </c>
      <c r="D43" s="500" t="s">
        <v>26</v>
      </c>
    </row>
    <row r="44" spans="1:5" ht="15" x14ac:dyDescent="0.25">
      <c r="A44" s="4"/>
      <c r="B44" s="47"/>
      <c r="C44" s="47"/>
      <c r="D44" s="501"/>
    </row>
    <row r="45" spans="1:5" ht="18.75" x14ac:dyDescent="0.3">
      <c r="A45" s="603" t="s">
        <v>27</v>
      </c>
      <c r="B45" s="604"/>
      <c r="C45" s="604"/>
      <c r="D45" s="605"/>
    </row>
    <row r="46" spans="1:5" ht="15" x14ac:dyDescent="0.25">
      <c r="A46" s="4"/>
      <c r="B46" s="47" t="s">
        <v>2</v>
      </c>
      <c r="C46" s="47"/>
      <c r="D46" s="500"/>
    </row>
    <row r="47" spans="1:5" ht="15" x14ac:dyDescent="0.25">
      <c r="A47" s="4"/>
      <c r="B47" s="47"/>
      <c r="C47" s="48" t="str">
        <f>IF(D47&lt;&gt;"","▪","")</f>
        <v>▪</v>
      </c>
      <c r="D47" s="500" t="s">
        <v>28</v>
      </c>
    </row>
    <row r="48" spans="1:5" ht="15" x14ac:dyDescent="0.25">
      <c r="A48" s="4"/>
      <c r="B48" s="47"/>
      <c r="C48" s="47"/>
      <c r="D48" s="501"/>
    </row>
    <row r="49" spans="1:4" ht="18.75" x14ac:dyDescent="0.3">
      <c r="A49" s="603" t="s">
        <v>29</v>
      </c>
      <c r="B49" s="604"/>
      <c r="C49" s="604"/>
      <c r="D49" s="605"/>
    </row>
    <row r="50" spans="1:4" ht="15" x14ac:dyDescent="0.25">
      <c r="A50" s="4"/>
      <c r="B50" s="47" t="s">
        <v>2</v>
      </c>
      <c r="C50" s="47"/>
      <c r="D50" s="500"/>
    </row>
    <row r="51" spans="1:4" ht="15" x14ac:dyDescent="0.25">
      <c r="A51" s="4"/>
      <c r="B51" s="47"/>
      <c r="C51" s="48" t="str">
        <f>IF(D51&lt;&gt;"","▪","")</f>
        <v>▪</v>
      </c>
      <c r="D51" s="500" t="s">
        <v>30</v>
      </c>
    </row>
    <row r="52" spans="1:4" ht="15" x14ac:dyDescent="0.25">
      <c r="A52" s="4"/>
      <c r="B52" s="47"/>
      <c r="C52" s="48" t="str">
        <f>IF(D52&lt;&gt;"","▪","")</f>
        <v>▪</v>
      </c>
      <c r="D52" s="500" t="s">
        <v>31</v>
      </c>
    </row>
    <row r="53" spans="1:4" ht="15" x14ac:dyDescent="0.25">
      <c r="A53" s="4"/>
      <c r="B53" s="47"/>
      <c r="C53" s="47"/>
      <c r="D53" s="501"/>
    </row>
    <row r="54" spans="1:4" ht="18.75" x14ac:dyDescent="0.3">
      <c r="A54" s="606" t="s">
        <v>32</v>
      </c>
      <c r="B54" s="604"/>
      <c r="C54" s="604"/>
      <c r="D54" s="605"/>
    </row>
    <row r="55" spans="1:4" ht="15" x14ac:dyDescent="0.25">
      <c r="A55" s="415"/>
      <c r="B55" s="47" t="s">
        <v>2</v>
      </c>
      <c r="C55" s="47"/>
      <c r="D55" s="500"/>
    </row>
    <row r="56" spans="1:4" ht="15" x14ac:dyDescent="0.25">
      <c r="A56" s="415"/>
      <c r="B56" s="47"/>
      <c r="C56" s="48" t="str">
        <f t="shared" ref="C56" si="0">IF(D56&lt;&gt;"","▪","")</f>
        <v>▪</v>
      </c>
      <c r="D56" s="500" t="s">
        <v>33</v>
      </c>
    </row>
    <row r="57" spans="1:4" ht="30" customHeight="1" x14ac:dyDescent="0.25">
      <c r="A57" s="415"/>
      <c r="B57" s="47"/>
      <c r="C57" s="48" t="str">
        <f t="shared" ref="C57:C62" si="1">IF(D57&lt;&gt;"","▪","")</f>
        <v>▪</v>
      </c>
      <c r="D57" s="500" t="s">
        <v>34</v>
      </c>
    </row>
    <row r="58" spans="1:4" ht="30" customHeight="1" x14ac:dyDescent="0.25">
      <c r="A58" s="415"/>
      <c r="B58" s="47"/>
      <c r="C58" s="48" t="str">
        <f t="shared" si="1"/>
        <v>▪</v>
      </c>
      <c r="D58" s="500" t="s">
        <v>35</v>
      </c>
    </row>
    <row r="59" spans="1:4" ht="30" customHeight="1" x14ac:dyDescent="0.25">
      <c r="A59" s="415"/>
      <c r="B59" s="47"/>
      <c r="C59" s="48" t="str">
        <f t="shared" si="1"/>
        <v>▪</v>
      </c>
      <c r="D59" s="500" t="s">
        <v>36</v>
      </c>
    </row>
    <row r="60" spans="1:4" ht="25.5" x14ac:dyDescent="0.25">
      <c r="A60" s="415"/>
      <c r="B60" s="47"/>
      <c r="C60" s="48" t="str">
        <f t="shared" si="1"/>
        <v>▪</v>
      </c>
      <c r="D60" s="500" t="s">
        <v>37</v>
      </c>
    </row>
    <row r="61" spans="1:4" ht="15" x14ac:dyDescent="0.25">
      <c r="A61" s="415"/>
      <c r="B61" s="47"/>
      <c r="C61" s="48" t="str">
        <f t="shared" si="1"/>
        <v>▪</v>
      </c>
      <c r="D61" s="500" t="s">
        <v>38</v>
      </c>
    </row>
    <row r="62" spans="1:4" ht="30" customHeight="1" x14ac:dyDescent="0.25">
      <c r="A62" s="415"/>
      <c r="B62" s="47"/>
      <c r="C62" s="48" t="str">
        <f t="shared" si="1"/>
        <v>▪</v>
      </c>
      <c r="D62" s="500" t="s">
        <v>39</v>
      </c>
    </row>
    <row r="63" spans="1:4" ht="15" x14ac:dyDescent="0.25">
      <c r="A63" s="415"/>
      <c r="B63" s="47" t="s">
        <v>40</v>
      </c>
      <c r="C63" s="47"/>
      <c r="D63" s="500"/>
    </row>
    <row r="64" spans="1:4" ht="15" x14ac:dyDescent="0.25">
      <c r="A64" s="415"/>
      <c r="B64" s="47"/>
      <c r="C64" s="48" t="str">
        <f>IF(D64&lt;&gt;"","▪","")</f>
        <v>▪</v>
      </c>
      <c r="D64" s="500" t="s">
        <v>41</v>
      </c>
    </row>
    <row r="65" spans="1:4" ht="15" x14ac:dyDescent="0.25">
      <c r="A65" s="415"/>
      <c r="B65" s="47"/>
      <c r="C65" s="48" t="str">
        <f>IF(D65&lt;&gt;"","▪","")</f>
        <v>▪</v>
      </c>
      <c r="D65" s="500" t="s">
        <v>42</v>
      </c>
    </row>
    <row r="66" spans="1:4" ht="15" x14ac:dyDescent="0.25">
      <c r="A66" s="415"/>
      <c r="B66" s="47"/>
      <c r="C66" s="48"/>
      <c r="D66" s="502" t="s">
        <v>43</v>
      </c>
    </row>
    <row r="67" spans="1:4" ht="15" x14ac:dyDescent="0.25">
      <c r="A67" s="415"/>
      <c r="B67" s="47"/>
      <c r="C67" s="48" t="str">
        <f>IF(D67&lt;&gt;"","▪","")</f>
        <v>▪</v>
      </c>
      <c r="D67" s="500" t="s">
        <v>44</v>
      </c>
    </row>
    <row r="68" spans="1:4" ht="15" x14ac:dyDescent="0.25">
      <c r="A68" s="415"/>
      <c r="B68" s="47"/>
      <c r="C68" s="48"/>
      <c r="D68" s="502" t="s">
        <v>45</v>
      </c>
    </row>
    <row r="69" spans="1:4" ht="15" x14ac:dyDescent="0.25">
      <c r="A69" s="415"/>
      <c r="B69" s="47"/>
      <c r="C69" s="48" t="str">
        <f>IF(D69&lt;&gt;"","▪","")</f>
        <v>▪</v>
      </c>
      <c r="D69" s="500" t="s">
        <v>46</v>
      </c>
    </row>
    <row r="70" spans="1:4" ht="15" x14ac:dyDescent="0.25">
      <c r="A70" s="415"/>
      <c r="B70" s="47"/>
      <c r="C70" s="48" t="str">
        <f>IF(D70&lt;&gt;"","▪","")</f>
        <v>▪</v>
      </c>
      <c r="D70" s="500" t="s">
        <v>47</v>
      </c>
    </row>
    <row r="71" spans="1:4" ht="15" x14ac:dyDescent="0.25">
      <c r="A71" s="415"/>
      <c r="B71" s="47" t="s">
        <v>23</v>
      </c>
      <c r="C71" s="47"/>
      <c r="D71" s="500"/>
    </row>
    <row r="72" spans="1:4" ht="15" x14ac:dyDescent="0.25">
      <c r="A72" s="415"/>
      <c r="B72" s="47"/>
      <c r="C72" s="48" t="str">
        <f>IF(D72&lt;&gt;"","▪","")</f>
        <v>▪</v>
      </c>
      <c r="D72" s="500" t="s">
        <v>48</v>
      </c>
    </row>
    <row r="73" spans="1:4" ht="15" x14ac:dyDescent="0.25">
      <c r="A73" s="415"/>
      <c r="B73" s="47" t="s">
        <v>49</v>
      </c>
      <c r="C73" s="47"/>
      <c r="D73" s="500"/>
    </row>
    <row r="74" spans="1:4" ht="15" x14ac:dyDescent="0.25">
      <c r="A74" s="415"/>
      <c r="B74" s="47"/>
      <c r="C74" s="48" t="str">
        <f>IF(D74&lt;&gt;"","▪","")</f>
        <v>▪</v>
      </c>
      <c r="D74" s="500" t="s">
        <v>50</v>
      </c>
    </row>
    <row r="75" spans="1:4" ht="15" x14ac:dyDescent="0.25">
      <c r="A75" s="415"/>
      <c r="B75" s="47"/>
      <c r="C75" s="48" t="str">
        <f>IF(D75&lt;&gt;"","▪","")</f>
        <v>▪</v>
      </c>
      <c r="D75" s="500" t="s">
        <v>51</v>
      </c>
    </row>
    <row r="76" spans="1:4" ht="15" x14ac:dyDescent="0.25">
      <c r="A76" s="415"/>
      <c r="B76" s="47"/>
      <c r="C76" s="48" t="str">
        <f>IF(D76&lt;&gt;"","▪","")</f>
        <v>▪</v>
      </c>
      <c r="D76" s="500" t="s">
        <v>52</v>
      </c>
    </row>
    <row r="77" spans="1:4" ht="15" x14ac:dyDescent="0.25">
      <c r="A77" s="415"/>
      <c r="B77" s="47"/>
      <c r="C77" s="48" t="str">
        <f>IF(D77&lt;&gt;"","▪","")</f>
        <v>▪</v>
      </c>
      <c r="D77" s="500" t="s">
        <v>53</v>
      </c>
    </row>
    <row r="78" spans="1:4" ht="15" x14ac:dyDescent="0.25">
      <c r="A78" s="415"/>
      <c r="B78" s="47" t="s">
        <v>54</v>
      </c>
      <c r="C78" s="47"/>
      <c r="D78" s="500"/>
    </row>
    <row r="79" spans="1:4" ht="15" x14ac:dyDescent="0.25">
      <c r="A79" s="415"/>
      <c r="B79" s="47"/>
      <c r="C79" s="48" t="str">
        <f>IF(D79&lt;&gt;"","▪","")</f>
        <v>▪</v>
      </c>
      <c r="D79" s="500" t="s">
        <v>50</v>
      </c>
    </row>
    <row r="80" spans="1:4" ht="15" x14ac:dyDescent="0.25">
      <c r="A80" s="415"/>
      <c r="B80" s="47"/>
      <c r="C80" s="48" t="str">
        <f>IF(D80&lt;&gt;"","▪","")</f>
        <v>▪</v>
      </c>
      <c r="D80" s="500" t="s">
        <v>55</v>
      </c>
    </row>
    <row r="81" spans="1:4" ht="15" x14ac:dyDescent="0.25">
      <c r="A81" s="415"/>
      <c r="B81" s="47"/>
      <c r="C81" s="48" t="str">
        <f>IF(D81&lt;&gt;"","▪","")</f>
        <v>▪</v>
      </c>
      <c r="D81" s="500" t="s">
        <v>52</v>
      </c>
    </row>
    <row r="82" spans="1:4" ht="15" x14ac:dyDescent="0.25">
      <c r="A82" s="415"/>
      <c r="B82" s="47"/>
      <c r="C82" s="48" t="str">
        <f>IF(D82&lt;&gt;"","▪","")</f>
        <v>▪</v>
      </c>
      <c r="D82" s="500" t="s">
        <v>53</v>
      </c>
    </row>
    <row r="83" spans="1:4" ht="15" x14ac:dyDescent="0.25">
      <c r="A83" s="415"/>
      <c r="B83" s="47" t="s">
        <v>17</v>
      </c>
      <c r="C83" s="47"/>
      <c r="D83" s="500"/>
    </row>
    <row r="84" spans="1:4" ht="20.100000000000001" customHeight="1" x14ac:dyDescent="0.25">
      <c r="A84" s="415"/>
      <c r="B84" s="47"/>
      <c r="C84" s="48" t="str">
        <f>IF(D84&lt;&gt;"","▪","")</f>
        <v>▪</v>
      </c>
      <c r="D84" s="500" t="s">
        <v>56</v>
      </c>
    </row>
    <row r="85" spans="1:4" ht="15" x14ac:dyDescent="0.25">
      <c r="A85" s="415"/>
      <c r="B85" s="47" t="s">
        <v>57</v>
      </c>
      <c r="C85" s="47"/>
      <c r="D85" s="500"/>
    </row>
    <row r="86" spans="1:4" ht="20.100000000000001" customHeight="1" x14ac:dyDescent="0.25">
      <c r="A86" s="415"/>
      <c r="B86" s="47"/>
      <c r="C86" s="48" t="str">
        <f>IF(D86&lt;&gt;"","▪","")</f>
        <v>▪</v>
      </c>
      <c r="D86" s="500" t="s">
        <v>58</v>
      </c>
    </row>
    <row r="87" spans="1:4" ht="15" x14ac:dyDescent="0.25">
      <c r="A87" s="419"/>
      <c r="B87" s="478"/>
      <c r="C87" s="478"/>
      <c r="D87" s="503"/>
    </row>
    <row r="88" spans="1:4" ht="18.75" x14ac:dyDescent="0.3">
      <c r="A88" s="603" t="s">
        <v>59</v>
      </c>
      <c r="B88" s="604"/>
      <c r="C88" s="604"/>
      <c r="D88" s="605"/>
    </row>
    <row r="89" spans="1:4" ht="15" x14ac:dyDescent="0.25">
      <c r="A89" s="4"/>
      <c r="B89" s="47" t="s">
        <v>2</v>
      </c>
      <c r="C89" s="47"/>
      <c r="D89" s="500"/>
    </row>
    <row r="90" spans="1:4" ht="15" x14ac:dyDescent="0.25">
      <c r="A90" s="4"/>
      <c r="B90" s="47"/>
      <c r="C90" s="48" t="str">
        <f>IF(D90&lt;&gt;"","▪","")</f>
        <v>▪</v>
      </c>
      <c r="D90" s="500" t="s">
        <v>60</v>
      </c>
    </row>
    <row r="91" spans="1:4" ht="15" x14ac:dyDescent="0.25">
      <c r="A91" s="4"/>
      <c r="B91" s="47" t="s">
        <v>40</v>
      </c>
      <c r="C91" s="47"/>
      <c r="D91" s="500"/>
    </row>
    <row r="92" spans="1:4" ht="15" x14ac:dyDescent="0.25">
      <c r="A92" s="4"/>
      <c r="B92" s="47"/>
      <c r="C92" s="48" t="str">
        <f>IF(D92&lt;&gt;"","▪","")</f>
        <v>▪</v>
      </c>
      <c r="D92" s="500" t="s">
        <v>61</v>
      </c>
    </row>
    <row r="93" spans="1:4" ht="38.25" x14ac:dyDescent="0.25">
      <c r="A93" s="4"/>
      <c r="B93" s="47"/>
      <c r="C93" s="48" t="str">
        <f>IF(D93&lt;&gt;"","▪","")</f>
        <v>▪</v>
      </c>
      <c r="D93" s="500" t="s">
        <v>62</v>
      </c>
    </row>
    <row r="94" spans="1:4" ht="25.5" x14ac:dyDescent="0.25">
      <c r="A94" s="4"/>
      <c r="B94" s="47"/>
      <c r="C94" s="48" t="str">
        <f>IF(D94&lt;&gt;"","▪","")</f>
        <v>▪</v>
      </c>
      <c r="D94" s="500" t="s">
        <v>63</v>
      </c>
    </row>
    <row r="95" spans="1:4" ht="15" x14ac:dyDescent="0.25">
      <c r="A95" s="4"/>
      <c r="B95" s="47" t="s">
        <v>23</v>
      </c>
      <c r="C95" s="47"/>
      <c r="D95" s="500"/>
    </row>
    <row r="96" spans="1:4" ht="15" x14ac:dyDescent="0.25">
      <c r="A96" s="4"/>
      <c r="B96" s="47"/>
      <c r="C96" s="48" t="str">
        <f>IF(D96&lt;&gt;"","▪","")</f>
        <v>▪</v>
      </c>
      <c r="D96" s="500" t="s">
        <v>64</v>
      </c>
    </row>
    <row r="97" spans="1:4" ht="15" x14ac:dyDescent="0.25">
      <c r="A97" s="4"/>
      <c r="B97" s="47" t="s">
        <v>11</v>
      </c>
      <c r="C97" s="47"/>
      <c r="D97" s="500"/>
    </row>
    <row r="98" spans="1:4" ht="15" x14ac:dyDescent="0.25">
      <c r="A98" s="4"/>
      <c r="B98" s="47"/>
      <c r="C98" s="48" t="str">
        <f>IF(D98&lt;&gt;"","▪","")</f>
        <v>▪</v>
      </c>
      <c r="D98" s="500" t="s">
        <v>65</v>
      </c>
    </row>
    <row r="99" spans="1:4" ht="15" x14ac:dyDescent="0.25">
      <c r="A99" s="415"/>
      <c r="B99" s="47" t="s">
        <v>49</v>
      </c>
      <c r="C99" s="47"/>
      <c r="D99" s="500"/>
    </row>
    <row r="100" spans="1:4" ht="25.5" x14ac:dyDescent="0.25">
      <c r="A100" s="415"/>
      <c r="B100" s="47"/>
      <c r="C100" s="48" t="str">
        <f>IF(D100&lt;&gt;"","▪","")</f>
        <v>▪</v>
      </c>
      <c r="D100" s="500" t="s">
        <v>66</v>
      </c>
    </row>
    <row r="101" spans="1:4" ht="15" x14ac:dyDescent="0.25">
      <c r="A101" s="415"/>
      <c r="B101" s="47"/>
      <c r="C101" s="48" t="str">
        <f>IF(D101&lt;&gt;"","▪","")</f>
        <v>▪</v>
      </c>
      <c r="D101" s="500" t="s">
        <v>67</v>
      </c>
    </row>
    <row r="102" spans="1:4" ht="15" x14ac:dyDescent="0.25">
      <c r="A102" s="415"/>
      <c r="B102" s="47" t="s">
        <v>20</v>
      </c>
      <c r="C102" s="47"/>
      <c r="D102" s="500"/>
    </row>
    <row r="103" spans="1:4" ht="15" x14ac:dyDescent="0.25">
      <c r="A103" s="415"/>
      <c r="B103" s="47"/>
      <c r="C103" s="48" t="str">
        <f>IF(D103&lt;&gt;"","▪","")</f>
        <v>▪</v>
      </c>
      <c r="D103" s="500" t="s">
        <v>68</v>
      </c>
    </row>
    <row r="104" spans="1:4" ht="15" x14ac:dyDescent="0.25">
      <c r="A104" s="4"/>
      <c r="B104" s="47" t="s">
        <v>54</v>
      </c>
      <c r="C104" s="47"/>
      <c r="D104" s="500"/>
    </row>
    <row r="105" spans="1:4" ht="15" x14ac:dyDescent="0.25">
      <c r="A105" s="4"/>
      <c r="B105" s="47"/>
      <c r="C105" s="48" t="str">
        <f>IF(D105&lt;&gt;"","▪","")</f>
        <v>▪</v>
      </c>
      <c r="D105" s="500" t="s">
        <v>69</v>
      </c>
    </row>
    <row r="106" spans="1:4" ht="15" x14ac:dyDescent="0.25">
      <c r="A106" s="4"/>
      <c r="B106" s="47"/>
      <c r="C106" s="48" t="str">
        <f>IF(D106&lt;&gt;"","▪","")</f>
        <v>▪</v>
      </c>
      <c r="D106" s="500" t="s">
        <v>70</v>
      </c>
    </row>
    <row r="107" spans="1:4" ht="15" x14ac:dyDescent="0.25">
      <c r="A107" s="4"/>
      <c r="B107" s="47" t="s">
        <v>71</v>
      </c>
      <c r="C107" s="47"/>
      <c r="D107" s="500"/>
    </row>
    <row r="108" spans="1:4" ht="15" x14ac:dyDescent="0.25">
      <c r="A108" s="4"/>
      <c r="B108" s="47"/>
      <c r="C108" s="48" t="str">
        <f>IF(D108&lt;&gt;"","▪","")</f>
        <v>▪</v>
      </c>
      <c r="D108" s="500" t="s">
        <v>72</v>
      </c>
    </row>
    <row r="109" spans="1:4" ht="15" x14ac:dyDescent="0.25">
      <c r="A109" s="4"/>
      <c r="B109" s="47"/>
      <c r="C109" s="48" t="str">
        <f>IF(D109&lt;&gt;"","▪","")</f>
        <v>▪</v>
      </c>
      <c r="D109" s="500" t="s">
        <v>73</v>
      </c>
    </row>
    <row r="110" spans="1:4" ht="15" x14ac:dyDescent="0.25">
      <c r="A110" s="4"/>
      <c r="B110" s="47"/>
      <c r="C110" s="48" t="str">
        <f>IF(D110&lt;&gt;"","▪","")</f>
        <v>▪</v>
      </c>
      <c r="D110" s="500" t="s">
        <v>74</v>
      </c>
    </row>
    <row r="111" spans="1:4" ht="15" x14ac:dyDescent="0.25">
      <c r="A111" s="4"/>
      <c r="B111" s="47" t="s">
        <v>17</v>
      </c>
      <c r="C111" s="47"/>
      <c r="D111" s="500"/>
    </row>
    <row r="112" spans="1:4" ht="15" x14ac:dyDescent="0.25">
      <c r="A112" s="4"/>
      <c r="B112" s="47"/>
      <c r="C112" s="48" t="str">
        <f>IF(D112&lt;&gt;"","▪","")</f>
        <v>▪</v>
      </c>
      <c r="D112" s="500" t="s">
        <v>75</v>
      </c>
    </row>
    <row r="113" spans="1:4" ht="15" x14ac:dyDescent="0.25">
      <c r="A113" s="4"/>
      <c r="B113" s="47" t="s">
        <v>76</v>
      </c>
      <c r="C113" s="47"/>
      <c r="D113" s="500"/>
    </row>
    <row r="114" spans="1:4" ht="15" x14ac:dyDescent="0.25">
      <c r="A114" s="4"/>
      <c r="B114" s="47"/>
      <c r="C114" s="48" t="str">
        <f>IF(D114&lt;&gt;"","▪","")</f>
        <v>▪</v>
      </c>
      <c r="D114" s="500" t="s">
        <v>77</v>
      </c>
    </row>
    <row r="115" spans="1:4" ht="15" x14ac:dyDescent="0.25">
      <c r="A115" s="4"/>
      <c r="B115" s="47" t="s">
        <v>78</v>
      </c>
      <c r="C115" s="47"/>
      <c r="D115" s="500"/>
    </row>
    <row r="116" spans="1:4" ht="15" x14ac:dyDescent="0.25">
      <c r="A116" s="4"/>
      <c r="B116" s="47"/>
      <c r="C116" s="48" t="str">
        <f>IF(D116&lt;&gt;"","▪","")</f>
        <v>▪</v>
      </c>
      <c r="D116" s="500" t="s">
        <v>79</v>
      </c>
    </row>
    <row r="117" spans="1:4" ht="15" x14ac:dyDescent="0.25">
      <c r="A117" s="419"/>
      <c r="B117" s="478"/>
      <c r="C117" s="478"/>
      <c r="D117" s="503"/>
    </row>
    <row r="118" spans="1:4" ht="18.75" x14ac:dyDescent="0.3">
      <c r="A118" s="603" t="s">
        <v>80</v>
      </c>
      <c r="B118" s="604"/>
      <c r="C118" s="604"/>
      <c r="D118" s="605"/>
    </row>
    <row r="119" spans="1:4" ht="15" x14ac:dyDescent="0.25">
      <c r="A119" s="4"/>
      <c r="B119" s="47" t="s">
        <v>40</v>
      </c>
      <c r="C119" s="47"/>
      <c r="D119" s="500"/>
    </row>
    <row r="120" spans="1:4" ht="25.5" x14ac:dyDescent="0.25">
      <c r="A120" s="4"/>
      <c r="B120" s="47"/>
      <c r="C120" s="48" t="str">
        <f>IF(D120&lt;&gt;"","▪","")</f>
        <v>▪</v>
      </c>
      <c r="D120" s="500" t="s">
        <v>81</v>
      </c>
    </row>
    <row r="121" spans="1:4" ht="15" x14ac:dyDescent="0.25">
      <c r="A121" s="4"/>
      <c r="B121" s="47" t="s">
        <v>11</v>
      </c>
      <c r="C121" s="47"/>
      <c r="D121" s="500"/>
    </row>
    <row r="122" spans="1:4" ht="15" x14ac:dyDescent="0.25">
      <c r="A122" s="4"/>
      <c r="B122" s="47"/>
      <c r="C122" s="48" t="str">
        <f>IF(D122&lt;&gt;"","▪","")</f>
        <v>▪</v>
      </c>
      <c r="D122" s="500" t="s">
        <v>82</v>
      </c>
    </row>
    <row r="123" spans="1:4" ht="15" x14ac:dyDescent="0.25">
      <c r="A123" s="4"/>
      <c r="B123" s="47" t="s">
        <v>23</v>
      </c>
      <c r="C123" s="47"/>
      <c r="D123" s="500"/>
    </row>
    <row r="124" spans="1:4" ht="15" x14ac:dyDescent="0.25">
      <c r="A124" s="4"/>
      <c r="B124" s="47"/>
      <c r="C124" s="48" t="str">
        <f>IF(D124&lt;&gt;"","▪","")</f>
        <v>▪</v>
      </c>
      <c r="D124" s="500" t="s">
        <v>83</v>
      </c>
    </row>
    <row r="125" spans="1:4" ht="15" x14ac:dyDescent="0.25">
      <c r="A125" s="419"/>
      <c r="B125" s="478"/>
      <c r="C125" s="478"/>
      <c r="D125" s="503"/>
    </row>
    <row r="126" spans="1:4" ht="18.75" x14ac:dyDescent="0.3">
      <c r="A126" s="603" t="s">
        <v>932</v>
      </c>
      <c r="B126" s="604"/>
      <c r="C126" s="604"/>
      <c r="D126" s="605"/>
    </row>
    <row r="127" spans="1:4" ht="15" x14ac:dyDescent="0.25">
      <c r="A127" s="4"/>
      <c r="B127" s="47" t="s">
        <v>2</v>
      </c>
      <c r="C127" s="47"/>
      <c r="D127" s="500"/>
    </row>
    <row r="128" spans="1:4" ht="15" x14ac:dyDescent="0.25">
      <c r="A128" s="4"/>
      <c r="B128" s="47"/>
      <c r="C128" s="48" t="str">
        <f>IF(D128&lt;&gt;"","▪","")</f>
        <v>▪</v>
      </c>
      <c r="D128" s="500" t="s">
        <v>933</v>
      </c>
    </row>
    <row r="129" spans="1:4" ht="15" x14ac:dyDescent="0.25">
      <c r="A129" s="419"/>
      <c r="B129" s="478"/>
      <c r="C129" s="478"/>
      <c r="D129" s="503"/>
    </row>
    <row r="130" spans="1:4" s="652" customFormat="1" ht="18.75" x14ac:dyDescent="0.3">
      <c r="A130" s="603" t="s">
        <v>934</v>
      </c>
      <c r="B130" s="604"/>
      <c r="C130" s="604"/>
      <c r="D130" s="605"/>
    </row>
    <row r="131" spans="1:4" s="652" customFormat="1" ht="15" x14ac:dyDescent="0.25">
      <c r="A131" s="4"/>
      <c r="B131" s="47" t="s">
        <v>40</v>
      </c>
      <c r="C131" s="47"/>
      <c r="D131" s="500"/>
    </row>
    <row r="132" spans="1:4" s="652" customFormat="1" ht="15" x14ac:dyDescent="0.25">
      <c r="A132" s="4"/>
      <c r="B132" s="47"/>
      <c r="C132" s="48" t="str">
        <f>IF(D132&lt;&gt;"","▪","")</f>
        <v>▪</v>
      </c>
      <c r="D132" s="500" t="s">
        <v>936</v>
      </c>
    </row>
    <row r="133" spans="1:4" s="653" customFormat="1" ht="15" x14ac:dyDescent="0.25">
      <c r="A133" s="4"/>
      <c r="B133" s="47"/>
      <c r="C133" s="48" t="str">
        <f>IF(D133&lt;&gt;"","▪","")</f>
        <v>▪</v>
      </c>
      <c r="D133" s="500" t="s">
        <v>939</v>
      </c>
    </row>
    <row r="134" spans="1:4" s="652" customFormat="1" ht="15" x14ac:dyDescent="0.25">
      <c r="A134" s="4"/>
      <c r="B134" s="47" t="s">
        <v>71</v>
      </c>
      <c r="C134" s="47"/>
      <c r="D134" s="500"/>
    </row>
    <row r="135" spans="1:4" s="652" customFormat="1" ht="15" x14ac:dyDescent="0.25">
      <c r="A135" s="415"/>
      <c r="B135" s="47"/>
      <c r="C135" s="48" t="str">
        <f>IF(D135&lt;&gt;"","▪","")</f>
        <v>▪</v>
      </c>
      <c r="D135" s="500" t="s">
        <v>937</v>
      </c>
    </row>
    <row r="136" spans="1:4" s="652" customFormat="1" ht="15" x14ac:dyDescent="0.25">
      <c r="A136" s="4"/>
      <c r="B136" s="47" t="s">
        <v>17</v>
      </c>
      <c r="C136" s="47"/>
      <c r="D136" s="500"/>
    </row>
    <row r="137" spans="1:4" s="652" customFormat="1" ht="15" x14ac:dyDescent="0.2">
      <c r="A137" s="415"/>
      <c r="C137" s="48" t="str">
        <f>IF(D137&lt;&gt;"","▪","")</f>
        <v>▪</v>
      </c>
      <c r="D137" s="500" t="s">
        <v>935</v>
      </c>
    </row>
    <row r="138" spans="1:4" s="652" customFormat="1" ht="15" x14ac:dyDescent="0.25">
      <c r="A138" s="419"/>
      <c r="B138" s="478"/>
      <c r="C138" s="478"/>
      <c r="D138" s="503"/>
    </row>
    <row r="139" spans="1:4" ht="18.75" x14ac:dyDescent="0.3">
      <c r="A139" s="603" t="s">
        <v>945</v>
      </c>
      <c r="B139" s="604"/>
      <c r="C139" s="604"/>
      <c r="D139" s="605"/>
    </row>
    <row r="140" spans="1:4" ht="15" x14ac:dyDescent="0.25">
      <c r="A140" s="4"/>
      <c r="B140" s="47" t="s">
        <v>40</v>
      </c>
      <c r="C140" s="47"/>
      <c r="D140" s="500"/>
    </row>
    <row r="141" spans="1:4" ht="25.5" x14ac:dyDescent="0.25">
      <c r="A141" s="4"/>
      <c r="B141" s="47"/>
      <c r="C141" s="48" t="str">
        <f>IF(D141&lt;&gt;"","▪","")</f>
        <v>▪</v>
      </c>
      <c r="D141" s="500" t="s">
        <v>951</v>
      </c>
    </row>
    <row r="142" spans="1:4" ht="15" x14ac:dyDescent="0.25">
      <c r="A142" s="4"/>
      <c r="B142" s="47" t="s">
        <v>23</v>
      </c>
      <c r="C142" s="47"/>
      <c r="D142" s="500"/>
    </row>
    <row r="143" spans="1:4" ht="15" x14ac:dyDescent="0.25">
      <c r="A143" s="415"/>
      <c r="B143" s="47"/>
      <c r="C143" s="48" t="str">
        <f>IF(D143&lt;&gt;"","▪","")</f>
        <v>▪</v>
      </c>
      <c r="D143" s="500" t="s">
        <v>946</v>
      </c>
    </row>
    <row r="144" spans="1:4" ht="15" x14ac:dyDescent="0.25">
      <c r="A144" s="4"/>
      <c r="B144" s="47" t="s">
        <v>11</v>
      </c>
      <c r="C144" s="47"/>
      <c r="D144" s="500"/>
    </row>
    <row r="145" spans="1:4" ht="15" x14ac:dyDescent="0.2">
      <c r="A145" s="415"/>
      <c r="B145" s="669"/>
      <c r="C145" s="48" t="str">
        <f>IF(D145&lt;&gt;"","▪","")</f>
        <v>▪</v>
      </c>
      <c r="D145" s="500" t="s">
        <v>946</v>
      </c>
    </row>
    <row r="146" spans="1:4" s="669" customFormat="1" ht="15" x14ac:dyDescent="0.25">
      <c r="A146" s="4"/>
      <c r="B146" s="47" t="s">
        <v>49</v>
      </c>
      <c r="C146" s="47"/>
      <c r="D146" s="500"/>
    </row>
    <row r="147" spans="1:4" s="669" customFormat="1" ht="15" x14ac:dyDescent="0.2">
      <c r="A147" s="415"/>
      <c r="C147" s="48" t="str">
        <f>IF(D147&lt;&gt;"","▪","")</f>
        <v>▪</v>
      </c>
      <c r="D147" s="500" t="s">
        <v>947</v>
      </c>
    </row>
    <row r="148" spans="1:4" s="669" customFormat="1" ht="15" x14ac:dyDescent="0.25">
      <c r="A148" s="4"/>
      <c r="B148" s="47" t="s">
        <v>20</v>
      </c>
      <c r="C148" s="47"/>
      <c r="D148" s="500"/>
    </row>
    <row r="149" spans="1:4" s="669" customFormat="1" ht="15" x14ac:dyDescent="0.2">
      <c r="A149" s="415"/>
      <c r="C149" s="48" t="str">
        <f>IF(D149&lt;&gt;"","▪","")</f>
        <v>▪</v>
      </c>
      <c r="D149" s="500" t="s">
        <v>946</v>
      </c>
    </row>
    <row r="150" spans="1:4" s="675" customFormat="1" ht="15" x14ac:dyDescent="0.25">
      <c r="A150" s="4"/>
      <c r="B150" s="47" t="s">
        <v>54</v>
      </c>
      <c r="C150" s="47"/>
      <c r="D150" s="500"/>
    </row>
    <row r="151" spans="1:4" s="675" customFormat="1" ht="15" x14ac:dyDescent="0.2">
      <c r="A151" s="415"/>
      <c r="C151" s="48" t="str">
        <f>IF(D151&lt;&gt;"","▪","")</f>
        <v>▪</v>
      </c>
      <c r="D151" s="500" t="s">
        <v>949</v>
      </c>
    </row>
    <row r="152" spans="1:4" s="675" customFormat="1" ht="15" x14ac:dyDescent="0.25">
      <c r="A152" s="4"/>
      <c r="B152" s="47" t="s">
        <v>71</v>
      </c>
      <c r="C152" s="47"/>
      <c r="D152" s="500"/>
    </row>
    <row r="153" spans="1:4" s="675" customFormat="1" ht="15" x14ac:dyDescent="0.2">
      <c r="A153" s="415"/>
      <c r="C153" s="48" t="str">
        <f>IF(D153&lt;&gt;"","▪","")</f>
        <v>▪</v>
      </c>
      <c r="D153" s="500" t="s">
        <v>950</v>
      </c>
    </row>
    <row r="154" spans="1:4" ht="15" x14ac:dyDescent="0.25">
      <c r="A154" s="419"/>
      <c r="B154" s="478"/>
      <c r="C154" s="478"/>
      <c r="D154" s="503"/>
    </row>
  </sheetData>
  <sheetProtection algorithmName="SHA-512" hashValue="Va+x6mX9Zbo9dYf//JAEIy5qphprAXjLC6zMafG4tlM0JIJCfbkG5dFNoj0pNN93kupJp/8e/St6FJ6uYLRjBw==" saltValue="1V2scFcrQuu3jYjQmf/cgw==" spinCount="100000" sheet="1" objects="1" scenarios="1" autoFilter="0"/>
  <phoneticPr fontId="38"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&amp;LPMv3.12&amp;R&amp;P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tabSelected="1"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5"/>
      <c r="B1" s="405"/>
      <c r="C1" s="405"/>
      <c r="D1" s="405"/>
      <c r="E1" s="405"/>
      <c r="F1" s="405"/>
      <c r="G1" s="405"/>
      <c r="H1" s="405"/>
      <c r="I1" s="405"/>
      <c r="J1" s="492" t="s">
        <v>84</v>
      </c>
      <c r="K1" s="511" t="b">
        <v>1</v>
      </c>
    </row>
    <row r="2" spans="1:15" ht="22.5" customHeight="1" x14ac:dyDescent="0.2">
      <c r="A2" s="405"/>
      <c r="B2" s="407"/>
      <c r="C2" s="407"/>
      <c r="D2" s="407"/>
      <c r="E2" s="725" t="str">
        <f>CHOOSE(MATCH(Objeto,{"PM","PO"}),"PLANILHA MÚLTIPLA ","PLANILHA ORÇAMENTÁRIA ")&amp; Versao</f>
        <v>PLANILHA MÚLTIPLA v3.12</v>
      </c>
      <c r="F2" s="725"/>
      <c r="G2" s="725"/>
      <c r="H2" s="409"/>
      <c r="I2" s="407"/>
      <c r="J2" s="492" t="s">
        <v>948</v>
      </c>
      <c r="K2" s="511" t="b">
        <v>1</v>
      </c>
    </row>
    <row r="3" spans="1:15" ht="22.5" customHeight="1" x14ac:dyDescent="0.2">
      <c r="A3" s="405"/>
      <c r="B3" s="407"/>
      <c r="C3" s="407"/>
      <c r="D3" s="407"/>
      <c r="E3" s="725"/>
      <c r="F3" s="725"/>
      <c r="G3" s="725"/>
      <c r="H3" s="409"/>
      <c r="I3" s="407"/>
      <c r="O3" s="607">
        <v>1</v>
      </c>
    </row>
    <row r="4" spans="1:15" ht="17.100000000000001" customHeight="1" x14ac:dyDescent="0.2">
      <c r="A4" s="405"/>
      <c r="B4" s="407"/>
      <c r="C4" s="407"/>
      <c r="D4" s="407"/>
      <c r="E4" s="407"/>
      <c r="F4" s="408"/>
      <c r="G4" s="409"/>
      <c r="H4" s="409"/>
      <c r="I4" s="407"/>
      <c r="J4" s="152" t="str">
        <f>IF(VALUE(MENU!$O$4)=2,"BM","PLE")</f>
        <v>BM</v>
      </c>
      <c r="O4" s="607">
        <v>2</v>
      </c>
    </row>
    <row r="5" spans="1:15" ht="17.100000000000001" customHeight="1" thickBot="1" x14ac:dyDescent="0.25">
      <c r="A5" s="405"/>
      <c r="B5" s="407"/>
      <c r="C5" s="407"/>
      <c r="D5" s="407"/>
      <c r="E5" s="407"/>
      <c r="F5" s="408"/>
      <c r="G5" s="409"/>
      <c r="H5" s="409"/>
      <c r="I5" s="407"/>
      <c r="J5" s="152" t="s">
        <v>85</v>
      </c>
    </row>
    <row r="6" spans="1:15" ht="21" customHeight="1" thickBot="1" x14ac:dyDescent="0.25">
      <c r="A6" s="405"/>
      <c r="B6" s="405"/>
      <c r="C6" s="405"/>
      <c r="D6" s="405"/>
      <c r="E6" s="510" t="s">
        <v>86</v>
      </c>
      <c r="F6" s="406"/>
      <c r="G6" s="510" t="s">
        <v>87</v>
      </c>
      <c r="H6" s="405"/>
      <c r="I6" s="405"/>
      <c r="J6" s="152" t="s">
        <v>88</v>
      </c>
    </row>
    <row r="7" spans="1:15" x14ac:dyDescent="0.2">
      <c r="A7" s="405"/>
      <c r="B7" s="405"/>
      <c r="C7" s="405"/>
      <c r="D7" s="405"/>
      <c r="E7" s="405"/>
      <c r="F7" s="405"/>
      <c r="G7" s="405"/>
      <c r="H7" s="405"/>
      <c r="I7" s="405"/>
      <c r="J7" s="152" t="s">
        <v>76</v>
      </c>
      <c r="K7" s="608"/>
      <c r="L7" s="609"/>
      <c r="M7" s="609"/>
      <c r="N7" s="610"/>
    </row>
    <row r="8" spans="1:15" ht="21" customHeight="1" x14ac:dyDescent="0.2">
      <c r="A8" s="407"/>
      <c r="B8" s="724" t="str">
        <f>IF($O$3&lt;&gt;2,"DOCUMENTAÇÃO DA PROPOSTA","PROPOSTA: Para visualizar/preencher esta seção, altere o TIPO DE ORÇAMENTO para 'Proposto'")</f>
        <v>DOCUMENTAÇÃO DA PROPOSTA</v>
      </c>
      <c r="C8" s="724"/>
      <c r="D8" s="724"/>
      <c r="E8" s="724"/>
      <c r="F8" s="724"/>
      <c r="G8" s="724"/>
      <c r="H8" s="724"/>
      <c r="I8" s="405"/>
      <c r="J8" s="152" t="s">
        <v>78</v>
      </c>
      <c r="K8" s="413"/>
      <c r="L8" s="414" t="s">
        <v>89</v>
      </c>
      <c r="M8" s="414"/>
      <c r="N8" s="415"/>
    </row>
    <row r="9" spans="1:15" ht="13.5" thickBot="1" x14ac:dyDescent="0.25">
      <c r="A9" s="405"/>
      <c r="B9" s="405"/>
      <c r="C9" s="405"/>
      <c r="D9" s="405"/>
      <c r="E9" s="405"/>
      <c r="F9" s="405"/>
      <c r="G9" s="405"/>
      <c r="H9" s="405"/>
      <c r="I9" s="405"/>
      <c r="K9" s="413"/>
      <c r="L9" t="s">
        <v>90</v>
      </c>
      <c r="N9" s="415"/>
    </row>
    <row r="10" spans="1:15" ht="21" customHeight="1" thickBot="1" x14ac:dyDescent="0.25">
      <c r="A10" s="405"/>
      <c r="B10" s="405"/>
      <c r="C10" s="479" t="str">
        <f>IF(TIPOORCAMENTO&lt;&gt;"Proposto","","                    BDI                    ")</f>
        <v xml:space="preserve">                    BDI                    </v>
      </c>
      <c r="D10" s="406"/>
      <c r="E10" s="479" t="str">
        <f>IF(TIPOORCAMENTO&lt;&gt;"Proposto","","             ORÇAMENTO             ")</f>
        <v xml:space="preserve">             ORÇAMENTO             </v>
      </c>
      <c r="F10" s="406"/>
      <c r="G10" s="481" t="str">
        <f>IF(TIPOORCAMENTO&lt;&gt;"Proposto","","MEMÓRIA DE CÁLCULO / PLQ")</f>
        <v>MEMÓRIA DE CÁLCULO / PLQ</v>
      </c>
      <c r="H10" s="405"/>
      <c r="I10" s="405"/>
      <c r="K10" s="413"/>
      <c r="L10" s="5"/>
      <c r="M10" s="3"/>
      <c r="N10" s="416" t="s">
        <v>91</v>
      </c>
    </row>
    <row r="11" spans="1:15" ht="13.5" thickBot="1" x14ac:dyDescent="0.25">
      <c r="A11" s="405"/>
      <c r="B11" s="405"/>
      <c r="C11" s="406"/>
      <c r="D11" s="406"/>
      <c r="E11" s="406"/>
      <c r="F11" s="406"/>
      <c r="G11" s="406"/>
      <c r="H11" s="405"/>
      <c r="I11" s="405"/>
      <c r="K11" s="413"/>
      <c r="N11" s="415"/>
    </row>
    <row r="12" spans="1:15" ht="21" customHeight="1" thickBot="1" x14ac:dyDescent="0.25">
      <c r="A12" s="405"/>
      <c r="B12" s="405"/>
      <c r="C12" s="479" t="str">
        <f>IF(TIPOORCAMENTO&lt;&gt;"Proposto","","                    QCI                    ")</f>
        <v xml:space="preserve">                    QCI                    </v>
      </c>
      <c r="D12" s="406"/>
      <c r="E12" s="480" t="str">
        <f>IF(TIPOORCAMENTO&lt;&gt;"Proposto","","CRONOGRAMA FÍSICO-FINANCEIRO")</f>
        <v>CRONOGRAMA FÍSICO-FINANCEIRO</v>
      </c>
      <c r="F12" s="406"/>
      <c r="G12" s="406"/>
      <c r="H12" s="405"/>
      <c r="I12" s="405"/>
      <c r="K12" s="413"/>
      <c r="L12" s="6"/>
      <c r="M12" s="3"/>
      <c r="N12" s="416" t="s">
        <v>92</v>
      </c>
    </row>
    <row r="13" spans="1:15" x14ac:dyDescent="0.2">
      <c r="A13" s="405"/>
      <c r="B13" s="405"/>
      <c r="C13" s="405"/>
      <c r="D13" s="405"/>
      <c r="E13" s="405"/>
      <c r="F13" s="405"/>
      <c r="G13" s="405"/>
      <c r="H13" s="405"/>
      <c r="I13" s="405"/>
      <c r="K13" s="413"/>
      <c r="N13" s="415"/>
    </row>
    <row r="14" spans="1:15" x14ac:dyDescent="0.2">
      <c r="A14" s="405"/>
      <c r="B14" s="405"/>
      <c r="C14" s="405"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09-2025.xlsm.</v>
      </c>
      <c r="D14" s="405"/>
      <c r="E14" s="405"/>
      <c r="F14" s="405"/>
      <c r="G14" s="405"/>
      <c r="H14" s="405"/>
      <c r="I14" s="405"/>
      <c r="K14" s="413"/>
      <c r="N14" s="415"/>
    </row>
    <row r="15" spans="1:15" x14ac:dyDescent="0.2">
      <c r="A15" s="405"/>
      <c r="B15" s="405"/>
      <c r="C15" s="405"/>
      <c r="D15" s="405"/>
      <c r="E15" s="405"/>
      <c r="F15" s="405"/>
      <c r="G15" s="405"/>
      <c r="H15" s="405"/>
      <c r="I15" s="405"/>
      <c r="K15" s="413"/>
      <c r="L15" t="s">
        <v>93</v>
      </c>
      <c r="N15" s="415"/>
    </row>
    <row r="16" spans="1:15" ht="21" customHeight="1" x14ac:dyDescent="0.2">
      <c r="A16" s="405"/>
      <c r="B16" s="724" t="str">
        <f>IF($O$3&lt;&gt;2,"PÓS-LICITADO: Para visualizar/preencher esta seção, altere o TIPO DE ORÇAMENTO para 'Licitado'","RESULTADO DO PROCESSO LICITATÓRIO")</f>
        <v>PÓS-LICITADO: Para visualizar/preencher esta seção, altere o TIPO DE ORÇAMENTO para 'Licitado'</v>
      </c>
      <c r="C16" s="724"/>
      <c r="D16" s="724"/>
      <c r="E16" s="724"/>
      <c r="F16" s="724"/>
      <c r="G16" s="724"/>
      <c r="H16" s="724"/>
      <c r="I16" s="405"/>
      <c r="K16" s="413"/>
      <c r="L16" s="482"/>
      <c r="M16" s="3"/>
      <c r="N16" s="416" t="s">
        <v>94</v>
      </c>
    </row>
    <row r="17" spans="1:14" ht="13.5" thickBot="1" x14ac:dyDescent="0.25">
      <c r="A17" s="405"/>
      <c r="B17" s="405"/>
      <c r="C17" s="405"/>
      <c r="D17" s="405"/>
      <c r="E17" s="405"/>
      <c r="F17" s="405"/>
      <c r="G17" s="405"/>
      <c r="H17" s="405"/>
      <c r="I17" s="405"/>
      <c r="K17" s="413"/>
      <c r="N17" s="415"/>
    </row>
    <row r="18" spans="1:14" ht="21" customHeight="1" thickBot="1" x14ac:dyDescent="0.25">
      <c r="A18" s="405"/>
      <c r="B18" s="405"/>
      <c r="C18" s="479" t="str">
        <f>IF(TIPOORCAMENTO&lt;&gt;"Licitado","","             ORÇAMENTO             ")</f>
        <v/>
      </c>
      <c r="D18" s="406"/>
      <c r="E18" s="479" t="str">
        <f>IF(TIPOORCAMENTO&lt;&gt;"Licitado","","                    QCI                    ")</f>
        <v/>
      </c>
      <c r="F18" s="406"/>
      <c r="G18" s="480" t="str">
        <f>IF(TIPOORCAMENTO&lt;&gt;"Licitado","","CRONOGRAMA FÍSICO-FINANCEIRO")</f>
        <v/>
      </c>
      <c r="H18" s="405"/>
      <c r="I18" s="405"/>
      <c r="K18" s="413"/>
      <c r="L18" s="410"/>
      <c r="M18" s="3"/>
      <c r="N18" s="416" t="s">
        <v>95</v>
      </c>
    </row>
    <row r="19" spans="1:14" x14ac:dyDescent="0.2">
      <c r="A19" s="405"/>
      <c r="B19" s="405"/>
      <c r="C19" s="405"/>
      <c r="D19" s="405"/>
      <c r="E19" s="405"/>
      <c r="F19" s="405"/>
      <c r="G19" s="405"/>
      <c r="H19" s="405"/>
      <c r="I19" s="405"/>
      <c r="K19" s="417"/>
      <c r="L19" s="418"/>
      <c r="M19" s="418"/>
      <c r="N19" s="419"/>
    </row>
    <row r="20" spans="1:14" ht="21" customHeight="1" x14ac:dyDescent="0.2">
      <c r="A20" s="407"/>
      <c r="B20" s="724" t="str">
        <f>IF($O$3&lt;&gt;2,"ACOMPANHAMENTO: Para visualizar/preencher esta seção, altere o TIPO DE ORÇAMENTO para 'Licitado'","ACOMPANHAMENTO DO EMPREENDIMENTO")</f>
        <v>ACOMPANHAMENTO: Para visualizar/preencher esta seção, altere o TIPO DE ORÇAMENTO para 'Licitado'</v>
      </c>
      <c r="C20" s="724"/>
      <c r="D20" s="724"/>
      <c r="E20" s="724"/>
      <c r="F20" s="724"/>
      <c r="G20" s="724"/>
      <c r="H20" s="724"/>
      <c r="I20" s="405"/>
    </row>
    <row r="21" spans="1:14" ht="13.5" thickBot="1" x14ac:dyDescent="0.25">
      <c r="A21" s="405"/>
      <c r="B21" s="405"/>
      <c r="C21" s="405"/>
      <c r="D21" s="405"/>
      <c r="E21" s="405"/>
      <c r="F21" s="405"/>
      <c r="G21" s="405"/>
      <c r="H21" s="405"/>
      <c r="I21" s="405"/>
    </row>
    <row r="22" spans="1:14" ht="21" customHeight="1" thickBot="1" x14ac:dyDescent="0.25">
      <c r="A22" s="405"/>
      <c r="B22" s="405"/>
      <c r="C22" s="483" t="e" cm="1">
        <f t="array" aca="1" ref="C22" ca="1">IF(OR(_xlfn.SINGLE(TIPOORCAMENTO)&lt;&gt;"Licitado",ACOMPANHAMENTO&lt;&gt;"PLE"),"","PLAN. DE LEVANT. DE EVENTOS - PLE")</f>
        <v>#NAME?</v>
      </c>
      <c r="D22" s="406"/>
      <c r="E22" s="479" t="str">
        <f>IF(TIPOORCAMENTO&lt;&gt;"Licitado","","                    RRE                    ")</f>
        <v/>
      </c>
      <c r="F22" s="406"/>
      <c r="G22" s="481" t="e" cm="1">
        <f t="array" aca="1" ref="G22" ca="1">IF(OR(_xlfn.SINGLE(TIPOORCAMENTO)&lt;&gt;"Licitado",ACOMPANHAMENTO&lt;&gt;"BM"),"","  BOLETIM DE MEDIÇÃO - BM  ")</f>
        <v>#NAME?</v>
      </c>
      <c r="H22" s="405"/>
      <c r="I22" s="405"/>
    </row>
    <row r="23" spans="1:14" ht="13.5" thickBot="1" x14ac:dyDescent="0.25">
      <c r="A23" s="405"/>
      <c r="B23" s="405"/>
      <c r="C23" s="406"/>
      <c r="D23" s="406"/>
      <c r="E23" s="406"/>
      <c r="F23" s="406"/>
      <c r="G23" s="406"/>
      <c r="H23" s="405"/>
      <c r="I23" s="405"/>
    </row>
    <row r="24" spans="1:14" ht="21" customHeight="1" thickBot="1" x14ac:dyDescent="0.25">
      <c r="A24" s="405"/>
      <c r="B24" s="405"/>
      <c r="C24" s="406"/>
      <c r="D24" s="406"/>
      <c r="E24" s="483" t="str">
        <f>IF(TIPOORCAMENTO&lt;&gt;"Licitado","","OF. DE SOLICITAÇÃO DE DESBLOQUEIO")</f>
        <v/>
      </c>
      <c r="F24" s="406"/>
      <c r="G24" s="406"/>
      <c r="H24" s="405"/>
      <c r="I24" s="405"/>
    </row>
    <row r="25" spans="1:14" x14ac:dyDescent="0.2">
      <c r="A25" s="405"/>
      <c r="B25" s="405"/>
      <c r="C25" s="405"/>
      <c r="D25" s="405"/>
      <c r="E25" s="405"/>
      <c r="F25" s="405"/>
      <c r="G25" s="405"/>
      <c r="H25" s="405"/>
      <c r="I25" s="405"/>
    </row>
  </sheetData>
  <sheetProtection algorithmName="SHA-512" hashValue="KtTABgk8u0tIQtDeLy9/cyQGUZIypUJ3VXBHmimRPsPDNMhIuVRhGtkxt8znsUssQVcxdezlUcln9alQAYAEGQ==" saltValue="jksqpkAxGtSM7l+od2x+gA==" spinCount="100000" sheet="1" objects="1" scenarios="1" autoFilter="0"/>
  <mergeCells count="4">
    <mergeCell ref="B20:H20"/>
    <mergeCell ref="B8:H8"/>
    <mergeCell ref="E2:G3"/>
    <mergeCell ref="B16:H16"/>
  </mergeCells>
  <phoneticPr fontId="38" type="noConversion"/>
  <conditionalFormatting sqref="C10:G14">
    <cfRule type="expression" dxfId="886" priority="70" stopIfTrue="1">
      <formula>TIPOORCAMENTO="Licitado"</formula>
    </cfRule>
  </conditionalFormatting>
  <conditionalFormatting sqref="C18:G18 E22:E24">
    <cfRule type="expression" dxfId="885" priority="71" stopIfTrue="1">
      <formula>TIPOORCAMENTO&lt;&gt;"Licitado"</formula>
    </cfRule>
  </conditionalFormatting>
  <conditionalFormatting sqref="C22">
    <cfRule type="expression" dxfId="884" priority="73" stopIfTrue="1">
      <formula>OR(TIPOORCAMENTO&lt;&gt;"Licitado",ACOMPANHAMENTO&lt;&gt;"PLE")</formula>
    </cfRule>
  </conditionalFormatting>
  <conditionalFormatting sqref="G22">
    <cfRule type="expression" dxfId="883" priority="74" stopIfTrue="1">
      <formula>OR(TIPOORCAMENTO&lt;&gt;"Licitado",ACOMPANHAMENTO&lt;&gt;"BM")</formula>
    </cfRule>
  </conditionalFormatting>
  <conditionalFormatting sqref="B16:H16 B20:H20">
    <cfRule type="expression" dxfId="882" priority="599" stopIfTrue="1">
      <formula>$O$3&lt;&gt;2</formula>
    </cfRule>
  </conditionalFormatting>
  <conditionalFormatting sqref="B8:H8">
    <cfRule type="expression" dxfId="881"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&amp;LPMv3.12&amp;R&amp;P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R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7" width="14.42578125" hidden="1" customWidth="1"/>
    <col min="8" max="10" width="9.140625" hidden="1" customWidth="1"/>
    <col min="11" max="11" width="9.140625" style="7" hidden="1" customWidth="1"/>
    <col min="12" max="43" width="9.140625" hidden="1" customWidth="1"/>
    <col min="44" max="44" width="15.5703125" hidden="1" customWidth="1"/>
    <col min="45" max="45" width="9.140625" customWidth="1"/>
  </cols>
  <sheetData>
    <row r="1" spans="2:44" ht="15.75" customHeight="1" x14ac:dyDescent="0.25">
      <c r="B1" s="8" t="s">
        <v>96</v>
      </c>
      <c r="C1" s="565"/>
      <c r="D1" s="522"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H1" s="611"/>
      <c r="I1" s="727" t="s">
        <v>97</v>
      </c>
      <c r="J1" s="727"/>
      <c r="K1" s="727"/>
      <c r="L1" s="727"/>
      <c r="M1" s="727"/>
      <c r="N1" s="727"/>
      <c r="O1" s="727"/>
      <c r="P1" s="727"/>
      <c r="Q1" s="727"/>
      <c r="R1" s="727"/>
      <c r="S1" s="727"/>
      <c r="T1" s="727"/>
      <c r="U1" s="727"/>
      <c r="V1" s="727"/>
      <c r="W1" s="727"/>
      <c r="X1" s="727"/>
      <c r="Y1" s="727"/>
      <c r="Z1" s="727"/>
      <c r="AA1" s="727"/>
      <c r="AB1" s="727"/>
      <c r="AC1" s="727"/>
      <c r="AD1" s="727"/>
      <c r="AE1" s="727"/>
      <c r="AF1" s="727"/>
      <c r="AG1" s="727"/>
      <c r="AH1" s="727"/>
      <c r="AI1" s="727"/>
      <c r="AJ1" s="727"/>
      <c r="AK1" s="727"/>
      <c r="AL1" s="727"/>
      <c r="AM1" s="727"/>
      <c r="AN1" s="727"/>
      <c r="AO1" s="727"/>
      <c r="AQ1" s="612" t="s">
        <v>98</v>
      </c>
      <c r="AR1" s="613"/>
    </row>
    <row r="2" spans="2:44" ht="12.75" customHeight="1" thickBot="1" x14ac:dyDescent="0.25">
      <c r="B2" s="8"/>
      <c r="G2" s="9" t="s">
        <v>99</v>
      </c>
      <c r="H2" s="10" t="s">
        <v>100</v>
      </c>
      <c r="I2" s="11">
        <f>COUNTA(H:H)-1</f>
        <v>3</v>
      </c>
      <c r="J2" s="10" t="s">
        <v>101</v>
      </c>
      <c r="K2" s="11">
        <f>COUNTA(J:J)-1</f>
        <v>6</v>
      </c>
      <c r="L2" s="10" t="s">
        <v>102</v>
      </c>
      <c r="M2" s="11">
        <f>COUNTA(L:L)-1</f>
        <v>6</v>
      </c>
      <c r="N2" s="10" t="s">
        <v>103</v>
      </c>
      <c r="O2" s="11">
        <f>COUNTA(N:N)-1</f>
        <v>6</v>
      </c>
      <c r="P2" s="10" t="s">
        <v>104</v>
      </c>
      <c r="Q2" s="11">
        <f>COUNTA(P:P)-1</f>
        <v>11</v>
      </c>
      <c r="R2" s="10" t="s">
        <v>105</v>
      </c>
      <c r="S2" s="11">
        <f>COUNTA(R:R)-1</f>
        <v>8</v>
      </c>
      <c r="T2" s="10" t="s">
        <v>106</v>
      </c>
      <c r="U2" s="11">
        <f>COUNTA(T:T)-1</f>
        <v>4</v>
      </c>
      <c r="V2" s="10" t="s">
        <v>107</v>
      </c>
      <c r="W2" s="11">
        <f>COUNTA(V:V)-1</f>
        <v>6</v>
      </c>
      <c r="X2" s="10" t="s">
        <v>108</v>
      </c>
      <c r="Y2" s="11">
        <f>COUNTA(X:X)-1</f>
        <v>2</v>
      </c>
      <c r="Z2" s="10" t="s">
        <v>109</v>
      </c>
      <c r="AA2" s="11">
        <f>COUNTA(Z:Z)-1</f>
        <v>2</v>
      </c>
      <c r="AB2" s="10" t="s">
        <v>110</v>
      </c>
      <c r="AC2" s="11">
        <f>COUNTA(AB:AB)-1</f>
        <v>2</v>
      </c>
      <c r="AD2" s="10" t="s">
        <v>111</v>
      </c>
      <c r="AE2" s="11">
        <f>COUNTA(AD:AD)-1</f>
        <v>1</v>
      </c>
      <c r="AF2" s="10" t="s">
        <v>112</v>
      </c>
      <c r="AG2" s="11">
        <f>COUNTA(AF:AF)-1</f>
        <v>1</v>
      </c>
      <c r="AH2" s="10" t="s">
        <v>113</v>
      </c>
      <c r="AI2" s="11">
        <f>COUNTA(AH:AH)-1</f>
        <v>1</v>
      </c>
      <c r="AJ2" s="10" t="s">
        <v>114</v>
      </c>
      <c r="AK2" s="11">
        <f>COUNTA(AJ:AJ)-1</f>
        <v>3</v>
      </c>
      <c r="AL2" s="10" t="s">
        <v>115</v>
      </c>
      <c r="AM2" s="11">
        <f>COUNTA(AL:AL)-1</f>
        <v>1</v>
      </c>
      <c r="AN2" s="10" t="s">
        <v>116</v>
      </c>
      <c r="AO2" s="11">
        <f>COUNTA(AN:AN)-1</f>
        <v>4</v>
      </c>
      <c r="AQ2" s="520" t="s">
        <v>117</v>
      </c>
      <c r="AR2" s="84" t="s">
        <v>118</v>
      </c>
    </row>
    <row r="3" spans="2:44" ht="15.75" thickBot="1" x14ac:dyDescent="0.3">
      <c r="B3" s="726" t="s">
        <v>119</v>
      </c>
      <c r="C3" s="726"/>
      <c r="D3" s="563" t="str">
        <f ca="1">IF(COUNTIF(D4:D13,"◄")=0,"","Falta preencher a linha "&amp;MATCH("◄",D4:D13,0)+ROW(D3))</f>
        <v/>
      </c>
      <c r="G3" s="12" t="s">
        <v>100</v>
      </c>
      <c r="H3" t="s">
        <v>120</v>
      </c>
      <c r="I3" s="7" t="s">
        <v>121</v>
      </c>
      <c r="J3" s="12" t="s">
        <v>122</v>
      </c>
      <c r="K3" s="7" t="s">
        <v>123</v>
      </c>
      <c r="L3" t="s">
        <v>124</v>
      </c>
      <c r="M3" s="7" t="s">
        <v>123</v>
      </c>
      <c r="N3" t="s">
        <v>125</v>
      </c>
      <c r="O3" s="7" t="s">
        <v>126</v>
      </c>
      <c r="P3" t="s">
        <v>127</v>
      </c>
      <c r="Q3" s="7" t="s">
        <v>128</v>
      </c>
      <c r="R3" t="s">
        <v>129</v>
      </c>
      <c r="S3" s="7" t="s">
        <v>121</v>
      </c>
      <c r="T3" t="s">
        <v>130</v>
      </c>
      <c r="U3" s="7" t="s">
        <v>121</v>
      </c>
      <c r="V3" t="s">
        <v>131</v>
      </c>
      <c r="W3" s="7" t="s">
        <v>121</v>
      </c>
      <c r="X3" t="s">
        <v>132</v>
      </c>
      <c r="Y3" s="7" t="s">
        <v>123</v>
      </c>
      <c r="Z3" t="s">
        <v>133</v>
      </c>
      <c r="AA3" s="7" t="s">
        <v>123</v>
      </c>
      <c r="AB3" t="s">
        <v>110</v>
      </c>
      <c r="AC3" s="7" t="s">
        <v>123</v>
      </c>
      <c r="AD3" t="s">
        <v>111</v>
      </c>
      <c r="AE3" s="7" t="s">
        <v>121</v>
      </c>
      <c r="AF3" t="s">
        <v>112</v>
      </c>
      <c r="AG3" s="7" t="s">
        <v>121</v>
      </c>
      <c r="AH3" t="s">
        <v>113</v>
      </c>
      <c r="AI3" s="7" t="s">
        <v>121</v>
      </c>
      <c r="AJ3" t="s">
        <v>134</v>
      </c>
      <c r="AK3" s="7" t="s">
        <v>121</v>
      </c>
      <c r="AL3" t="s">
        <v>115</v>
      </c>
      <c r="AM3" s="7" t="s">
        <v>135</v>
      </c>
      <c r="AN3" t="s">
        <v>136</v>
      </c>
      <c r="AO3" s="7" t="s">
        <v>137</v>
      </c>
      <c r="AQ3" t="s">
        <v>135</v>
      </c>
      <c r="AR3" t="s">
        <v>135</v>
      </c>
    </row>
    <row r="4" spans="2:44" x14ac:dyDescent="0.2">
      <c r="B4" s="13" t="s">
        <v>138</v>
      </c>
      <c r="C4" s="14" t="s">
        <v>952</v>
      </c>
      <c r="D4" s="564" t="str">
        <f ca="1">IF(OR(OFFSET(D4,0,-1)="",OFFSET(D4,0,-1)="(SELECIONAR)"),"◄","")</f>
        <v/>
      </c>
      <c r="G4" s="12" t="s">
        <v>101</v>
      </c>
      <c r="H4" t="s">
        <v>140</v>
      </c>
      <c r="I4" s="7" t="s">
        <v>121</v>
      </c>
      <c r="J4" t="s">
        <v>141</v>
      </c>
      <c r="K4" s="7" t="s">
        <v>123</v>
      </c>
      <c r="L4" t="s">
        <v>142</v>
      </c>
      <c r="M4" s="7" t="s">
        <v>123</v>
      </c>
      <c r="N4" t="s">
        <v>143</v>
      </c>
      <c r="O4" s="7" t="s">
        <v>126</v>
      </c>
      <c r="P4" t="s">
        <v>144</v>
      </c>
      <c r="Q4" s="7" t="s">
        <v>128</v>
      </c>
      <c r="R4" t="s">
        <v>145</v>
      </c>
      <c r="S4" s="7" t="s">
        <v>126</v>
      </c>
      <c r="T4" t="s">
        <v>146</v>
      </c>
      <c r="U4" s="7" t="s">
        <v>121</v>
      </c>
      <c r="V4" t="s">
        <v>147</v>
      </c>
      <c r="W4" s="7" t="s">
        <v>148</v>
      </c>
      <c r="X4" t="s">
        <v>149</v>
      </c>
      <c r="Y4" s="7" t="s">
        <v>123</v>
      </c>
      <c r="Z4" t="s">
        <v>150</v>
      </c>
      <c r="AA4" s="7" t="s">
        <v>123</v>
      </c>
      <c r="AB4" t="s">
        <v>151</v>
      </c>
      <c r="AC4" s="7" t="s">
        <v>123</v>
      </c>
      <c r="AE4" s="7"/>
      <c r="AG4" s="7"/>
      <c r="AI4" s="7"/>
      <c r="AJ4" t="s">
        <v>152</v>
      </c>
      <c r="AK4" s="7" t="s">
        <v>121</v>
      </c>
      <c r="AN4" t="s">
        <v>153</v>
      </c>
      <c r="AO4" s="7" t="s">
        <v>137</v>
      </c>
      <c r="AQ4" t="s">
        <v>154</v>
      </c>
      <c r="AR4" t="s">
        <v>155</v>
      </c>
    </row>
    <row r="5" spans="2:44" x14ac:dyDescent="0.2">
      <c r="B5" s="15" t="s">
        <v>156</v>
      </c>
      <c r="C5" s="16" t="s">
        <v>953</v>
      </c>
      <c r="D5" s="564" t="str">
        <f t="shared" ref="D5:D11" ca="1" si="0">IF(OFFSET(D5,0,-1)="","◄","")</f>
        <v/>
      </c>
      <c r="G5" s="12" t="s">
        <v>102</v>
      </c>
      <c r="H5" t="s">
        <v>157</v>
      </c>
      <c r="I5" s="7" t="s">
        <v>121</v>
      </c>
      <c r="J5" t="s">
        <v>158</v>
      </c>
      <c r="K5" s="7" t="s">
        <v>123</v>
      </c>
      <c r="L5" t="s">
        <v>159</v>
      </c>
      <c r="M5" s="7" t="s">
        <v>126</v>
      </c>
      <c r="N5" t="s">
        <v>160</v>
      </c>
      <c r="O5" s="7" t="s">
        <v>126</v>
      </c>
      <c r="P5" t="s">
        <v>161</v>
      </c>
      <c r="Q5" s="7" t="s">
        <v>128</v>
      </c>
      <c r="R5" t="s">
        <v>162</v>
      </c>
      <c r="S5" s="7" t="s">
        <v>126</v>
      </c>
      <c r="T5" t="s">
        <v>163</v>
      </c>
      <c r="U5" s="7" t="s">
        <v>126</v>
      </c>
      <c r="V5" t="s">
        <v>164</v>
      </c>
      <c r="W5" s="7" t="s">
        <v>148</v>
      </c>
      <c r="Y5" s="7"/>
      <c r="AA5" s="7"/>
      <c r="AC5" s="7"/>
      <c r="AE5" s="7"/>
      <c r="AG5" s="7"/>
      <c r="AI5" s="7"/>
      <c r="AJ5" t="s">
        <v>165</v>
      </c>
      <c r="AK5" s="7" t="s">
        <v>121</v>
      </c>
      <c r="AN5" t="s">
        <v>166</v>
      </c>
      <c r="AO5" s="7" t="s">
        <v>137</v>
      </c>
      <c r="AQ5" t="s">
        <v>167</v>
      </c>
      <c r="AR5" t="s">
        <v>168</v>
      </c>
    </row>
    <row r="6" spans="2:44" x14ac:dyDescent="0.2">
      <c r="B6" s="15" t="s">
        <v>169</v>
      </c>
      <c r="C6" s="16" t="s">
        <v>954</v>
      </c>
      <c r="D6" s="564" t="str">
        <f t="shared" ca="1" si="0"/>
        <v/>
      </c>
      <c r="G6" s="12" t="s">
        <v>103</v>
      </c>
      <c r="J6" t="s">
        <v>170</v>
      </c>
      <c r="K6" s="7" t="s">
        <v>123</v>
      </c>
      <c r="L6" t="s">
        <v>171</v>
      </c>
      <c r="M6" s="7" t="s">
        <v>123</v>
      </c>
      <c r="N6" t="s">
        <v>172</v>
      </c>
      <c r="O6" s="7" t="s">
        <v>123</v>
      </c>
      <c r="P6" t="s">
        <v>173</v>
      </c>
      <c r="Q6" s="7" t="s">
        <v>126</v>
      </c>
      <c r="R6" t="s">
        <v>174</v>
      </c>
      <c r="S6" s="7" t="s">
        <v>126</v>
      </c>
      <c r="T6" t="s">
        <v>175</v>
      </c>
      <c r="U6" s="7" t="s">
        <v>126</v>
      </c>
      <c r="V6" t="s">
        <v>176</v>
      </c>
      <c r="W6" s="7" t="s">
        <v>121</v>
      </c>
      <c r="AN6" t="s">
        <v>177</v>
      </c>
      <c r="AO6" s="7" t="s">
        <v>137</v>
      </c>
      <c r="AQ6" t="s">
        <v>178</v>
      </c>
      <c r="AR6" t="s">
        <v>179</v>
      </c>
    </row>
    <row r="7" spans="2:44" x14ac:dyDescent="0.2">
      <c r="B7" s="17" t="s">
        <v>180</v>
      </c>
      <c r="C7" s="18" t="s">
        <v>956</v>
      </c>
      <c r="D7" s="564" t="str">
        <f t="shared" ca="1" si="0"/>
        <v/>
      </c>
      <c r="G7" s="12" t="s">
        <v>104</v>
      </c>
      <c r="J7" t="s">
        <v>181</v>
      </c>
      <c r="K7" s="7" t="s">
        <v>123</v>
      </c>
      <c r="L7" t="s">
        <v>182</v>
      </c>
      <c r="M7" s="7" t="s">
        <v>123</v>
      </c>
      <c r="N7" t="s">
        <v>183</v>
      </c>
      <c r="O7" s="7" t="s">
        <v>148</v>
      </c>
      <c r="P7" t="s">
        <v>184</v>
      </c>
      <c r="Q7" s="7" t="s">
        <v>128</v>
      </c>
      <c r="R7" t="s">
        <v>185</v>
      </c>
      <c r="S7" s="7" t="s">
        <v>128</v>
      </c>
      <c r="V7" t="s">
        <v>186</v>
      </c>
      <c r="W7" s="7" t="s">
        <v>121</v>
      </c>
      <c r="AQ7" t="s">
        <v>187</v>
      </c>
      <c r="AR7" t="s">
        <v>188</v>
      </c>
    </row>
    <row r="8" spans="2:44" x14ac:dyDescent="0.2">
      <c r="B8" s="17" t="s">
        <v>189</v>
      </c>
      <c r="C8" s="18" t="s">
        <v>955</v>
      </c>
      <c r="D8" s="564" t="str">
        <f ca="1">IF(AND(Import.TipoArredondamento="TransfereGOV",OFFSET(D8,0,-1)=""),"◄","")</f>
        <v/>
      </c>
      <c r="G8" s="12" t="s">
        <v>105</v>
      </c>
      <c r="J8" t="s">
        <v>190</v>
      </c>
      <c r="K8" s="7" t="s">
        <v>123</v>
      </c>
      <c r="L8" t="s">
        <v>191</v>
      </c>
      <c r="M8" s="7" t="s">
        <v>123</v>
      </c>
      <c r="N8" t="s">
        <v>192</v>
      </c>
      <c r="O8" s="7" t="s">
        <v>128</v>
      </c>
      <c r="P8" t="s">
        <v>193</v>
      </c>
      <c r="Q8" s="7" t="s">
        <v>128</v>
      </c>
      <c r="R8" t="s">
        <v>194</v>
      </c>
      <c r="S8" s="7" t="s">
        <v>128</v>
      </c>
      <c r="V8" t="s">
        <v>195</v>
      </c>
      <c r="W8" s="7" t="s">
        <v>123</v>
      </c>
      <c r="AQ8" t="s">
        <v>196</v>
      </c>
      <c r="AR8" t="s">
        <v>197</v>
      </c>
    </row>
    <row r="9" spans="2:44" x14ac:dyDescent="0.2">
      <c r="B9" s="17" t="str">
        <f>IF(C4="FGTS","Valor de Financiamento Contratado (R$):","Valor do Repasse Contratado (R$):")</f>
        <v>Valor de Financiamento Contratado (R$):</v>
      </c>
      <c r="C9" s="19">
        <v>5819655.71</v>
      </c>
      <c r="D9" s="564" t="str">
        <f t="shared" ca="1" si="0"/>
        <v/>
      </c>
      <c r="G9" s="12" t="s">
        <v>106</v>
      </c>
      <c r="P9" t="s">
        <v>198</v>
      </c>
      <c r="Q9" s="7" t="s">
        <v>126</v>
      </c>
      <c r="R9" t="s">
        <v>199</v>
      </c>
      <c r="S9" s="7" t="s">
        <v>128</v>
      </c>
      <c r="AQ9" t="s">
        <v>200</v>
      </c>
      <c r="AR9" t="s">
        <v>201</v>
      </c>
    </row>
    <row r="10" spans="2:44" x14ac:dyDescent="0.2">
      <c r="B10" s="17" t="s">
        <v>202</v>
      </c>
      <c r="C10" s="19">
        <v>306297.67</v>
      </c>
      <c r="D10" s="564" t="str">
        <f t="shared" ca="1" si="0"/>
        <v/>
      </c>
      <c r="G10" s="12" t="s">
        <v>107</v>
      </c>
      <c r="P10" t="s">
        <v>203</v>
      </c>
      <c r="Q10" s="7" t="s">
        <v>148</v>
      </c>
      <c r="R10" t="s">
        <v>204</v>
      </c>
      <c r="S10" s="7" t="s">
        <v>121</v>
      </c>
      <c r="AQ10" t="s">
        <v>205</v>
      </c>
      <c r="AR10" t="s">
        <v>206</v>
      </c>
    </row>
    <row r="11" spans="2:44" x14ac:dyDescent="0.2">
      <c r="B11" s="17" t="s">
        <v>207</v>
      </c>
      <c r="C11" s="20">
        <v>0.05</v>
      </c>
      <c r="D11" s="564" t="str">
        <f t="shared" ca="1" si="0"/>
        <v/>
      </c>
      <c r="G11" s="12" t="s">
        <v>108</v>
      </c>
      <c r="P11" t="s">
        <v>208</v>
      </c>
      <c r="Q11" s="7" t="s">
        <v>126</v>
      </c>
      <c r="AQ11" t="s">
        <v>209</v>
      </c>
      <c r="AR11" t="s">
        <v>210</v>
      </c>
    </row>
    <row r="12" spans="2:44" x14ac:dyDescent="0.2">
      <c r="B12" s="17" t="s">
        <v>211</v>
      </c>
      <c r="C12" s="19">
        <v>306297.67</v>
      </c>
      <c r="G12" s="12" t="s">
        <v>109</v>
      </c>
      <c r="P12" t="s">
        <v>129</v>
      </c>
      <c r="Q12" s="7" t="s">
        <v>121</v>
      </c>
      <c r="AQ12" t="s">
        <v>212</v>
      </c>
      <c r="AR12" t="s">
        <v>213</v>
      </c>
    </row>
    <row r="13" spans="2:44" ht="13.5" thickBot="1" x14ac:dyDescent="0.25">
      <c r="B13" s="21" t="s">
        <v>214</v>
      </c>
      <c r="C13" s="22"/>
      <c r="G13" s="12" t="s">
        <v>110</v>
      </c>
      <c r="P13" t="s">
        <v>215</v>
      </c>
      <c r="Q13" s="7" t="s">
        <v>126</v>
      </c>
      <c r="AQ13" t="s">
        <v>216</v>
      </c>
      <c r="AR13" t="s">
        <v>217</v>
      </c>
    </row>
    <row r="14" spans="2:44" ht="13.5" thickBot="1" x14ac:dyDescent="0.25">
      <c r="C14" s="23"/>
      <c r="G14" s="12" t="s">
        <v>111</v>
      </c>
      <c r="AQ14" t="s">
        <v>218</v>
      </c>
      <c r="AR14" t="s">
        <v>219</v>
      </c>
    </row>
    <row r="15" spans="2:44" ht="15.75" thickBot="1" x14ac:dyDescent="0.3">
      <c r="B15" s="726" t="s">
        <v>220</v>
      </c>
      <c r="C15" s="726"/>
      <c r="D15" s="563" t="str">
        <f ca="1">IF(COUNTIF(D16:D19,"◄")=0,"","Falta preencher a linha "&amp;MATCH("◄",D16:D19,0)+ROW(D15))</f>
        <v/>
      </c>
      <c r="G15" s="12" t="s">
        <v>112</v>
      </c>
      <c r="AQ15" t="s">
        <v>221</v>
      </c>
      <c r="AR15" t="s">
        <v>222</v>
      </c>
    </row>
    <row r="16" spans="2:44" ht="25.5" x14ac:dyDescent="0.2">
      <c r="B16" s="24" t="s">
        <v>223</v>
      </c>
      <c r="C16" s="25" t="s">
        <v>957</v>
      </c>
      <c r="D16" s="564" t="str">
        <f t="shared" ref="D16:D19" ca="1" si="1">IF(OFFSET(D16,0,-1)="","◄","")</f>
        <v/>
      </c>
      <c r="G16" s="12" t="s">
        <v>113</v>
      </c>
      <c r="AQ16" t="s">
        <v>224</v>
      </c>
      <c r="AR16" t="s">
        <v>225</v>
      </c>
    </row>
    <row r="17" spans="2:44" ht="25.5" x14ac:dyDescent="0.2">
      <c r="B17" s="17" t="s">
        <v>226</v>
      </c>
      <c r="C17" s="26" t="s">
        <v>958</v>
      </c>
      <c r="D17" s="564" t="str">
        <f t="shared" ca="1" si="1"/>
        <v/>
      </c>
      <c r="G17" s="12" t="s">
        <v>114</v>
      </c>
      <c r="AQ17" t="s">
        <v>227</v>
      </c>
      <c r="AR17" t="s">
        <v>228</v>
      </c>
    </row>
    <row r="18" spans="2:44" x14ac:dyDescent="0.2">
      <c r="B18" s="17" t="s">
        <v>229</v>
      </c>
      <c r="C18" s="27" t="s">
        <v>959</v>
      </c>
      <c r="D18" s="564" t="str">
        <f ca="1">IF(OR(OFFSET(D18,0,-1)="",OFFSET(D18,0,-1)="(SELECIONAR)"),"◄","")</f>
        <v/>
      </c>
      <c r="G18" s="12" t="s">
        <v>115</v>
      </c>
      <c r="AQ18" t="s">
        <v>230</v>
      </c>
      <c r="AR18" t="s">
        <v>231</v>
      </c>
    </row>
    <row r="19" spans="2:44" ht="13.5" thickBot="1" x14ac:dyDescent="0.25">
      <c r="B19" s="28" t="s">
        <v>232</v>
      </c>
      <c r="C19" s="29">
        <v>45901</v>
      </c>
      <c r="D19" s="564" t="str">
        <f t="shared" ca="1" si="1"/>
        <v/>
      </c>
      <c r="G19" s="12" t="s">
        <v>116</v>
      </c>
      <c r="AQ19" t="s">
        <v>233</v>
      </c>
      <c r="AR19" t="s">
        <v>234</v>
      </c>
    </row>
    <row r="20" spans="2:44" ht="13.5" thickBot="1" x14ac:dyDescent="0.25">
      <c r="C20" s="30"/>
      <c r="G20" s="12"/>
      <c r="AQ20" t="s">
        <v>235</v>
      </c>
      <c r="AR20" t="s">
        <v>236</v>
      </c>
    </row>
    <row r="21" spans="2:44" ht="15.75" thickBot="1" x14ac:dyDescent="0.3">
      <c r="B21" s="726" t="s">
        <v>237</v>
      </c>
      <c r="C21" s="726"/>
      <c r="D21" s="563" t="str">
        <f ca="1">IF(COUNTIF(D22:D25,"◄")=0,"","Falta preencher a linha "&amp;MATCH("◄",D22:D25,0)+ROW(D21))</f>
        <v/>
      </c>
      <c r="G21" s="12"/>
      <c r="AQ21" t="s">
        <v>238</v>
      </c>
      <c r="AR21" t="s">
        <v>239</v>
      </c>
    </row>
    <row r="22" spans="2:44" x14ac:dyDescent="0.2">
      <c r="B22" s="15" t="s">
        <v>240</v>
      </c>
      <c r="C22" s="31" t="s">
        <v>1175</v>
      </c>
      <c r="D22" s="564" t="str">
        <f t="shared" ref="D22:D24" ca="1" si="2">IF(OFFSET(D22,0,-1)="","◄","")</f>
        <v/>
      </c>
      <c r="AQ22" t="s">
        <v>241</v>
      </c>
      <c r="AR22" t="s">
        <v>242</v>
      </c>
    </row>
    <row r="23" spans="2:44" x14ac:dyDescent="0.2">
      <c r="B23" s="17" t="s">
        <v>243</v>
      </c>
      <c r="C23" s="18" t="s">
        <v>1177</v>
      </c>
      <c r="D23" s="564" t="str">
        <f t="shared" ca="1" si="2"/>
        <v/>
      </c>
      <c r="AQ23" t="s">
        <v>244</v>
      </c>
      <c r="AR23" t="s">
        <v>245</v>
      </c>
    </row>
    <row r="24" spans="2:44" x14ac:dyDescent="0.2">
      <c r="B24" s="17" t="s">
        <v>246</v>
      </c>
      <c r="C24" s="18" t="s">
        <v>1176</v>
      </c>
      <c r="D24" s="564" t="str">
        <f t="shared" ca="1" si="2"/>
        <v/>
      </c>
      <c r="AQ24" t="s">
        <v>247</v>
      </c>
      <c r="AR24" t="s">
        <v>248</v>
      </c>
    </row>
    <row r="25" spans="2:44" ht="13.5" thickBot="1" x14ac:dyDescent="0.25">
      <c r="B25" s="21" t="s">
        <v>249</v>
      </c>
      <c r="C25" s="32">
        <v>45945</v>
      </c>
      <c r="D25" s="564" t="s">
        <v>250</v>
      </c>
      <c r="AQ25" t="s">
        <v>251</v>
      </c>
      <c r="AR25" t="s">
        <v>252</v>
      </c>
    </row>
    <row r="26" spans="2:44" ht="13.5" thickBot="1" x14ac:dyDescent="0.25">
      <c r="AQ26" t="s">
        <v>253</v>
      </c>
      <c r="AR26" t="s">
        <v>254</v>
      </c>
    </row>
    <row r="27" spans="2:44" ht="15.75" thickBot="1" x14ac:dyDescent="0.3">
      <c r="B27" s="726" t="s">
        <v>255</v>
      </c>
      <c r="C27" s="726"/>
      <c r="D27" s="563" t="str">
        <f ca="1">IF(COUNTIF(D28:D29,"◄")=0,"","Falta preencher a linha "&amp;MATCH("◄",D28:D29,0)+ROW(D27))</f>
        <v/>
      </c>
      <c r="AQ27" t="s">
        <v>256</v>
      </c>
      <c r="AR27" t="s">
        <v>257</v>
      </c>
    </row>
    <row r="28" spans="2:44" x14ac:dyDescent="0.2">
      <c r="B28" s="13" t="s">
        <v>240</v>
      </c>
      <c r="C28" s="33" t="s">
        <v>960</v>
      </c>
      <c r="D28" s="564" t="str">
        <f t="shared" ref="D28:D29" ca="1" si="3">IF(OFFSET(D28,0,-1)="","◄","")</f>
        <v/>
      </c>
      <c r="AQ28" t="s">
        <v>258</v>
      </c>
      <c r="AR28" t="s">
        <v>259</v>
      </c>
    </row>
    <row r="29" spans="2:44" ht="13.5" thickBot="1" x14ac:dyDescent="0.25">
      <c r="B29" s="21" t="s">
        <v>260</v>
      </c>
      <c r="C29" s="34" t="s">
        <v>961</v>
      </c>
      <c r="D29" s="564" t="str">
        <f t="shared" ca="1" si="3"/>
        <v/>
      </c>
      <c r="AQ29" t="s">
        <v>261</v>
      </c>
      <c r="AR29" t="s">
        <v>262</v>
      </c>
    </row>
    <row r="30" spans="2:44" ht="16.5" thickBot="1" x14ac:dyDescent="0.25">
      <c r="B30" s="8"/>
      <c r="AQ30" t="s">
        <v>263</v>
      </c>
      <c r="AR30" t="s">
        <v>262</v>
      </c>
    </row>
    <row r="31" spans="2:44" ht="13.5" thickBot="1" x14ac:dyDescent="0.25">
      <c r="B31" s="475" t="s">
        <v>264</v>
      </c>
      <c r="C31" s="476" t="s">
        <v>265</v>
      </c>
      <c r="D31" s="564" t="str">
        <f ca="1">IF(OFFSET(D31,0,-1)="","◄ Falta definir o método de arredondamento.","")</f>
        <v/>
      </c>
      <c r="AQ31" t="s">
        <v>266</v>
      </c>
      <c r="AR31" t="s">
        <v>267</v>
      </c>
    </row>
    <row r="32" spans="2:44" ht="12.75" customHeight="1" x14ac:dyDescent="0.2">
      <c r="B32" s="8"/>
      <c r="AQ32" t="s">
        <v>268</v>
      </c>
      <c r="AR32" t="s">
        <v>269</v>
      </c>
    </row>
    <row r="33" spans="2:44" ht="12.75" customHeight="1" x14ac:dyDescent="0.2">
      <c r="B33" s="8" t="s">
        <v>270</v>
      </c>
      <c r="AQ33" t="s">
        <v>271</v>
      </c>
      <c r="AR33" t="s">
        <v>272</v>
      </c>
    </row>
    <row r="34" spans="2:44" ht="16.5" thickBot="1" x14ac:dyDescent="0.25">
      <c r="B34" s="8"/>
      <c r="AQ34" t="s">
        <v>273</v>
      </c>
      <c r="AR34" t="s">
        <v>271</v>
      </c>
    </row>
    <row r="35" spans="2:44" ht="12.75" customHeight="1" thickBot="1" x14ac:dyDescent="0.3">
      <c r="B35" s="726" t="s">
        <v>274</v>
      </c>
      <c r="C35" s="726"/>
      <c r="D35" s="563" t="str">
        <f ca="1">IF(COUNTIF(D36:D39,"◄")=0,"","Falta preencher a linha "&amp;MATCH("◄",D36:D39,0)+ROW(D35))</f>
        <v/>
      </c>
      <c r="AQ35" t="s">
        <v>275</v>
      </c>
      <c r="AR35" t="s">
        <v>276</v>
      </c>
    </row>
    <row r="36" spans="2:44" x14ac:dyDescent="0.2">
      <c r="B36" s="13" t="s">
        <v>277</v>
      </c>
      <c r="C36" s="35"/>
      <c r="D36" s="564" t="str">
        <f ca="1">IF(AND(TIPOORCAMENTO="Licitado",OFFSET(D36,0,-1)=""),"◄","")</f>
        <v/>
      </c>
      <c r="AQ36" t="s">
        <v>278</v>
      </c>
      <c r="AR36" t="s">
        <v>279</v>
      </c>
    </row>
    <row r="37" spans="2:44" x14ac:dyDescent="0.2">
      <c r="B37" s="15" t="s">
        <v>280</v>
      </c>
      <c r="C37" s="16"/>
      <c r="D37" s="564" t="str">
        <f ca="1">IF(AND(TIPOORCAMENTO="Licitado",OFFSET(D37,0,-1)=""),"◄","")</f>
        <v/>
      </c>
      <c r="AQ37" t="s">
        <v>281</v>
      </c>
      <c r="AR37" t="s">
        <v>282</v>
      </c>
    </row>
    <row r="38" spans="2:44" x14ac:dyDescent="0.2">
      <c r="B38" s="17" t="s">
        <v>283</v>
      </c>
      <c r="C38" s="18"/>
      <c r="D38" s="564" t="str">
        <f ca="1">IF(AND(TIPOORCAMENTO="Licitado",OFFSET(D38,0,-1)=""),"◄","")</f>
        <v/>
      </c>
      <c r="AQ38" t="s">
        <v>284</v>
      </c>
      <c r="AR38" t="s">
        <v>285</v>
      </c>
    </row>
    <row r="39" spans="2:44" x14ac:dyDescent="0.2">
      <c r="B39" s="17" t="s">
        <v>286</v>
      </c>
      <c r="C39" s="18"/>
      <c r="D39" s="564" t="str">
        <f ca="1">IF(AND(TIPOORCAMENTO="Licitado",OFFSET(D39,0,-1)=""),"◄","")</f>
        <v/>
      </c>
      <c r="AQ39" t="s">
        <v>287</v>
      </c>
      <c r="AR39" t="s">
        <v>288</v>
      </c>
    </row>
    <row r="40" spans="2:44" x14ac:dyDescent="0.2">
      <c r="B40" s="17" t="s">
        <v>289</v>
      </c>
      <c r="C40" s="27" t="s">
        <v>139</v>
      </c>
      <c r="D40" s="564" t="str">
        <f ca="1">IF(AND(TIPOORCAMENTO="Licitado",OR(OFFSET(D40,0,-1)="",OFFSET(D40,0,-1)="(SELECIONAR)")),"◄","")</f>
        <v/>
      </c>
      <c r="AQ40" t="s">
        <v>290</v>
      </c>
      <c r="AR40" t="s">
        <v>291</v>
      </c>
    </row>
    <row r="41" spans="2:44" ht="13.5" thickBot="1" x14ac:dyDescent="0.25">
      <c r="B41" s="28" t="s">
        <v>292</v>
      </c>
      <c r="C41" s="36"/>
      <c r="D41" s="564" t="str">
        <f ca="1">IF(AND(TIPOORCAMENTO="Licitado",OFFSET(D41,0,-1)=""),"◄","")</f>
        <v/>
      </c>
      <c r="AQ41" t="s">
        <v>293</v>
      </c>
      <c r="AR41" t="s">
        <v>294</v>
      </c>
    </row>
    <row r="42" spans="2:44" ht="15.75" x14ac:dyDescent="0.2">
      <c r="B42" s="8"/>
      <c r="AQ42" t="s">
        <v>295</v>
      </c>
      <c r="AR42" t="s">
        <v>296</v>
      </c>
    </row>
    <row r="43" spans="2:44" ht="12.75" customHeight="1" x14ac:dyDescent="0.2">
      <c r="B43" s="8"/>
      <c r="AQ43" t="s">
        <v>297</v>
      </c>
      <c r="AR43" t="s">
        <v>298</v>
      </c>
    </row>
    <row r="44" spans="2:44" ht="12.75" customHeight="1" x14ac:dyDescent="0.2">
      <c r="B44" s="8" t="s">
        <v>299</v>
      </c>
      <c r="AQ44" t="s">
        <v>300</v>
      </c>
      <c r="AR44" t="s">
        <v>301</v>
      </c>
    </row>
    <row r="45" spans="2:44" ht="16.5" thickBot="1" x14ac:dyDescent="0.25">
      <c r="B45" s="8"/>
      <c r="AQ45" t="s">
        <v>302</v>
      </c>
      <c r="AR45" t="s">
        <v>303</v>
      </c>
    </row>
    <row r="46" spans="2:44" ht="12.75" customHeight="1" thickBot="1" x14ac:dyDescent="0.3">
      <c r="B46" s="726" t="s">
        <v>304</v>
      </c>
      <c r="C46" s="726"/>
      <c r="D46" s="563" t="str">
        <f ca="1">IF(COUNTIF(D47:D48,"◄")=0,"","Falta preencher a linha "&amp;MATCH("◄",D47:D48,0)+ROW(D46))</f>
        <v/>
      </c>
      <c r="AQ46" t="s">
        <v>305</v>
      </c>
      <c r="AR46" t="s">
        <v>306</v>
      </c>
    </row>
    <row r="47" spans="2:44" x14ac:dyDescent="0.2">
      <c r="B47" s="13" t="s">
        <v>307</v>
      </c>
      <c r="C47" s="35"/>
      <c r="D47" s="564" t="str">
        <f ca="1">IF(AND(TIPOORCAMENTO="Licitado",OFFSET(D47,0,-1)="",IFERROR(RRE!$O$19,0)&gt;0),"◄","")</f>
        <v/>
      </c>
      <c r="AQ47" t="s">
        <v>308</v>
      </c>
      <c r="AR47" t="s">
        <v>309</v>
      </c>
    </row>
    <row r="48" spans="2:44" ht="13.5" thickBot="1" x14ac:dyDescent="0.25">
      <c r="B48" s="28" t="s">
        <v>310</v>
      </c>
      <c r="C48" s="37"/>
      <c r="D48" s="564" t="str">
        <f ca="1">IF(AND(TIPOORCAMENTO="Licitado",OFFSET(D48,0,-1)="",IFERROR(RRE!$O$19,0)&gt;0),"◄","")</f>
        <v/>
      </c>
      <c r="AQ48" t="s">
        <v>311</v>
      </c>
      <c r="AR48" t="s">
        <v>312</v>
      </c>
    </row>
    <row r="49" spans="2:44" ht="16.5" thickBot="1" x14ac:dyDescent="0.25">
      <c r="B49" s="8"/>
      <c r="AQ49" t="s">
        <v>313</v>
      </c>
      <c r="AR49" t="s">
        <v>314</v>
      </c>
    </row>
    <row r="50" spans="2:44" ht="12.75" customHeight="1" thickBot="1" x14ac:dyDescent="0.3">
      <c r="B50" s="726" t="s">
        <v>315</v>
      </c>
      <c r="C50" s="726"/>
      <c r="D50" s="563" t="str">
        <f ca="1">IF(COUNTIF(D51:D54,"◄")=0,"","Falta preencher a linha "&amp;MATCH("◄",D51:D54,0)+ROW(D50))</f>
        <v/>
      </c>
      <c r="AQ50" t="s">
        <v>316</v>
      </c>
      <c r="AR50" t="s">
        <v>317</v>
      </c>
    </row>
    <row r="51" spans="2:44" x14ac:dyDescent="0.2">
      <c r="B51" s="13" t="s">
        <v>240</v>
      </c>
      <c r="C51" s="38" t="s">
        <v>962</v>
      </c>
      <c r="D51" s="564" t="str">
        <f ca="1">IF(AND(TIPOORCAMENTO="Licitado",OFFSET(D51,0,-1)="",IFERROR(RRE!$O$19,0)&gt;0),"◄","")</f>
        <v/>
      </c>
      <c r="AQ51" t="s">
        <v>318</v>
      </c>
      <c r="AR51" t="s">
        <v>319</v>
      </c>
    </row>
    <row r="52" spans="2:44" x14ac:dyDescent="0.2">
      <c r="B52" s="17" t="s">
        <v>320</v>
      </c>
      <c r="C52" s="18" t="s">
        <v>963</v>
      </c>
      <c r="D52" s="564" t="str">
        <f ca="1">IF(AND(TIPOORCAMENTO="Licitado",OFFSET(D52,0,-1)="",IFERROR(RRE!$O$19,0)&gt;0),"◄","")</f>
        <v/>
      </c>
      <c r="AQ52" t="s">
        <v>321</v>
      </c>
      <c r="AR52" t="s">
        <v>322</v>
      </c>
    </row>
    <row r="53" spans="2:44" x14ac:dyDescent="0.2">
      <c r="B53" s="17" t="s">
        <v>323</v>
      </c>
      <c r="C53" s="18" t="s">
        <v>964</v>
      </c>
      <c r="D53" s="564" t="str">
        <f ca="1">IF(AND(TIPOORCAMENTO="Licitado",OFFSET(D53,0,-1)="",IFERROR(RRE!$O$19,0)&gt;0),"◄","")</f>
        <v/>
      </c>
      <c r="AQ53" t="s">
        <v>324</v>
      </c>
      <c r="AR53" t="s">
        <v>325</v>
      </c>
    </row>
    <row r="54" spans="2:44" ht="13.5" thickBot="1" x14ac:dyDescent="0.25">
      <c r="B54" s="21" t="s">
        <v>326</v>
      </c>
      <c r="C54" s="39"/>
      <c r="D54" s="564" t="str">
        <f ca="1">IF(AND(TIPOORCAMENTO="Licitado",OFFSET(D54,0,-1)="",IFERROR(RRE!$O$19,0)&gt;0),"◄","")</f>
        <v/>
      </c>
      <c r="AQ54" t="s">
        <v>327</v>
      </c>
      <c r="AR54" t="s">
        <v>328</v>
      </c>
    </row>
    <row r="55" spans="2:44" x14ac:dyDescent="0.2">
      <c r="C55" s="30"/>
      <c r="AQ55" t="s">
        <v>329</v>
      </c>
      <c r="AR55" t="s">
        <v>330</v>
      </c>
    </row>
    <row r="56" spans="2:44" x14ac:dyDescent="0.2">
      <c r="AQ56" t="s">
        <v>331</v>
      </c>
      <c r="AR56" t="s">
        <v>332</v>
      </c>
    </row>
    <row r="57" spans="2:44" ht="15.75" x14ac:dyDescent="0.2">
      <c r="B57" s="8" t="s">
        <v>333</v>
      </c>
      <c r="AQ57" t="s">
        <v>334</v>
      </c>
      <c r="AR57" t="s">
        <v>335</v>
      </c>
    </row>
    <row r="58" spans="2:44" ht="16.5" thickBot="1" x14ac:dyDescent="0.25">
      <c r="B58" s="8"/>
      <c r="AQ58" t="s">
        <v>336</v>
      </c>
      <c r="AR58" t="s">
        <v>337</v>
      </c>
    </row>
    <row r="59" spans="2:44" ht="15.75" thickBot="1" x14ac:dyDescent="0.25">
      <c r="B59" s="726" t="s">
        <v>338</v>
      </c>
      <c r="C59" s="726"/>
      <c r="AQ59" t="s">
        <v>339</v>
      </c>
      <c r="AR59" t="s">
        <v>340</v>
      </c>
    </row>
    <row r="60" spans="2:44" x14ac:dyDescent="0.2">
      <c r="B60" s="13" t="s">
        <v>240</v>
      </c>
      <c r="C60" s="38"/>
      <c r="AQ60" t="s">
        <v>341</v>
      </c>
      <c r="AR60" t="s">
        <v>342</v>
      </c>
    </row>
    <row r="61" spans="2:44" ht="13.5" thickBot="1" x14ac:dyDescent="0.25">
      <c r="B61" s="28" t="s">
        <v>343</v>
      </c>
      <c r="C61" s="40"/>
      <c r="AQ61" t="s">
        <v>344</v>
      </c>
      <c r="AR61" t="s">
        <v>345</v>
      </c>
    </row>
    <row r="62" spans="2:44" x14ac:dyDescent="0.2">
      <c r="AQ62" t="s">
        <v>346</v>
      </c>
      <c r="AR62" t="s">
        <v>347</v>
      </c>
    </row>
    <row r="63" spans="2:44" x14ac:dyDescent="0.2">
      <c r="AQ63" t="s">
        <v>348</v>
      </c>
      <c r="AR63" t="s">
        <v>349</v>
      </c>
    </row>
    <row r="64" spans="2:44" x14ac:dyDescent="0.2">
      <c r="AQ64" t="s">
        <v>350</v>
      </c>
      <c r="AR64" t="s">
        <v>351</v>
      </c>
    </row>
    <row r="65" spans="43:44" x14ac:dyDescent="0.2">
      <c r="AQ65" t="s">
        <v>352</v>
      </c>
      <c r="AR65" t="s">
        <v>353</v>
      </c>
    </row>
    <row r="66" spans="43:44" x14ac:dyDescent="0.2">
      <c r="AQ66" t="s">
        <v>354</v>
      </c>
      <c r="AR66" t="s">
        <v>355</v>
      </c>
    </row>
    <row r="67" spans="43:44" x14ac:dyDescent="0.2">
      <c r="AQ67" t="s">
        <v>356</v>
      </c>
      <c r="AR67" t="s">
        <v>357</v>
      </c>
    </row>
    <row r="68" spans="43:44" x14ac:dyDescent="0.2">
      <c r="AQ68" t="s">
        <v>358</v>
      </c>
      <c r="AR68" t="s">
        <v>359</v>
      </c>
    </row>
    <row r="69" spans="43:44" x14ac:dyDescent="0.2">
      <c r="AQ69" t="s">
        <v>360</v>
      </c>
      <c r="AR69" t="s">
        <v>361</v>
      </c>
    </row>
    <row r="70" spans="43:44" x14ac:dyDescent="0.2">
      <c r="AQ70" t="s">
        <v>362</v>
      </c>
      <c r="AR70" t="s">
        <v>363</v>
      </c>
    </row>
    <row r="71" spans="43:44" x14ac:dyDescent="0.2">
      <c r="AQ71" t="s">
        <v>364</v>
      </c>
      <c r="AR71" t="s">
        <v>365</v>
      </c>
    </row>
    <row r="72" spans="43:44" x14ac:dyDescent="0.2">
      <c r="AQ72" t="s">
        <v>366</v>
      </c>
      <c r="AR72" t="s">
        <v>367</v>
      </c>
    </row>
    <row r="73" spans="43:44" x14ac:dyDescent="0.2">
      <c r="AQ73" t="s">
        <v>368</v>
      </c>
      <c r="AR73" t="s">
        <v>369</v>
      </c>
    </row>
    <row r="74" spans="43:44" x14ac:dyDescent="0.2">
      <c r="AQ74" t="s">
        <v>370</v>
      </c>
      <c r="AR74" t="s">
        <v>371</v>
      </c>
    </row>
    <row r="75" spans="43:44" x14ac:dyDescent="0.2">
      <c r="AQ75" t="s">
        <v>372</v>
      </c>
      <c r="AR75" t="s">
        <v>373</v>
      </c>
    </row>
    <row r="76" spans="43:44" x14ac:dyDescent="0.2">
      <c r="AQ76" t="s">
        <v>374</v>
      </c>
      <c r="AR76" t="s">
        <v>375</v>
      </c>
    </row>
    <row r="77" spans="43:44" x14ac:dyDescent="0.2">
      <c r="AQ77" t="s">
        <v>376</v>
      </c>
      <c r="AR77" t="s">
        <v>377</v>
      </c>
    </row>
    <row r="78" spans="43:44" x14ac:dyDescent="0.2">
      <c r="AQ78" t="s">
        <v>378</v>
      </c>
      <c r="AR78" t="s">
        <v>379</v>
      </c>
    </row>
    <row r="79" spans="43:44" x14ac:dyDescent="0.2">
      <c r="AQ79" t="s">
        <v>380</v>
      </c>
      <c r="AR79" t="s">
        <v>381</v>
      </c>
    </row>
    <row r="80" spans="43:44" x14ac:dyDescent="0.2">
      <c r="AQ80" t="s">
        <v>382</v>
      </c>
      <c r="AR80" t="s">
        <v>383</v>
      </c>
    </row>
    <row r="81" spans="43:44" x14ac:dyDescent="0.2">
      <c r="AQ81" t="s">
        <v>384</v>
      </c>
      <c r="AR81" t="s">
        <v>385</v>
      </c>
    </row>
    <row r="82" spans="43:44" x14ac:dyDescent="0.2">
      <c r="AQ82" t="s">
        <v>386</v>
      </c>
      <c r="AR82" t="s">
        <v>387</v>
      </c>
    </row>
    <row r="83" spans="43:44" x14ac:dyDescent="0.2">
      <c r="AQ83" t="s">
        <v>388</v>
      </c>
      <c r="AR83" t="s">
        <v>389</v>
      </c>
    </row>
    <row r="84" spans="43:44" x14ac:dyDescent="0.2">
      <c r="AQ84" t="s">
        <v>390</v>
      </c>
      <c r="AR84" t="s">
        <v>391</v>
      </c>
    </row>
    <row r="85" spans="43:44" x14ac:dyDescent="0.2">
      <c r="AQ85" t="s">
        <v>392</v>
      </c>
      <c r="AR85" t="s">
        <v>393</v>
      </c>
    </row>
    <row r="86" spans="43:44" x14ac:dyDescent="0.2">
      <c r="AQ86" t="s">
        <v>394</v>
      </c>
      <c r="AR86" t="s">
        <v>395</v>
      </c>
    </row>
    <row r="87" spans="43:44" x14ac:dyDescent="0.2">
      <c r="AQ87" t="s">
        <v>396</v>
      </c>
      <c r="AR87" t="s">
        <v>397</v>
      </c>
    </row>
    <row r="88" spans="43:44" x14ac:dyDescent="0.2">
      <c r="AQ88" t="s">
        <v>398</v>
      </c>
      <c r="AR88" t="s">
        <v>399</v>
      </c>
    </row>
    <row r="89" spans="43:44" x14ac:dyDescent="0.2">
      <c r="AQ89" t="s">
        <v>400</v>
      </c>
      <c r="AR89" t="s">
        <v>401</v>
      </c>
    </row>
    <row r="90" spans="43:44" x14ac:dyDescent="0.2">
      <c r="AQ90" t="s">
        <v>402</v>
      </c>
      <c r="AR90" t="s">
        <v>403</v>
      </c>
    </row>
    <row r="91" spans="43:44" x14ac:dyDescent="0.2">
      <c r="AQ91" t="s">
        <v>404</v>
      </c>
      <c r="AR91" t="s">
        <v>405</v>
      </c>
    </row>
    <row r="92" spans="43:44" x14ac:dyDescent="0.2">
      <c r="AQ92" t="s">
        <v>406</v>
      </c>
      <c r="AR92" t="s">
        <v>407</v>
      </c>
    </row>
    <row r="93" spans="43:44" x14ac:dyDescent="0.2">
      <c r="AQ93" t="s">
        <v>408</v>
      </c>
      <c r="AR93" t="s">
        <v>409</v>
      </c>
    </row>
    <row r="94" spans="43:44" x14ac:dyDescent="0.2">
      <c r="AQ94" t="s">
        <v>410</v>
      </c>
      <c r="AR94" t="s">
        <v>411</v>
      </c>
    </row>
    <row r="95" spans="43:44" x14ac:dyDescent="0.2">
      <c r="AQ95" t="s">
        <v>412</v>
      </c>
      <c r="AR95" t="s">
        <v>412</v>
      </c>
    </row>
    <row r="96" spans="43:44" x14ac:dyDescent="0.2">
      <c r="AQ96" t="s">
        <v>413</v>
      </c>
      <c r="AR96" t="s">
        <v>414</v>
      </c>
    </row>
    <row r="97" spans="43:44" x14ac:dyDescent="0.2">
      <c r="AQ97" t="s">
        <v>415</v>
      </c>
      <c r="AR97" t="s">
        <v>416</v>
      </c>
    </row>
    <row r="98" spans="43:44" x14ac:dyDescent="0.2">
      <c r="AQ98" t="s">
        <v>417</v>
      </c>
      <c r="AR98" t="s">
        <v>417</v>
      </c>
    </row>
    <row r="99" spans="43:44" x14ac:dyDescent="0.2">
      <c r="AQ99" t="s">
        <v>418</v>
      </c>
      <c r="AR99" t="s">
        <v>418</v>
      </c>
    </row>
    <row r="100" spans="43:44" x14ac:dyDescent="0.2">
      <c r="AQ100" t="s">
        <v>418</v>
      </c>
      <c r="AR100" t="s">
        <v>418</v>
      </c>
    </row>
    <row r="101" spans="43:44" x14ac:dyDescent="0.2">
      <c r="AQ101" t="s">
        <v>419</v>
      </c>
      <c r="AR101" t="s">
        <v>420</v>
      </c>
    </row>
    <row r="102" spans="43:44" x14ac:dyDescent="0.2">
      <c r="AQ102" t="s">
        <v>421</v>
      </c>
      <c r="AR102" t="s">
        <v>422</v>
      </c>
    </row>
    <row r="103" spans="43:44" x14ac:dyDescent="0.2">
      <c r="AQ103" t="s">
        <v>423</v>
      </c>
      <c r="AR103" t="s">
        <v>424</v>
      </c>
    </row>
    <row r="104" spans="43:44" x14ac:dyDescent="0.2">
      <c r="AQ104" t="s">
        <v>425</v>
      </c>
      <c r="AR104" t="s">
        <v>426</v>
      </c>
    </row>
    <row r="105" spans="43:44" x14ac:dyDescent="0.2">
      <c r="AQ105" t="s">
        <v>427</v>
      </c>
      <c r="AR105" t="s">
        <v>428</v>
      </c>
    </row>
    <row r="106" spans="43:44" x14ac:dyDescent="0.2">
      <c r="AQ106" t="s">
        <v>429</v>
      </c>
      <c r="AR106" t="s">
        <v>430</v>
      </c>
    </row>
    <row r="107" spans="43:44" x14ac:dyDescent="0.2">
      <c r="AQ107" t="s">
        <v>431</v>
      </c>
      <c r="AR107" t="s">
        <v>432</v>
      </c>
    </row>
    <row r="108" spans="43:44" x14ac:dyDescent="0.2">
      <c r="AQ108" t="s">
        <v>433</v>
      </c>
      <c r="AR108" t="s">
        <v>434</v>
      </c>
    </row>
    <row r="109" spans="43:44" x14ac:dyDescent="0.2">
      <c r="AQ109" t="s">
        <v>435</v>
      </c>
      <c r="AR109" t="s">
        <v>436</v>
      </c>
    </row>
    <row r="110" spans="43:44" x14ac:dyDescent="0.2">
      <c r="AQ110" t="s">
        <v>437</v>
      </c>
      <c r="AR110" t="s">
        <v>438</v>
      </c>
    </row>
    <row r="111" spans="43:44" x14ac:dyDescent="0.2">
      <c r="AQ111" t="s">
        <v>439</v>
      </c>
      <c r="AR111" t="s">
        <v>440</v>
      </c>
    </row>
    <row r="112" spans="43:44" x14ac:dyDescent="0.2">
      <c r="AQ112" t="s">
        <v>441</v>
      </c>
      <c r="AR112" t="s">
        <v>442</v>
      </c>
    </row>
    <row r="113" spans="43:44" x14ac:dyDescent="0.2">
      <c r="AQ113" t="s">
        <v>443</v>
      </c>
      <c r="AR113" t="s">
        <v>444</v>
      </c>
    </row>
    <row r="114" spans="43:44" x14ac:dyDescent="0.2">
      <c r="AQ114" t="s">
        <v>445</v>
      </c>
      <c r="AR114" t="s">
        <v>446</v>
      </c>
    </row>
    <row r="115" spans="43:44" x14ac:dyDescent="0.2">
      <c r="AQ115" t="s">
        <v>447</v>
      </c>
      <c r="AR115" t="s">
        <v>448</v>
      </c>
    </row>
    <row r="116" spans="43:44" x14ac:dyDescent="0.2">
      <c r="AQ116" t="s">
        <v>449</v>
      </c>
      <c r="AR116" t="s">
        <v>450</v>
      </c>
    </row>
    <row r="117" spans="43:44" x14ac:dyDescent="0.2">
      <c r="AQ117" t="s">
        <v>451</v>
      </c>
      <c r="AR117" t="s">
        <v>452</v>
      </c>
    </row>
    <row r="118" spans="43:44" x14ac:dyDescent="0.2">
      <c r="AQ118" t="s">
        <v>453</v>
      </c>
      <c r="AR118" t="s">
        <v>454</v>
      </c>
    </row>
    <row r="119" spans="43:44" x14ac:dyDescent="0.2">
      <c r="AQ119" t="s">
        <v>455</v>
      </c>
      <c r="AR119" t="s">
        <v>455</v>
      </c>
    </row>
    <row r="120" spans="43:44" x14ac:dyDescent="0.2">
      <c r="AQ120" t="s">
        <v>456</v>
      </c>
      <c r="AR120" t="s">
        <v>456</v>
      </c>
    </row>
    <row r="121" spans="43:44" x14ac:dyDescent="0.2">
      <c r="AQ121" t="s">
        <v>457</v>
      </c>
      <c r="AR121" t="s">
        <v>458</v>
      </c>
    </row>
    <row r="122" spans="43:44" x14ac:dyDescent="0.2">
      <c r="AQ122" t="s">
        <v>459</v>
      </c>
      <c r="AR122" t="s">
        <v>460</v>
      </c>
    </row>
    <row r="123" spans="43:44" x14ac:dyDescent="0.2">
      <c r="AQ123" t="s">
        <v>461</v>
      </c>
      <c r="AR123" t="s">
        <v>462</v>
      </c>
    </row>
    <row r="124" spans="43:44" x14ac:dyDescent="0.2">
      <c r="AQ124" t="s">
        <v>463</v>
      </c>
      <c r="AR124" t="s">
        <v>464</v>
      </c>
    </row>
    <row r="125" spans="43:44" x14ac:dyDescent="0.2">
      <c r="AQ125" t="s">
        <v>465</v>
      </c>
      <c r="AR125" t="s">
        <v>466</v>
      </c>
    </row>
    <row r="126" spans="43:44" x14ac:dyDescent="0.2">
      <c r="AQ126" t="s">
        <v>467</v>
      </c>
      <c r="AR126" t="s">
        <v>468</v>
      </c>
    </row>
    <row r="127" spans="43:44" x14ac:dyDescent="0.2">
      <c r="AQ127" t="s">
        <v>469</v>
      </c>
      <c r="AR127" t="s">
        <v>470</v>
      </c>
    </row>
    <row r="128" spans="43:44" x14ac:dyDescent="0.2">
      <c r="AQ128" t="s">
        <v>471</v>
      </c>
      <c r="AR128" t="s">
        <v>472</v>
      </c>
    </row>
    <row r="129" spans="43:44" x14ac:dyDescent="0.2">
      <c r="AQ129" t="s">
        <v>473</v>
      </c>
      <c r="AR129" t="s">
        <v>474</v>
      </c>
    </row>
    <row r="130" spans="43:44" x14ac:dyDescent="0.2">
      <c r="AQ130" t="s">
        <v>475</v>
      </c>
      <c r="AR130" t="s">
        <v>476</v>
      </c>
    </row>
    <row r="131" spans="43:44" x14ac:dyDescent="0.2">
      <c r="AQ131" t="s">
        <v>477</v>
      </c>
      <c r="AR131" t="s">
        <v>478</v>
      </c>
    </row>
    <row r="132" spans="43:44" x14ac:dyDescent="0.2">
      <c r="AQ132" t="s">
        <v>479</v>
      </c>
      <c r="AR132" t="s">
        <v>480</v>
      </c>
    </row>
    <row r="133" spans="43:44" x14ac:dyDescent="0.2">
      <c r="AQ133" t="s">
        <v>481</v>
      </c>
      <c r="AR133" t="s">
        <v>482</v>
      </c>
    </row>
    <row r="134" spans="43:44" x14ac:dyDescent="0.2">
      <c r="AQ134" t="s">
        <v>483</v>
      </c>
      <c r="AR134" t="s">
        <v>484</v>
      </c>
    </row>
    <row r="135" spans="43:44" x14ac:dyDescent="0.2">
      <c r="AQ135" t="s">
        <v>485</v>
      </c>
      <c r="AR135" t="s">
        <v>486</v>
      </c>
    </row>
    <row r="136" spans="43:44" x14ac:dyDescent="0.2">
      <c r="AQ136" t="s">
        <v>487</v>
      </c>
      <c r="AR136" t="s">
        <v>488</v>
      </c>
    </row>
    <row r="137" spans="43:44" x14ac:dyDescent="0.2">
      <c r="AQ137" t="s">
        <v>489</v>
      </c>
      <c r="AR137" t="s">
        <v>490</v>
      </c>
    </row>
    <row r="138" spans="43:44" x14ac:dyDescent="0.2">
      <c r="AQ138" t="s">
        <v>491</v>
      </c>
      <c r="AR138" t="s">
        <v>492</v>
      </c>
    </row>
    <row r="139" spans="43:44" x14ac:dyDescent="0.2">
      <c r="AQ139" t="s">
        <v>493</v>
      </c>
      <c r="AR139" t="s">
        <v>494</v>
      </c>
    </row>
    <row r="140" spans="43:44" x14ac:dyDescent="0.2">
      <c r="AQ140" t="s">
        <v>495</v>
      </c>
      <c r="AR140" t="s">
        <v>496</v>
      </c>
    </row>
    <row r="141" spans="43:44" x14ac:dyDescent="0.2">
      <c r="AQ141" t="s">
        <v>497</v>
      </c>
      <c r="AR141" t="s">
        <v>498</v>
      </c>
    </row>
    <row r="142" spans="43:44" x14ac:dyDescent="0.2">
      <c r="AQ142" t="s">
        <v>499</v>
      </c>
      <c r="AR142" t="s">
        <v>500</v>
      </c>
    </row>
    <row r="143" spans="43:44" x14ac:dyDescent="0.2">
      <c r="AQ143" t="s">
        <v>484</v>
      </c>
      <c r="AR143" t="s">
        <v>484</v>
      </c>
    </row>
    <row r="144" spans="43:44" x14ac:dyDescent="0.2">
      <c r="AQ144" t="s">
        <v>501</v>
      </c>
      <c r="AR144" t="s">
        <v>501</v>
      </c>
    </row>
    <row r="145" spans="43:44" x14ac:dyDescent="0.2">
      <c r="AQ145" t="s">
        <v>502</v>
      </c>
      <c r="AR145" t="s">
        <v>502</v>
      </c>
    </row>
    <row r="146" spans="43:44" x14ac:dyDescent="0.2">
      <c r="AQ146" t="s">
        <v>503</v>
      </c>
      <c r="AR146" t="s">
        <v>488</v>
      </c>
    </row>
    <row r="147" spans="43:44" x14ac:dyDescent="0.2">
      <c r="AQ147" t="s">
        <v>504</v>
      </c>
      <c r="AR147" t="s">
        <v>505</v>
      </c>
    </row>
    <row r="148" spans="43:44" x14ac:dyDescent="0.2">
      <c r="AQ148" t="s">
        <v>506</v>
      </c>
      <c r="AR148" t="s">
        <v>507</v>
      </c>
    </row>
    <row r="149" spans="43:44" x14ac:dyDescent="0.2">
      <c r="AQ149" t="s">
        <v>508</v>
      </c>
      <c r="AR149" t="s">
        <v>509</v>
      </c>
    </row>
    <row r="150" spans="43:44" x14ac:dyDescent="0.2">
      <c r="AQ150" t="s">
        <v>508</v>
      </c>
      <c r="AR150" t="s">
        <v>509</v>
      </c>
    </row>
    <row r="151" spans="43:44" x14ac:dyDescent="0.2">
      <c r="AQ151" t="s">
        <v>510</v>
      </c>
      <c r="AR151" t="s">
        <v>510</v>
      </c>
    </row>
    <row r="152" spans="43:44" x14ac:dyDescent="0.2">
      <c r="AQ152" t="s">
        <v>511</v>
      </c>
      <c r="AR152" t="s">
        <v>512</v>
      </c>
    </row>
    <row r="153" spans="43:44" x14ac:dyDescent="0.2">
      <c r="AQ153" t="s">
        <v>513</v>
      </c>
      <c r="AR153" t="s">
        <v>514</v>
      </c>
    </row>
    <row r="154" spans="43:44" x14ac:dyDescent="0.2">
      <c r="AQ154" t="s">
        <v>515</v>
      </c>
      <c r="AR154" t="s">
        <v>516</v>
      </c>
    </row>
    <row r="155" spans="43:44" x14ac:dyDescent="0.2">
      <c r="AQ155" t="s">
        <v>517</v>
      </c>
      <c r="AR155" t="s">
        <v>518</v>
      </c>
    </row>
    <row r="156" spans="43:44" x14ac:dyDescent="0.2">
      <c r="AQ156" t="s">
        <v>519</v>
      </c>
      <c r="AR156" t="s">
        <v>520</v>
      </c>
    </row>
    <row r="157" spans="43:44" x14ac:dyDescent="0.2">
      <c r="AQ157" t="s">
        <v>521</v>
      </c>
      <c r="AR157" t="s">
        <v>522</v>
      </c>
    </row>
    <row r="158" spans="43:44" x14ac:dyDescent="0.2">
      <c r="AQ158" t="s">
        <v>523</v>
      </c>
      <c r="AR158" t="s">
        <v>524</v>
      </c>
    </row>
    <row r="159" spans="43:44" x14ac:dyDescent="0.2">
      <c r="AQ159" t="s">
        <v>525</v>
      </c>
      <c r="AR159" t="s">
        <v>526</v>
      </c>
    </row>
    <row r="160" spans="43:44" x14ac:dyDescent="0.2">
      <c r="AQ160" t="s">
        <v>527</v>
      </c>
      <c r="AR160" t="s">
        <v>528</v>
      </c>
    </row>
    <row r="161" spans="43:44" x14ac:dyDescent="0.2">
      <c r="AQ161" t="s">
        <v>529</v>
      </c>
      <c r="AR161" t="s">
        <v>530</v>
      </c>
    </row>
    <row r="162" spans="43:44" x14ac:dyDescent="0.2">
      <c r="AQ162" t="s">
        <v>531</v>
      </c>
      <c r="AR162" t="s">
        <v>532</v>
      </c>
    </row>
    <row r="163" spans="43:44" x14ac:dyDescent="0.2">
      <c r="AQ163" t="s">
        <v>533</v>
      </c>
      <c r="AR163" t="s">
        <v>534</v>
      </c>
    </row>
    <row r="164" spans="43:44" x14ac:dyDescent="0.2">
      <c r="AQ164" t="s">
        <v>535</v>
      </c>
      <c r="AR164" t="s">
        <v>536</v>
      </c>
    </row>
    <row r="165" spans="43:44" x14ac:dyDescent="0.2">
      <c r="AQ165" t="s">
        <v>537</v>
      </c>
      <c r="AR165" t="s">
        <v>538</v>
      </c>
    </row>
    <row r="166" spans="43:44" x14ac:dyDescent="0.2">
      <c r="AQ166" t="s">
        <v>539</v>
      </c>
      <c r="AR166" t="s">
        <v>539</v>
      </c>
    </row>
    <row r="167" spans="43:44" x14ac:dyDescent="0.2">
      <c r="AQ167" t="s">
        <v>540</v>
      </c>
      <c r="AR167" t="s">
        <v>541</v>
      </c>
    </row>
    <row r="168" spans="43:44" x14ac:dyDescent="0.2">
      <c r="AQ168" t="s">
        <v>542</v>
      </c>
      <c r="AR168" t="s">
        <v>543</v>
      </c>
    </row>
    <row r="169" spans="43:44" x14ac:dyDescent="0.2">
      <c r="AQ169" t="s">
        <v>544</v>
      </c>
      <c r="AR169" t="s">
        <v>545</v>
      </c>
    </row>
    <row r="170" spans="43:44" x14ac:dyDescent="0.2">
      <c r="AQ170" t="s">
        <v>546</v>
      </c>
      <c r="AR170" t="s">
        <v>547</v>
      </c>
    </row>
    <row r="171" spans="43:44" x14ac:dyDescent="0.2">
      <c r="AQ171" t="s">
        <v>548</v>
      </c>
      <c r="AR171" t="s">
        <v>549</v>
      </c>
    </row>
    <row r="172" spans="43:44" x14ac:dyDescent="0.2">
      <c r="AQ172" t="s">
        <v>550</v>
      </c>
      <c r="AR172" t="s">
        <v>551</v>
      </c>
    </row>
    <row r="173" spans="43:44" x14ac:dyDescent="0.2">
      <c r="AQ173" t="s">
        <v>552</v>
      </c>
      <c r="AR173" t="s">
        <v>553</v>
      </c>
    </row>
    <row r="174" spans="43:44" x14ac:dyDescent="0.2">
      <c r="AQ174" t="s">
        <v>554</v>
      </c>
      <c r="AR174" t="s">
        <v>555</v>
      </c>
    </row>
    <row r="175" spans="43:44" x14ac:dyDescent="0.2">
      <c r="AQ175" t="s">
        <v>556</v>
      </c>
      <c r="AR175" t="s">
        <v>557</v>
      </c>
    </row>
    <row r="176" spans="43:44" x14ac:dyDescent="0.2">
      <c r="AQ176" t="s">
        <v>558</v>
      </c>
      <c r="AR176" t="s">
        <v>559</v>
      </c>
    </row>
    <row r="177" spans="43:44" x14ac:dyDescent="0.2">
      <c r="AQ177" t="s">
        <v>560</v>
      </c>
      <c r="AR177" t="s">
        <v>561</v>
      </c>
    </row>
    <row r="178" spans="43:44" x14ac:dyDescent="0.2">
      <c r="AQ178" t="s">
        <v>562</v>
      </c>
      <c r="AR178" t="s">
        <v>563</v>
      </c>
    </row>
    <row r="179" spans="43:44" x14ac:dyDescent="0.2">
      <c r="AQ179" t="s">
        <v>564</v>
      </c>
      <c r="AR179" t="s">
        <v>565</v>
      </c>
    </row>
    <row r="180" spans="43:44" x14ac:dyDescent="0.2">
      <c r="AQ180" t="s">
        <v>566</v>
      </c>
      <c r="AR180" t="s">
        <v>567</v>
      </c>
    </row>
    <row r="181" spans="43:44" x14ac:dyDescent="0.2">
      <c r="AQ181" t="s">
        <v>568</v>
      </c>
      <c r="AR181" t="s">
        <v>569</v>
      </c>
    </row>
    <row r="182" spans="43:44" x14ac:dyDescent="0.2">
      <c r="AQ182" t="s">
        <v>570</v>
      </c>
      <c r="AR182" t="s">
        <v>571</v>
      </c>
    </row>
    <row r="183" spans="43:44" x14ac:dyDescent="0.2">
      <c r="AQ183" t="s">
        <v>572</v>
      </c>
      <c r="AR183" t="s">
        <v>573</v>
      </c>
    </row>
    <row r="184" spans="43:44" x14ac:dyDescent="0.2">
      <c r="AQ184" t="s">
        <v>574</v>
      </c>
      <c r="AR184" t="s">
        <v>575</v>
      </c>
    </row>
    <row r="185" spans="43:44" x14ac:dyDescent="0.2">
      <c r="AQ185" t="s">
        <v>576</v>
      </c>
      <c r="AR185" t="s">
        <v>577</v>
      </c>
    </row>
    <row r="186" spans="43:44" x14ac:dyDescent="0.2">
      <c r="AQ186" t="s">
        <v>578</v>
      </c>
      <c r="AR186" t="s">
        <v>579</v>
      </c>
    </row>
    <row r="187" spans="43:44" x14ac:dyDescent="0.2">
      <c r="AQ187" t="s">
        <v>580</v>
      </c>
      <c r="AR187" t="s">
        <v>581</v>
      </c>
    </row>
    <row r="188" spans="43:44" x14ac:dyDescent="0.2">
      <c r="AQ188" t="s">
        <v>582</v>
      </c>
      <c r="AR188" t="s">
        <v>583</v>
      </c>
    </row>
    <row r="189" spans="43:44" x14ac:dyDescent="0.2">
      <c r="AQ189" t="s">
        <v>584</v>
      </c>
      <c r="AR189" t="s">
        <v>585</v>
      </c>
    </row>
    <row r="190" spans="43:44" x14ac:dyDescent="0.2">
      <c r="AQ190" t="s">
        <v>586</v>
      </c>
      <c r="AR190" t="s">
        <v>587</v>
      </c>
    </row>
    <row r="191" spans="43:44" x14ac:dyDescent="0.2">
      <c r="AQ191" t="s">
        <v>588</v>
      </c>
      <c r="AR191" t="s">
        <v>589</v>
      </c>
    </row>
    <row r="192" spans="43:44" x14ac:dyDescent="0.2">
      <c r="AQ192" t="s">
        <v>590</v>
      </c>
      <c r="AR192" t="s">
        <v>591</v>
      </c>
    </row>
    <row r="193" spans="43:44" x14ac:dyDescent="0.2">
      <c r="AQ193" t="s">
        <v>592</v>
      </c>
      <c r="AR193" t="s">
        <v>593</v>
      </c>
    </row>
    <row r="194" spans="43:44" x14ac:dyDescent="0.2">
      <c r="AQ194" t="s">
        <v>594</v>
      </c>
      <c r="AR194" t="s">
        <v>595</v>
      </c>
    </row>
    <row r="195" spans="43:44" x14ac:dyDescent="0.2">
      <c r="AQ195" t="s">
        <v>596</v>
      </c>
      <c r="AR195" t="s">
        <v>597</v>
      </c>
    </row>
    <row r="196" spans="43:44" x14ac:dyDescent="0.2">
      <c r="AQ196" t="s">
        <v>598</v>
      </c>
      <c r="AR196" t="s">
        <v>599</v>
      </c>
    </row>
    <row r="197" spans="43:44" x14ac:dyDescent="0.2">
      <c r="AQ197" t="s">
        <v>600</v>
      </c>
      <c r="AR197" t="s">
        <v>601</v>
      </c>
    </row>
    <row r="198" spans="43:44" x14ac:dyDescent="0.2">
      <c r="AQ198" t="s">
        <v>602</v>
      </c>
      <c r="AR198" t="s">
        <v>603</v>
      </c>
    </row>
    <row r="199" spans="43:44" x14ac:dyDescent="0.2">
      <c r="AQ199" t="s">
        <v>604</v>
      </c>
      <c r="AR199" t="s">
        <v>605</v>
      </c>
    </row>
    <row r="200" spans="43:44" x14ac:dyDescent="0.2">
      <c r="AQ200" t="s">
        <v>606</v>
      </c>
      <c r="AR200" t="s">
        <v>607</v>
      </c>
    </row>
    <row r="201" spans="43:44" x14ac:dyDescent="0.2">
      <c r="AQ201" t="s">
        <v>608</v>
      </c>
      <c r="AR201" t="s">
        <v>609</v>
      </c>
    </row>
    <row r="202" spans="43:44" x14ac:dyDescent="0.2">
      <c r="AQ202" t="s">
        <v>610</v>
      </c>
      <c r="AR202" t="s">
        <v>611</v>
      </c>
    </row>
    <row r="203" spans="43:44" x14ac:dyDescent="0.2">
      <c r="AQ203" t="s">
        <v>612</v>
      </c>
      <c r="AR203" t="s">
        <v>613</v>
      </c>
    </row>
    <row r="204" spans="43:44" x14ac:dyDescent="0.2">
      <c r="AQ204" t="s">
        <v>614</v>
      </c>
      <c r="AR204" t="s">
        <v>615</v>
      </c>
    </row>
    <row r="205" spans="43:44" x14ac:dyDescent="0.2">
      <c r="AQ205" t="s">
        <v>616</v>
      </c>
      <c r="AR205" t="s">
        <v>617</v>
      </c>
    </row>
    <row r="206" spans="43:44" x14ac:dyDescent="0.2">
      <c r="AQ206" t="s">
        <v>618</v>
      </c>
      <c r="AR206" t="s">
        <v>619</v>
      </c>
    </row>
    <row r="207" spans="43:44" x14ac:dyDescent="0.2">
      <c r="AQ207" t="s">
        <v>620</v>
      </c>
      <c r="AR207" t="s">
        <v>621</v>
      </c>
    </row>
    <row r="208" spans="43:44" x14ac:dyDescent="0.2">
      <c r="AQ208" t="s">
        <v>622</v>
      </c>
      <c r="AR208" t="s">
        <v>623</v>
      </c>
    </row>
    <row r="209" spans="43:44" x14ac:dyDescent="0.2">
      <c r="AQ209" t="s">
        <v>624</v>
      </c>
      <c r="AR209" t="s">
        <v>625</v>
      </c>
    </row>
    <row r="210" spans="43:44" x14ac:dyDescent="0.2">
      <c r="AQ210" t="s">
        <v>626</v>
      </c>
      <c r="AR210" t="s">
        <v>627</v>
      </c>
    </row>
    <row r="211" spans="43:44" x14ac:dyDescent="0.2">
      <c r="AQ211" t="s">
        <v>628</v>
      </c>
      <c r="AR211" t="s">
        <v>628</v>
      </c>
    </row>
    <row r="212" spans="43:44" x14ac:dyDescent="0.2">
      <c r="AQ212" t="s">
        <v>629</v>
      </c>
      <c r="AR212" t="s">
        <v>629</v>
      </c>
    </row>
    <row r="213" spans="43:44" x14ac:dyDescent="0.2">
      <c r="AQ213" t="s">
        <v>630</v>
      </c>
      <c r="AR213" t="s">
        <v>631</v>
      </c>
    </row>
    <row r="214" spans="43:44" x14ac:dyDescent="0.2">
      <c r="AQ214" t="s">
        <v>632</v>
      </c>
      <c r="AR214" t="s">
        <v>631</v>
      </c>
    </row>
    <row r="215" spans="43:44" x14ac:dyDescent="0.2">
      <c r="AQ215" t="s">
        <v>633</v>
      </c>
      <c r="AR215" t="s">
        <v>633</v>
      </c>
    </row>
    <row r="216" spans="43:44" x14ac:dyDescent="0.2">
      <c r="AQ216" t="s">
        <v>634</v>
      </c>
      <c r="AR216" t="s">
        <v>634</v>
      </c>
    </row>
    <row r="217" spans="43:44" x14ac:dyDescent="0.2">
      <c r="AQ217" t="s">
        <v>635</v>
      </c>
      <c r="AR217" t="s">
        <v>636</v>
      </c>
    </row>
    <row r="218" spans="43:44" x14ac:dyDescent="0.2">
      <c r="AQ218" t="s">
        <v>637</v>
      </c>
      <c r="AR218" t="s">
        <v>638</v>
      </c>
    </row>
    <row r="219" spans="43:44" x14ac:dyDescent="0.2">
      <c r="AQ219" t="s">
        <v>639</v>
      </c>
      <c r="AR219" t="s">
        <v>639</v>
      </c>
    </row>
    <row r="220" spans="43:44" x14ac:dyDescent="0.2">
      <c r="AQ220" t="s">
        <v>640</v>
      </c>
      <c r="AR220" t="s">
        <v>641</v>
      </c>
    </row>
    <row r="222" spans="43:44" x14ac:dyDescent="0.2">
      <c r="AQ222" s="520"/>
      <c r="AR222" s="84"/>
    </row>
  </sheetData>
  <sheetProtection algorithmName="SHA-512" hashValue="+DTHxyc6ecgbmflhdO8bzyebCAfRtFf7wGpMfG7Uh0QXcJPnpcqT1tkQdN/udiBZspOEwiXD6vWCRzXqlKVSOw==" saltValue="7YaaDwctfpjerGy+vef0LA==" spinCount="100000" sheet="1" objects="1" scenarios="1" autoFilter="0"/>
  <sortState xmlns:xlrd2="http://schemas.microsoft.com/office/spreadsheetml/2017/richdata2" ref="AQ2:AR220">
    <sortCondition ref="AQ3:AQ220"/>
  </sortState>
  <mergeCells count="9">
    <mergeCell ref="B50:C50"/>
    <mergeCell ref="B59:C59"/>
    <mergeCell ref="I1:AO1"/>
    <mergeCell ref="B3:C3"/>
    <mergeCell ref="B15:C15"/>
    <mergeCell ref="B21:C21"/>
    <mergeCell ref="B27:C27"/>
    <mergeCell ref="B35:C35"/>
    <mergeCell ref="B46:C46"/>
  </mergeCells>
  <phoneticPr fontId="38" type="noConversion"/>
  <conditionalFormatting sqref="B57:C58">
    <cfRule type="expression" dxfId="880" priority="2" stopIfTrue="1">
      <formula>CAIXA.Modo=FALSE</formula>
    </cfRule>
  </conditionalFormatting>
  <conditionalFormatting sqref="B59:C61">
    <cfRule type="expression" dxfId="879"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ErrorMessage="1" sqref="C18" xr:uid="{00000000-0002-0000-0100-000001000000}">
      <formula1>"(SELECIONAR),NÃO SE APLICA,DESONERADO,NÃO DESONERADO"</formula1>
      <formula2>0</formula2>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ErrorMessage="1" sqref="C4" xr:uid="{00000000-0002-0000-0100-000003000000}">
      <formula1>"(SELECIONAR),OGU,FGTS"</formula1>
      <formula2>0</formula2>
    </dataValidation>
    <dataValidation type="decimal" operator="greaterThan" allowBlank="1" showErrorMessage="1" error="Digite um valor maior do que 0." sqref="C12" xr:uid="{00000000-0002-0000-0100-000004000000}">
      <formula1>0</formula1>
      <formula2>0</formula2>
    </dataValidation>
    <dataValidation type="list" allowBlank="1" showErrorMessage="1" sqref="C40" xr:uid="{00000000-0002-0000-0100-000005000000}">
      <formula1>"(SELECIONAR),INDEFINIDO / NÃO SE APLICA,EMPREITADA POR PREÇO GLOBAL,EMPREITADA POR PREÇO UNITÁRIO,EMPREITADA INTEGRAL,TAREFA,CONTRATAÇÃO INTEGRADA,ADM. DIRETA"</formula1>
      <formula2>0</formula2>
    </dataValidation>
    <dataValidation type="list" allowBlank="1" showErrorMessage="1" sqref="C31" xr:uid="{00000000-0002-0000-0100-000006000000}">
      <formula1>"Tradicional,TransfereGOV"</formula1>
    </dataValidation>
  </dataValidations>
  <pageMargins left="0.78740157480314998" right="0.78740157480314998" top="0.78740157480314998" bottom="0.78740157480314998" header="5.7086614173228396" footer="0.59055118110236204"/>
  <pageSetup paperSize="9" scale="46" firstPageNumber="0" fitToHeight="0" orientation="portrait" verticalDpi="300" r:id="rId1"/>
  <headerFooter alignWithMargins="0">
    <oddHeader>&amp;L_</oddHeader>
    <oddFooter>&amp;LPMv3.12&amp;R&amp;P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642</v>
      </c>
      <c r="F1" s="50" t="s">
        <v>643</v>
      </c>
      <c r="G1" s="50" t="s">
        <v>644</v>
      </c>
      <c r="O1" s="51" t="str">
        <f>"Quadro de Composição do BDI"</f>
        <v>Quadro de Composição do BDI</v>
      </c>
      <c r="R1" s="729" t="s">
        <v>645</v>
      </c>
      <c r="S1" s="729"/>
    </row>
    <row r="2" spans="1:21" x14ac:dyDescent="0.2">
      <c r="A2" s="49" t="s">
        <v>646</v>
      </c>
      <c r="B2" s="53" t="s">
        <v>647</v>
      </c>
      <c r="C2" s="49" t="str">
        <f t="shared" ref="C2:C49" si="0">CONCATENATE(A2,"-",B2)</f>
        <v>Construção e Reforma de Edifícios-AC</v>
      </c>
      <c r="E2" s="54">
        <v>0.03</v>
      </c>
      <c r="F2" s="54">
        <v>0.04</v>
      </c>
      <c r="G2" s="54">
        <v>5.5E-2</v>
      </c>
      <c r="R2" s="730" t="s">
        <v>648</v>
      </c>
      <c r="S2" s="730"/>
    </row>
    <row r="3" spans="1:21" x14ac:dyDescent="0.2">
      <c r="A3" s="49" t="str">
        <f>A2</f>
        <v>Construção e Reforma de Edifícios</v>
      </c>
      <c r="B3" s="53" t="s">
        <v>649</v>
      </c>
      <c r="C3" s="49" t="str">
        <f t="shared" si="0"/>
        <v>Construção e Reforma de Edifícios-SG</v>
      </c>
      <c r="E3" s="54">
        <v>8.0000000000000002E-3</v>
      </c>
      <c r="F3" s="54">
        <v>8.0000000000000002E-3</v>
      </c>
      <c r="G3" s="54">
        <v>0.01</v>
      </c>
    </row>
    <row r="4" spans="1:21" x14ac:dyDescent="0.2">
      <c r="A4" s="49" t="str">
        <f>A3</f>
        <v>Construção e Reforma de Edifícios</v>
      </c>
      <c r="B4" s="53" t="s">
        <v>650</v>
      </c>
      <c r="C4" s="49" t="str">
        <f t="shared" si="0"/>
        <v>Construção e Reforma de Edifícios-R</v>
      </c>
      <c r="E4" s="54">
        <v>9.7000000000000003E-3</v>
      </c>
      <c r="F4" s="54">
        <v>1.2699999999999999E-2</v>
      </c>
      <c r="G4" s="54">
        <v>1.2699999999999999E-2</v>
      </c>
      <c r="J4" s="731" t="s">
        <v>651</v>
      </c>
      <c r="K4" s="731"/>
      <c r="L4" s="731" t="s">
        <v>652</v>
      </c>
      <c r="M4" s="731"/>
      <c r="N4" s="731" t="s">
        <v>653</v>
      </c>
      <c r="O4" s="731"/>
      <c r="P4" s="731"/>
      <c r="Q4" s="731"/>
      <c r="R4" s="731"/>
      <c r="S4" s="731"/>
    </row>
    <row r="5" spans="1:21" ht="12.75" customHeight="1" x14ac:dyDescent="0.2">
      <c r="A5" s="49" t="str">
        <f>A4</f>
        <v>Construção e Reforma de Edifícios</v>
      </c>
      <c r="B5" s="53" t="s">
        <v>654</v>
      </c>
      <c r="C5" s="49" t="str">
        <f t="shared" si="0"/>
        <v>Construção e Reforma de Edifícios-DF</v>
      </c>
      <c r="E5" s="54">
        <v>5.8999999999999999E-3</v>
      </c>
      <c r="F5" s="54">
        <v>1.23E-2</v>
      </c>
      <c r="G5" s="54">
        <v>1.3899999999999999E-2</v>
      </c>
      <c r="J5" s="728" t="str">
        <f>Import.CR</f>
        <v>0639.998-99</v>
      </c>
      <c r="K5" s="728"/>
      <c r="L5" s="728" t="str">
        <f>Import.TransfereGOV</f>
        <v>56000003291</v>
      </c>
      <c r="M5" s="728"/>
      <c r="N5" s="728" t="str">
        <f>Import.Proponente</f>
        <v>PREFEITURA MUNICIPAL DE PASSOS/MG</v>
      </c>
      <c r="O5" s="728"/>
      <c r="P5" s="728"/>
      <c r="Q5" s="728"/>
      <c r="R5" s="728"/>
      <c r="S5" s="728"/>
    </row>
    <row r="6" spans="1:21" x14ac:dyDescent="0.2">
      <c r="A6" s="49" t="str">
        <f>A5</f>
        <v>Construção e Reforma de Edifícios</v>
      </c>
      <c r="B6" s="53" t="s">
        <v>655</v>
      </c>
      <c r="C6" s="49" t="str">
        <f t="shared" si="0"/>
        <v>Construção e Reforma de Edifícios-L</v>
      </c>
      <c r="E6" s="54">
        <v>6.1600000000000002E-2</v>
      </c>
      <c r="F6" s="54">
        <v>7.400000000000001E-2</v>
      </c>
      <c r="G6" s="54">
        <v>8.9600000000000013E-2</v>
      </c>
      <c r="I6" s="757" t="s">
        <v>656</v>
      </c>
      <c r="J6" s="57"/>
      <c r="K6" s="57"/>
      <c r="L6" s="57"/>
      <c r="M6" s="57"/>
      <c r="N6" s="57"/>
      <c r="O6" s="57"/>
      <c r="P6" s="57"/>
      <c r="Q6" s="57"/>
      <c r="R6" s="57"/>
      <c r="S6" s="57"/>
    </row>
    <row r="7" spans="1:21" ht="25.5" x14ac:dyDescent="0.25">
      <c r="A7" s="49" t="str">
        <f>A6</f>
        <v>Construção e Reforma de Edifícios</v>
      </c>
      <c r="B7" s="58" t="s">
        <v>657</v>
      </c>
      <c r="C7" s="49" t="str">
        <f t="shared" si="0"/>
        <v>Construção e Reforma de Edifícios-BDI PAD</v>
      </c>
      <c r="E7" s="54">
        <v>0.2034</v>
      </c>
      <c r="F7" s="54">
        <v>0.22120000000000001</v>
      </c>
      <c r="G7" s="54">
        <v>0.25</v>
      </c>
      <c r="I7" s="757"/>
      <c r="J7" s="731" t="s">
        <v>658</v>
      </c>
      <c r="K7" s="731"/>
      <c r="L7" s="731"/>
      <c r="M7" s="731"/>
      <c r="N7" s="731"/>
      <c r="O7" s="731"/>
      <c r="P7" s="731"/>
      <c r="Q7" s="731"/>
      <c r="R7" s="731"/>
      <c r="S7" s="731"/>
      <c r="U7" s="522" t="str">
        <f ca="1">IF(OR(U10&lt;&gt;"",U11&lt;&gt;""),"Falta preencher os percentuais do ISS",IF(U14&lt;&gt;"","Falta preencher o BDI 1",IF(U54&lt;&gt;"","Falta preencher o BDI 2",IF(U94&lt;&gt;"","Falta preencher o BDI 3",""))))</f>
        <v/>
      </c>
    </row>
    <row r="8" spans="1:21" ht="15.75" x14ac:dyDescent="0.25">
      <c r="A8" s="49" t="s">
        <v>659</v>
      </c>
      <c r="B8" s="53" t="s">
        <v>647</v>
      </c>
      <c r="C8" s="49" t="str">
        <f t="shared" si="0"/>
        <v>Construção de Praças Urbanas, Rodovias, Ferrovias e recapeamento e pavimentação de vias urbanas-AC</v>
      </c>
      <c r="E8" s="54">
        <v>3.7999999999999999E-2</v>
      </c>
      <c r="F8" s="54">
        <v>4.0099999999999997E-2</v>
      </c>
      <c r="G8" s="54">
        <v>4.6699999999999998E-2</v>
      </c>
      <c r="I8" s="757"/>
      <c r="J8" s="734" t="str">
        <f>Import.Apelido&amp;" / "&amp;Import.DescLote</f>
        <v>AMPLIAÇÃO DO SISTEMA DE ESGOTAMENTO SANITÁRIO / ELEVATÓRIA DE ESGOTO BRUTO ACLIMAÇÃO, LINHA DE RECALQUE E EMISSÁRIO DE ESGOTO</v>
      </c>
      <c r="K8" s="734"/>
      <c r="L8" s="734"/>
      <c r="M8" s="734"/>
      <c r="N8" s="734"/>
      <c r="O8" s="734"/>
      <c r="P8" s="734"/>
      <c r="Q8" s="734"/>
      <c r="R8" s="734"/>
      <c r="S8" s="734"/>
      <c r="U8" s="522" t="str">
        <f ca="1">IF(U29="FORA DO INTERVALO","BDI 1 fora do intervalo",IF(U69="FORA DO INTERVALO","BDI 2 fora do intervalo",IF(U109="FORA DO INTERVALO","BDI 3 fora do intervalo","")))</f>
        <v/>
      </c>
    </row>
    <row r="9" spans="1:21" x14ac:dyDescent="0.2">
      <c r="A9" s="49" t="s">
        <v>659</v>
      </c>
      <c r="B9" s="53" t="s">
        <v>649</v>
      </c>
      <c r="C9" s="49" t="str">
        <f t="shared" si="0"/>
        <v>Construção de Praças Urbanas, Rodovias, Ferrovias e recapeamento e pavimentação de vias urbanas-SG</v>
      </c>
      <c r="E9" s="54">
        <v>3.2000000000000002E-3</v>
      </c>
      <c r="F9" s="54">
        <v>4.0000000000000001E-3</v>
      </c>
      <c r="G9" s="54">
        <v>7.4000000000000003E-3</v>
      </c>
      <c r="I9" s="757"/>
      <c r="J9" s="57"/>
      <c r="K9" s="57"/>
      <c r="L9" s="57"/>
      <c r="M9" s="57"/>
      <c r="N9" s="57"/>
      <c r="O9" s="57"/>
      <c r="P9" s="57"/>
      <c r="Q9" s="57"/>
      <c r="R9" s="57"/>
      <c r="S9" s="57"/>
    </row>
    <row r="10" spans="1:21" ht="12.75" customHeight="1" x14ac:dyDescent="0.2">
      <c r="A10" s="49" t="s">
        <v>659</v>
      </c>
      <c r="B10" s="53" t="s">
        <v>650</v>
      </c>
      <c r="C10" s="49" t="str">
        <f t="shared" si="0"/>
        <v>Construção de Praças Urbanas, Rodovias, Ferrovias e recapeamento e pavimentação de vias urbanas-R</v>
      </c>
      <c r="E10" s="54">
        <v>5.0000000000000001E-3</v>
      </c>
      <c r="F10" s="54">
        <v>5.6000000000000008E-3</v>
      </c>
      <c r="G10" s="54">
        <v>9.7000000000000003E-3</v>
      </c>
      <c r="I10" s="757"/>
      <c r="J10" s="735" t="s">
        <v>660</v>
      </c>
      <c r="K10" s="735"/>
      <c r="L10" s="735"/>
      <c r="M10" s="735"/>
      <c r="N10" s="735"/>
      <c r="O10" s="735"/>
      <c r="P10" s="735"/>
      <c r="Q10" s="735"/>
      <c r="R10" s="733">
        <v>0.6</v>
      </c>
      <c r="S10" s="733"/>
      <c r="U10" s="572" t="str">
        <f>IF(R10="","Falta definir a base de cálculo para o ISS","")</f>
        <v/>
      </c>
    </row>
    <row r="11" spans="1:21" ht="12.75" customHeight="1" x14ac:dyDescent="0.2">
      <c r="A11" s="49" t="s">
        <v>659</v>
      </c>
      <c r="B11" s="53" t="s">
        <v>654</v>
      </c>
      <c r="C11" s="49" t="str">
        <f t="shared" si="0"/>
        <v>Construção de Praças Urbanas, Rodovias, Ferrovias e recapeamento e pavimentação de vias urbanas-DF</v>
      </c>
      <c r="E11" s="54">
        <v>1.0200000000000001E-2</v>
      </c>
      <c r="F11" s="54">
        <v>1.11E-2</v>
      </c>
      <c r="G11" s="54">
        <v>1.21E-2</v>
      </c>
      <c r="I11" s="107" t="s">
        <v>661</v>
      </c>
      <c r="J11" s="732" t="s">
        <v>662</v>
      </c>
      <c r="K11" s="732"/>
      <c r="L11" s="732"/>
      <c r="M11" s="732"/>
      <c r="N11" s="732"/>
      <c r="O11" s="732"/>
      <c r="P11" s="732"/>
      <c r="Q11" s="732"/>
      <c r="R11" s="733">
        <v>0.05</v>
      </c>
      <c r="S11" s="733"/>
      <c r="U11" s="572" t="str">
        <f>IF(R11="","Falta definir a alíquota do ISS","")</f>
        <v/>
      </c>
    </row>
    <row r="12" spans="1:21" x14ac:dyDescent="0.2">
      <c r="A12" s="49" t="s">
        <v>659</v>
      </c>
      <c r="B12" s="53" t="s">
        <v>655</v>
      </c>
      <c r="C12" s="49" t="str">
        <f t="shared" si="0"/>
        <v>Construção de Praças Urbanas, Rodovias, Ferrovias e recapeamento e pavimentação de vias urbanas-L</v>
      </c>
      <c r="E12" s="54">
        <v>6.6400000000000001E-2</v>
      </c>
      <c r="F12" s="54">
        <v>7.2999999999999995E-2</v>
      </c>
      <c r="G12" s="54">
        <v>8.6899999999999991E-2</v>
      </c>
      <c r="I12" s="7" t="s">
        <v>537</v>
      </c>
      <c r="J12" s="59"/>
      <c r="K12" s="59"/>
      <c r="L12" s="59"/>
      <c r="M12" s="59"/>
      <c r="N12" s="59"/>
      <c r="O12" s="59"/>
      <c r="P12" s="59"/>
      <c r="Q12" s="59"/>
      <c r="R12" s="59"/>
      <c r="S12" s="59"/>
    </row>
    <row r="13" spans="1:21" ht="15" customHeight="1" x14ac:dyDescent="0.2">
      <c r="A13" s="49" t="s">
        <v>659</v>
      </c>
      <c r="B13" s="58" t="s">
        <v>657</v>
      </c>
      <c r="C13" s="49" t="str">
        <f t="shared" si="0"/>
        <v>Construção de Praças Urbanas, Rodovias, Ferrovias e recapeamento e pavimentação de vias urbanas-BDI PAD</v>
      </c>
      <c r="E13" s="54">
        <v>0.19600000000000001</v>
      </c>
      <c r="F13" s="54">
        <v>0.2097</v>
      </c>
      <c r="G13" s="54">
        <v>0.24230000000000002</v>
      </c>
      <c r="I13" s="7" t="s">
        <v>537</v>
      </c>
    </row>
    <row r="14" spans="1:21" ht="15.75" x14ac:dyDescent="0.25">
      <c r="A14" s="49" t="s">
        <v>663</v>
      </c>
      <c r="B14" s="53" t="s">
        <v>647</v>
      </c>
      <c r="C14" s="49" t="str">
        <f t="shared" si="0"/>
        <v>Construção de Redes de Abastecimento de Água, Coleta de Esgoto-AC</v>
      </c>
      <c r="E14" s="54">
        <v>3.4300000000000004E-2</v>
      </c>
      <c r="F14" s="54">
        <v>4.9299999999999997E-2</v>
      </c>
      <c r="G14" s="54">
        <v>6.7099999999999993E-2</v>
      </c>
      <c r="I14" s="7" t="s">
        <v>537</v>
      </c>
      <c r="J14" s="740" t="s">
        <v>664</v>
      </c>
      <c r="K14" s="740"/>
      <c r="L14" s="740"/>
      <c r="M14" s="740"/>
      <c r="N14" s="740"/>
      <c r="O14" s="740"/>
      <c r="P14" s="740"/>
      <c r="Q14" s="740"/>
      <c r="R14" s="740"/>
      <c r="S14" s="740"/>
      <c r="U14" s="522" t="str">
        <f ca="1">IF(COUNTIF(ORÇAMENTO!$V$15:$V$231,BDI_1.Título)=0,"",IF(OR(Import.BDI.Tipo1="(SELECIONAR)",Import.BDI.Tipo1="",U17&lt;&gt;"",AND($J17&lt;&gt;$A$145,OR(S21="",S22="",AND($J17&lt;&gt;$A$146,OR(S23="",S24="")),S25="",S26=""))),"Falta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649</v>
      </c>
      <c r="C15" s="49" t="str">
        <f t="shared" si="0"/>
        <v>Construção de Redes de Abastecimento de Água, Coleta de Esgoto-SG</v>
      </c>
      <c r="E15" s="54">
        <v>2.8000000000000004E-3</v>
      </c>
      <c r="F15" s="54">
        <v>4.8999999999999998E-3</v>
      </c>
      <c r="G15" s="54">
        <v>7.4999999999999997E-3</v>
      </c>
      <c r="I15" s="7" t="s">
        <v>537</v>
      </c>
    </row>
    <row r="16" spans="1:21" x14ac:dyDescent="0.2">
      <c r="A16" s="49" t="str">
        <f>A15</f>
        <v>Construção de Redes de Abastecimento de Água, Coleta de Esgoto</v>
      </c>
      <c r="B16" s="53" t="s">
        <v>650</v>
      </c>
      <c r="C16" s="49" t="str">
        <f t="shared" si="0"/>
        <v>Construção de Redes de Abastecimento de Água, Coleta de Esgoto-R</v>
      </c>
      <c r="E16" s="54">
        <v>0.01</v>
      </c>
      <c r="F16" s="54">
        <v>1.3899999999999999E-2</v>
      </c>
      <c r="G16" s="54">
        <v>1.7399999999999999E-2</v>
      </c>
      <c r="I16" s="7" t="s">
        <v>537</v>
      </c>
      <c r="J16" s="731" t="s">
        <v>665</v>
      </c>
      <c r="K16" s="731"/>
      <c r="L16" s="731"/>
      <c r="M16" s="731"/>
      <c r="N16" s="731"/>
      <c r="O16" s="731"/>
      <c r="P16" s="731"/>
      <c r="Q16" s="731"/>
      <c r="R16" s="731"/>
      <c r="S16" s="731"/>
    </row>
    <row r="17" spans="1:26" ht="15" x14ac:dyDescent="0.25">
      <c r="A17" s="49" t="str">
        <f>A16</f>
        <v>Construção de Redes de Abastecimento de Água, Coleta de Esgoto</v>
      </c>
      <c r="B17" s="53" t="s">
        <v>654</v>
      </c>
      <c r="C17" s="49" t="str">
        <f t="shared" si="0"/>
        <v>Construção de Redes de Abastecimento de Água, Coleta de Esgoto-DF</v>
      </c>
      <c r="E17" s="54">
        <v>9.3999999999999986E-3</v>
      </c>
      <c r="F17" s="54">
        <v>9.8999999999999991E-3</v>
      </c>
      <c r="G17" s="54">
        <v>1.1699999999999999E-2</v>
      </c>
      <c r="I17" s="7" t="s">
        <v>537</v>
      </c>
      <c r="J17" s="737" t="s">
        <v>663</v>
      </c>
      <c r="K17" s="737"/>
      <c r="L17" s="737"/>
      <c r="M17" s="737"/>
      <c r="N17" s="737"/>
      <c r="O17" s="737"/>
      <c r="P17" s="737"/>
      <c r="Q17" s="737"/>
      <c r="R17" s="737"/>
      <c r="S17" s="737"/>
      <c r="T17" s="564" t="str">
        <f ca="1">IF(U17="","","◄")</f>
        <v/>
      </c>
      <c r="U17" s="563" t="str">
        <f ca="1">IF(AND(OR(S29&gt;0,COUNTIF(ORÇAMENTO!$V$15:$V$231,BDI_1.Título)&gt;0),OR(Import.BDI.Tipo1="(SELECIONAR)",Import.BDI.Tipo1="")),"Selecione o Tipo de obra","")</f>
        <v/>
      </c>
    </row>
    <row r="18" spans="1:26" x14ac:dyDescent="0.2">
      <c r="A18" s="49" t="str">
        <f>A17</f>
        <v>Construção de Redes de Abastecimento de Água, Coleta de Esgoto</v>
      </c>
      <c r="B18" s="53" t="s">
        <v>655</v>
      </c>
      <c r="C18" s="49" t="str">
        <f t="shared" si="0"/>
        <v>Construção de Redes de Abastecimento de Água, Coleta de Esgoto-L</v>
      </c>
      <c r="E18" s="54">
        <v>6.7400000000000002E-2</v>
      </c>
      <c r="F18" s="54">
        <v>8.0399999999999985E-2</v>
      </c>
      <c r="G18" s="54">
        <v>9.4E-2</v>
      </c>
      <c r="I18" s="7" t="s">
        <v>537</v>
      </c>
    </row>
    <row r="19" spans="1:26" ht="12.75" customHeight="1" x14ac:dyDescent="0.2">
      <c r="A19" s="49" t="str">
        <f>A18</f>
        <v>Construção de Redes de Abastecimento de Água, Coleta de Esgoto</v>
      </c>
      <c r="B19" s="58" t="s">
        <v>657</v>
      </c>
      <c r="C19" s="49" t="str">
        <f t="shared" si="0"/>
        <v>Construção de Redes de Abastecimento de Água, Coleta de Esgoto-BDI PAD</v>
      </c>
      <c r="E19" s="54">
        <v>0.20760000000000001</v>
      </c>
      <c r="F19" s="54">
        <v>0.24179999999999999</v>
      </c>
      <c r="G19" s="54">
        <v>0.26440000000000002</v>
      </c>
      <c r="I19" s="7" t="s">
        <v>537</v>
      </c>
      <c r="J19" s="739" t="s">
        <v>667</v>
      </c>
      <c r="K19" s="739"/>
      <c r="L19" s="739"/>
      <c r="M19" s="739"/>
      <c r="N19" s="739"/>
      <c r="O19" s="739"/>
      <c r="P19" s="739"/>
      <c r="Q19" s="739"/>
      <c r="R19" s="739" t="s">
        <v>668</v>
      </c>
      <c r="S19" s="738" t="s">
        <v>669</v>
      </c>
      <c r="U19" s="738" t="s">
        <v>670</v>
      </c>
      <c r="V19" s="738"/>
      <c r="W19" s="738"/>
      <c r="X19" s="736" t="s">
        <v>671</v>
      </c>
      <c r="Y19" s="736" t="s">
        <v>672</v>
      </c>
      <c r="Z19" s="736" t="s">
        <v>673</v>
      </c>
    </row>
    <row r="20" spans="1:26" ht="12.75" customHeight="1" x14ac:dyDescent="0.2">
      <c r="A20" s="49" t="s">
        <v>674</v>
      </c>
      <c r="B20" s="53" t="s">
        <v>647</v>
      </c>
      <c r="C20" s="49" t="str">
        <f t="shared" si="0"/>
        <v>Construção e Manutenção de Estações e Redes de Distribuição de Energia Elétrica-AC</v>
      </c>
      <c r="E20" s="54">
        <v>5.2900000000000003E-2</v>
      </c>
      <c r="F20" s="54">
        <v>5.9200000000000003E-2</v>
      </c>
      <c r="G20" s="54">
        <v>7.9299999999999995E-2</v>
      </c>
      <c r="I20" s="7" t="s">
        <v>537</v>
      </c>
      <c r="J20" s="739"/>
      <c r="K20" s="739"/>
      <c r="L20" s="739"/>
      <c r="M20" s="739"/>
      <c r="N20" s="739"/>
      <c r="O20" s="739"/>
      <c r="P20" s="739"/>
      <c r="Q20" s="739"/>
      <c r="R20" s="739"/>
      <c r="S20" s="738"/>
      <c r="U20" s="738"/>
      <c r="V20" s="738"/>
      <c r="W20" s="738"/>
      <c r="X20" s="736"/>
      <c r="Y20" s="736"/>
      <c r="Z20" s="736"/>
    </row>
    <row r="21" spans="1:26" ht="15" customHeight="1" x14ac:dyDescent="0.2">
      <c r="A21" s="49" t="str">
        <f>A20</f>
        <v>Construção e Manutenção de Estações e Redes de Distribuição de Energia Elétrica</v>
      </c>
      <c r="B21" s="53" t="s">
        <v>649</v>
      </c>
      <c r="C21" s="49" t="str">
        <f t="shared" si="0"/>
        <v>Construção e Manutenção de Estações e Redes de Distribuição de Energia Elétrica-SG</v>
      </c>
      <c r="E21" s="54">
        <v>2.5000000000000001E-3</v>
      </c>
      <c r="F21" s="54">
        <v>5.1000000000000004E-3</v>
      </c>
      <c r="G21" s="54">
        <v>5.6000000000000008E-3</v>
      </c>
      <c r="I21" s="7" t="s">
        <v>537</v>
      </c>
      <c r="J21" s="741" t="str">
        <f>IF($J$17=$A$146,"Encargos Sociais incidentes sobre a mão de obra","Administração Central")</f>
        <v>Administração Central</v>
      </c>
      <c r="K21" s="741"/>
      <c r="L21" s="741"/>
      <c r="M21" s="741"/>
      <c r="N21" s="741"/>
      <c r="O21" s="741"/>
      <c r="P21" s="741"/>
      <c r="Q21" s="741"/>
      <c r="R21" s="60" t="str">
        <f>IF($J17=$A$146,"K1","AC")</f>
        <v>AC</v>
      </c>
      <c r="S21" s="61">
        <v>4.9299999999999997E-2</v>
      </c>
      <c r="T21" s="573" t="str">
        <f ca="1">IF(AND($U$14&lt;&gt;"",$U$17="",R21&lt;&gt;"",S21=""),"◄","")</f>
        <v/>
      </c>
      <c r="U21" s="742" t="str">
        <f ca="1">IFERROR(IF(T21="◄","FALTA PREENCHER",IF(AND(OR(S21&gt;=X21,X21="-"),OR(S21&lt;=Z21,Z21="-")),"OK","FORA DO INTERVALO")),"-")</f>
        <v>OK</v>
      </c>
      <c r="V21" s="742"/>
      <c r="W21" s="742"/>
      <c r="X21" s="62">
        <f>VLOOKUP(CONCATENATE(J17,"-",R21),$C$2:$G$136,3,FALSE)</f>
        <v>3.4300000000000004E-2</v>
      </c>
      <c r="Y21" s="62">
        <f>VLOOKUP(CONCATENATE(J17,"-",R21),$C$2:$G$136,4,FALSE)</f>
        <v>4.9299999999999997E-2</v>
      </c>
      <c r="Z21" s="62">
        <f>VLOOKUP(CONCATENATE(J17,"-",R21),$C$2:$G$136,5,FALSE)</f>
        <v>6.7099999999999993E-2</v>
      </c>
    </row>
    <row r="22" spans="1:26" ht="15" customHeight="1" x14ac:dyDescent="0.2">
      <c r="A22" s="49" t="str">
        <f>A21</f>
        <v>Construção e Manutenção de Estações e Redes de Distribuição de Energia Elétrica</v>
      </c>
      <c r="B22" s="53" t="s">
        <v>650</v>
      </c>
      <c r="C22" s="49" t="str">
        <f t="shared" si="0"/>
        <v>Construção e Manutenção de Estações e Redes de Distribuição de Energia Elétrica-R</v>
      </c>
      <c r="E22" s="54">
        <v>0.01</v>
      </c>
      <c r="F22" s="54">
        <v>1.4800000000000001E-2</v>
      </c>
      <c r="G22" s="54">
        <v>1.9699999999999999E-2</v>
      </c>
      <c r="I22" s="7" t="s">
        <v>537</v>
      </c>
      <c r="J22" s="741" t="str">
        <f>IF($J$17=$A$146,"Administração Central da empresa ou consultoria - overhead","Seguro e Garantia")</f>
        <v>Seguro e Garantia</v>
      </c>
      <c r="K22" s="741"/>
      <c r="L22" s="741"/>
      <c r="M22" s="741"/>
      <c r="N22" s="741"/>
      <c r="O22" s="741"/>
      <c r="P22" s="741"/>
      <c r="Q22" s="741"/>
      <c r="R22" s="60" t="str">
        <f>IF($J17=$A$146,"K2","SG")</f>
        <v>SG</v>
      </c>
      <c r="S22" s="61">
        <v>4.0000000000000001E-3</v>
      </c>
      <c r="T22" s="573" t="str">
        <f t="shared" ref="T22:T26" ca="1" si="1">IF(AND($U$14&lt;&gt;"",$U$17="",R22&lt;&gt;"",S22=""),"◄","")</f>
        <v/>
      </c>
      <c r="U22" s="742" t="str">
        <f t="shared" ref="U22:U28" ca="1" si="2">IFERROR(IF(T22="◄","FALTA PREENCHER",IF(AND(OR(S22&gt;=X22,X22="-"),OR(S22&lt;=Z22,Z22="-")),"OK","FORA DO INTERVALO")),"-")</f>
        <v>OK</v>
      </c>
      <c r="V22" s="742"/>
      <c r="W22" s="742"/>
      <c r="X22" s="62">
        <f>VLOOKUP(CONCATENATE(J17,"-",R22),$C$2:$G$136,3,FALSE)</f>
        <v>2.8000000000000004E-3</v>
      </c>
      <c r="Y22" s="62">
        <f>VLOOKUP(CONCATENATE(J17,"-",R22),$C$2:$G$136,4,FALSE)</f>
        <v>4.8999999999999998E-3</v>
      </c>
      <c r="Z22" s="62">
        <f>VLOOKUP(CONCATENATE(J17,"-",R22),$C$2:$G$136,5,FALSE)</f>
        <v>7.4999999999999997E-3</v>
      </c>
    </row>
    <row r="23" spans="1:26" ht="15" customHeight="1" x14ac:dyDescent="0.2">
      <c r="A23" s="49" t="str">
        <f>A22</f>
        <v>Construção e Manutenção de Estações e Redes de Distribuição de Energia Elétrica</v>
      </c>
      <c r="B23" s="53" t="s">
        <v>654</v>
      </c>
      <c r="C23" s="49" t="str">
        <f t="shared" si="0"/>
        <v>Construção e Manutenção de Estações e Redes de Distribuição de Energia Elétrica-DF</v>
      </c>
      <c r="E23" s="54">
        <v>1.01E-2</v>
      </c>
      <c r="F23" s="54">
        <v>1.0700000000000001E-2</v>
      </c>
      <c r="G23" s="54">
        <v>1.11E-2</v>
      </c>
      <c r="I23" s="7" t="s">
        <v>537</v>
      </c>
      <c r="J23" s="741" t="s">
        <v>943</v>
      </c>
      <c r="K23" s="741"/>
      <c r="L23" s="741"/>
      <c r="M23" s="741"/>
      <c r="N23" s="741"/>
      <c r="O23" s="741"/>
      <c r="P23" s="741"/>
      <c r="Q23" s="741"/>
      <c r="R23" s="60" t="str">
        <f>IF($J17=$A$146,"","R")</f>
        <v>R</v>
      </c>
      <c r="S23" s="61">
        <v>1.3899999999999999E-2</v>
      </c>
      <c r="T23" s="573" t="str">
        <f t="shared" ca="1" si="1"/>
        <v/>
      </c>
      <c r="U23" s="742" t="str">
        <f t="shared" ca="1" si="2"/>
        <v>OK</v>
      </c>
      <c r="V23" s="742"/>
      <c r="W23" s="742"/>
      <c r="X23" s="62">
        <f>VLOOKUP(CONCATENATE(J17,"-",R23),$C$2:$G$136,3,FALSE)</f>
        <v>0.01</v>
      </c>
      <c r="Y23" s="62">
        <f>VLOOKUP(CONCATENATE(J17,"-",R23),$C$2:$G$136,4,FALSE)</f>
        <v>1.3899999999999999E-2</v>
      </c>
      <c r="Z23" s="62">
        <f>VLOOKUP(CONCATENATE(J17,"-",R23),$C$2:$G$136,5,FALSE)</f>
        <v>1.7399999999999999E-2</v>
      </c>
    </row>
    <row r="24" spans="1:26" ht="15" customHeight="1" x14ac:dyDescent="0.2">
      <c r="A24" s="49" t="str">
        <f>A23</f>
        <v>Construção e Manutenção de Estações e Redes de Distribuição de Energia Elétrica</v>
      </c>
      <c r="B24" s="53" t="s">
        <v>655</v>
      </c>
      <c r="C24" s="49" t="str">
        <f t="shared" si="0"/>
        <v>Construção e Manutenção de Estações e Redes de Distribuição de Energia Elétrica-L</v>
      </c>
      <c r="E24" s="54">
        <v>0.08</v>
      </c>
      <c r="F24" s="54">
        <v>8.3100000000000007E-2</v>
      </c>
      <c r="G24" s="54">
        <v>9.5100000000000004E-2</v>
      </c>
      <c r="I24" s="7" t="s">
        <v>537</v>
      </c>
      <c r="J24" s="741" t="s">
        <v>944</v>
      </c>
      <c r="K24" s="741"/>
      <c r="L24" s="741"/>
      <c r="M24" s="741"/>
      <c r="N24" s="741"/>
      <c r="O24" s="741"/>
      <c r="P24" s="741"/>
      <c r="Q24" s="741"/>
      <c r="R24" s="60" t="str">
        <f>IF($J17=$A$146,"","DF")</f>
        <v>DF</v>
      </c>
      <c r="S24" s="61">
        <v>9.9000000000000008E-3</v>
      </c>
      <c r="T24" s="573" t="str">
        <f t="shared" ca="1" si="1"/>
        <v/>
      </c>
      <c r="U24" s="742" t="str">
        <f t="shared" ca="1" si="2"/>
        <v>OK</v>
      </c>
      <c r="V24" s="742"/>
      <c r="W24" s="742"/>
      <c r="X24" s="62">
        <f>VLOOKUP(CONCATENATE(J17,"-",R24),$C$2:$G$136,3,FALSE)</f>
        <v>9.3999999999999986E-3</v>
      </c>
      <c r="Y24" s="62">
        <f>VLOOKUP(CONCATENATE(J17,"-",R24),$C$2:$G$136,4,FALSE)</f>
        <v>9.8999999999999991E-3</v>
      </c>
      <c r="Z24" s="62">
        <f>VLOOKUP(CONCATENATE(J17,"-",R24),$C$2:$G$136,5,FALSE)</f>
        <v>1.1699999999999999E-2</v>
      </c>
    </row>
    <row r="25" spans="1:26" ht="15" customHeight="1" x14ac:dyDescent="0.2">
      <c r="A25" s="49" t="str">
        <f>A24</f>
        <v>Construção e Manutenção de Estações e Redes de Distribuição de Energia Elétrica</v>
      </c>
      <c r="B25" s="58" t="s">
        <v>657</v>
      </c>
      <c r="C25" s="49" t="str">
        <f t="shared" si="0"/>
        <v>Construção e Manutenção de Estações e Redes de Distribuição de Energia Elétrica-BDI PAD</v>
      </c>
      <c r="E25" s="54">
        <v>0.24</v>
      </c>
      <c r="F25" s="54">
        <v>0.25840000000000002</v>
      </c>
      <c r="G25" s="54">
        <v>0.27860000000000001</v>
      </c>
      <c r="I25" s="7" t="s">
        <v>537</v>
      </c>
      <c r="J25" s="741" t="str">
        <f>IF($J$17=$A$146,"Margem bruta da empresa de consultoria","Lucro")</f>
        <v>Lucro</v>
      </c>
      <c r="K25" s="741"/>
      <c r="L25" s="741"/>
      <c r="M25" s="741"/>
      <c r="N25" s="741"/>
      <c r="O25" s="741"/>
      <c r="P25" s="741"/>
      <c r="Q25" s="741"/>
      <c r="R25" s="60" t="str">
        <f>IF($J17=$A$146,"K3","L")</f>
        <v>L</v>
      </c>
      <c r="S25" s="61">
        <v>8.0399999999999999E-2</v>
      </c>
      <c r="T25" s="573" t="str">
        <f t="shared" ca="1" si="1"/>
        <v/>
      </c>
      <c r="U25" s="742" t="str">
        <f t="shared" ca="1" si="2"/>
        <v>OK</v>
      </c>
      <c r="V25" s="742"/>
      <c r="W25" s="742"/>
      <c r="X25" s="62">
        <f>VLOOKUP(CONCATENATE(J17,"-",R25),$C$2:$G$136,3,FALSE)</f>
        <v>6.7400000000000002E-2</v>
      </c>
      <c r="Y25" s="62">
        <f>VLOOKUP(CONCATENATE(J17,"-",R25),$C$2:$G$136,4,FALSE)</f>
        <v>8.0399999999999985E-2</v>
      </c>
      <c r="Z25" s="62">
        <f>VLOOKUP(CONCATENATE(J17,"-",R25),$C$2:$G$136,5,FALSE)</f>
        <v>9.4E-2</v>
      </c>
    </row>
    <row r="26" spans="1:26" ht="15" customHeight="1" x14ac:dyDescent="0.2">
      <c r="A26" s="49" t="s">
        <v>675</v>
      </c>
      <c r="B26" s="53" t="s">
        <v>647</v>
      </c>
      <c r="C26" s="49" t="str">
        <f t="shared" si="0"/>
        <v>Obras Portuárias, Marítimas e Fluviais-AC</v>
      </c>
      <c r="E26" s="54">
        <v>0.04</v>
      </c>
      <c r="F26" s="54">
        <v>5.5199999999999999E-2</v>
      </c>
      <c r="G26" s="54">
        <v>7.85E-2</v>
      </c>
      <c r="I26" s="7" t="s">
        <v>537</v>
      </c>
      <c r="J26" s="741" t="s">
        <v>676</v>
      </c>
      <c r="K26" s="741"/>
      <c r="L26" s="741"/>
      <c r="M26" s="741"/>
      <c r="N26" s="741"/>
      <c r="O26" s="741"/>
      <c r="P26" s="741"/>
      <c r="Q26" s="741"/>
      <c r="R26" s="60" t="s">
        <v>457</v>
      </c>
      <c r="S26" s="61">
        <v>3.6499999999999998E-2</v>
      </c>
      <c r="T26" s="573" t="str">
        <f t="shared" ca="1" si="1"/>
        <v/>
      </c>
      <c r="U26" s="742" t="str">
        <f t="shared" ca="1" si="2"/>
        <v>OK</v>
      </c>
      <c r="V26" s="742"/>
      <c r="W26" s="742"/>
      <c r="X26" s="62">
        <f>Y26</f>
        <v>3.6499999999999998E-2</v>
      </c>
      <c r="Y26" s="62">
        <f>IF($J17=$A$145,"-",3.65%)</f>
        <v>3.6499999999999998E-2</v>
      </c>
      <c r="Z26" s="62">
        <f>Y26</f>
        <v>3.6499999999999998E-2</v>
      </c>
    </row>
    <row r="27" spans="1:26" ht="15" customHeight="1" x14ac:dyDescent="0.2">
      <c r="A27" s="49" t="str">
        <f>A26</f>
        <v>Obras Portuárias, Marítimas e Fluviais</v>
      </c>
      <c r="B27" s="53" t="s">
        <v>649</v>
      </c>
      <c r="C27" s="49" t="str">
        <f t="shared" si="0"/>
        <v>Obras Portuárias, Marítimas e Fluviais-SG</v>
      </c>
      <c r="E27" s="54">
        <v>8.1000000000000013E-3</v>
      </c>
      <c r="F27" s="54">
        <v>1.2199999999999999E-2</v>
      </c>
      <c r="G27" s="54">
        <v>1.9900000000000001E-2</v>
      </c>
      <c r="I27" s="7" t="s">
        <v>537</v>
      </c>
      <c r="J27" s="741" t="s">
        <v>677</v>
      </c>
      <c r="K27" s="741"/>
      <c r="L27" s="741"/>
      <c r="M27" s="741"/>
      <c r="N27" s="741"/>
      <c r="O27" s="741"/>
      <c r="P27" s="741"/>
      <c r="Q27" s="741"/>
      <c r="R27" s="60" t="s">
        <v>678</v>
      </c>
      <c r="S27" s="62">
        <f ca="1">IF(AND($J17&lt;&gt;$A$145,COUNTA(OFFSET(S20,1,0,6))&gt;0),$R$11*$R$10,0)</f>
        <v>0.03</v>
      </c>
      <c r="U27" s="742" t="str">
        <f t="shared" ca="1" si="2"/>
        <v>OK</v>
      </c>
      <c r="V27" s="742"/>
      <c r="W27" s="742"/>
      <c r="X27" s="62">
        <v>0</v>
      </c>
      <c r="Y27" s="62">
        <v>2.5000000000000001E-2</v>
      </c>
      <c r="Z27" s="62">
        <v>0.05</v>
      </c>
    </row>
    <row r="28" spans="1:26" ht="15" customHeight="1" x14ac:dyDescent="0.2">
      <c r="A28" s="49" t="str">
        <f>A27</f>
        <v>Obras Portuárias, Marítimas e Fluviais</v>
      </c>
      <c r="B28" s="53" t="s">
        <v>650</v>
      </c>
      <c r="C28" s="49" t="str">
        <f t="shared" si="0"/>
        <v>Obras Portuárias, Marítimas e Fluviais-R</v>
      </c>
      <c r="E28" s="54">
        <v>1.46E-2</v>
      </c>
      <c r="F28" s="54">
        <v>2.3199999999999998E-2</v>
      </c>
      <c r="G28" s="54">
        <v>3.1600000000000003E-2</v>
      </c>
      <c r="I28" s="7" t="s">
        <v>537</v>
      </c>
      <c r="J28" s="741" t="s">
        <v>679</v>
      </c>
      <c r="K28" s="741"/>
      <c r="L28" s="741"/>
      <c r="M28" s="741"/>
      <c r="N28" s="741"/>
      <c r="O28" s="741"/>
      <c r="P28" s="741"/>
      <c r="Q28" s="741"/>
      <c r="R28" s="60" t="s">
        <v>680</v>
      </c>
      <c r="S28" s="62" cm="1">
        <f t="array" aca="1" ref="S28" ca="1">IF(BDI.Opcao&lt;&gt;"Desonerado",0,IF(AND($J17&lt;&gt;$A$145,COUNTA(OFFSET(S20,1,0,6))&gt;0),IF(YEAR(Import.DataBase)&lt;2025,4.5%,IF(YEAR(Import.DataBase)=2025,3.6%,IF(YEAR(Import.DataBase)=2026,2.7%,IF(YEAR(Import.DataBase)=2027,1.8%,0%)))),0%))</f>
        <v>0</v>
      </c>
      <c r="U28" s="742" t="str">
        <f t="shared" ca="1" si="2"/>
        <v>OK</v>
      </c>
      <c r="V28" s="742"/>
      <c r="W28" s="742"/>
      <c r="X28" s="63">
        <f ca="1">$S28</f>
        <v>0</v>
      </c>
      <c r="Y28" s="63">
        <f ca="1">$S28</f>
        <v>0</v>
      </c>
      <c r="Z28" s="63">
        <f ca="1">$S28</f>
        <v>0</v>
      </c>
    </row>
    <row r="29" spans="1:26" ht="15" customHeight="1" x14ac:dyDescent="0.2">
      <c r="A29" s="49" t="str">
        <f>A28</f>
        <v>Obras Portuárias, Marítimas e Fluviais</v>
      </c>
      <c r="B29" s="53" t="s">
        <v>654</v>
      </c>
      <c r="C29" s="49" t="str">
        <f t="shared" si="0"/>
        <v>Obras Portuárias, Marítimas e Fluviais-DF</v>
      </c>
      <c r="E29" s="54">
        <v>9.3999999999999986E-3</v>
      </c>
      <c r="F29" s="54">
        <v>1.0200000000000001E-2</v>
      </c>
      <c r="G29" s="54">
        <v>1.3300000000000001E-2</v>
      </c>
      <c r="I29" s="7" t="s">
        <v>537</v>
      </c>
      <c r="J29" s="741" t="s">
        <v>681</v>
      </c>
      <c r="K29" s="741"/>
      <c r="L29" s="741"/>
      <c r="M29" s="741"/>
      <c r="N29" s="741"/>
      <c r="O29" s="741"/>
      <c r="P29" s="741"/>
      <c r="Q29" s="741"/>
      <c r="R29" s="64" t="s">
        <v>657</v>
      </c>
      <c r="S29" s="62">
        <f ca="1">IF($J17=$A$145,0,ROUND((((1+S21+S22+S23)*(1+S24)*(1+S25)/(1-(S26+S27)))-1),4))</f>
        <v>0.24740000000000001</v>
      </c>
      <c r="U29" s="738" t="str">
        <f ca="1">IFERROR(IF(AND(OR(S29&gt;=X29,X29="-"),OR(S29&lt;=Z29,Z29="-")),"OK","FORA DO INTERVALO"),IF(S29=0,"OK","Selecione o Tipo de obra"))</f>
        <v>OK</v>
      </c>
      <c r="V29" s="738"/>
      <c r="W29" s="738"/>
      <c r="X29" s="62">
        <f>IF($J17=$A$145,0,VLOOKUP(CONCATENATE($J17,"-",$R29),$C$2:$G$136,3,FALSE))</f>
        <v>0.20760000000000001</v>
      </c>
      <c r="Y29" s="62">
        <f>IF($J17=$A$145,0,VLOOKUP(CONCATENATE($J17,"-",$R29),$C$2:$G$136,4,FALSE))</f>
        <v>0.24179999999999999</v>
      </c>
      <c r="Z29" s="62">
        <f>IF($J17=$A$145,0,VLOOKUP(CONCATENATE($J17,"-",$R29),$C$2:$G$136,5,FALSE))</f>
        <v>0.26440000000000002</v>
      </c>
    </row>
    <row r="30" spans="1:26" ht="15" customHeight="1" x14ac:dyDescent="0.2">
      <c r="A30" s="49" t="str">
        <f>A29</f>
        <v>Obras Portuárias, Marítimas e Fluviais</v>
      </c>
      <c r="B30" s="53" t="s">
        <v>655</v>
      </c>
      <c r="C30" s="49" t="str">
        <f t="shared" si="0"/>
        <v>Obras Portuárias, Marítimas e Fluviais-L</v>
      </c>
      <c r="E30" s="54">
        <v>7.1399999999999991E-2</v>
      </c>
      <c r="F30" s="54">
        <v>8.4000000000000005E-2</v>
      </c>
      <c r="G30" s="54">
        <v>0.1043</v>
      </c>
      <c r="I30" s="7" t="s">
        <v>537</v>
      </c>
      <c r="J30" s="745" t="s">
        <v>682</v>
      </c>
      <c r="K30" s="745"/>
      <c r="L30" s="745"/>
      <c r="M30" s="745"/>
      <c r="N30" s="745"/>
      <c r="O30" s="745"/>
      <c r="P30" s="745"/>
      <c r="Q30" s="745"/>
      <c r="R30" s="65" t="s">
        <v>683</v>
      </c>
      <c r="S30" s="66">
        <f ca="1">IF($J17=$A$145,0,ROUND((((1+S21+S22+S23)*(1+S24)*(1+S25)/(1-(S26+S27+S28)))-1),4))</f>
        <v>0.24740000000000001</v>
      </c>
    </row>
    <row r="31" spans="1:26" ht="15" customHeight="1" x14ac:dyDescent="0.2">
      <c r="A31" s="49" t="str">
        <f>A30</f>
        <v>Obras Portuárias, Marítimas e Fluviais</v>
      </c>
      <c r="B31" s="58" t="s">
        <v>657</v>
      </c>
      <c r="C31" s="49" t="str">
        <f t="shared" si="0"/>
        <v>Obras Portuárias, Marítimas e Fluviais-BDI PAD</v>
      </c>
      <c r="E31" s="54">
        <v>0.22800000000000001</v>
      </c>
      <c r="F31" s="54">
        <v>0.27479999999999999</v>
      </c>
      <c r="G31" s="54">
        <v>0.3095</v>
      </c>
      <c r="I31" s="7" t="s">
        <v>537</v>
      </c>
    </row>
    <row r="32" spans="1:26" ht="15.75" x14ac:dyDescent="0.2">
      <c r="A32" s="49" t="s">
        <v>666</v>
      </c>
      <c r="B32" s="53" t="s">
        <v>647</v>
      </c>
      <c r="C32" s="49" t="str">
        <f t="shared" si="0"/>
        <v>Fornecimento de Materiais e Equipamentos (aquisição indireta - em conjunto com licitação de obras)-AC</v>
      </c>
      <c r="E32" s="54">
        <v>1.4999999999999999E-2</v>
      </c>
      <c r="F32" s="54">
        <v>3.4500000000000003E-2</v>
      </c>
      <c r="G32" s="54">
        <v>4.4900000000000002E-2</v>
      </c>
      <c r="I32" s="7" t="s">
        <v>537</v>
      </c>
      <c r="J32" s="67" t="str">
        <f ca="1">IF(U29&lt;&gt;"ok","X","")</f>
        <v/>
      </c>
      <c r="K32" s="746" t="str">
        <f ca="1">IF(U29&lt;&gt;"ok","Anexo: Relatório Técnico Circunstanciado justificando a adoção do percentual de cada parcela do BDI.","")</f>
        <v/>
      </c>
      <c r="L32" s="746"/>
      <c r="M32" s="746"/>
      <c r="N32" s="746"/>
      <c r="O32" s="746"/>
      <c r="P32" s="746"/>
      <c r="Q32" s="746"/>
      <c r="R32" s="746"/>
      <c r="S32" s="746"/>
    </row>
    <row r="33" spans="1:19" x14ac:dyDescent="0.2">
      <c r="A33" s="49" t="str">
        <f>A32</f>
        <v>Fornecimento de Materiais e Equipamentos (aquisição indireta - em conjunto com licitação de obras)</v>
      </c>
      <c r="B33" s="53" t="s">
        <v>649</v>
      </c>
      <c r="C33" s="49" t="str">
        <f t="shared" si="0"/>
        <v>Fornecimento de Materiais e Equipamentos (aquisição indireta - em conjunto com licitação de obras)-SG</v>
      </c>
      <c r="E33" s="54">
        <v>3.0000000000000001E-3</v>
      </c>
      <c r="F33" s="54">
        <v>4.7999999999999996E-3</v>
      </c>
      <c r="G33" s="54">
        <v>8.199999999999999E-3</v>
      </c>
      <c r="I33" s="7" t="s">
        <v>537</v>
      </c>
    </row>
    <row r="34" spans="1:19" x14ac:dyDescent="0.2">
      <c r="A34" s="49" t="str">
        <f>A33</f>
        <v>Fornecimento de Materiais e Equipamentos (aquisição indireta - em conjunto com licitação de obras)</v>
      </c>
      <c r="B34" s="53" t="s">
        <v>650</v>
      </c>
      <c r="C34" s="49" t="str">
        <f t="shared" si="0"/>
        <v>Fornecimento de Materiais e Equipamentos (aquisição indireta - em conjunto com licitação de obras)-R</v>
      </c>
      <c r="E34" s="54">
        <v>5.6000000000000008E-3</v>
      </c>
      <c r="F34" s="54">
        <v>8.5000000000000006E-3</v>
      </c>
      <c r="G34" s="54">
        <v>8.8999999999999999E-3</v>
      </c>
      <c r="I34" s="7" t="s">
        <v>537</v>
      </c>
      <c r="J34" s="747" t="s">
        <v>684</v>
      </c>
      <c r="K34" s="747"/>
      <c r="L34" s="747"/>
      <c r="M34" s="747"/>
      <c r="N34" s="747"/>
      <c r="O34" s="747"/>
      <c r="P34" s="747"/>
      <c r="Q34" s="747"/>
      <c r="R34" s="747"/>
      <c r="S34" s="747"/>
    </row>
    <row r="35" spans="1:19" ht="15.75" x14ac:dyDescent="0.25">
      <c r="A35" s="49" t="str">
        <f>A34</f>
        <v>Fornecimento de Materiais e Equipamentos (aquisição indireta - em conjunto com licitação de obras)</v>
      </c>
      <c r="B35" s="53" t="s">
        <v>654</v>
      </c>
      <c r="C35" s="49" t="str">
        <f t="shared" si="0"/>
        <v>Fornecimento de Materiais e Equipamentos (aquisição indireta - em conjunto com licitação de obras)-DF</v>
      </c>
      <c r="E35" s="54">
        <v>8.5000000000000006E-3</v>
      </c>
      <c r="F35" s="54">
        <v>8.5000000000000006E-3</v>
      </c>
      <c r="G35" s="54">
        <v>1.11E-2</v>
      </c>
      <c r="I35" s="7" t="s">
        <v>537</v>
      </c>
      <c r="J35" s="68"/>
      <c r="K35" s="68"/>
      <c r="L35" s="68"/>
      <c r="M35" s="748" t="s">
        <v>685</v>
      </c>
      <c r="N35" s="754" t="str">
        <f>IF($J17=$A$146,"(1+K1+K2)*(1+K3)","(1+AC + S + R + G)*(1 + DF)*(1+L)")</f>
        <v>(1+AC + S + R + G)*(1 + DF)*(1+L)</v>
      </c>
      <c r="O35" s="754"/>
      <c r="P35" s="754"/>
      <c r="Q35" s="755" t="s">
        <v>686</v>
      </c>
      <c r="R35" s="68"/>
      <c r="S35" s="68"/>
    </row>
    <row r="36" spans="1:19" ht="15.75" x14ac:dyDescent="0.2">
      <c r="A36" s="49" t="str">
        <f>A35</f>
        <v>Fornecimento de Materiais e Equipamentos (aquisição indireta - em conjunto com licitação de obras)</v>
      </c>
      <c r="B36" s="53" t="s">
        <v>655</v>
      </c>
      <c r="C36" s="49" t="str">
        <f t="shared" si="0"/>
        <v>Fornecimento de Materiais e Equipamentos (aquisição indireta - em conjunto com licitação de obras)-L</v>
      </c>
      <c r="E36" s="54">
        <v>3.5000000000000003E-2</v>
      </c>
      <c r="F36" s="54">
        <v>5.1100000000000007E-2</v>
      </c>
      <c r="G36" s="54">
        <v>6.2199999999999998E-2</v>
      </c>
      <c r="I36" s="7" t="s">
        <v>537</v>
      </c>
      <c r="J36" s="68"/>
      <c r="K36" s="68"/>
      <c r="L36" s="68"/>
      <c r="M36" s="748"/>
      <c r="N36" s="743" t="s">
        <v>687</v>
      </c>
      <c r="O36" s="743"/>
      <c r="P36" s="743"/>
      <c r="Q36" s="755"/>
      <c r="R36" s="68"/>
      <c r="S36" s="68"/>
    </row>
    <row r="37" spans="1:19" ht="15" customHeight="1" x14ac:dyDescent="0.2">
      <c r="A37" s="49" t="str">
        <f>A36</f>
        <v>Fornecimento de Materiais e Equipamentos (aquisição indireta - em conjunto com licitação de obras)</v>
      </c>
      <c r="B37" s="58" t="s">
        <v>657</v>
      </c>
      <c r="C37" s="49" t="str">
        <f t="shared" si="0"/>
        <v>Fornecimento de Materiais e Equipamentos (aquisição indireta - em conjunto com licitação de obras)-BDI PAD</v>
      </c>
      <c r="E37" s="54">
        <v>0.111</v>
      </c>
      <c r="F37" s="54">
        <v>0.14019999999999999</v>
      </c>
      <c r="G37" s="54">
        <v>0.16800000000000001</v>
      </c>
      <c r="I37" s="7" t="s">
        <v>537</v>
      </c>
      <c r="J37" s="72"/>
      <c r="K37" s="72"/>
      <c r="L37" s="72"/>
      <c r="M37" s="72"/>
      <c r="N37" s="72"/>
      <c r="O37" s="72"/>
      <c r="P37" s="72"/>
      <c r="Q37" s="72"/>
      <c r="R37" s="72"/>
      <c r="S37" s="72"/>
    </row>
    <row r="38" spans="1:19" ht="50.1" customHeight="1" x14ac:dyDescent="0.2">
      <c r="A38" s="49" t="s">
        <v>688</v>
      </c>
      <c r="B38" s="58" t="s">
        <v>647</v>
      </c>
      <c r="C38" s="49" t="str">
        <f t="shared" si="0"/>
        <v>Fornecimento de Materiais e Equipamentos (aquisição direta)-AC</v>
      </c>
      <c r="E38" s="54" t="s">
        <v>689</v>
      </c>
      <c r="F38" s="54" t="s">
        <v>689</v>
      </c>
      <c r="G38" s="54" t="s">
        <v>689</v>
      </c>
      <c r="I38" t="s">
        <v>537</v>
      </c>
      <c r="J38" s="744"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60%, com a respectiva alíquota de 5%.</v>
      </c>
      <c r="K38" s="744"/>
      <c r="L38" s="744"/>
      <c r="M38" s="744"/>
      <c r="N38" s="744"/>
      <c r="O38" s="744"/>
      <c r="P38" s="744"/>
      <c r="Q38" s="744"/>
      <c r="R38" s="744"/>
      <c r="S38" s="744"/>
    </row>
    <row r="39" spans="1:19" x14ac:dyDescent="0.2">
      <c r="A39" s="49" t="s">
        <v>688</v>
      </c>
      <c r="B39" s="58" t="s">
        <v>649</v>
      </c>
      <c r="C39" s="49" t="str">
        <f t="shared" si="0"/>
        <v>Fornecimento de Materiais e Equipamentos (aquisição direta)-SG</v>
      </c>
      <c r="E39" s="54" t="s">
        <v>689</v>
      </c>
      <c r="F39" s="54" t="s">
        <v>689</v>
      </c>
      <c r="G39" s="54" t="s">
        <v>689</v>
      </c>
      <c r="I39" t="s">
        <v>537</v>
      </c>
    </row>
    <row r="40" spans="1:19" ht="50.1" customHeight="1" x14ac:dyDescent="0.2">
      <c r="A40" s="49" t="s">
        <v>688</v>
      </c>
      <c r="B40" s="58" t="s">
        <v>650</v>
      </c>
      <c r="C40" s="49" t="str">
        <f t="shared" si="0"/>
        <v>Fornecimento de Materiais e Equipamentos (aquisição direta)-R</v>
      </c>
      <c r="E40" s="54" t="s">
        <v>689</v>
      </c>
      <c r="F40" s="54" t="s">
        <v>689</v>
      </c>
      <c r="G40" s="54" t="s">
        <v>689</v>
      </c>
      <c r="I40" t="s">
        <v>537</v>
      </c>
      <c r="J40" s="744"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744"/>
      <c r="L40" s="744"/>
      <c r="M40" s="744"/>
      <c r="N40" s="744"/>
      <c r="O40" s="744"/>
      <c r="P40" s="744"/>
      <c r="Q40" s="744"/>
      <c r="R40" s="744"/>
      <c r="S40" s="744"/>
    </row>
    <row r="41" spans="1:19" x14ac:dyDescent="0.2">
      <c r="A41" s="49" t="s">
        <v>688</v>
      </c>
      <c r="B41" s="58" t="s">
        <v>654</v>
      </c>
      <c r="C41" s="49" t="str">
        <f t="shared" si="0"/>
        <v>Fornecimento de Materiais e Equipamentos (aquisição direta)-DF</v>
      </c>
      <c r="E41" s="54" t="s">
        <v>689</v>
      </c>
      <c r="F41" s="54" t="s">
        <v>689</v>
      </c>
      <c r="G41" s="54" t="s">
        <v>689</v>
      </c>
      <c r="I41" t="s">
        <v>537</v>
      </c>
    </row>
    <row r="42" spans="1:19" x14ac:dyDescent="0.2">
      <c r="A42" s="49" t="s">
        <v>688</v>
      </c>
      <c r="B42" s="58" t="s">
        <v>655</v>
      </c>
      <c r="C42" s="49" t="str">
        <f t="shared" si="0"/>
        <v>Fornecimento de Materiais e Equipamentos (aquisição direta)-L</v>
      </c>
      <c r="E42" s="54" t="s">
        <v>689</v>
      </c>
      <c r="F42" s="54" t="s">
        <v>689</v>
      </c>
      <c r="G42" s="54" t="s">
        <v>689</v>
      </c>
      <c r="I42" t="s">
        <v>537</v>
      </c>
      <c r="J42" s="49" t="s">
        <v>690</v>
      </c>
    </row>
    <row r="43" spans="1:19" ht="99.95" customHeight="1" x14ac:dyDescent="0.2">
      <c r="A43" s="49" t="s">
        <v>688</v>
      </c>
      <c r="B43" s="58" t="s">
        <v>657</v>
      </c>
      <c r="C43" s="49" t="str">
        <f t="shared" si="0"/>
        <v>Fornecimento de Materiais e Equipamentos (aquisição direta)-BDI PAD</v>
      </c>
      <c r="E43" s="54" t="s">
        <v>689</v>
      </c>
      <c r="F43" s="54" t="s">
        <v>689</v>
      </c>
      <c r="G43" s="54" t="s">
        <v>689</v>
      </c>
      <c r="I43" t="s">
        <v>537</v>
      </c>
      <c r="J43" s="756"/>
      <c r="K43" s="756"/>
      <c r="L43" s="756"/>
      <c r="M43" s="756"/>
      <c r="N43" s="756"/>
      <c r="O43" s="756"/>
      <c r="P43" s="756"/>
      <c r="Q43" s="756"/>
      <c r="R43" s="756"/>
      <c r="S43" s="756"/>
    </row>
    <row r="44" spans="1:19" x14ac:dyDescent="0.2">
      <c r="A44" s="49" t="s">
        <v>691</v>
      </c>
      <c r="B44" s="53" t="s">
        <v>692</v>
      </c>
      <c r="C44" s="49" t="str">
        <f t="shared" si="0"/>
        <v>Estudos e Projetos, Planos e Gerenciamento e outros correlatos-K1</v>
      </c>
      <c r="E44" s="54" t="s">
        <v>689</v>
      </c>
      <c r="F44" s="54" t="s">
        <v>689</v>
      </c>
      <c r="G44" s="54" t="s">
        <v>689</v>
      </c>
      <c r="I44" t="s">
        <v>537</v>
      </c>
    </row>
    <row r="45" spans="1:19" x14ac:dyDescent="0.2">
      <c r="A45" s="49" t="str">
        <f>A44</f>
        <v>Estudos e Projetos, Planos e Gerenciamento e outros correlatos</v>
      </c>
      <c r="B45" s="53" t="s">
        <v>693</v>
      </c>
      <c r="C45" s="49" t="str">
        <f t="shared" si="0"/>
        <v>Estudos e Projetos, Planos e Gerenciamento e outros correlatos-K2</v>
      </c>
      <c r="E45" s="54" t="s">
        <v>689</v>
      </c>
      <c r="F45" s="54">
        <v>0.2</v>
      </c>
      <c r="G45" s="54" t="s">
        <v>689</v>
      </c>
      <c r="I45" t="s">
        <v>537</v>
      </c>
      <c r="J45" s="750" t="str">
        <f>Import.Município</f>
        <v>PASSOS/MG</v>
      </c>
      <c r="K45" s="750"/>
      <c r="L45" s="750"/>
      <c r="M45" s="750"/>
      <c r="P45" s="751">
        <f>DADOS!$C$25</f>
        <v>45945</v>
      </c>
      <c r="Q45" s="751"/>
      <c r="R45" s="751"/>
      <c r="S45" s="751"/>
    </row>
    <row r="46" spans="1:19" x14ac:dyDescent="0.2">
      <c r="A46" s="49" t="str">
        <f>A45</f>
        <v>Estudos e Projetos, Planos e Gerenciamento e outros correlatos</v>
      </c>
      <c r="B46" s="53"/>
      <c r="C46" s="49" t="str">
        <f t="shared" si="0"/>
        <v>Estudos e Projetos, Planos e Gerenciamento e outros correlatos-</v>
      </c>
      <c r="E46" s="54" t="s">
        <v>689</v>
      </c>
      <c r="F46" s="54" t="s">
        <v>689</v>
      </c>
      <c r="G46" s="54" t="s">
        <v>689</v>
      </c>
      <c r="I46" t="s">
        <v>537</v>
      </c>
      <c r="J46" s="752" t="s">
        <v>694</v>
      </c>
      <c r="K46" s="752"/>
      <c r="L46" s="752"/>
      <c r="M46" s="752"/>
      <c r="O46" s="73"/>
      <c r="P46" s="74" t="s">
        <v>695</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689</v>
      </c>
      <c r="F47" s="54" t="s">
        <v>689</v>
      </c>
      <c r="G47" s="54" t="s">
        <v>689</v>
      </c>
      <c r="I47" t="s">
        <v>537</v>
      </c>
    </row>
    <row r="48" spans="1:19" ht="15" x14ac:dyDescent="0.2">
      <c r="A48" s="49" t="str">
        <f>A47</f>
        <v>Estudos e Projetos, Planos e Gerenciamento e outros correlatos</v>
      </c>
      <c r="B48" s="53" t="s">
        <v>696</v>
      </c>
      <c r="C48" s="49" t="str">
        <f t="shared" si="0"/>
        <v>Estudos e Projetos, Planos e Gerenciamento e outros correlatos-K3</v>
      </c>
      <c r="E48" s="54" t="s">
        <v>689</v>
      </c>
      <c r="F48" s="54">
        <v>0.12</v>
      </c>
      <c r="G48" s="54" t="s">
        <v>689</v>
      </c>
      <c r="I48" t="s">
        <v>537</v>
      </c>
      <c r="J48" s="753"/>
      <c r="K48" s="753"/>
      <c r="L48" s="753"/>
      <c r="M48" s="753"/>
      <c r="N48" s="76"/>
    </row>
    <row r="49" spans="1:26" ht="12.75" customHeight="1" x14ac:dyDescent="0.2">
      <c r="A49" s="49" t="str">
        <f>A48</f>
        <v>Estudos e Projetos, Planos e Gerenciamento e outros correlatos</v>
      </c>
      <c r="B49" s="58" t="s">
        <v>657</v>
      </c>
      <c r="C49" s="49" t="str">
        <f t="shared" si="0"/>
        <v>Estudos e Projetos, Planos e Gerenciamento e outros correlatos-BDI PAD</v>
      </c>
      <c r="E49" s="54" t="s">
        <v>689</v>
      </c>
      <c r="F49" s="54" t="s">
        <v>689</v>
      </c>
      <c r="G49" s="54" t="s">
        <v>689</v>
      </c>
      <c r="I49" t="s">
        <v>537</v>
      </c>
      <c r="J49" s="749" t="s">
        <v>697</v>
      </c>
      <c r="K49" s="749"/>
      <c r="L49" s="749"/>
      <c r="M49" s="749"/>
    </row>
    <row r="50" spans="1:26" ht="14.25" x14ac:dyDescent="0.2">
      <c r="B50" s="58"/>
      <c r="E50" s="54"/>
      <c r="F50" s="54"/>
      <c r="G50" s="54"/>
      <c r="I50" t="s">
        <v>537</v>
      </c>
      <c r="J50" s="77" t="s">
        <v>240</v>
      </c>
      <c r="K50" s="78" t="str">
        <f t="array" ref="K50:K52">Import.RespOrçamento</f>
        <v>LUCAS REZENDE CARVALHO</v>
      </c>
      <c r="L50" s="79"/>
      <c r="M50" s="79"/>
      <c r="N50" s="76"/>
    </row>
    <row r="51" spans="1:26" ht="14.25" x14ac:dyDescent="0.2">
      <c r="A51"/>
      <c r="B51"/>
      <c r="C51"/>
      <c r="D51"/>
      <c r="E51"/>
      <c r="F51"/>
      <c r="G51"/>
      <c r="I51" t="s">
        <v>537</v>
      </c>
      <c r="J51" s="77" t="s">
        <v>243</v>
      </c>
      <c r="K51" s="78" t="str">
        <v>126.061/D</v>
      </c>
      <c r="L51" s="79"/>
      <c r="M51" s="79"/>
      <c r="N51" s="76"/>
    </row>
    <row r="52" spans="1:26" ht="14.25" x14ac:dyDescent="0.2">
      <c r="A52"/>
      <c r="B52"/>
      <c r="C52"/>
      <c r="D52"/>
      <c r="E52"/>
      <c r="F52"/>
      <c r="G52"/>
      <c r="I52" t="s">
        <v>537</v>
      </c>
      <c r="J52" s="77" t="s">
        <v>246</v>
      </c>
      <c r="K52" s="78" t="str">
        <v>MG20253685005</v>
      </c>
      <c r="L52" s="79"/>
      <c r="M52" s="79"/>
      <c r="N52" s="76"/>
    </row>
    <row r="53" spans="1:26" ht="14.25" x14ac:dyDescent="0.2">
      <c r="A53"/>
      <c r="B53"/>
      <c r="C53"/>
      <c r="D53"/>
      <c r="E53"/>
      <c r="F53"/>
      <c r="G53"/>
      <c r="I53" t="s">
        <v>537</v>
      </c>
      <c r="J53" s="77"/>
      <c r="K53" s="80"/>
      <c r="L53" s="79"/>
      <c r="M53" s="79"/>
      <c r="N53" s="76"/>
    </row>
    <row r="54" spans="1:26" ht="15.75" x14ac:dyDescent="0.25">
      <c r="A54"/>
      <c r="B54"/>
      <c r="C54"/>
      <c r="D54"/>
      <c r="E54"/>
      <c r="F54"/>
      <c r="G54"/>
      <c r="I54" t="str">
        <f ca="1">IF($S$69=0,"","F")</f>
        <v>F</v>
      </c>
      <c r="J54" s="740" t="s">
        <v>698</v>
      </c>
      <c r="K54" s="740"/>
      <c r="L54" s="740"/>
      <c r="M54" s="740"/>
      <c r="N54" s="740"/>
      <c r="O54" s="740"/>
      <c r="P54" s="740"/>
      <c r="Q54" s="740"/>
      <c r="R54" s="740"/>
      <c r="S54" s="740"/>
      <c r="U54" s="522" t="str">
        <f ca="1">IF(COUNTIF(ORÇAMENTO!$V$15:$V$231,BDI_2.Título)=0,"",IF(OR(Import.BDI.Tipo2="(SELECIONAR)",Import.BDI.Tipo2="",U57&lt;&gt;"",AND($J57&lt;&gt;$A$145,OR(S61="",S62="",AND($J57&lt;&gt;$A$146,OR(S63="",S64="")),S65="",S66=""))),"Falta preencher o BDI 2",""))</f>
        <v/>
      </c>
    </row>
    <row r="55" spans="1:26" x14ac:dyDescent="0.2">
      <c r="A55"/>
      <c r="B55"/>
      <c r="C55"/>
      <c r="D55"/>
      <c r="E55"/>
      <c r="F55"/>
      <c r="G55"/>
      <c r="I55" t="str">
        <f t="shared" ref="I55:I93" ca="1" si="3">IF($S$69=0,"","F")</f>
        <v>F</v>
      </c>
    </row>
    <row r="56" spans="1:26" x14ac:dyDescent="0.2">
      <c r="A56"/>
      <c r="B56"/>
      <c r="C56"/>
      <c r="D56"/>
      <c r="E56"/>
      <c r="F56"/>
      <c r="G56"/>
      <c r="I56" t="str">
        <f t="shared" ca="1" si="3"/>
        <v>F</v>
      </c>
      <c r="J56" s="731" t="s">
        <v>665</v>
      </c>
      <c r="K56" s="731"/>
      <c r="L56" s="731"/>
      <c r="M56" s="731"/>
      <c r="N56" s="731"/>
      <c r="O56" s="731"/>
      <c r="P56" s="731"/>
      <c r="Q56" s="731"/>
      <c r="R56" s="731"/>
      <c r="S56" s="731"/>
    </row>
    <row r="57" spans="1:26" ht="15" x14ac:dyDescent="0.25">
      <c r="A57"/>
      <c r="B57"/>
      <c r="C57"/>
      <c r="D57"/>
      <c r="E57"/>
      <c r="F57"/>
      <c r="G57"/>
      <c r="I57" t="str">
        <f t="shared" ca="1" si="3"/>
        <v>F</v>
      </c>
      <c r="J57" s="737" t="s">
        <v>666</v>
      </c>
      <c r="K57" s="737"/>
      <c r="L57" s="737"/>
      <c r="M57" s="737"/>
      <c r="N57" s="737"/>
      <c r="O57" s="737"/>
      <c r="P57" s="737"/>
      <c r="Q57" s="737"/>
      <c r="R57" s="737"/>
      <c r="S57" s="737"/>
      <c r="T57" s="564" t="str">
        <f ca="1">IF(U57="","","◄")</f>
        <v/>
      </c>
      <c r="U57" s="563" t="str">
        <f ca="1">IF(AND(OR(S69&gt;0,COUNTIF(ORÇAMENTO!$V$15:$V$231,BDI_2.Título)&gt;0),OR(Import.BDI.Tipo2="(SELECIONAR)",Import.BDI.Tipo2="")),"Selecione o Tipo de obra","")</f>
        <v/>
      </c>
    </row>
    <row r="58" spans="1:26" x14ac:dyDescent="0.2">
      <c r="A58"/>
      <c r="B58"/>
      <c r="C58"/>
      <c r="D58"/>
      <c r="E58"/>
      <c r="F58"/>
      <c r="G58"/>
      <c r="I58" t="str">
        <f t="shared" ca="1" si="3"/>
        <v>F</v>
      </c>
    </row>
    <row r="59" spans="1:26" ht="12.75" customHeight="1" x14ac:dyDescent="0.2">
      <c r="A59"/>
      <c r="B59"/>
      <c r="C59"/>
      <c r="D59"/>
      <c r="E59"/>
      <c r="F59"/>
      <c r="G59"/>
      <c r="I59" t="str">
        <f t="shared" ca="1" si="3"/>
        <v>F</v>
      </c>
      <c r="J59" s="739" t="s">
        <v>667</v>
      </c>
      <c r="K59" s="739"/>
      <c r="L59" s="739"/>
      <c r="M59" s="739"/>
      <c r="N59" s="739"/>
      <c r="O59" s="739"/>
      <c r="P59" s="739"/>
      <c r="Q59" s="739"/>
      <c r="R59" s="739" t="s">
        <v>668</v>
      </c>
      <c r="S59" s="738" t="s">
        <v>669</v>
      </c>
      <c r="U59" s="738" t="s">
        <v>670</v>
      </c>
      <c r="V59" s="738"/>
      <c r="W59" s="738"/>
      <c r="X59" s="736" t="s">
        <v>671</v>
      </c>
      <c r="Y59" s="736" t="s">
        <v>672</v>
      </c>
      <c r="Z59" s="736" t="s">
        <v>673</v>
      </c>
    </row>
    <row r="60" spans="1:26" ht="12.75" customHeight="1" x14ac:dyDescent="0.2">
      <c r="A60"/>
      <c r="B60"/>
      <c r="C60"/>
      <c r="D60"/>
      <c r="E60"/>
      <c r="F60"/>
      <c r="G60"/>
      <c r="I60" t="str">
        <f t="shared" ca="1" si="3"/>
        <v>F</v>
      </c>
      <c r="J60" s="739"/>
      <c r="K60" s="739"/>
      <c r="L60" s="739"/>
      <c r="M60" s="739"/>
      <c r="N60" s="739"/>
      <c r="O60" s="739"/>
      <c r="P60" s="739"/>
      <c r="Q60" s="739"/>
      <c r="R60" s="739"/>
      <c r="S60" s="738"/>
      <c r="U60" s="738"/>
      <c r="V60" s="738"/>
      <c r="W60" s="738"/>
      <c r="X60" s="736"/>
      <c r="Y60" s="736"/>
      <c r="Z60" s="736"/>
    </row>
    <row r="61" spans="1:26" ht="15" customHeight="1" x14ac:dyDescent="0.2">
      <c r="A61"/>
      <c r="B61"/>
      <c r="C61"/>
      <c r="D61"/>
      <c r="E61"/>
      <c r="F61"/>
      <c r="G61"/>
      <c r="I61" t="str">
        <f t="shared" ca="1" si="3"/>
        <v>F</v>
      </c>
      <c r="J61" s="741" t="str">
        <f>IF($J$17=$A$146,"Encargos Sociais incidentes sobre a mão de obra","Administração Central")</f>
        <v>Administração Central</v>
      </c>
      <c r="K61" s="741"/>
      <c r="L61" s="741"/>
      <c r="M61" s="741"/>
      <c r="N61" s="741"/>
      <c r="O61" s="741"/>
      <c r="P61" s="741"/>
      <c r="Q61" s="741"/>
      <c r="R61" s="60" t="str">
        <f>IF($J57=$A$146,"K1","AC")</f>
        <v>AC</v>
      </c>
      <c r="S61" s="61">
        <v>2.5000000000000001E-2</v>
      </c>
      <c r="T61" s="573" t="str">
        <f ca="1">IF(AND($U$54&lt;&gt;"",$U$57="",R61&lt;&gt;"",S61=""),"◄","")</f>
        <v/>
      </c>
      <c r="U61" s="742" t="str">
        <f ca="1">IFERROR(IF(T61="◄","FALTA PREENCHER",IF(AND(OR(S61&gt;=X61,X61="-"),OR(S61&lt;=Z61,Z61="-")),"OK","FORA DO INTERVALO")),"-")</f>
        <v>OK</v>
      </c>
      <c r="V61" s="742"/>
      <c r="W61" s="742"/>
      <c r="X61" s="62">
        <f>VLOOKUP(CONCATENATE(J57,"-",R61),$C$2:$G$136,3,FALSE)</f>
        <v>1.4999999999999999E-2</v>
      </c>
      <c r="Y61" s="62">
        <f>VLOOKUP(CONCATENATE(J57,"-",R61),$C$2:$G$136,4,FALSE)</f>
        <v>3.4500000000000003E-2</v>
      </c>
      <c r="Z61" s="62">
        <f>VLOOKUP(CONCATENATE(J57,"-",R61),$C$2:$G$136,5,FALSE)</f>
        <v>4.4900000000000002E-2</v>
      </c>
    </row>
    <row r="62" spans="1:26" ht="15" customHeight="1" x14ac:dyDescent="0.2">
      <c r="A62"/>
      <c r="B62"/>
      <c r="C62"/>
      <c r="D62"/>
      <c r="E62"/>
      <c r="F62"/>
      <c r="G62"/>
      <c r="I62" t="str">
        <f t="shared" ca="1" si="3"/>
        <v>F</v>
      </c>
      <c r="J62" s="741" t="str">
        <f>IF($J$17=$A$146,"Administração Central da empresa ou consultoria - overhead","Seguro e Garantia")</f>
        <v>Seguro e Garantia</v>
      </c>
      <c r="K62" s="741"/>
      <c r="L62" s="741"/>
      <c r="M62" s="741"/>
      <c r="N62" s="741"/>
      <c r="O62" s="741"/>
      <c r="P62" s="741"/>
      <c r="Q62" s="741"/>
      <c r="R62" s="60" t="str">
        <f>IF($J57=$A$146,"K2","SG")</f>
        <v>SG</v>
      </c>
      <c r="S62" s="61">
        <v>4.0000000000000001E-3</v>
      </c>
      <c r="T62" s="573" t="str">
        <f t="shared" ref="T62:T66" ca="1" si="4">IF(AND($U$54&lt;&gt;"",$U$57="",R62&lt;&gt;"",S62=""),"◄","")</f>
        <v/>
      </c>
      <c r="U62" s="742" t="str">
        <f t="shared" ref="U62:U68" ca="1" si="5">IFERROR(IF(T62="◄","FALTA PREENCHER",IF(AND(OR(S62&gt;=X62,X62="-"),OR(S62&lt;=Z62,Z62="-")),"OK","FORA DO INTERVALO")),"-")</f>
        <v>OK</v>
      </c>
      <c r="V62" s="742"/>
      <c r="W62" s="742"/>
      <c r="X62" s="62">
        <f>VLOOKUP(CONCATENATE(J57,"-",R62),$C$2:$G$136,3,FALSE)</f>
        <v>3.0000000000000001E-3</v>
      </c>
      <c r="Y62" s="62">
        <f>VLOOKUP(CONCATENATE(J57,"-",R62),$C$2:$G$136,4,FALSE)</f>
        <v>4.7999999999999996E-3</v>
      </c>
      <c r="Z62" s="62">
        <f>VLOOKUP(CONCATENATE(J57,"-",R62),$C$2:$G$136,5,FALSE)</f>
        <v>8.199999999999999E-3</v>
      </c>
    </row>
    <row r="63" spans="1:26" ht="15" customHeight="1" x14ac:dyDescent="0.2">
      <c r="A63"/>
      <c r="B63"/>
      <c r="C63"/>
      <c r="D63"/>
      <c r="E63"/>
      <c r="F63"/>
      <c r="G63"/>
      <c r="I63" t="str">
        <f t="shared" ca="1" si="3"/>
        <v>F</v>
      </c>
      <c r="J63" s="741" t="s">
        <v>943</v>
      </c>
      <c r="K63" s="741"/>
      <c r="L63" s="741"/>
      <c r="M63" s="741"/>
      <c r="N63" s="741"/>
      <c r="O63" s="741"/>
      <c r="P63" s="741"/>
      <c r="Q63" s="741"/>
      <c r="R63" s="60" t="str">
        <f>IF($J57=$A$146,"","R")</f>
        <v>R</v>
      </c>
      <c r="S63" s="61">
        <v>6.0000000000000001E-3</v>
      </c>
      <c r="T63" s="573" t="str">
        <f t="shared" ca="1" si="4"/>
        <v/>
      </c>
      <c r="U63" s="742" t="str">
        <f t="shared" ca="1" si="5"/>
        <v>OK</v>
      </c>
      <c r="V63" s="742"/>
      <c r="W63" s="742"/>
      <c r="X63" s="62">
        <f>VLOOKUP(CONCATENATE(J57,"-",R63),$C$2:$G$136,3,FALSE)</f>
        <v>5.6000000000000008E-3</v>
      </c>
      <c r="Y63" s="62">
        <f>VLOOKUP(CONCATENATE(J57,"-",R63),$C$2:$G$136,4,FALSE)</f>
        <v>8.5000000000000006E-3</v>
      </c>
      <c r="Z63" s="62">
        <f>VLOOKUP(CONCATENATE(J57,"-",R63),$C$2:$G$136,5,FALSE)</f>
        <v>8.8999999999999999E-3</v>
      </c>
    </row>
    <row r="64" spans="1:26" ht="15" customHeight="1" x14ac:dyDescent="0.2">
      <c r="A64"/>
      <c r="B64"/>
      <c r="C64"/>
      <c r="D64"/>
      <c r="E64"/>
      <c r="F64"/>
      <c r="G64"/>
      <c r="I64" t="str">
        <f t="shared" ca="1" si="3"/>
        <v>F</v>
      </c>
      <c r="J64" s="741" t="s">
        <v>944</v>
      </c>
      <c r="K64" s="741"/>
      <c r="L64" s="741"/>
      <c r="M64" s="741"/>
      <c r="N64" s="741"/>
      <c r="O64" s="741"/>
      <c r="P64" s="741"/>
      <c r="Q64" s="741"/>
      <c r="R64" s="60" t="str">
        <f>IF($J57=$A$146,"","DF")</f>
        <v>DF</v>
      </c>
      <c r="S64" s="61">
        <v>8.5000000000000006E-3</v>
      </c>
      <c r="T64" s="573" t="str">
        <f t="shared" ca="1" si="4"/>
        <v/>
      </c>
      <c r="U64" s="742" t="str">
        <f t="shared" ca="1" si="5"/>
        <v>OK</v>
      </c>
      <c r="V64" s="742"/>
      <c r="W64" s="742"/>
      <c r="X64" s="62">
        <f>VLOOKUP(CONCATENATE(J57,"-",R64),$C$2:$G$136,3,FALSE)</f>
        <v>8.5000000000000006E-3</v>
      </c>
      <c r="Y64" s="62">
        <f>VLOOKUP(CONCATENATE(J57,"-",R64),$C$2:$G$136,4,FALSE)</f>
        <v>8.5000000000000006E-3</v>
      </c>
      <c r="Z64" s="62">
        <f>VLOOKUP(CONCATENATE(J57,"-",R64),$C$2:$G$136,5,FALSE)</f>
        <v>1.11E-2</v>
      </c>
    </row>
    <row r="65" spans="1:26" ht="15" customHeight="1" x14ac:dyDescent="0.2">
      <c r="A65"/>
      <c r="B65"/>
      <c r="C65"/>
      <c r="D65"/>
      <c r="E65"/>
      <c r="F65"/>
      <c r="G65"/>
      <c r="I65" t="str">
        <f t="shared" ca="1" si="3"/>
        <v>F</v>
      </c>
      <c r="J65" s="741" t="str">
        <f>IF($J$17=$A$146,"Margem bruta da empresa de consultoria","Lucro")</f>
        <v>Lucro</v>
      </c>
      <c r="K65" s="741"/>
      <c r="L65" s="741"/>
      <c r="M65" s="741"/>
      <c r="N65" s="741"/>
      <c r="O65" s="741"/>
      <c r="P65" s="741"/>
      <c r="Q65" s="741"/>
      <c r="R65" s="60" t="str">
        <f>IF($J57=$A$146,"K3","L")</f>
        <v>L</v>
      </c>
      <c r="S65" s="61">
        <v>3.5000000000000003E-2</v>
      </c>
      <c r="T65" s="573" t="str">
        <f t="shared" ca="1" si="4"/>
        <v/>
      </c>
      <c r="U65" s="742" t="str">
        <f t="shared" ca="1" si="5"/>
        <v>OK</v>
      </c>
      <c r="V65" s="742"/>
      <c r="W65" s="742"/>
      <c r="X65" s="62">
        <f>VLOOKUP(CONCATENATE(J57,"-",R65),$C$2:$G$136,3,FALSE)</f>
        <v>3.5000000000000003E-2</v>
      </c>
      <c r="Y65" s="62">
        <f>VLOOKUP(CONCATENATE(J57,"-",R65),$C$2:$G$136,4,FALSE)</f>
        <v>5.1100000000000007E-2</v>
      </c>
      <c r="Z65" s="62">
        <f>VLOOKUP(CONCATENATE(J57,"-",R65),$C$2:$G$136,5,FALSE)</f>
        <v>6.2199999999999998E-2</v>
      </c>
    </row>
    <row r="66" spans="1:26" ht="15" customHeight="1" x14ac:dyDescent="0.2">
      <c r="A66"/>
      <c r="B66"/>
      <c r="C66"/>
      <c r="D66"/>
      <c r="E66"/>
      <c r="F66"/>
      <c r="G66"/>
      <c r="I66" t="str">
        <f t="shared" ca="1" si="3"/>
        <v>F</v>
      </c>
      <c r="J66" s="741" t="s">
        <v>676</v>
      </c>
      <c r="K66" s="741"/>
      <c r="L66" s="741"/>
      <c r="M66" s="741"/>
      <c r="N66" s="741"/>
      <c r="O66" s="741"/>
      <c r="P66" s="741"/>
      <c r="Q66" s="741"/>
      <c r="R66" s="60" t="s">
        <v>457</v>
      </c>
      <c r="S66" s="61">
        <v>3.6499999999999998E-2</v>
      </c>
      <c r="T66" s="573" t="str">
        <f t="shared" ca="1" si="4"/>
        <v/>
      </c>
      <c r="U66" s="742" t="str">
        <f t="shared" ca="1" si="5"/>
        <v>OK</v>
      </c>
      <c r="V66" s="742"/>
      <c r="W66" s="742"/>
      <c r="X66" s="62">
        <f>Y66</f>
        <v>3.6499999999999998E-2</v>
      </c>
      <c r="Y66" s="62">
        <f>IF($J57=$A$145,"-",3.65%)</f>
        <v>3.6499999999999998E-2</v>
      </c>
      <c r="Z66" s="62">
        <f>Y66</f>
        <v>3.6499999999999998E-2</v>
      </c>
    </row>
    <row r="67" spans="1:26" ht="15" customHeight="1" x14ac:dyDescent="0.2">
      <c r="A67"/>
      <c r="B67"/>
      <c r="C67"/>
      <c r="D67"/>
      <c r="E67"/>
      <c r="F67"/>
      <c r="G67"/>
      <c r="I67" t="str">
        <f t="shared" ca="1" si="3"/>
        <v>F</v>
      </c>
      <c r="J67" s="741" t="s">
        <v>677</v>
      </c>
      <c r="K67" s="741"/>
      <c r="L67" s="741"/>
      <c r="M67" s="741"/>
      <c r="N67" s="741"/>
      <c r="O67" s="741"/>
      <c r="P67" s="741"/>
      <c r="Q67" s="741"/>
      <c r="R67" s="60" t="s">
        <v>678</v>
      </c>
      <c r="S67" s="62">
        <f ca="1">IF(AND($J57&lt;&gt;$A$145,COUNTA(OFFSET(S60,1,0,6))&gt;0),$R$11*$R$10,0)</f>
        <v>0.03</v>
      </c>
      <c r="U67" s="742" t="str">
        <f t="shared" ca="1" si="5"/>
        <v>OK</v>
      </c>
      <c r="V67" s="742"/>
      <c r="W67" s="742"/>
      <c r="X67" s="62">
        <v>0</v>
      </c>
      <c r="Y67" s="62">
        <v>2.5000000000000001E-2</v>
      </c>
      <c r="Z67" s="62">
        <v>0.05</v>
      </c>
    </row>
    <row r="68" spans="1:26" ht="15" customHeight="1" x14ac:dyDescent="0.2">
      <c r="A68"/>
      <c r="B68"/>
      <c r="C68"/>
      <c r="D68"/>
      <c r="E68"/>
      <c r="F68"/>
      <c r="G68"/>
      <c r="I68" t="str">
        <f t="shared" ca="1" si="3"/>
        <v>F</v>
      </c>
      <c r="J68" s="741" t="s">
        <v>679</v>
      </c>
      <c r="K68" s="741"/>
      <c r="L68" s="741"/>
      <c r="M68" s="741"/>
      <c r="N68" s="741"/>
      <c r="O68" s="741"/>
      <c r="P68" s="741"/>
      <c r="Q68" s="741"/>
      <c r="R68" s="60" t="s">
        <v>680</v>
      </c>
      <c r="S68" s="62" cm="1">
        <f t="array" aca="1" ref="S68" ca="1">IF(BDI.Opcao&lt;&gt;"Desonerado",0,IF(AND($J57&lt;&gt;$A$145,COUNTA(OFFSET(S60,1,0,6))&gt;0),IF(YEAR(Import.DataBase)&lt;2025,4.5%,IF(YEAR(Import.DataBase)=2025,3.6%,IF(YEAR(Import.DataBase)=2026,2.7%,IF(YEAR(Import.DataBase)=2027,1.8%,0%)))),0%))</f>
        <v>0</v>
      </c>
      <c r="U68" s="742" t="str">
        <f t="shared" ca="1" si="5"/>
        <v>OK</v>
      </c>
      <c r="V68" s="742"/>
      <c r="W68" s="742"/>
      <c r="X68" s="63">
        <f ca="1">$S68</f>
        <v>0</v>
      </c>
      <c r="Y68" s="63">
        <f ca="1">$S68</f>
        <v>0</v>
      </c>
      <c r="Z68" s="63">
        <f ca="1">$S68</f>
        <v>0</v>
      </c>
    </row>
    <row r="69" spans="1:26" ht="15" customHeight="1" x14ac:dyDescent="0.2">
      <c r="A69"/>
      <c r="B69"/>
      <c r="C69"/>
      <c r="D69"/>
      <c r="E69"/>
      <c r="F69"/>
      <c r="G69"/>
      <c r="I69" t="str">
        <f t="shared" ca="1" si="3"/>
        <v>F</v>
      </c>
      <c r="J69" s="741" t="s">
        <v>681</v>
      </c>
      <c r="K69" s="741"/>
      <c r="L69" s="741"/>
      <c r="M69" s="741"/>
      <c r="N69" s="741"/>
      <c r="O69" s="741"/>
      <c r="P69" s="741"/>
      <c r="Q69" s="741"/>
      <c r="R69" s="64" t="s">
        <v>657</v>
      </c>
      <c r="S69" s="62">
        <f ca="1">IF($J57=$A$145,0,ROUND((((1+S61+S62+S63)*(1+S64)*(1+S65)/(1-(S66+S67)))-1),4))</f>
        <v>0.1573</v>
      </c>
      <c r="U69" s="738" t="str">
        <f ca="1">IFERROR(IF(AND(OR(S69&gt;=X69,X69="-"),OR(S69&lt;=Z69,Z69="-")),"OK","FORA DO INTERVALO"),IF(S69=0,"OK","Selecione o Tipo de obra"))</f>
        <v>OK</v>
      </c>
      <c r="V69" s="738"/>
      <c r="W69" s="738"/>
      <c r="X69" s="62">
        <f>IF($J57=$A$145,0,VLOOKUP(CONCATENATE($J57,"-",$R69),$C$2:$G$136,3,FALSE))</f>
        <v>0.111</v>
      </c>
      <c r="Y69" s="62">
        <f>IF($J57=$A$145,0,VLOOKUP(CONCATENATE($J57,"-",$R69),$C$2:$G$136,4,FALSE))</f>
        <v>0.14019999999999999</v>
      </c>
      <c r="Z69" s="62">
        <f>IF($J57=$A$145,0,VLOOKUP(CONCATENATE($J57,"-",$R69),$C$2:$G$136,5,FALSE))</f>
        <v>0.16800000000000001</v>
      </c>
    </row>
    <row r="70" spans="1:26" ht="15" customHeight="1" x14ac:dyDescent="0.2">
      <c r="A70"/>
      <c r="B70"/>
      <c r="C70"/>
      <c r="D70"/>
      <c r="E70"/>
      <c r="F70"/>
      <c r="G70"/>
      <c r="I70" t="str">
        <f t="shared" ca="1" si="3"/>
        <v>F</v>
      </c>
      <c r="J70" s="745" t="s">
        <v>682</v>
      </c>
      <c r="K70" s="745"/>
      <c r="L70" s="745"/>
      <c r="M70" s="745"/>
      <c r="N70" s="745"/>
      <c r="O70" s="745"/>
      <c r="P70" s="745"/>
      <c r="Q70" s="745"/>
      <c r="R70" s="65" t="s">
        <v>683</v>
      </c>
      <c r="S70" s="66">
        <f ca="1">IF($J57=$A$145,0,ROUND((((1+S61+S62+S63)*(1+S64)*(1+S65)/(1-(S66+S67+S68)))-1),4))</f>
        <v>0.1573</v>
      </c>
    </row>
    <row r="71" spans="1:26" ht="15" customHeight="1" x14ac:dyDescent="0.2">
      <c r="A71"/>
      <c r="B71"/>
      <c r="C71"/>
      <c r="D71"/>
      <c r="E71"/>
      <c r="F71"/>
      <c r="G71"/>
      <c r="I71" t="str">
        <f t="shared" ca="1" si="3"/>
        <v>F</v>
      </c>
    </row>
    <row r="72" spans="1:26" ht="15.75" x14ac:dyDescent="0.2">
      <c r="A72"/>
      <c r="B72"/>
      <c r="C72"/>
      <c r="D72"/>
      <c r="E72"/>
      <c r="F72"/>
      <c r="G72"/>
      <c r="I72" t="str">
        <f t="shared" ca="1" si="3"/>
        <v>F</v>
      </c>
      <c r="J72" s="67" t="str">
        <f ca="1">IF(U69&lt;&gt;"ok","X","")</f>
        <v/>
      </c>
      <c r="K72" s="746" t="str">
        <f ca="1">IF(U69&lt;&gt;"ok","Anexo: Relatório Técnico Circunstanciado justificando a adoção do percentual de cada parcela do BDI.","")</f>
        <v/>
      </c>
      <c r="L72" s="746"/>
      <c r="M72" s="746"/>
      <c r="N72" s="746"/>
      <c r="O72" s="746"/>
      <c r="P72" s="746"/>
      <c r="Q72" s="746"/>
      <c r="R72" s="746"/>
      <c r="S72" s="746"/>
    </row>
    <row r="73" spans="1:26" x14ac:dyDescent="0.2">
      <c r="A73"/>
      <c r="B73"/>
      <c r="C73"/>
      <c r="D73"/>
      <c r="E73"/>
      <c r="F73"/>
      <c r="G73"/>
      <c r="I73" t="str">
        <f t="shared" ca="1" si="3"/>
        <v>F</v>
      </c>
    </row>
    <row r="74" spans="1:26" x14ac:dyDescent="0.2">
      <c r="A74"/>
      <c r="B74"/>
      <c r="C74"/>
      <c r="D74"/>
      <c r="E74"/>
      <c r="F74"/>
      <c r="G74"/>
      <c r="I74" t="str">
        <f t="shared" ca="1" si="3"/>
        <v>F</v>
      </c>
      <c r="J74" s="747" t="s">
        <v>684</v>
      </c>
      <c r="K74" s="747"/>
      <c r="L74" s="747"/>
      <c r="M74" s="747"/>
      <c r="N74" s="747"/>
      <c r="O74" s="747"/>
      <c r="P74" s="747"/>
      <c r="Q74" s="747"/>
      <c r="R74" s="747"/>
      <c r="S74" s="747"/>
    </row>
    <row r="75" spans="1:26" ht="15.75" x14ac:dyDescent="0.25">
      <c r="A75"/>
      <c r="B75"/>
      <c r="C75"/>
      <c r="D75"/>
      <c r="E75"/>
      <c r="F75"/>
      <c r="G75"/>
      <c r="I75" t="str">
        <f t="shared" ca="1" si="3"/>
        <v>F</v>
      </c>
      <c r="J75" s="68"/>
      <c r="K75" s="68"/>
      <c r="L75" s="68"/>
      <c r="M75" s="748" t="s">
        <v>685</v>
      </c>
      <c r="N75" s="754" t="str">
        <f>IF($J57=$A$146,"(1+K1+K2)*(1+K3)","(1+AC + S + R + G)*(1 + DF)*(1+L)")</f>
        <v>(1+AC + S + R + G)*(1 + DF)*(1+L)</v>
      </c>
      <c r="O75" s="754"/>
      <c r="P75" s="754"/>
      <c r="Q75" s="755" t="s">
        <v>686</v>
      </c>
      <c r="R75" s="68"/>
      <c r="S75" s="68"/>
    </row>
    <row r="76" spans="1:26" ht="15.75" x14ac:dyDescent="0.2">
      <c r="A76"/>
      <c r="B76"/>
      <c r="C76"/>
      <c r="D76"/>
      <c r="E76"/>
      <c r="F76"/>
      <c r="G76"/>
      <c r="I76" t="str">
        <f t="shared" ca="1" si="3"/>
        <v>F</v>
      </c>
      <c r="J76" s="68"/>
      <c r="K76" s="68"/>
      <c r="L76" s="68"/>
      <c r="M76" s="748"/>
      <c r="N76" s="743" t="s">
        <v>687</v>
      </c>
      <c r="O76" s="743"/>
      <c r="P76" s="743"/>
      <c r="Q76" s="755"/>
      <c r="R76" s="68"/>
      <c r="S76" s="68"/>
    </row>
    <row r="77" spans="1:26" ht="15" customHeight="1" x14ac:dyDescent="0.2">
      <c r="A77"/>
      <c r="B77"/>
      <c r="C77"/>
      <c r="D77"/>
      <c r="E77"/>
      <c r="F77"/>
      <c r="G77"/>
      <c r="I77" t="str">
        <f t="shared" ca="1" si="3"/>
        <v>F</v>
      </c>
      <c r="J77" s="68"/>
      <c r="K77" s="68"/>
      <c r="L77" s="68"/>
      <c r="M77" s="69"/>
      <c r="N77" s="71"/>
      <c r="O77" s="71"/>
      <c r="P77" s="71"/>
      <c r="Q77" s="70"/>
      <c r="R77" s="68"/>
      <c r="S77" s="68"/>
    </row>
    <row r="78" spans="1:26" ht="50.1" customHeight="1" x14ac:dyDescent="0.2">
      <c r="A78"/>
      <c r="B78"/>
      <c r="C78"/>
      <c r="D78"/>
      <c r="E78"/>
      <c r="F78"/>
      <c r="G78"/>
      <c r="I78" t="str">
        <f t="shared" ca="1" si="3"/>
        <v>F</v>
      </c>
      <c r="J78" s="744"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60%, com a respectiva alíquota de 5%.</v>
      </c>
      <c r="K78" s="744"/>
      <c r="L78" s="744"/>
      <c r="M78" s="744"/>
      <c r="N78" s="744"/>
      <c r="O78" s="744"/>
      <c r="P78" s="744"/>
      <c r="Q78" s="744"/>
      <c r="R78" s="744"/>
      <c r="S78" s="744"/>
    </row>
    <row r="79" spans="1:26" x14ac:dyDescent="0.2">
      <c r="A79"/>
      <c r="B79"/>
      <c r="C79"/>
      <c r="D79"/>
      <c r="E79"/>
      <c r="F79"/>
      <c r="G79"/>
      <c r="I79" t="str">
        <f t="shared" ca="1" si="3"/>
        <v>F</v>
      </c>
    </row>
    <row r="80" spans="1:26" ht="50.1" customHeight="1" x14ac:dyDescent="0.2">
      <c r="A80"/>
      <c r="B80"/>
      <c r="C80"/>
      <c r="D80"/>
      <c r="E80"/>
      <c r="F80"/>
      <c r="G80"/>
      <c r="I80" t="str">
        <f t="shared" ca="1" si="3"/>
        <v>F</v>
      </c>
      <c r="J80" s="744"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744"/>
      <c r="L80" s="744"/>
      <c r="M80" s="744"/>
      <c r="N80" s="744"/>
      <c r="O80" s="744"/>
      <c r="P80" s="744"/>
      <c r="Q80" s="744"/>
      <c r="R80" s="744"/>
      <c r="S80" s="744"/>
    </row>
    <row r="81" spans="1:21" x14ac:dyDescent="0.2">
      <c r="A81"/>
      <c r="B81"/>
      <c r="C81"/>
      <c r="D81"/>
      <c r="E81"/>
      <c r="F81"/>
      <c r="G81"/>
      <c r="I81" t="str">
        <f t="shared" ca="1" si="3"/>
        <v>F</v>
      </c>
    </row>
    <row r="82" spans="1:21" x14ac:dyDescent="0.2">
      <c r="A82"/>
      <c r="B82"/>
      <c r="C82"/>
      <c r="D82"/>
      <c r="E82"/>
      <c r="F82"/>
      <c r="G82"/>
      <c r="I82" t="str">
        <f t="shared" ca="1" si="3"/>
        <v>F</v>
      </c>
      <c r="J82" s="49" t="s">
        <v>690</v>
      </c>
    </row>
    <row r="83" spans="1:21" ht="99.95" customHeight="1" x14ac:dyDescent="0.2">
      <c r="A83"/>
      <c r="B83"/>
      <c r="C83"/>
      <c r="D83"/>
      <c r="E83"/>
      <c r="F83"/>
      <c r="G83"/>
      <c r="I83" t="str">
        <f t="shared" ca="1" si="3"/>
        <v>F</v>
      </c>
      <c r="J83" s="756"/>
      <c r="K83" s="756"/>
      <c r="L83" s="756"/>
      <c r="M83" s="756"/>
      <c r="N83" s="756"/>
      <c r="O83" s="756"/>
      <c r="P83" s="756"/>
      <c r="Q83" s="756"/>
      <c r="R83" s="756"/>
      <c r="S83" s="756"/>
    </row>
    <row r="84" spans="1:21" x14ac:dyDescent="0.2">
      <c r="A84"/>
      <c r="B84"/>
      <c r="C84"/>
      <c r="D84"/>
      <c r="E84"/>
      <c r="F84"/>
      <c r="G84"/>
      <c r="I84" t="str">
        <f t="shared" ca="1" si="3"/>
        <v>F</v>
      </c>
    </row>
    <row r="85" spans="1:21" x14ac:dyDescent="0.2">
      <c r="A85"/>
      <c r="B85"/>
      <c r="C85"/>
      <c r="D85"/>
      <c r="E85"/>
      <c r="F85"/>
      <c r="G85"/>
      <c r="I85" t="str">
        <f t="shared" ca="1" si="3"/>
        <v>F</v>
      </c>
      <c r="J85" s="750" t="str">
        <f>Import.Município</f>
        <v>PASSOS/MG</v>
      </c>
      <c r="K85" s="750"/>
      <c r="L85" s="750"/>
      <c r="M85" s="750"/>
      <c r="P85" s="751">
        <f>DADOS!$C$25</f>
        <v>45945</v>
      </c>
      <c r="Q85" s="751"/>
      <c r="R85" s="751"/>
      <c r="S85" s="751"/>
    </row>
    <row r="86" spans="1:21" x14ac:dyDescent="0.2">
      <c r="A86"/>
      <c r="B86"/>
      <c r="C86"/>
      <c r="D86"/>
      <c r="E86"/>
      <c r="F86"/>
      <c r="G86"/>
      <c r="I86" t="str">
        <f t="shared" ca="1" si="3"/>
        <v>F</v>
      </c>
      <c r="J86" s="752" t="s">
        <v>694</v>
      </c>
      <c r="K86" s="752"/>
      <c r="L86" s="752"/>
      <c r="M86" s="752"/>
      <c r="O86" s="73"/>
      <c r="P86" s="74" t="s">
        <v>695</v>
      </c>
      <c r="Q86" s="75"/>
      <c r="R86" s="75"/>
      <c r="S86" s="75"/>
    </row>
    <row r="87" spans="1:21" ht="30" customHeight="1" x14ac:dyDescent="0.2">
      <c r="A87"/>
      <c r="B87"/>
      <c r="C87"/>
      <c r="D87"/>
      <c r="E87"/>
      <c r="F87"/>
      <c r="G87"/>
      <c r="I87" t="str">
        <f t="shared" ca="1" si="3"/>
        <v>F</v>
      </c>
    </row>
    <row r="88" spans="1:21" ht="15" x14ac:dyDescent="0.2">
      <c r="A88"/>
      <c r="B88"/>
      <c r="C88"/>
      <c r="D88"/>
      <c r="E88"/>
      <c r="F88"/>
      <c r="G88"/>
      <c r="I88" t="str">
        <f t="shared" ca="1" si="3"/>
        <v>F</v>
      </c>
      <c r="J88" s="753"/>
      <c r="K88" s="753"/>
      <c r="L88" s="753"/>
      <c r="M88" s="753"/>
      <c r="N88" s="76"/>
    </row>
    <row r="89" spans="1:21" x14ac:dyDescent="0.2">
      <c r="A89"/>
      <c r="B89"/>
      <c r="C89"/>
      <c r="D89"/>
      <c r="E89"/>
      <c r="F89"/>
      <c r="G89"/>
      <c r="I89" t="str">
        <f t="shared" ca="1" si="3"/>
        <v>F</v>
      </c>
      <c r="J89" s="749" t="s">
        <v>697</v>
      </c>
      <c r="K89" s="749"/>
      <c r="L89" s="749"/>
      <c r="M89" s="749"/>
    </row>
    <row r="90" spans="1:21" ht="14.25" x14ac:dyDescent="0.2">
      <c r="A90"/>
      <c r="B90"/>
      <c r="C90"/>
      <c r="D90"/>
      <c r="E90"/>
      <c r="F90"/>
      <c r="G90"/>
      <c r="I90" t="str">
        <f t="shared" ca="1" si="3"/>
        <v>F</v>
      </c>
      <c r="J90" s="77" t="s">
        <v>240</v>
      </c>
      <c r="K90" s="78" t="str">
        <f t="array" ref="K90:K92">Import.RespOrçamento</f>
        <v>LUCAS REZENDE CARVALHO</v>
      </c>
      <c r="L90" s="79"/>
      <c r="M90" s="79"/>
      <c r="N90" s="76"/>
    </row>
    <row r="91" spans="1:21" ht="14.25" x14ac:dyDescent="0.2">
      <c r="A91"/>
      <c r="B91"/>
      <c r="C91"/>
      <c r="D91"/>
      <c r="E91"/>
      <c r="F91"/>
      <c r="G91"/>
      <c r="I91" t="str">
        <f t="shared" ca="1" si="3"/>
        <v>F</v>
      </c>
      <c r="J91" s="77" t="s">
        <v>243</v>
      </c>
      <c r="K91" s="78" t="str">
        <v>126.061/D</v>
      </c>
      <c r="L91" s="79"/>
      <c r="M91" s="79"/>
      <c r="N91" s="76"/>
    </row>
    <row r="92" spans="1:21" ht="14.25" x14ac:dyDescent="0.2">
      <c r="A92"/>
      <c r="B92"/>
      <c r="C92"/>
      <c r="D92"/>
      <c r="E92"/>
      <c r="F92"/>
      <c r="G92"/>
      <c r="I92" t="str">
        <f t="shared" ca="1" si="3"/>
        <v>F</v>
      </c>
      <c r="J92" s="77" t="s">
        <v>246</v>
      </c>
      <c r="K92" s="78" t="str">
        <v>MG20253685005</v>
      </c>
      <c r="L92" s="79"/>
      <c r="M92" s="79"/>
      <c r="N92" s="76"/>
    </row>
    <row r="93" spans="1:21" ht="14.25" x14ac:dyDescent="0.2">
      <c r="A93"/>
      <c r="B93"/>
      <c r="C93"/>
      <c r="D93"/>
      <c r="E93"/>
      <c r="F93"/>
      <c r="G93"/>
      <c r="I93" t="str">
        <f t="shared" ca="1" si="3"/>
        <v>F</v>
      </c>
      <c r="J93" s="77"/>
      <c r="K93" s="80"/>
      <c r="L93" s="79"/>
      <c r="M93" s="79"/>
      <c r="N93" s="76"/>
    </row>
    <row r="94" spans="1:21" ht="15.75" x14ac:dyDescent="0.25">
      <c r="A94"/>
      <c r="B94"/>
      <c r="C94"/>
      <c r="D94"/>
      <c r="E94"/>
      <c r="F94"/>
      <c r="G94"/>
      <c r="I94" t="str">
        <f ca="1">IF($S$109=0,"","F")</f>
        <v/>
      </c>
      <c r="J94" s="740" t="s">
        <v>699</v>
      </c>
      <c r="K94" s="740"/>
      <c r="L94" s="740"/>
      <c r="M94" s="740"/>
      <c r="N94" s="740"/>
      <c r="O94" s="740"/>
      <c r="P94" s="740"/>
      <c r="Q94" s="740"/>
      <c r="R94" s="740"/>
      <c r="S94" s="740"/>
      <c r="U94" s="522" t="str">
        <f>IF(COUNTIF(ORÇAMENTO!$V$15:$V$231,BDI_3.Título)=0,"",IF(OR(Import.BDI.Tipo3="(SELECIONAR)",Import.BDI.Tipo3="",U97&lt;&gt;"",AND($J97&lt;&gt;$A$145,OR(S101="",S102="",AND($J97&lt;&gt;$A$146,OR(S103="",S104="")),S105="",S106=""))),"Falta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31" t="s">
        <v>665</v>
      </c>
      <c r="K96" s="731"/>
      <c r="L96" s="731"/>
      <c r="M96" s="731"/>
      <c r="N96" s="731"/>
      <c r="O96" s="731"/>
      <c r="P96" s="731"/>
      <c r="Q96" s="731"/>
      <c r="R96" s="731"/>
      <c r="S96" s="731"/>
    </row>
    <row r="97" spans="1:26" ht="15" x14ac:dyDescent="0.25">
      <c r="A97"/>
      <c r="B97"/>
      <c r="C97"/>
      <c r="D97"/>
      <c r="E97"/>
      <c r="F97"/>
      <c r="G97"/>
      <c r="I97" t="str">
        <f t="shared" ca="1" si="6"/>
        <v/>
      </c>
      <c r="J97" s="737" t="s">
        <v>139</v>
      </c>
      <c r="K97" s="737"/>
      <c r="L97" s="737"/>
      <c r="M97" s="737"/>
      <c r="N97" s="737"/>
      <c r="O97" s="737"/>
      <c r="P97" s="737"/>
      <c r="Q97" s="737"/>
      <c r="R97" s="737"/>
      <c r="S97" s="737"/>
      <c r="T97" s="564" t="str">
        <f ca="1">IF(U97="","","◄")</f>
        <v/>
      </c>
      <c r="U97" s="563" t="str">
        <f ca="1">IF(AND(OR(S109&gt;0,COUNTIF(ORÇAMENTO!$V$15:$V$231,BDI_3.Título)&gt;0),OR(Import.BDI.Tipo3="(SELECIONAR)",Import.BDI.Tipo3="")),"Selecione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739" t="s">
        <v>667</v>
      </c>
      <c r="K99" s="739"/>
      <c r="L99" s="739"/>
      <c r="M99" s="739"/>
      <c r="N99" s="739"/>
      <c r="O99" s="739"/>
      <c r="P99" s="739"/>
      <c r="Q99" s="739"/>
      <c r="R99" s="739" t="s">
        <v>668</v>
      </c>
      <c r="S99" s="738" t="s">
        <v>669</v>
      </c>
      <c r="U99" s="738" t="s">
        <v>670</v>
      </c>
      <c r="V99" s="738"/>
      <c r="W99" s="738"/>
      <c r="X99" s="736" t="s">
        <v>671</v>
      </c>
      <c r="Y99" s="736" t="s">
        <v>672</v>
      </c>
      <c r="Z99" s="736" t="s">
        <v>673</v>
      </c>
    </row>
    <row r="100" spans="1:26" ht="12.75" customHeight="1" x14ac:dyDescent="0.2">
      <c r="A100"/>
      <c r="B100"/>
      <c r="C100"/>
      <c r="D100"/>
      <c r="E100"/>
      <c r="F100"/>
      <c r="G100"/>
      <c r="I100" t="str">
        <f t="shared" ca="1" si="6"/>
        <v/>
      </c>
      <c r="J100" s="739"/>
      <c r="K100" s="739"/>
      <c r="L100" s="739"/>
      <c r="M100" s="739"/>
      <c r="N100" s="739"/>
      <c r="O100" s="739"/>
      <c r="P100" s="739"/>
      <c r="Q100" s="739"/>
      <c r="R100" s="739"/>
      <c r="S100" s="738"/>
      <c r="U100" s="738"/>
      <c r="V100" s="738"/>
      <c r="W100" s="738"/>
      <c r="X100" s="736"/>
      <c r="Y100" s="736"/>
      <c r="Z100" s="736"/>
    </row>
    <row r="101" spans="1:26" ht="15" customHeight="1" x14ac:dyDescent="0.2">
      <c r="A101"/>
      <c r="B101"/>
      <c r="C101"/>
      <c r="D101"/>
      <c r="E101"/>
      <c r="F101"/>
      <c r="G101"/>
      <c r="I101" t="str">
        <f t="shared" ca="1" si="6"/>
        <v/>
      </c>
      <c r="J101" s="741" t="str">
        <f>IF($J$17=$A$146,"Encargos Sociais incidentes sobre a mão de obra","Administração Central")</f>
        <v>Administração Central</v>
      </c>
      <c r="K101" s="741"/>
      <c r="L101" s="741"/>
      <c r="M101" s="741"/>
      <c r="N101" s="741"/>
      <c r="O101" s="741"/>
      <c r="P101" s="741"/>
      <c r="Q101" s="741"/>
      <c r="R101" s="60" t="str">
        <f>IF($J97=$A$146,"K1","AC")</f>
        <v>AC</v>
      </c>
      <c r="S101" s="61"/>
      <c r="T101" s="573" t="str">
        <f ca="1">IF(AND($U$94&lt;&gt;"",$U$97="",R101&lt;&gt;"",S101=""),"◄","")</f>
        <v/>
      </c>
      <c r="U101" s="742" t="str">
        <f ca="1">IFERROR(IF(T101="◄","FALTA PREENCHER",IF(AND(OR(S101&gt;=X101,X101="-"),OR(S101&lt;=Z101,Z101="-")),"OK","FORA DO INTERVALO")),"-")</f>
        <v>-</v>
      </c>
      <c r="V101" s="742"/>
      <c r="W101" s="742"/>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741" t="str">
        <f>IF($J$17=$A$146,"Administração Central da empresa ou consultoria - overhead","Seguro e Garantia")</f>
        <v>Seguro e Garantia</v>
      </c>
      <c r="K102" s="741"/>
      <c r="L102" s="741"/>
      <c r="M102" s="741"/>
      <c r="N102" s="741"/>
      <c r="O102" s="741"/>
      <c r="P102" s="741"/>
      <c r="Q102" s="741"/>
      <c r="R102" s="60" t="str">
        <f>IF($J97=$A$146,"K2","SG")</f>
        <v>SG</v>
      </c>
      <c r="S102" s="61"/>
      <c r="T102" s="573" t="str">
        <f t="shared" ref="T102:T106" ca="1" si="7">IF(AND($U$94&lt;&gt;"",$U$97="",R102&lt;&gt;"",S102=""),"◄","")</f>
        <v/>
      </c>
      <c r="U102" s="742" t="str">
        <f t="shared" ref="U102:U108" ca="1" si="8">IFERROR(IF(T102="◄","FALTA PREENCHER",IF(AND(OR(S102&gt;=X102,X102="-"),OR(S102&lt;=Z102,Z102="-")),"OK","FORA DO INTERVALO")),"-")</f>
        <v>-</v>
      </c>
      <c r="V102" s="742"/>
      <c r="W102" s="742"/>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741" t="s">
        <v>943</v>
      </c>
      <c r="K103" s="741"/>
      <c r="L103" s="741"/>
      <c r="M103" s="741"/>
      <c r="N103" s="741"/>
      <c r="O103" s="741"/>
      <c r="P103" s="741"/>
      <c r="Q103" s="741"/>
      <c r="R103" s="60" t="str">
        <f>IF($J97=$A$146,"","R")</f>
        <v>R</v>
      </c>
      <c r="S103" s="61"/>
      <c r="T103" s="573" t="str">
        <f t="shared" ca="1" si="7"/>
        <v/>
      </c>
      <c r="U103" s="742" t="str">
        <f t="shared" ca="1" si="8"/>
        <v>-</v>
      </c>
      <c r="V103" s="742"/>
      <c r="W103" s="742"/>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741" t="s">
        <v>944</v>
      </c>
      <c r="K104" s="741"/>
      <c r="L104" s="741"/>
      <c r="M104" s="741"/>
      <c r="N104" s="741"/>
      <c r="O104" s="741"/>
      <c r="P104" s="741"/>
      <c r="Q104" s="741"/>
      <c r="R104" s="60" t="str">
        <f>IF($J97=$A$146,"","DF")</f>
        <v>DF</v>
      </c>
      <c r="S104" s="61"/>
      <c r="T104" s="573" t="str">
        <f t="shared" ca="1" si="7"/>
        <v/>
      </c>
      <c r="U104" s="742" t="str">
        <f t="shared" ca="1" si="8"/>
        <v>-</v>
      </c>
      <c r="V104" s="742"/>
      <c r="W104" s="742"/>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741" t="str">
        <f>IF($J$17=$A$146,"Margem bruta da empresa de consultoria","Lucro")</f>
        <v>Lucro</v>
      </c>
      <c r="K105" s="741"/>
      <c r="L105" s="741"/>
      <c r="M105" s="741"/>
      <c r="N105" s="741"/>
      <c r="O105" s="741"/>
      <c r="P105" s="741"/>
      <c r="Q105" s="741"/>
      <c r="R105" s="60" t="str">
        <f>IF($J97=$A$146,"K3","L")</f>
        <v>L</v>
      </c>
      <c r="S105" s="61"/>
      <c r="T105" s="573" t="str">
        <f t="shared" ca="1" si="7"/>
        <v/>
      </c>
      <c r="U105" s="742" t="str">
        <f t="shared" ca="1" si="8"/>
        <v>-</v>
      </c>
      <c r="V105" s="742"/>
      <c r="W105" s="742"/>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741" t="s">
        <v>676</v>
      </c>
      <c r="K106" s="741"/>
      <c r="L106" s="741"/>
      <c r="M106" s="741"/>
      <c r="N106" s="741"/>
      <c r="O106" s="741"/>
      <c r="P106" s="741"/>
      <c r="Q106" s="741"/>
      <c r="R106" s="60" t="s">
        <v>457</v>
      </c>
      <c r="S106" s="61"/>
      <c r="T106" s="573" t="str">
        <f t="shared" ca="1" si="7"/>
        <v/>
      </c>
      <c r="U106" s="742" t="str">
        <f t="shared" ca="1" si="8"/>
        <v>FORA DO INTERVALO</v>
      </c>
      <c r="V106" s="742"/>
      <c r="W106" s="742"/>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741" t="s">
        <v>677</v>
      </c>
      <c r="K107" s="741"/>
      <c r="L107" s="741"/>
      <c r="M107" s="741"/>
      <c r="N107" s="741"/>
      <c r="O107" s="741"/>
      <c r="P107" s="741"/>
      <c r="Q107" s="741"/>
      <c r="R107" s="60" t="s">
        <v>678</v>
      </c>
      <c r="S107" s="62">
        <f ca="1">IF(AND($J97&lt;&gt;$A$145,COUNTA(OFFSET(S100,1,0,6))&gt;0),$R$11*$R$10,0)</f>
        <v>0</v>
      </c>
      <c r="U107" s="742" t="str">
        <f t="shared" ca="1" si="8"/>
        <v>OK</v>
      </c>
      <c r="V107" s="742"/>
      <c r="W107" s="742"/>
      <c r="X107" s="62">
        <v>0</v>
      </c>
      <c r="Y107" s="62">
        <v>2.5000000000000001E-2</v>
      </c>
      <c r="Z107" s="62">
        <v>0.05</v>
      </c>
    </row>
    <row r="108" spans="1:26" ht="15" customHeight="1" x14ac:dyDescent="0.2">
      <c r="A108"/>
      <c r="B108"/>
      <c r="C108"/>
      <c r="D108"/>
      <c r="E108"/>
      <c r="F108"/>
      <c r="G108"/>
      <c r="I108" t="str">
        <f t="shared" ca="1" si="6"/>
        <v/>
      </c>
      <c r="J108" s="741" t="s">
        <v>679</v>
      </c>
      <c r="K108" s="741"/>
      <c r="L108" s="741"/>
      <c r="M108" s="741"/>
      <c r="N108" s="741"/>
      <c r="O108" s="741"/>
      <c r="P108" s="741"/>
      <c r="Q108" s="741"/>
      <c r="R108" s="60" t="s">
        <v>680</v>
      </c>
      <c r="S108" s="62" cm="1">
        <f t="array" aca="1" ref="S108" ca="1">IF(BDI.Opcao&lt;&gt;"Desonerado",0,IF(AND($J97&lt;&gt;$A$145,COUNTA(OFFSET(S100,1,0,6))&gt;0),IF(YEAR(Import.DataBase)&lt;2025,4.5%,IF(YEAR(Import.DataBase)=2025,3.6%,IF(YEAR(Import.DataBase)=2026,2.7%,IF(YEAR(Import.DataBase)=2027,1.8%,0%)))),0%))</f>
        <v>0</v>
      </c>
      <c r="U108" s="742" t="str">
        <f t="shared" ca="1" si="8"/>
        <v>OK</v>
      </c>
      <c r="V108" s="742"/>
      <c r="W108" s="742"/>
      <c r="X108" s="63">
        <f ca="1">$S108</f>
        <v>0</v>
      </c>
      <c r="Y108" s="63">
        <f ca="1">$S108</f>
        <v>0</v>
      </c>
      <c r="Z108" s="63">
        <f ca="1">$S108</f>
        <v>0</v>
      </c>
    </row>
    <row r="109" spans="1:26" ht="15" customHeight="1" x14ac:dyDescent="0.2">
      <c r="A109"/>
      <c r="B109"/>
      <c r="C109"/>
      <c r="D109"/>
      <c r="E109"/>
      <c r="F109"/>
      <c r="G109"/>
      <c r="I109" t="str">
        <f t="shared" ca="1" si="6"/>
        <v/>
      </c>
      <c r="J109" s="741" t="s">
        <v>681</v>
      </c>
      <c r="K109" s="741"/>
      <c r="L109" s="741"/>
      <c r="M109" s="741"/>
      <c r="N109" s="741"/>
      <c r="O109" s="741"/>
      <c r="P109" s="741"/>
      <c r="Q109" s="741"/>
      <c r="R109" s="64" t="s">
        <v>657</v>
      </c>
      <c r="S109" s="62">
        <f ca="1">IF($J97=$A$145,0,ROUND((((1+S101+S102+S103)*(1+S104)*(1+S105)/(1-(S106+S107)))-1),4))</f>
        <v>0</v>
      </c>
      <c r="U109" s="738" t="str">
        <f ca="1">IFERROR(IF(AND(OR(S109&gt;=X109,X109="-"),OR(S109&lt;=Z109,Z109="-")),"OK","FORA DO INTERVALO"),IF(S109=0,"OK","Selecione o Tipo de obra"))</f>
        <v>OK</v>
      </c>
      <c r="V109" s="738"/>
      <c r="W109" s="738"/>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745" t="s">
        <v>682</v>
      </c>
      <c r="K110" s="745"/>
      <c r="L110" s="745"/>
      <c r="M110" s="745"/>
      <c r="N110" s="745"/>
      <c r="O110" s="745"/>
      <c r="P110" s="745"/>
      <c r="Q110" s="745"/>
      <c r="R110" s="65" t="s">
        <v>683</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746" t="str">
        <f ca="1">IF(U109&lt;&gt;"ok","Anexo: Relatório Técnico Circunstanciado justificando a adoção do percentual de cada parcela do BDI.","")</f>
        <v/>
      </c>
      <c r="L112" s="746"/>
      <c r="M112" s="746"/>
      <c r="N112" s="746"/>
      <c r="O112" s="746"/>
      <c r="P112" s="746"/>
      <c r="Q112" s="746"/>
      <c r="R112" s="746"/>
      <c r="S112" s="746"/>
    </row>
    <row r="113" spans="1:19" x14ac:dyDescent="0.2">
      <c r="A113"/>
      <c r="B113"/>
      <c r="C113"/>
      <c r="D113"/>
      <c r="E113"/>
      <c r="F113"/>
      <c r="G113"/>
      <c r="I113" t="str">
        <f t="shared" ca="1" si="6"/>
        <v/>
      </c>
    </row>
    <row r="114" spans="1:19" x14ac:dyDescent="0.2">
      <c r="A114"/>
      <c r="B114"/>
      <c r="C114"/>
      <c r="D114"/>
      <c r="E114"/>
      <c r="F114"/>
      <c r="G114"/>
      <c r="I114" t="str">
        <f t="shared" ca="1" si="6"/>
        <v/>
      </c>
      <c r="J114" s="747" t="s">
        <v>684</v>
      </c>
      <c r="K114" s="747"/>
      <c r="L114" s="747"/>
      <c r="M114" s="747"/>
      <c r="N114" s="747"/>
      <c r="O114" s="747"/>
      <c r="P114" s="747"/>
      <c r="Q114" s="747"/>
      <c r="R114" s="747"/>
      <c r="S114" s="747"/>
    </row>
    <row r="115" spans="1:19" ht="15.75" x14ac:dyDescent="0.25">
      <c r="A115"/>
      <c r="B115"/>
      <c r="C115"/>
      <c r="D115"/>
      <c r="E115"/>
      <c r="F115"/>
      <c r="G115"/>
      <c r="I115" t="str">
        <f t="shared" ca="1" si="6"/>
        <v/>
      </c>
      <c r="J115" s="68"/>
      <c r="K115" s="68"/>
      <c r="L115" s="68"/>
      <c r="M115" s="748" t="s">
        <v>685</v>
      </c>
      <c r="N115" s="754" t="str">
        <f>IF($J97=$A$146,"(1+K1+K2)*(1+K3)","(1+AC + S + R + G)*(1 + DF)*(1+L)")</f>
        <v>(1+AC + S + R + G)*(1 + DF)*(1+L)</v>
      </c>
      <c r="O115" s="754"/>
      <c r="P115" s="754"/>
      <c r="Q115" s="755" t="s">
        <v>686</v>
      </c>
      <c r="R115" s="68"/>
      <c r="S115" s="68"/>
    </row>
    <row r="116" spans="1:19" ht="15.75" x14ac:dyDescent="0.2">
      <c r="A116"/>
      <c r="B116"/>
      <c r="C116"/>
      <c r="D116"/>
      <c r="E116"/>
      <c r="F116"/>
      <c r="G116"/>
      <c r="I116" t="str">
        <f t="shared" ca="1" si="6"/>
        <v/>
      </c>
      <c r="J116" s="68"/>
      <c r="K116" s="68"/>
      <c r="L116" s="68"/>
      <c r="M116" s="748"/>
      <c r="N116" s="743" t="s">
        <v>687</v>
      </c>
      <c r="O116" s="743"/>
      <c r="P116" s="743"/>
      <c r="Q116" s="755"/>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744"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60%, com a respectiva alíquota de 5%.</v>
      </c>
      <c r="K118" s="744"/>
      <c r="L118" s="744"/>
      <c r="M118" s="744"/>
      <c r="N118" s="744"/>
      <c r="O118" s="744"/>
      <c r="P118" s="744"/>
      <c r="Q118" s="744"/>
      <c r="R118" s="744"/>
      <c r="S118" s="744"/>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744"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744"/>
      <c r="L120" s="744"/>
      <c r="M120" s="744"/>
      <c r="N120" s="744"/>
      <c r="O120" s="744"/>
      <c r="P120" s="744"/>
      <c r="Q120" s="744"/>
      <c r="R120" s="744"/>
      <c r="S120" s="744"/>
    </row>
    <row r="121" spans="1:19" x14ac:dyDescent="0.2">
      <c r="A121"/>
      <c r="B121"/>
      <c r="C121"/>
      <c r="D121"/>
      <c r="E121"/>
      <c r="F121"/>
      <c r="G121"/>
      <c r="I121" t="str">
        <f t="shared" ca="1" si="6"/>
        <v/>
      </c>
    </row>
    <row r="122" spans="1:19" x14ac:dyDescent="0.2">
      <c r="A122"/>
      <c r="B122"/>
      <c r="C122"/>
      <c r="D122"/>
      <c r="E122"/>
      <c r="F122"/>
      <c r="G122"/>
      <c r="I122" t="str">
        <f t="shared" ca="1" si="6"/>
        <v/>
      </c>
      <c r="J122" s="49" t="s">
        <v>690</v>
      </c>
    </row>
    <row r="123" spans="1:19" ht="110.1" customHeight="1" x14ac:dyDescent="0.2">
      <c r="A123"/>
      <c r="B123"/>
      <c r="C123"/>
      <c r="D123"/>
      <c r="E123"/>
      <c r="F123"/>
      <c r="G123"/>
      <c r="I123" t="str">
        <f t="shared" ca="1" si="6"/>
        <v/>
      </c>
      <c r="J123" s="756"/>
      <c r="K123" s="756"/>
      <c r="L123" s="756"/>
      <c r="M123" s="756"/>
      <c r="N123" s="756"/>
      <c r="O123" s="756"/>
      <c r="P123" s="756"/>
      <c r="Q123" s="756"/>
      <c r="R123" s="756"/>
      <c r="S123" s="756"/>
    </row>
    <row r="124" spans="1:19" x14ac:dyDescent="0.2">
      <c r="A124"/>
      <c r="B124"/>
      <c r="C124"/>
      <c r="D124"/>
      <c r="E124"/>
      <c r="F124"/>
      <c r="G124"/>
      <c r="I124" t="str">
        <f t="shared" ca="1" si="6"/>
        <v/>
      </c>
    </row>
    <row r="125" spans="1:19" x14ac:dyDescent="0.2">
      <c r="A125"/>
      <c r="B125"/>
      <c r="C125"/>
      <c r="D125"/>
      <c r="E125"/>
      <c r="F125"/>
      <c r="G125"/>
      <c r="I125" t="str">
        <f t="shared" ca="1" si="6"/>
        <v/>
      </c>
      <c r="J125" s="750" t="str">
        <f>Import.Município</f>
        <v>PASSOS/MG</v>
      </c>
      <c r="K125" s="750"/>
      <c r="L125" s="750"/>
      <c r="M125" s="750"/>
      <c r="P125" s="751">
        <f>DADOS!$C$25</f>
        <v>45945</v>
      </c>
      <c r="Q125" s="751"/>
      <c r="R125" s="751"/>
      <c r="S125" s="751"/>
    </row>
    <row r="126" spans="1:19" x14ac:dyDescent="0.2">
      <c r="A126"/>
      <c r="B126"/>
      <c r="C126"/>
      <c r="D126"/>
      <c r="E126"/>
      <c r="F126"/>
      <c r="G126"/>
      <c r="I126" t="str">
        <f t="shared" ca="1" si="6"/>
        <v/>
      </c>
      <c r="J126" s="752" t="s">
        <v>694</v>
      </c>
      <c r="K126" s="752"/>
      <c r="L126" s="752"/>
      <c r="M126" s="752"/>
      <c r="O126" s="73"/>
      <c r="P126" s="74" t="s">
        <v>695</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53"/>
      <c r="K128" s="753"/>
      <c r="L128" s="753"/>
      <c r="M128" s="753"/>
      <c r="N128" s="76"/>
    </row>
    <row r="129" spans="1:14" x14ac:dyDescent="0.2">
      <c r="A129"/>
      <c r="B129"/>
      <c r="C129"/>
      <c r="D129"/>
      <c r="E129"/>
      <c r="F129"/>
      <c r="G129"/>
      <c r="I129" t="str">
        <f t="shared" ca="1" si="6"/>
        <v/>
      </c>
      <c r="J129" s="749" t="s">
        <v>697</v>
      </c>
      <c r="K129" s="749"/>
      <c r="L129" s="749"/>
      <c r="M129" s="749"/>
    </row>
    <row r="130" spans="1:14" ht="14.25" x14ac:dyDescent="0.2">
      <c r="A130"/>
      <c r="B130"/>
      <c r="C130"/>
      <c r="D130"/>
      <c r="E130"/>
      <c r="F130"/>
      <c r="G130"/>
      <c r="I130" t="str">
        <f t="shared" ca="1" si="6"/>
        <v/>
      </c>
      <c r="J130" s="77" t="s">
        <v>240</v>
      </c>
      <c r="K130" s="78" t="str">
        <f t="array" ref="K130:K132">Import.RespOrçamento</f>
        <v>LUCAS REZENDE CARVALHO</v>
      </c>
      <c r="L130" s="79"/>
      <c r="M130" s="79"/>
      <c r="N130" s="76"/>
    </row>
    <row r="131" spans="1:14" ht="14.25" x14ac:dyDescent="0.2">
      <c r="A131"/>
      <c r="B131"/>
      <c r="C131"/>
      <c r="D131"/>
      <c r="E131"/>
      <c r="F131"/>
      <c r="G131"/>
      <c r="I131" t="str">
        <f t="shared" ca="1" si="6"/>
        <v/>
      </c>
      <c r="J131" s="77" t="s">
        <v>243</v>
      </c>
      <c r="K131" s="78" t="str">
        <v>126.061/D</v>
      </c>
      <c r="L131" s="79"/>
      <c r="M131" s="79"/>
      <c r="N131" s="76"/>
    </row>
    <row r="132" spans="1:14" ht="14.25" x14ac:dyDescent="0.2">
      <c r="A132"/>
      <c r="B132"/>
      <c r="C132"/>
      <c r="D132"/>
      <c r="E132"/>
      <c r="F132"/>
      <c r="G132"/>
      <c r="I132" t="str">
        <f t="shared" ca="1" si="6"/>
        <v/>
      </c>
      <c r="J132" s="77" t="s">
        <v>246</v>
      </c>
      <c r="K132" s="78" t="str">
        <v>MG20253685005</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646</v>
      </c>
    </row>
    <row r="140" spans="1:14" x14ac:dyDescent="0.2">
      <c r="A140" s="49" t="s">
        <v>659</v>
      </c>
    </row>
    <row r="141" spans="1:14" x14ac:dyDescent="0.2">
      <c r="A141" s="49" t="s">
        <v>663</v>
      </c>
    </row>
    <row r="142" spans="1:14" x14ac:dyDescent="0.2">
      <c r="A142" s="49" t="s">
        <v>674</v>
      </c>
    </row>
    <row r="143" spans="1:14" x14ac:dyDescent="0.2">
      <c r="A143" s="49" t="s">
        <v>675</v>
      </c>
    </row>
    <row r="144" spans="1:14" x14ac:dyDescent="0.2">
      <c r="A144" s="49" t="s">
        <v>666</v>
      </c>
    </row>
    <row r="145" spans="1:1" x14ac:dyDescent="0.2">
      <c r="A145" s="49" t="s">
        <v>688</v>
      </c>
    </row>
    <row r="146" spans="1:1" x14ac:dyDescent="0.2">
      <c r="A146" s="49" t="s">
        <v>691</v>
      </c>
    </row>
  </sheetData>
  <sheetProtection algorithmName="SHA-512" hashValue="+bRn+4C5ChwUj7lls2pvgx9aYPLrwxZdMfXt5b2E19r+m2j4goRN7KafLacTV/eCVxK1VsZQgtd7Sq5DouHXPw==" saltValue="ws7C+k0EYEtyPcyxCpCKpg==" spinCount="100000" sheet="1" objects="1" scenarios="1" autoFilter="0"/>
  <autoFilter ref="I11:I132" xr:uid="{00000000-0009-0000-0000-000003000000}"/>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878" priority="11" stopIfTrue="1">
      <formula>DESONERACAO="não"</formula>
    </cfRule>
  </conditionalFormatting>
  <conditionalFormatting sqref="U69:W69 U29:W29 U109:W109">
    <cfRule type="expression" dxfId="877" priority="12" stopIfTrue="1">
      <formula>AND(U29&lt;&gt;"OK",U29&lt;&gt;"-",U29&lt;&gt;"")</formula>
    </cfRule>
    <cfRule type="cellIs" dxfId="876" priority="13" stopIfTrue="1" operator="equal">
      <formula>"OK"</formula>
    </cfRule>
  </conditionalFormatting>
  <conditionalFormatting sqref="S29 S69 S109">
    <cfRule type="expression" dxfId="875" priority="14" stopIfTrue="1">
      <formula>DESONERACAO="não"</formula>
    </cfRule>
  </conditionalFormatting>
  <conditionalFormatting sqref="J23:S24">
    <cfRule type="expression" dxfId="874" priority="9">
      <formula>$J$17=$A$146</formula>
    </cfRule>
  </conditionalFormatting>
  <conditionalFormatting sqref="S21:S26">
    <cfRule type="expression" dxfId="873" priority="8">
      <formula>$J$17=$A$145</formula>
    </cfRule>
  </conditionalFormatting>
  <conditionalFormatting sqref="J63:S64">
    <cfRule type="expression" dxfId="872" priority="7">
      <formula>$J$57=$A$146</formula>
    </cfRule>
  </conditionalFormatting>
  <conditionalFormatting sqref="S61:S66">
    <cfRule type="expression" dxfId="871" priority="6">
      <formula>$J$57=$A$145</formula>
    </cfRule>
  </conditionalFormatting>
  <conditionalFormatting sqref="J103:S104">
    <cfRule type="expression" dxfId="870" priority="5">
      <formula>$J$97=$A$146</formula>
    </cfRule>
  </conditionalFormatting>
  <conditionalFormatting sqref="S101:S106">
    <cfRule type="expression" dxfId="869" priority="4">
      <formula>$J$97=$A$145</formula>
    </cfRule>
  </conditionalFormatting>
  <conditionalFormatting sqref="U21:W28">
    <cfRule type="cellIs" dxfId="868" priority="3" operator="notEqual">
      <formula>"OK"</formula>
    </cfRule>
  </conditionalFormatting>
  <conditionalFormatting sqref="U61:W68">
    <cfRule type="cellIs" dxfId="867" priority="2" operator="notEqual">
      <formula>"OK"</formula>
    </cfRule>
  </conditionalFormatting>
  <conditionalFormatting sqref="U101:W108">
    <cfRule type="cellIs" dxfId="866"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verticalDpi="300" r:id="rId1"/>
  <headerFooter alignWithMargins="0">
    <oddHeader>&amp;L_</oddHeader>
    <oddFooter>&amp;LPMv3.12&amp;R&amp;P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248"/>
  <sheetViews>
    <sheetView showGridLines="0" zoomScale="70" zoomScaleNormal="70"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700</v>
      </c>
      <c r="T1" s="82"/>
      <c r="X1" s="52" t="s">
        <v>645</v>
      </c>
      <c r="Y1" s="7"/>
      <c r="Z1" s="7"/>
      <c r="AA1" s="7"/>
      <c r="AB1" s="7"/>
    </row>
    <row r="2" spans="1:40" ht="15" x14ac:dyDescent="0.2">
      <c r="D2" t="s">
        <v>701</v>
      </c>
      <c r="E2" t="s">
        <v>702</v>
      </c>
      <c r="F2" t="s">
        <v>703</v>
      </c>
      <c r="G2" t="s">
        <v>704</v>
      </c>
      <c r="H2" t="s">
        <v>705</v>
      </c>
      <c r="I2" t="s">
        <v>706</v>
      </c>
      <c r="R2" s="83" t="str" cm="1">
        <f t="array" ref="R2">IF(TIPOORCAMENTO="licitado","Orçamento Licitado","Orçamento Base para Licitação")&amp;" - "&amp;import.recurso</f>
        <v>Orçamento Base para Licitação - FGTS</v>
      </c>
      <c r="X2" s="11" t="s">
        <v>648</v>
      </c>
      <c r="Y2" s="84"/>
      <c r="Z2" s="84"/>
      <c r="AA2" s="84"/>
      <c r="AB2" s="84"/>
    </row>
    <row r="3" spans="1:40" x14ac:dyDescent="0.2">
      <c r="H3" s="85"/>
      <c r="R3" s="86"/>
    </row>
    <row r="4" spans="1:40" x14ac:dyDescent="0.2">
      <c r="A4" t="s">
        <v>707</v>
      </c>
      <c r="F4" t="s">
        <v>664</v>
      </c>
      <c r="G4" t="s">
        <v>698</v>
      </c>
      <c r="H4" t="s">
        <v>699</v>
      </c>
      <c r="I4" s="87">
        <v>0</v>
      </c>
      <c r="O4" s="731" t="s">
        <v>651</v>
      </c>
      <c r="P4" s="731"/>
      <c r="Q4" s="88" t="s">
        <v>708</v>
      </c>
      <c r="R4" s="88" t="s">
        <v>653</v>
      </c>
      <c r="S4" s="731" t="s">
        <v>709</v>
      </c>
      <c r="T4" s="731"/>
      <c r="U4" s="731"/>
      <c r="V4" s="731"/>
      <c r="W4" s="731"/>
      <c r="X4" s="731"/>
      <c r="Y4" s="77"/>
      <c r="Z4" s="77"/>
      <c r="AA4" s="77"/>
      <c r="AB4" s="77"/>
    </row>
    <row r="5" spans="1:40" ht="12.75" customHeight="1" x14ac:dyDescent="0.2">
      <c r="A5" s="7">
        <f ca="1">MAX($C$15:$C$231)</f>
        <v>2</v>
      </c>
      <c r="B5" s="7"/>
      <c r="C5" s="7"/>
      <c r="F5" s="87">
        <f ca="1">IF(BDI.Opcao="DESONERADO",BDI!$S$30,BDI!$S$29)</f>
        <v>0.24740000000000001</v>
      </c>
      <c r="G5" s="87">
        <f ca="1">IF(BDI.Opcao="DESONERADO",BDI!$S$70,BDI!$S$69)</f>
        <v>0.1573</v>
      </c>
      <c r="H5" s="87">
        <f ca="1">IF(BDI.Opcao="DESONERADO",BDI!$S$110,BDI!$S$109)</f>
        <v>0</v>
      </c>
      <c r="O5" s="728" t="str">
        <f>Import.CR</f>
        <v>0639.998-99</v>
      </c>
      <c r="P5" s="728"/>
      <c r="Q5" s="91" t="str" cm="1">
        <f t="array" ref="Q5">Import.TransfereGOV</f>
        <v>56000003291</v>
      </c>
      <c r="R5" s="92" t="str">
        <f>Import.Proponente</f>
        <v>PREFEITURA MUNICIPAL DE PASSOS/MG</v>
      </c>
      <c r="S5" s="728" t="str">
        <f>Import.Apelido</f>
        <v>AMPLIAÇÃO DO SISTEMA DE ESGOTAMENTO SANITÁRIO</v>
      </c>
      <c r="T5" s="728"/>
      <c r="U5" s="728"/>
      <c r="V5" s="728"/>
      <c r="W5" s="728"/>
      <c r="X5" s="728"/>
      <c r="Y5" s="93"/>
      <c r="Z5" s="93"/>
      <c r="AA5" s="93"/>
      <c r="AB5" s="93"/>
      <c r="AE5" s="768" t="s">
        <v>710</v>
      </c>
      <c r="AF5" s="768"/>
    </row>
    <row r="6" spans="1:40" ht="5.0999999999999996" customHeight="1" x14ac:dyDescent="0.2">
      <c r="A6" s="7"/>
      <c r="B6" s="7"/>
      <c r="C6" s="7"/>
      <c r="H6" s="85"/>
      <c r="O6" s="94"/>
      <c r="P6" s="94"/>
      <c r="Q6" s="95"/>
      <c r="R6" s="95"/>
      <c r="S6" s="94"/>
      <c r="T6" s="94"/>
      <c r="U6" s="94"/>
      <c r="V6" s="94"/>
      <c r="W6" s="94"/>
      <c r="X6" s="94"/>
      <c r="Y6" s="93"/>
      <c r="Z6" s="93"/>
      <c r="AA6" s="93"/>
      <c r="AB6" s="93"/>
      <c r="AC6" s="96"/>
      <c r="AE6" s="89"/>
      <c r="AF6" s="90"/>
    </row>
    <row r="7" spans="1:40" ht="12.75" customHeight="1" x14ac:dyDescent="0.2">
      <c r="H7" s="85"/>
      <c r="O7" s="731" t="s">
        <v>711</v>
      </c>
      <c r="P7" s="731"/>
      <c r="Q7" s="88" t="s">
        <v>712</v>
      </c>
      <c r="R7" s="88" t="str" cm="1">
        <f t="array" ref="R7">IF(TIPOORCAMENTO="Licitado","NOME DA EMPRESA","DESCRIÇÃO DO LOTE")</f>
        <v>DESCRIÇÃO DO LOTE</v>
      </c>
      <c r="S7" s="769" t="str" cm="1">
        <f t="array" ref="S7">IF(TIPOORCAMENTO="Licitado","REGIME DE EXECUÇÃO","MUNICÍPIO / UF")</f>
        <v>MUNICÍPIO / UF</v>
      </c>
      <c r="T7" s="769"/>
      <c r="U7" s="769"/>
      <c r="V7" s="98" t="str" cm="1">
        <f t="array" ref="V7">IF(TIPOORCAMENTO="Licitado","","BDI 1")</f>
        <v>BDI 1</v>
      </c>
      <c r="W7" s="98" t="str" cm="1">
        <f t="array" ref="W7">IF(TIPOORCAMENTO="Licitado","","BDI 2")</f>
        <v>BDI 2</v>
      </c>
      <c r="X7" s="99" t="str" cm="1">
        <f t="array" ref="X7">IF(TIPOORCAMENTO="Licitado","Nº CTEF","BDI 3")</f>
        <v>BDI 3</v>
      </c>
      <c r="Y7" s="98"/>
      <c r="Z7" s="98"/>
      <c r="AE7" s="89" t="s">
        <v>713</v>
      </c>
      <c r="AF7" s="90" t="b">
        <v>1</v>
      </c>
      <c r="AJ7" s="772" t="s">
        <v>714</v>
      </c>
      <c r="AL7" s="770" t="s">
        <v>715</v>
      </c>
    </row>
    <row r="8" spans="1:40" ht="12.75" customHeight="1" x14ac:dyDescent="0.2">
      <c r="A8" s="7"/>
      <c r="B8" s="7"/>
      <c r="C8" s="7"/>
      <c r="F8" s="766" t="str">
        <f ca="1">IF(LEN(INFO("release"))&gt;5,"'Referência "&amp;Excel_BuiltIn_Database&amp;".xlsm'#Banco.$a5:$a$65536","'[Referência "&amp;Excel_BuiltIn_Database&amp;".xlsm]Banco'!$a5:$a$65536")</f>
        <v>'[Referência 09-2025.xlsm]Banco'!$a5:$a$65536</v>
      </c>
      <c r="G8" s="766"/>
      <c r="H8" s="766"/>
      <c r="I8" s="766"/>
      <c r="J8" s="766"/>
      <c r="K8" s="766"/>
      <c r="L8" s="757" t="s">
        <v>656</v>
      </c>
      <c r="O8" s="728" t="str">
        <f ca="1">IF(ISERROR(INDIRECT($F$9)),"(N/D: 'Referência "&amp;Excel_BuiltIn_Database&amp;".xlsm)",INDIRECT($F$9))</f>
        <v>(N/D: 'Referência 09-2025.xlsm)</v>
      </c>
      <c r="P8" s="728"/>
      <c r="Q8" s="100" t="str" cm="1">
        <f t="array" aca="1" ref="Q8" ca="1">TEXT(Import.DataBase,"mm-aa")&amp;IF(DESONERACAO="Sim"," (DES.)"," (N DES.)")</f>
        <v>09-25 (N DES.)</v>
      </c>
      <c r="R8" s="92" t="str" cm="1">
        <f t="array" ref="R8">IF(TIPOORCAMENTO="Licitado",Import.empresa,Import.DescLote)</f>
        <v>ELEVATÓRIA DE ESGOTO BRUTO ACLIMAÇÃO, LINHA DE RECALQUE E EMISSÁRIO DE ESGOTO</v>
      </c>
      <c r="S8" s="767" t="str" cm="1">
        <f t="array" ref="S8">IF(TIPOORCAMENTO="Licitado",Import.RegimeExecução,Import.Município)</f>
        <v>PASSOS/MG</v>
      </c>
      <c r="T8" s="767"/>
      <c r="U8" s="767"/>
      <c r="V8" s="101" t="str" cm="1">
        <f t="array" aca="1" ref="V8" ca="1">IF(TIPOORCAMENTO="Licitado","",TEXT(F5,"0,00%"))</f>
        <v>24,74%</v>
      </c>
      <c r="W8" s="101" t="str" cm="1">
        <f t="array" aca="1" ref="W8" ca="1">IF(TIPOORCAMENTO="Licitado","",TEXT(G5,"0,00%"))</f>
        <v>15,73%</v>
      </c>
      <c r="X8" s="102" t="str" cm="1">
        <f t="array" aca="1" ref="X8" ca="1">IF(TIPOORCAMENTO="Licitado",Import.CTEF,TEXT(H5,"0,00%"))</f>
        <v>0,00%</v>
      </c>
      <c r="Y8" s="757" t="s">
        <v>716</v>
      </c>
      <c r="Z8" s="757" t="s">
        <v>717</v>
      </c>
      <c r="AA8" s="103"/>
      <c r="AB8" s="103"/>
      <c r="AE8" s="89" t="s">
        <v>718</v>
      </c>
      <c r="AF8" s="90" t="b">
        <v>1</v>
      </c>
      <c r="AJ8" s="772"/>
      <c r="AL8" s="770"/>
    </row>
    <row r="9" spans="1:40" ht="12.75" customHeight="1" x14ac:dyDescent="0.2">
      <c r="F9" s="766" t="str">
        <f ca="1">IF(LEN(INFO("release"))&gt;5,"'Referência "&amp;Excel_BuiltIn_Database&amp;".xlsm'#Banco.$d$3","'[Referência "&amp;Excel_BuiltIn_Database&amp;".xlsm]Banco'!$d$3")</f>
        <v>'[Referência 09-2025.xlsm]Banco'!$d$3</v>
      </c>
      <c r="G9" s="766"/>
      <c r="H9" s="766"/>
      <c r="I9" s="766"/>
      <c r="J9" s="766"/>
      <c r="K9" s="766"/>
      <c r="L9" s="757"/>
      <c r="Y9" s="757"/>
      <c r="Z9" s="757"/>
      <c r="AE9" s="89" t="s">
        <v>23</v>
      </c>
      <c r="AF9" s="90" t="b">
        <v>1</v>
      </c>
      <c r="AJ9" s="772"/>
      <c r="AL9" s="770"/>
    </row>
    <row r="10" spans="1:40" x14ac:dyDescent="0.2">
      <c r="G10" s="85"/>
      <c r="H10" s="85"/>
      <c r="L10" s="757"/>
      <c r="Y10" s="757"/>
      <c r="Z10" s="757"/>
      <c r="AC10" s="104" t="s">
        <v>719</v>
      </c>
      <c r="AE10" s="89" t="s">
        <v>720</v>
      </c>
      <c r="AF10" s="90" t="b">
        <v>1</v>
      </c>
      <c r="AJ10" s="772"/>
      <c r="AL10" s="770"/>
    </row>
    <row r="11" spans="1:40" x14ac:dyDescent="0.2">
      <c r="G11" s="85"/>
      <c r="H11" s="105"/>
      <c r="L11" s="757"/>
      <c r="Y11" s="757"/>
      <c r="Z11" s="757"/>
      <c r="AC11" s="106" t="str">
        <f ca="1">IF(COUNTIFS($L$15:$L$231,"F",$AC$15:$AC$231,"&lt;&gt;"&amp;" ")&gt;0,"NÃO OK","OK")</f>
        <v>NÃO OK</v>
      </c>
      <c r="AE11" s="89" t="s">
        <v>721</v>
      </c>
      <c r="AF11" s="90" t="b">
        <v>1</v>
      </c>
      <c r="AJ11" s="772"/>
      <c r="AL11" s="770"/>
    </row>
    <row r="12" spans="1:40" ht="20.100000000000001" customHeight="1" x14ac:dyDescent="0.2">
      <c r="G12" s="85"/>
      <c r="H12" s="85"/>
      <c r="L12" s="757"/>
      <c r="O12" s="598" t="str" cm="1">
        <f t="array" aca="1" ref="O12" ca="1">IF(COUNTIF($AC$15:$AC$231,"FONTE")&gt;0,"Falta preencher a Fonte (coluna P) na Linha "&amp;(14+MATCH("FONTE",$AC$15:$AC$231,0)),
 IF(COUNTIF($AC$15:$AC$231,"CÓDIGO")&gt;0,"Falta preencher o Código (coluna Q) na Linha "&amp;(14+MATCH("CÓDIGO",$AC$15:$AC$231,0)),
 IF(COUNTIF($AC$15:$AC$231,"CÓDIGO N/ID")&gt;0,"Código (coluna Q) não identificado na Linha "&amp;(14+MATCH("CÓDIGO N/ID",$AC$15:$AC$231,0))&amp;". Verifique se o código está correto ou busque outro código",
 IF(COUNTIF($AC$15:$AC$231,"DESCRIÇÃO")&gt;0,"Falta preencher a Descrição (coluna R) na Linha "&amp;(14+MATCH("DESCRIÇÃO",$AC$15:$AC$231,0)),
 IF(COUNTIF($AC$15:$AC$231,"UNIDADE")&gt;0,"Falta preencher a Unidade (coluna S) na Linha "&amp;(14+MATCH("UNIDADE",$AC$15:$AC$231,0)),
 IF(COUNTIF($AC$15:$AC$231,"SEM CUSTO")&gt;0,"Falta preencher o Custo Unitário (coluna U) na Linha "&amp;(14+MATCH("SEM CUSTO",$AC$15:$AC$231,0)),
 IF(COUNTIF($AC$15:$AC$231,"SEM PREÇO")&gt;0,"Falta preencher o Preço Unitário licitado (coluna AL) na Linha "&amp;(14+MATCH("SEM CUSTO",$AC$15:$AC$231,0)),
 IF(COUNTIF($AC$15:$AC$231,"BDI")&gt;0,"Falta definir o BDI (coluna V) na Linha "&amp;(14+MATCH("BDI",$AC$15:$AC$231,0)),
 IF(COUNTIF($AC$15:$AC$231,"ACIMA REF.")&gt;0,
         IF(TIPOORCAMENTO="Proposto","O custo unitário (coluna U) na Linha "&amp;(14+MATCH("ACIMA REF.",$AC$15:$AC$231,0))&amp;" está acima do custo referencial (coluna AG)",
            "O preço unitário licitado (coluna AL) na Linha "&amp;(14+MATCH("ACIMA REF.",$AC$15:$AC$231,0))&amp;" está acima do preço referencial do edital (coluna AN)"),
 IF(COUNTIF($AC$15:$AC$231,"QUANT.")&gt;0,"Falta a Quantidade do serviço na Linha "&amp;(14+MATCH("QUANT.",$AC$15:$AC$231,0))&amp;IF(ACOMPANHAMENTO="PLE",". Preencher na aba CÁLCULO",". Preencher na coluna AJ"),
 IF(COUNTIF($AC$15:$AC$231,"Código &gt;13")&gt;0,"O tamanho do código do serviço no TransfereGOV é limitado a 13 caracteres. Resuma o código (coluna Q) na Linha "&amp;(14+MATCH("Código &gt;13",$AC$15:$AC$231,0)),
 IF(COUNTIF($AC$15:$AC$231,"Descrição &gt;100")&gt;0,"O tamanho da descrição de macrosserviço no TransfereGOV é limitado a 100 caracteres. Resuma a descrição (coluna R) na Linha "&amp;(14+MATCH("Descrição &gt;100",$AC$15:$AC$231,0)),
 IF(COUNTIF($AC$15:$AC$231,"Descrição &gt;500")&gt;0,"O tamanho da descrição de serviço no TransfereGOV é limitado a 500 caracteres. Resuma a descrição (coluna R) na Linha "&amp;(14+MATCH("Descrição &gt;500",$AC$15:$AC$231,0)),
 IF(COUNTIF($AC$15:$AC$231,"Unid. Não Disp")&gt;0,"Unidade não disponível na lista do TransfereGOV. Reveja a unidade (coluna S) na Linha "&amp;(14+MATCH("Unid. Não Disp",$AC$15:$AC$231,0)),
 IF(AND(TIPOORCAMENTO="Proposto",LEFT($O$8,5)="(N/D:"),"Abra o arquivo Referência "&amp;_xlfn.SINGLE(Excel_BuiltIn_Database)&amp;".xlsm","")))))))))))))))</f>
        <v>Falta preencher o Custo Unitário (coluna U) na Linha 18</v>
      </c>
      <c r="Y12" s="757"/>
      <c r="Z12" s="757"/>
      <c r="AA12" s="771" t="s">
        <v>722</v>
      </c>
      <c r="AB12" s="771"/>
      <c r="AJ12" s="107" t="s">
        <v>661</v>
      </c>
      <c r="AL12" s="459" t="s">
        <v>661</v>
      </c>
    </row>
    <row r="13" spans="1:40" ht="35.1" customHeight="1" x14ac:dyDescent="0.2">
      <c r="A13" s="108" t="s">
        <v>723</v>
      </c>
      <c r="B13" s="108" t="s">
        <v>724</v>
      </c>
      <c r="C13" s="108" t="s">
        <v>725</v>
      </c>
      <c r="D13" s="108" t="s">
        <v>726</v>
      </c>
      <c r="E13" s="108" t="s">
        <v>727</v>
      </c>
      <c r="F13" s="108" t="s">
        <v>728</v>
      </c>
      <c r="G13" s="108" t="s">
        <v>729</v>
      </c>
      <c r="H13" s="108" t="s">
        <v>730</v>
      </c>
      <c r="I13" s="108" t="s">
        <v>731</v>
      </c>
      <c r="J13" s="108" t="s">
        <v>732</v>
      </c>
      <c r="K13" s="108" t="s">
        <v>733</v>
      </c>
      <c r="L13" s="107" t="s">
        <v>661</v>
      </c>
      <c r="M13" s="108" t="s">
        <v>734</v>
      </c>
      <c r="N13" s="109" t="s">
        <v>735</v>
      </c>
      <c r="O13" s="108" t="s">
        <v>736</v>
      </c>
      <c r="P13" s="108" t="s">
        <v>737</v>
      </c>
      <c r="Q13" s="108" t="s">
        <v>738</v>
      </c>
      <c r="R13" s="108" t="s">
        <v>118</v>
      </c>
      <c r="S13" s="110" t="s">
        <v>739</v>
      </c>
      <c r="T13" s="108" t="s">
        <v>713</v>
      </c>
      <c r="U13" s="108" t="str" cm="1">
        <f t="array" ref="U13">IF(TIPOORCAMENTO="Licitado","","Custo Unitário (sem BDI) (R$)")</f>
        <v>Custo Unitário (sem BDI) (R$)</v>
      </c>
      <c r="V13" s="108" t="str" cm="1">
        <f t="array" ref="V13">IF(TIPOORCAMENTO="Licitado","","BDI
(%)")</f>
        <v>BDI
(%)</v>
      </c>
      <c r="W13" s="108" t="s">
        <v>740</v>
      </c>
      <c r="X13" s="108" t="s">
        <v>741</v>
      </c>
      <c r="Y13" s="107" t="s">
        <v>661</v>
      </c>
      <c r="Z13" s="107" t="s">
        <v>661</v>
      </c>
      <c r="AA13" s="111" t="s">
        <v>742</v>
      </c>
      <c r="AB13" s="112" t="s">
        <v>743</v>
      </c>
      <c r="AC13" s="108" t="s">
        <v>744</v>
      </c>
      <c r="AD13" s="113" t="s">
        <v>745</v>
      </c>
      <c r="AE13" s="113" t="s">
        <v>746</v>
      </c>
      <c r="AF13" s="113" t="s">
        <v>747</v>
      </c>
      <c r="AG13" s="160" t="s">
        <v>748</v>
      </c>
      <c r="AH13" s="428" t="str" cm="1">
        <f t="array" ref="AH13">IF(TIPOORCAMENTO="LICITADO","Valor BDI Edital","Valor BDI")</f>
        <v>Valor BDI</v>
      </c>
      <c r="AJ13" s="293" t="s">
        <v>713</v>
      </c>
      <c r="AL13" s="293" t="s">
        <v>740</v>
      </c>
      <c r="AM13" s="160" t="s">
        <v>749</v>
      </c>
      <c r="AN13" s="161" t="s">
        <v>750</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IF($C14=1,OFFSET(E14,-1,0)+MAX(1,COUNTIF(QCI!$A$13:$A$15,OFFSET(ORÇAMENTO!E14,-1,0))),OFFSET(E14,-1,0))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IF(OR($C14="S",$C14=0),0,MATCH(0,OFFSET($D14,1,$C14,ROW($C$231)-ROW($C14)),0))</f>
        <v>0</v>
      </c>
      <c r="K14">
        <f ca="1">IF(OR($C14="S",$C14=0),0,MATCH(OFFSET($D14,0,$C14)+IF($C14&lt;&gt;1,1,COUNTIF(QCI!$A$13:$A$15,ORÇAMENTO!E14)),OFFSET($D14,1,$C14,ROW($C$231)-ROW($C14)),0))</f>
        <v>0</v>
      </c>
      <c r="L14" s="115" t="str">
        <f ca="1">IF(OR($X14&gt;0,$C14=1,$C14=2,$C14=3,$C14=4),"F","")</f>
        <v/>
      </c>
      <c r="M14" s="116" t="s">
        <v>706</v>
      </c>
      <c r="N14" s="117" t="str">
        <f ca="1">CHOOSE(1+LOG(1+2*(C14=1)+4*(C14=2)+8*(C14=3)+16*(C14=4)+32*(C14="S"),2),"","Meta","Nível 2","Nível 3","Nível 4","Serviço")</f>
        <v>Serviço</v>
      </c>
      <c r="O14" s="118" t="str">
        <f ca="1">IF(OR($C14=0,$L14=""),"-",CONCATENATE(E14&amp;".",IF(AND($A$5&gt;=2,$C14&gt;=2),F14&amp;".",""),IF(AND($A$5&gt;=3,$C14&gt;=3),G14&amp;".",""),IF(AND($A$5&gt;=4,$C14&gt;=4),H14&amp;".",""),IF($C14="S",I14&amp;".","")))</f>
        <v>-</v>
      </c>
      <c r="P14" s="119" t="s">
        <v>751</v>
      </c>
      <c r="Q14" s="120"/>
      <c r="R14" s="121" t="str">
        <f ca="1">IF($C14="S",REFERENCIA.Descricao,"(digite a descrição aqui)")</f>
        <v>(abra o arquivo 'Referência 09-2025.xlsm)</v>
      </c>
      <c r="S14" s="122" t="str">
        <f ca="1">REFERENCIA.Unidade</f>
        <v>-</v>
      </c>
      <c r="T14" s="123">
        <f ca="1">OFFSET(CÁLCULO!H$15,ROW($T14)-ROW(T$15),0)</f>
        <v>0</v>
      </c>
      <c r="U14" s="124"/>
      <c r="V14" s="125" t="s">
        <v>664</v>
      </c>
      <c r="W14" s="123">
        <f ca="1">IF($C14="S",ROUND(IF(TIPOORCAMENTO="Proposto",ORÇAMENTO.CustoUnitario*(1+$AH14),ORÇAMENTO.PrecoUnitarioLicitado),15-13*$AF$10),0)</f>
        <v>0</v>
      </c>
      <c r="X14" s="126" cm="1">
        <f t="array" aca="1" ref="X14" ca="1">IF($C14="S",IF(OR(Import.TipoArredondamento&lt;&gt;"TransfereGOV",ACOMPANHAMENTO="BM"),VTOTAL1,SUM(OFFSET(CÁLCULO!$AA$15,ROW($X14)-ROW($X$15),1):OFFSET(CÁLCULO!$AL$15,ROW($X14)-ROW($X$15),-1))),IF($C14=0,0,ROUND(SomaAgrup,15-13*$AF$11)))</f>
        <v>0</v>
      </c>
      <c r="Y14" s="127" t="s">
        <v>752</v>
      </c>
      <c r="Z14" t="str">
        <f ca="1">IF(AND($C14="S",$X14&gt;0),IF(ISBLANK($Y14),"RA",LEFT($Y14,2)),"")</f>
        <v/>
      </c>
      <c r="AA14" s="128">
        <f ca="1">IF($C14="S",IF($Z14="CP",$X14,IF($Z14="RA",(($X14)*QCI!$AA$3),0)),SomaAgrup)</f>
        <v>0</v>
      </c>
      <c r="AB14" s="129">
        <f ca="1">IF($C14="S",IF($Z14="OU",ROUND($X14,2),0),SomaAgrup)</f>
        <v>0</v>
      </c>
      <c r="AC14" s="566" t="e"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IF(AND(_xlfn.SINGLE(TIPOORCAMENTO)="Licitado",$AL14=0,$AN14&gt;0),"SEM PREÇO",
IF(AND($C14="S",$P14&lt;&gt;"",$Q14&lt;&gt;"",$U14&gt;0,$V14=0),"BDI",
IF(OR(AND(TIPOORCAMENTO="Proposto",LEFT($O$8,5)&lt;&gt;"(N/D:",$AG14&lt;&gt;"",ORÇAMENTO.CustoUnitario&gt;$AG14),AND(TIPOORCAMENTO="LICITADO",ORÇAMENTO.PrecoUnitarioLicitado&gt;$AN14)),"ACIMA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#NAME?</v>
      </c>
      <c r="AD14" t="str">
        <f ca="1">IF(C14&lt;=CRONO.NivelExibicao,MAX($AD$15:OFFSET(AD14,-1,0))+IF($C14&lt;&gt;1,1,MAX(1,COUNTIF(QCI!$A$13:$A$15,OFFSET($E14,-1,0)))),"")</f>
        <v/>
      </c>
      <c r="AE14" s="7" t="b">
        <f ca="1">IF(AND($C14="S",ORÇAMENTO.CodBarra&lt;&gt;""),IF(ORÇAMENTO.Fonte="",ORÇAMENTO.CodBarra,CONCATENATE(ORÇAMENTO.Fonte," ",ORÇAMENTO.CodBarra)))</f>
        <v>0</v>
      </c>
      <c r="AF14" s="12" t="str">
        <f ca="1">IF(ISERROR(INDIRECT(ORÇAMENTO.BancoRef)),"(abra o arquivo 'Referência "&amp;Excel_BuiltIn_Database&amp;".xlsm)",IF(OR($C14&lt;&gt;"S",ORÇAMENTO.CodBarra=""),"(Sem Código)",IF(ISERROR(MATCH($AE14,INDIRECT(ORÇAMENTO.BancoRef),0)),"(Código não identificado nas referências)",MATCH($AE14,INDIRECT(ORÇAMENTO.BancoRef),0))))</f>
        <v>(abra o arquivo 'Referência 09-2025.xlsm)</v>
      </c>
      <c r="AG14" s="429">
        <f ca="1">ROUND(IF(DESONERACAO="sim",REFERENCIA.Desonerado,REFERENCIA.NaoDesonerado),2)</f>
        <v>0</v>
      </c>
      <c r="AH14" s="430">
        <f ca="1">ROUND(IF(ISNUMBER(ORÇAMENTO.OpcaoBDI),ORÇAMENTO.OpcaoBDI,IF(LEFT(ORÇAMENTO.OpcaoBDI,3)="BDI",HLOOKUP(ORÇAMENTO.OpcaoBDI,$F$4:$H$5,2,FALSE),0)),15-11*$AF$9)</f>
        <v>0.24740000000000001</v>
      </c>
      <c r="AJ14" s="432"/>
      <c r="AL14" s="440"/>
      <c r="AM14" s="337">
        <f t="shared" ref="AM14:AM230" ca="1" si="0">$X14</f>
        <v>0</v>
      </c>
      <c r="AN14" s="471">
        <f ca="1">ROUND(ORÇAMENTO.CustoUnitario*(1+$AH14),2)</f>
        <v>0</v>
      </c>
    </row>
    <row r="15" spans="1:40" ht="12.75" customHeight="1" x14ac:dyDescent="0.2">
      <c r="A15">
        <v>0</v>
      </c>
      <c r="C15" t="s">
        <v>655</v>
      </c>
      <c r="D15">
        <f ca="1">COUNTA(OFFSET(D15,1,0):D$231)</f>
        <v>215</v>
      </c>
      <c r="E15">
        <v>0</v>
      </c>
      <c r="L15" s="115" t="s">
        <v>537</v>
      </c>
      <c r="M15" s="131" t="str">
        <f>IF(TIPOORCAMENTO="LICITADO","CTEF","LOTE")</f>
        <v>LOTE</v>
      </c>
      <c r="N15" s="131" t="str">
        <f>IF(TIPOORCAMENTO="LICITADO","CTEF","LOTE")</f>
        <v>LOTE</v>
      </c>
      <c r="O15" s="759" t="str">
        <f>Import.DescLote</f>
        <v>ELEVATÓRIA DE ESGOTO BRUTO ACLIMAÇÃO, LINHA DE RECALQUE E EMISSÁRIO DE ESGOTO</v>
      </c>
      <c r="P15" s="760"/>
      <c r="Q15" s="760"/>
      <c r="R15" s="760"/>
      <c r="S15" s="614"/>
      <c r="T15" s="615"/>
      <c r="U15" s="615"/>
      <c r="V15" s="616"/>
      <c r="W15" s="615"/>
      <c r="X15" s="132">
        <f ca="1">SUMIF(OFFSET($C15,1,0,ROW(X231)-ROW(X15)-1),"S",OFFSET(X15,1,0,ROW(X231)-ROW(X15)-1))</f>
        <v>0</v>
      </c>
      <c r="Y15" s="7"/>
      <c r="Z15" t="str">
        <f ca="1">IF(AND($C15="S",$X15&gt;0),LEFT($Y15,2),"")</f>
        <v/>
      </c>
      <c r="AA15" s="427">
        <f ca="1">SUMIF(OFFSET($C15,1,0,ROW(AA231)-ROW(AA15)-1),"S",OFFSET(AA15,1,0,ROW(AA231)-ROW(AA15)-1))</f>
        <v>0</v>
      </c>
      <c r="AB15" s="133">
        <f ca="1">SUMIF(OFFSET($C15,1,0,ROW(AB231)-ROW(AB15)-1),"S",OFFSET(AB15,1,0,ROW(AB231)-ROW(AB15)-1))</f>
        <v>0</v>
      </c>
      <c r="AC15" s="130" t="s">
        <v>753</v>
      </c>
      <c r="AG15" s="442"/>
      <c r="AH15" s="443"/>
      <c r="AJ15" s="431"/>
      <c r="AL15" s="441"/>
      <c r="AM15" s="472">
        <f t="shared" ca="1" si="0"/>
        <v>0</v>
      </c>
      <c r="AN15" s="473"/>
    </row>
    <row r="16" spans="1:40" s="675" customFormat="1" ht="25.5" x14ac:dyDescent="0.2">
      <c r="A16" s="675">
        <f t="shared" ref="A16:A73" si="1">CHOOSE(1+LOG(1+2*(ORÇAMENTO.Nivel="Meta")+4*(ORÇAMENTO.Nivel="Nível 2")+8*(ORÇAMENTO.Nivel="Nível 3")+16*(ORÇAMENTO.Nivel="Nível 4")+32*(ORÇAMENTO.Nivel="Serviço"),2),0,1,2,3,4,"S")</f>
        <v>1</v>
      </c>
      <c r="B16" s="675">
        <f t="shared" ref="B16:B73" ca="1" si="2">IF(OR(C16="s",C16=0),OFFSET(B16,-1,0),C16)</f>
        <v>1</v>
      </c>
      <c r="C16" s="675">
        <f t="shared" ref="C16:C73" ca="1" si="3">IF(OFFSET(C16,-1,0)="L",1,IF(OFFSET(C16,-1,0)=1,2,IF(OR(A16="s",A16=0),"S",IF(AND(OFFSET(C16,-1,0)=2,A16=4),3,IF(AND(OR(OFFSET(C16,-1,0)="s",OFFSET(C16,-1,0)=0),A16&lt;&gt;"s",A16&gt;OFFSET(B16,-1,0)),OFFSET(B16,-1,0),A16)))))</f>
        <v>1</v>
      </c>
      <c r="D16" s="675">
        <f t="shared" ref="D16:D73" ca="1" si="4">IF(OR(C16="S",C16=0),0,IF(ISERROR(K16),J16,SMALL(J16:K16,1)))</f>
        <v>215</v>
      </c>
      <c r="E16" s="675">
        <f ca="1">IF($C16=1,OFFSET(E16,-1,0)+MAX(1,COUNTIF(QCI!$A$13:$A$15,OFFSET(ORÇAMENTO!E16,-1,0))),OFFSET(E16,-1,0))</f>
        <v>1</v>
      </c>
      <c r="F16" s="675">
        <f t="shared" ref="F16:F73" ca="1" si="5">IF($C16=1,0,IF($C16=2,OFFSET(F16,-1,0)+1,OFFSET(F16,-1,0)))</f>
        <v>0</v>
      </c>
      <c r="G16" s="675">
        <f t="shared" ref="G16:G73" ca="1" si="6">IF(AND($C16&lt;=2,$C16&lt;&gt;0),0,IF($C16=3,OFFSET(G16,-1,0)+1,OFFSET(G16,-1,0)))</f>
        <v>0</v>
      </c>
      <c r="H16" s="675">
        <f t="shared" ref="H16:H73" ca="1" si="7">IF(AND($C16&lt;=3,$C16&lt;&gt;0),0,IF($C16=4,OFFSET(H16,-1,0)+1,OFFSET(H16,-1,0)))</f>
        <v>0</v>
      </c>
      <c r="I16" s="675">
        <f t="shared" ref="I16:I73" ca="1" si="8">IF(AND($C16&lt;=4,$C16&lt;&gt;0),0,IF(AND($C16="S",$X16&gt;0),OFFSET(I16,-1,0)+1,OFFSET(I16,-1,0)))</f>
        <v>0</v>
      </c>
      <c r="J16" s="675">
        <f t="shared" ref="J16:J47" ca="1" si="9">IF(OR($C16="S",$C16=0),0,MATCH(0,OFFSET($D16,1,$C16,ROW($C$231)-ROW($C16)),0))</f>
        <v>215</v>
      </c>
      <c r="K16" s="675" t="e">
        <f ca="1">IF(OR($C16="S",$C16=0),0,MATCH(OFFSET($D16,0,$C16)+IF($C16&lt;&gt;1,1,COUNTIF(QCI!$A$13:$A$15,ORÇAMENTO!E16)),OFFSET($D16,1,$C16,ROW($C$231)-ROW($C16)),0))</f>
        <v>#N/A</v>
      </c>
      <c r="L16" s="115" t="str">
        <f t="shared" ref="L16:L73" ca="1" si="10">IF(OR($X16&gt;0,$C16=1,$C16=2,$C16=3,$C16=4),"F","")</f>
        <v>F</v>
      </c>
      <c r="M16" s="116" t="s">
        <v>702</v>
      </c>
      <c r="N16" s="117" t="str">
        <f t="shared" ref="N16:N73" ca="1" si="11">CHOOSE(1+LOG(1+2*(C16=1)+4*(C16=2)+8*(C16=3)+16*(C16=4)+32*(C16="S"),2),"","Meta","Nível 2","Nível 3","Nível 4","Serviço")</f>
        <v>Meta</v>
      </c>
      <c r="O16" s="118" t="str">
        <f t="shared" ref="O16:O73" ca="1" si="12">IF(OR($C16=0,$L16=""),"-",CONCATENATE(E16&amp;".",IF(AND($A$5&gt;=2,$C16&gt;=2),F16&amp;".",""),IF(AND($A$5&gt;=3,$C16&gt;=3),G16&amp;".",""),IF(AND($A$5&gt;=4,$C16&gt;=4),H16&amp;".",""),IF($C16="S",I16&amp;".","")))</f>
        <v>1.</v>
      </c>
      <c r="P16" s="119" t="s">
        <v>751</v>
      </c>
      <c r="Q16" s="120"/>
      <c r="R16" s="121" t="s">
        <v>958</v>
      </c>
      <c r="S16" s="122" t="str">
        <f ca="1">REFERENCIA.Unidade</f>
        <v>-</v>
      </c>
      <c r="T16" s="123">
        <f ca="1">OFFSET(CÁLCULO!H$15,ROW($T16)-ROW(T$15),0)</f>
        <v>0</v>
      </c>
      <c r="U16" s="124"/>
      <c r="V16" s="125" t="s">
        <v>664</v>
      </c>
      <c r="W16" s="123">
        <f ca="1">IF($C16="S",ROUND(IF(TIPOORCAMENTO="Proposto",ORÇAMENTO.CustoUnitario*(1+$AH16),ORÇAMENTO.PrecoUnitarioLicitado),15-13*$AF$10),0)</f>
        <v>0</v>
      </c>
      <c r="X16" s="126" cm="1">
        <f t="array" aca="1" ref="X16" ca="1">IF($C16="S",IF(OR(Import.TipoArredondamento&lt;&gt;"TransfereGOV",ACOMPANHAMENTO="BM"),VTOTAL1,SUM(OFFSET(CÁLCULO!$AA$15,ROW($X16)-ROW($X$15),1):OFFSET(CÁLCULO!$AL$15,ROW($X16)-ROW($X$15),-1))),IF($C16=0,0,ROUND(SomaAgrup,15-13*$AF$11)))</f>
        <v>0</v>
      </c>
      <c r="Y16" s="127" t="s">
        <v>752</v>
      </c>
      <c r="Z16" s="675" t="str">
        <f t="shared" ref="Z16:Z73" ca="1" si="13">IF(AND($C16="S",$X16&gt;0),IF(ISBLANK($Y16),"RA",LEFT($Y16,2)),"")</f>
        <v/>
      </c>
      <c r="AA16" s="128">
        <f ca="1">IF($C16="S",IF($Z16="CP",$X16,IF($Z16="RA",(($X16)*QCI!$AA$3),0)),SomaAgrup)</f>
        <v>0</v>
      </c>
      <c r="AB16" s="129">
        <f t="shared" ref="AB16:AB73" ca="1" si="14">IF($C16="S",IF($Z16="OU",ROUND($X16,2),0),SomaAgrup)</f>
        <v>0</v>
      </c>
      <c r="AC16" s="566" t="e"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IF(AND(_xlfn.SINGLE(TIPOORCAMENTO)="Licitado",$AL16=0,$AN16&gt;0),"SEM PREÇO",
IF(AND($C16="S",$P16&lt;&gt;"",$Q16&lt;&gt;"",$U16&gt;0,$V16=0),"BDI",
IF(OR(AND(TIPOORCAMENTO="Proposto",LEFT($O$8,5)&lt;&gt;"(N/D:",$AG16&lt;&gt;"",ORÇAMENTO.CustoUnitario&gt;$AG16),AND(TIPOORCAMENTO="LICITADO",ORÇAMENTO.PrecoUnitarioLicitado&gt;$AN16)),"ACIMA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#NAME?</v>
      </c>
      <c r="AD16" s="675">
        <f ca="1">IF(C16&lt;=CRONO.NivelExibicao,MAX($AD$15:OFFSET(AD16,-1,0))+IF($C16&lt;&gt;1,1,MAX(1,COUNTIF(QCI!$A$13:$A$15,OFFSET($E16,-1,0)))),"")</f>
        <v>1</v>
      </c>
      <c r="AE16" s="671" t="b">
        <f ca="1">IF(AND($C16="S",ORÇAMENTO.CodBarra&lt;&gt;""),IF(ORÇAMENTO.Fonte="",ORÇAMENTO.CodBarra,CONCATENATE(ORÇAMENTO.Fonte," ",ORÇAMENTO.CodBarra)))</f>
        <v>0</v>
      </c>
      <c r="AF16" s="674" t="str">
        <f ca="1">IF(ISERROR(INDIRECT(ORÇAMENTO.BancoRef)),"(abra o arquivo 'Referência "&amp;Excel_BuiltIn_Database&amp;".xlsm)",IF(OR($C16&lt;&gt;"S",ORÇAMENTO.CodBarra=""),"(Sem Código)",IF(ISERROR(MATCH($AE16,INDIRECT(ORÇAMENTO.BancoRef),0)),"(Código não identificado nas referências)",MATCH($AE16,INDIRECT(ORÇAMENTO.BancoRef),0))))</f>
        <v>(abra o arquivo 'Referência 09-2025.xlsm)</v>
      </c>
      <c r="AG16" s="429">
        <f ca="1">ROUND(IF(DESONERACAO="sim",REFERENCIA.Desonerado,REFERENCIA.NaoDesonerado),2)</f>
        <v>0</v>
      </c>
      <c r="AH16" s="430">
        <f t="shared" ref="AH16:AH73" ca="1" si="15">ROUND(IF(ISNUMBER(ORÇAMENTO.OpcaoBDI),ORÇAMENTO.OpcaoBDI,IF(LEFT(ORÇAMENTO.OpcaoBDI,3)="BDI",HLOOKUP(ORÇAMENTO.OpcaoBDI,$F$4:$H$5,2,FALSE),0)),15-11*$AF$9)</f>
        <v>0.24740000000000001</v>
      </c>
      <c r="AJ16" s="432"/>
      <c r="AL16" s="440"/>
      <c r="AM16" s="337">
        <f t="shared" ca="1" si="0"/>
        <v>0</v>
      </c>
      <c r="AN16" s="471">
        <f t="shared" ref="AN16:AN73" ca="1" si="16">ROUND(ORÇAMENTO.CustoUnitario*(1+$AH16),2)</f>
        <v>0</v>
      </c>
    </row>
    <row r="17" spans="1:40" s="675" customFormat="1" x14ac:dyDescent="0.2">
      <c r="A17" s="675">
        <f t="shared" si="1"/>
        <v>2</v>
      </c>
      <c r="B17" s="675">
        <f t="shared" ca="1" si="2"/>
        <v>2</v>
      </c>
      <c r="C17" s="675">
        <f t="shared" ca="1" si="3"/>
        <v>2</v>
      </c>
      <c r="D17" s="675">
        <f t="shared" ca="1" si="4"/>
        <v>5</v>
      </c>
      <c r="E17" s="675">
        <f ca="1">IF($C17=1,OFFSET(E17,-1,0)+MAX(1,COUNTIF(QCI!$A$13:$A$15,OFFSET(ORÇAMENTO!E17,-1,0))),OFFSET(E17,-1,0))</f>
        <v>1</v>
      </c>
      <c r="F17" s="675">
        <f t="shared" ca="1" si="5"/>
        <v>1</v>
      </c>
      <c r="G17" s="675">
        <f t="shared" ca="1" si="6"/>
        <v>0</v>
      </c>
      <c r="H17" s="675">
        <f t="shared" ca="1" si="7"/>
        <v>0</v>
      </c>
      <c r="I17" s="675">
        <f t="shared" ca="1" si="8"/>
        <v>0</v>
      </c>
      <c r="J17" s="675">
        <f t="shared" ca="1" si="9"/>
        <v>214</v>
      </c>
      <c r="K17" s="675">
        <f ca="1">IF(OR($C17="S",$C17=0),0,MATCH(OFFSET($D17,0,$C17)+IF($C17&lt;&gt;1,1,COUNTIF(QCI!$A$13:$A$15,ORÇAMENTO!E17)),OFFSET($D17,1,$C17,ROW($C$231)-ROW($C17)),0))</f>
        <v>5</v>
      </c>
      <c r="L17" s="115" t="str">
        <f t="shared" ca="1" si="10"/>
        <v>F</v>
      </c>
      <c r="M17" s="116" t="s">
        <v>703</v>
      </c>
      <c r="N17" s="117" t="str">
        <f t="shared" ca="1" si="11"/>
        <v>Nível 2</v>
      </c>
      <c r="O17" s="118" t="str">
        <f t="shared" ca="1" si="12"/>
        <v>1.1.</v>
      </c>
      <c r="P17" s="119" t="s">
        <v>751</v>
      </c>
      <c r="Q17" s="120"/>
      <c r="R17" s="121" t="s">
        <v>970</v>
      </c>
      <c r="S17" s="122" t="str">
        <f ca="1">REFERENCIA.Unidade</f>
        <v>-</v>
      </c>
      <c r="T17" s="123">
        <f ca="1">OFFSET(CÁLCULO!H$15,ROW($T17)-ROW(T$15),0)</f>
        <v>0</v>
      </c>
      <c r="U17" s="124"/>
      <c r="V17" s="125" t="s">
        <v>664</v>
      </c>
      <c r="W17" s="123">
        <f ca="1">IF($C17="S",ROUND(IF(TIPOORCAMENTO="Proposto",ORÇAMENTO.CustoUnitario*(1+$AH17),ORÇAMENTO.PrecoUnitarioLicitado),15-13*$AF$10),0)</f>
        <v>0</v>
      </c>
      <c r="X17" s="126" cm="1">
        <f t="array" aca="1" ref="X17" ca="1">IF($C17="S",IF(OR(Import.TipoArredondamento&lt;&gt;"TransfereGOV",ACOMPANHAMENTO="BM"),VTOTAL1,SUM(OFFSET(CÁLCULO!$AA$15,ROW($X17)-ROW($X$15),1):OFFSET(CÁLCULO!$AL$15,ROW($X17)-ROW($X$15),-1))),IF($C17=0,0,ROUND(SomaAgrup,15-13*$AF$11)))</f>
        <v>0</v>
      </c>
      <c r="Y17" s="127" t="s">
        <v>752</v>
      </c>
      <c r="Z17" s="675" t="str">
        <f t="shared" ca="1" si="13"/>
        <v/>
      </c>
      <c r="AA17" s="128">
        <f ca="1">IF($C17="S",IF($Z17="CP",$X17,IF($Z17="RA",(($X17)*QCI!$AA$3),0)),SomaAgrup)</f>
        <v>0</v>
      </c>
      <c r="AB17" s="129">
        <f t="shared" ca="1" si="14"/>
        <v>0</v>
      </c>
      <c r="AC17" s="566" t="e"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IF(AND(_xlfn.SINGLE(TIPOORCAMENTO)="Licitado",$AL17=0,$AN17&gt;0),"SEM PREÇO",
IF(AND($C17="S",$P17&lt;&gt;"",$Q17&lt;&gt;"",$U17&gt;0,$V17=0),"BDI",
IF(OR(AND(TIPOORCAMENTO="Proposto",LEFT($O$8,5)&lt;&gt;"(N/D:",$AG17&lt;&gt;"",ORÇAMENTO.CustoUnitario&gt;$AG17),AND(TIPOORCAMENTO="LICITADO",ORÇAMENTO.PrecoUnitarioLicitado&gt;$AN17)),"ACIMA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#NAME?</v>
      </c>
      <c r="AD17" s="675">
        <f ca="1">IF(C17&lt;=CRONO.NivelExibicao,MAX($AD$15:OFFSET(AD17,-1,0))+IF($C17&lt;&gt;1,1,MAX(1,COUNTIF(QCI!$A$13:$A$15,OFFSET($E17,-1,0)))),"")</f>
        <v>2</v>
      </c>
      <c r="AE17" s="671" t="b">
        <f ca="1">IF(AND($C17="S",ORÇAMENTO.CodBarra&lt;&gt;""),IF(ORÇAMENTO.Fonte="",ORÇAMENTO.CodBarra,CONCATENATE(ORÇAMENTO.Fonte," ",ORÇAMENTO.CodBarra)))</f>
        <v>0</v>
      </c>
      <c r="AF17" s="674" t="str">
        <f ca="1">IF(ISERROR(INDIRECT(ORÇAMENTO.BancoRef)),"(abra o arquivo 'Referência "&amp;Excel_BuiltIn_Database&amp;".xlsm)",IF(OR($C17&lt;&gt;"S",ORÇAMENTO.CodBarra=""),"(Sem Código)",IF(ISERROR(MATCH($AE17,INDIRECT(ORÇAMENTO.BancoRef),0)),"(Código não identificado nas referências)",MATCH($AE17,INDIRECT(ORÇAMENTO.BancoRef),0))))</f>
        <v>(abra o arquivo 'Referência 09-2025.xlsm)</v>
      </c>
      <c r="AG17" s="429">
        <f ca="1">ROUND(IF(DESONERACAO="sim",REFERENCIA.Desonerado,REFERENCIA.NaoDesonerado),2)</f>
        <v>0</v>
      </c>
      <c r="AH17" s="430">
        <f t="shared" ca="1" si="15"/>
        <v>0.24740000000000001</v>
      </c>
      <c r="AJ17" s="432"/>
      <c r="AL17" s="440"/>
      <c r="AM17" s="337">
        <f t="shared" ca="1" si="0"/>
        <v>0</v>
      </c>
      <c r="AN17" s="471">
        <f t="shared" ca="1" si="16"/>
        <v>0</v>
      </c>
    </row>
    <row r="18" spans="1:40" s="675" customFormat="1" ht="25.5" x14ac:dyDescent="0.2">
      <c r="A18" s="675" t="str">
        <f t="shared" si="1"/>
        <v>S</v>
      </c>
      <c r="B18" s="675">
        <f t="shared" ca="1" si="2"/>
        <v>2</v>
      </c>
      <c r="C18" s="675" t="str">
        <f t="shared" ca="1" si="3"/>
        <v>S</v>
      </c>
      <c r="D18" s="675">
        <f t="shared" ca="1" si="4"/>
        <v>0</v>
      </c>
      <c r="E18" s="675">
        <f ca="1">IF($C18=1,OFFSET(E18,-1,0)+MAX(1,COUNTIF(QCI!$A$13:$A$15,OFFSET(ORÇAMENTO!E18,-1,0))),OFFSET(E18,-1,0))</f>
        <v>1</v>
      </c>
      <c r="F18" s="675">
        <f t="shared" ca="1" si="5"/>
        <v>1</v>
      </c>
      <c r="G18" s="675">
        <f t="shared" ca="1" si="6"/>
        <v>0</v>
      </c>
      <c r="H18" s="675">
        <f t="shared" ca="1" si="7"/>
        <v>0</v>
      </c>
      <c r="I18" s="675">
        <f t="shared" ca="1" si="8"/>
        <v>0</v>
      </c>
      <c r="J18" s="675">
        <f t="shared" ca="1" si="9"/>
        <v>0</v>
      </c>
      <c r="K18" s="675">
        <f ca="1">IF(OR($C18="S",$C18=0),0,MATCH(OFFSET($D18,0,$C18)+IF($C18&lt;&gt;1,1,COUNTIF(QCI!$A$13:$A$15,ORÇAMENTO!E18)),OFFSET($D18,1,$C18,ROW($C$231)-ROW($C18)),0))</f>
        <v>0</v>
      </c>
      <c r="L18" s="115" t="str">
        <f t="shared" ca="1" si="10"/>
        <v/>
      </c>
      <c r="M18" s="116" t="s">
        <v>706</v>
      </c>
      <c r="N18" s="117" t="str">
        <f t="shared" ca="1" si="11"/>
        <v>Serviço</v>
      </c>
      <c r="O18" s="118" t="str">
        <f t="shared" ca="1" si="12"/>
        <v>-</v>
      </c>
      <c r="P18" s="119" t="s">
        <v>968</v>
      </c>
      <c r="Q18" s="676" t="s">
        <v>965</v>
      </c>
      <c r="R18" s="121" t="str">
        <f ca="1">IF($C18="S",REFERENCIA.Descricao,"(digite a descrição aqui)")</f>
        <v>(abra o arquivo 'Referência 09-2025.xlsm)</v>
      </c>
      <c r="S18" s="122" t="str">
        <f ca="1">REFERENCIA.Unidade</f>
        <v>-</v>
      </c>
      <c r="T18" s="123">
        <f ca="1">OFFSET(CÁLCULO!H$15,ROW($T18)-ROW(T$15),0)</f>
        <v>6</v>
      </c>
      <c r="U18" s="124">
        <f ca="1">ROUND(IF(DESONERACAO="sim",REFERENCIA.Desonerado,REFERENCIA.NaoDesonerado),2)</f>
        <v>0</v>
      </c>
      <c r="V18" s="125" t="s">
        <v>664</v>
      </c>
      <c r="W18" s="123">
        <f ca="1">IF($C18="S",ROUND(IF(TIPOORCAMENTO="Proposto",ORÇAMENTO.CustoUnitario*(1+$AH18),ORÇAMENTO.PrecoUnitarioLicitado),15-13*$AF$10),0)</f>
        <v>0</v>
      </c>
      <c r="X18" s="126" cm="1">
        <f t="array" aca="1" ref="X18" ca="1">IF($C18="S",IF(OR(Import.TipoArredondamento&lt;&gt;"TransfereGOV",ACOMPANHAMENTO="BM"),VTOTAL1,SUM(OFFSET(CÁLCULO!$AA$15,ROW($X18)-ROW($X$15),1):OFFSET(CÁLCULO!$AL$15,ROW($X18)-ROW($X$15),-1))),IF($C18=0,0,ROUND(SomaAgrup,15-13*$AF$11)))</f>
        <v>0</v>
      </c>
      <c r="Y18" s="127" t="s">
        <v>752</v>
      </c>
      <c r="Z18" s="675" t="str">
        <f t="shared" ca="1" si="13"/>
        <v/>
      </c>
      <c r="AA18" s="128">
        <f ca="1">IF($C18="S",IF($Z18="CP",$X18,IF($Z18="RA",(($X18)*QCI!$AA$3),0)),SomaAgrup)</f>
        <v>0</v>
      </c>
      <c r="AB18" s="129">
        <f t="shared" ca="1" si="14"/>
        <v>0</v>
      </c>
      <c r="AC18" s="566"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IF(AND(_xlfn.SINGLE(TIPOORCAMENTO)="Licitado",$AL18=0,$AN18&gt;0),"SEM PREÇO",
IF(AND($C18="S",$P18&lt;&gt;"",$Q18&lt;&gt;"",$U18&gt;0,$V18=0),"BDI",
IF(OR(AND(TIPOORCAMENTO="Proposto",LEFT($O$8,5)&lt;&gt;"(N/D:",$AG18&lt;&gt;"",ORÇAMENTO.CustoUnitario&gt;$AG18),AND(TIPOORCAMENTO="LICITADO",ORÇAMENTO.PrecoUnitarioLicitado&gt;$AN18)),"ACIMA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SEM CUSTO</v>
      </c>
      <c r="AD18" s="675" t="str">
        <f ca="1">IF(C18&lt;=CRONO.NivelExibicao,MAX($AD$15:OFFSET(AD18,-1,0))+IF($C18&lt;&gt;1,1,MAX(1,COUNTIF(QCI!$A$13:$A$15,OFFSET($E18,-1,0)))),"")</f>
        <v/>
      </c>
      <c r="AE18" s="671" t="str">
        <f ca="1">IF(AND($C18="S",ORÇAMENTO.CodBarra&lt;&gt;""),IF(ORÇAMENTO.Fonte="",ORÇAMENTO.CodBarra,CONCATENATE(ORÇAMENTO.Fonte," ",ORÇAMENTO.CodBarra)))</f>
        <v>COPASA 65000007</v>
      </c>
      <c r="AF18" s="674" t="str">
        <f ca="1">IF(ISERROR(INDIRECT(ORÇAMENTO.BancoRef)),"(abra o arquivo 'Referência "&amp;Excel_BuiltIn_Database&amp;".xlsm)",IF(OR($C18&lt;&gt;"S",ORÇAMENTO.CodBarra=""),"(Sem Código)",IF(ISERROR(MATCH($AE18,INDIRECT(ORÇAMENTO.BancoRef),0)),"(Código não identificado nas referências)",MATCH($AE18,INDIRECT(ORÇAMENTO.BancoRef),0))))</f>
        <v>(abra o arquivo 'Referência 09-2025.xlsm)</v>
      </c>
      <c r="AG18" s="429">
        <f ca="1">ROUND(IF(DESONERACAO="sim",REFERENCIA.Desonerado,REFERENCIA.NaoDesonerado),2)</f>
        <v>0</v>
      </c>
      <c r="AH18" s="430">
        <f t="shared" ca="1" si="15"/>
        <v>0.24740000000000001</v>
      </c>
      <c r="AJ18" s="685">
        <v>6</v>
      </c>
      <c r="AL18" s="440"/>
      <c r="AM18" s="337">
        <f t="shared" ca="1" si="0"/>
        <v>0</v>
      </c>
      <c r="AN18" s="471">
        <f t="shared" ca="1" si="16"/>
        <v>0</v>
      </c>
    </row>
    <row r="19" spans="1:40" s="675" customFormat="1" x14ac:dyDescent="0.2">
      <c r="A19" s="675" t="str">
        <f t="shared" si="1"/>
        <v>S</v>
      </c>
      <c r="B19" s="675">
        <f t="shared" ca="1" si="2"/>
        <v>2</v>
      </c>
      <c r="C19" s="675" t="str">
        <f t="shared" ca="1" si="3"/>
        <v>S</v>
      </c>
      <c r="D19" s="675">
        <f t="shared" ca="1" si="4"/>
        <v>0</v>
      </c>
      <c r="E19" s="675">
        <f ca="1">IF($C19=1,OFFSET(E19,-1,0)+MAX(1,COUNTIF(QCI!$A$13:$A$15,OFFSET(ORÇAMENTO!E19,-1,0))),OFFSET(E19,-1,0))</f>
        <v>1</v>
      </c>
      <c r="F19" s="675">
        <f t="shared" ca="1" si="5"/>
        <v>1</v>
      </c>
      <c r="G19" s="675">
        <f t="shared" ca="1" si="6"/>
        <v>0</v>
      </c>
      <c r="H19" s="675">
        <f t="shared" ca="1" si="7"/>
        <v>0</v>
      </c>
      <c r="I19" s="675">
        <f t="shared" ca="1" si="8"/>
        <v>0</v>
      </c>
      <c r="J19" s="675">
        <f t="shared" ca="1" si="9"/>
        <v>0</v>
      </c>
      <c r="K19" s="675">
        <f ca="1">IF(OR($C19="S",$C19=0),0,MATCH(OFFSET($D19,0,$C19)+IF($C19&lt;&gt;1,1,COUNTIF(QCI!$A$13:$A$15,ORÇAMENTO!E19)),OFFSET($D19,1,$C19,ROW($C$231)-ROW($C19)),0))</f>
        <v>0</v>
      </c>
      <c r="L19" s="115" t="str">
        <f t="shared" ca="1" si="10"/>
        <v/>
      </c>
      <c r="M19" s="116" t="s">
        <v>706</v>
      </c>
      <c r="N19" s="117" t="str">
        <f t="shared" ca="1" si="11"/>
        <v>Serviço</v>
      </c>
      <c r="O19" s="118" t="str">
        <f t="shared" ca="1" si="12"/>
        <v>-</v>
      </c>
      <c r="P19" s="119" t="s">
        <v>968</v>
      </c>
      <c r="Q19" s="676" t="s">
        <v>966</v>
      </c>
      <c r="R19" s="121" t="str">
        <f ca="1">IF($C19="S",REFERENCIA.Descricao,"(digite a descrição aqui)")</f>
        <v>(abra o arquivo 'Referência 09-2025.xlsm)</v>
      </c>
      <c r="S19" s="122" t="str">
        <f ca="1">REFERENCIA.Unidade</f>
        <v>-</v>
      </c>
      <c r="T19" s="123">
        <f ca="1">OFFSET(CÁLCULO!H$15,ROW($T19)-ROW(T$15),0)</f>
        <v>8</v>
      </c>
      <c r="U19" s="124">
        <f ca="1">ROUND(IF(DESONERACAO="sim",REFERENCIA.Desonerado,REFERENCIA.NaoDesonerado),2)</f>
        <v>0</v>
      </c>
      <c r="V19" s="125" t="s">
        <v>664</v>
      </c>
      <c r="W19" s="123">
        <f ca="1">IF($C19="S",ROUND(IF(TIPOORCAMENTO="Proposto",ORÇAMENTO.CustoUnitario*(1+$AH19),ORÇAMENTO.PrecoUnitarioLicitado),15-13*$AF$10),0)</f>
        <v>0</v>
      </c>
      <c r="X19" s="126" cm="1">
        <f t="array" aca="1" ref="X19" ca="1">IF($C19="S",IF(OR(Import.TipoArredondamento&lt;&gt;"TransfereGOV",ACOMPANHAMENTO="BM"),VTOTAL1,SUM(OFFSET(CÁLCULO!$AA$15,ROW($X19)-ROW($X$15),1):OFFSET(CÁLCULO!$AL$15,ROW($X19)-ROW($X$15),-1))),IF($C19=0,0,ROUND(SomaAgrup,15-13*$AF$11)))</f>
        <v>0</v>
      </c>
      <c r="Y19" s="127" t="s">
        <v>752</v>
      </c>
      <c r="Z19" s="675" t="str">
        <f t="shared" ca="1" si="13"/>
        <v/>
      </c>
      <c r="AA19" s="128">
        <f ca="1">IF($C19="S",IF($Z19="CP",$X19,IF($Z19="RA",(($X19)*QCI!$AA$3),0)),SomaAgrup)</f>
        <v>0</v>
      </c>
      <c r="AB19" s="129">
        <f t="shared" ca="1" si="14"/>
        <v>0</v>
      </c>
      <c r="AC19" s="566"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IF(AND(_xlfn.SINGLE(TIPOORCAMENTO)="Licitado",$AL19=0,$AN19&gt;0),"SEM PREÇO",
IF(AND($C19="S",$P19&lt;&gt;"",$Q19&lt;&gt;"",$U19&gt;0,$V19=0),"BDI",
IF(OR(AND(TIPOORCAMENTO="Proposto",LEFT($O$8,5)&lt;&gt;"(N/D:",$AG19&lt;&gt;"",ORÇAMENTO.CustoUnitario&gt;$AG19),AND(TIPOORCAMENTO="LICITADO",ORÇAMENTO.PrecoUnitarioLicitado&gt;$AN19)),"ACIMA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SEM CUSTO</v>
      </c>
      <c r="AD19" s="675" t="str">
        <f ca="1">IF(C19&lt;=CRONO.NivelExibicao,MAX($AD$15:OFFSET(AD19,-1,0))+IF($C19&lt;&gt;1,1,MAX(1,COUNTIF(QCI!$A$13:$A$15,OFFSET($E19,-1,0)))),"")</f>
        <v/>
      </c>
      <c r="AE19" s="671" t="str">
        <f ca="1">IF(AND($C19="S",ORÇAMENTO.CodBarra&lt;&gt;""),IF(ORÇAMENTO.Fonte="",ORÇAMENTO.CodBarra,CONCATENATE(ORÇAMENTO.Fonte," ",ORÇAMENTO.CodBarra)))</f>
        <v>COPASA 65003892</v>
      </c>
      <c r="AF19" s="674" t="str">
        <f ca="1">IF(ISERROR(INDIRECT(ORÇAMENTO.BancoRef)),"(abra o arquivo 'Referência "&amp;Excel_BuiltIn_Database&amp;".xlsm)",IF(OR($C19&lt;&gt;"S",ORÇAMENTO.CodBarra=""),"(Sem Código)",IF(ISERROR(MATCH($AE19,INDIRECT(ORÇAMENTO.BancoRef),0)),"(Código não identificado nas referências)",MATCH($AE19,INDIRECT(ORÇAMENTO.BancoRef),0))))</f>
        <v>(abra o arquivo 'Referência 09-2025.xlsm)</v>
      </c>
      <c r="AG19" s="429">
        <f ca="1">ROUND(IF(DESONERACAO="sim",REFERENCIA.Desonerado,REFERENCIA.NaoDesonerado),2)</f>
        <v>0</v>
      </c>
      <c r="AH19" s="430">
        <f t="shared" ca="1" si="15"/>
        <v>0.24740000000000001</v>
      </c>
      <c r="AJ19" s="685">
        <v>8</v>
      </c>
      <c r="AL19" s="440"/>
      <c r="AM19" s="337">
        <f t="shared" ca="1" si="0"/>
        <v>0</v>
      </c>
      <c r="AN19" s="471">
        <f t="shared" ca="1" si="16"/>
        <v>0</v>
      </c>
    </row>
    <row r="20" spans="1:40" s="675" customFormat="1" x14ac:dyDescent="0.2">
      <c r="A20" s="675" t="str">
        <f t="shared" si="1"/>
        <v>S</v>
      </c>
      <c r="B20" s="675">
        <f t="shared" ca="1" si="2"/>
        <v>2</v>
      </c>
      <c r="C20" s="675" t="str">
        <f t="shared" ca="1" si="3"/>
        <v>S</v>
      </c>
      <c r="D20" s="675">
        <f t="shared" ca="1" si="4"/>
        <v>0</v>
      </c>
      <c r="E20" s="675">
        <f ca="1">IF($C20=1,OFFSET(E20,-1,0)+MAX(1,COUNTIF(QCI!$A$13:$A$15,OFFSET(ORÇAMENTO!E20,-1,0))),OFFSET(E20,-1,0))</f>
        <v>1</v>
      </c>
      <c r="F20" s="675">
        <f t="shared" ca="1" si="5"/>
        <v>1</v>
      </c>
      <c r="G20" s="675">
        <f t="shared" ca="1" si="6"/>
        <v>0</v>
      </c>
      <c r="H20" s="675">
        <f t="shared" ca="1" si="7"/>
        <v>0</v>
      </c>
      <c r="I20" s="675">
        <f t="shared" ca="1" si="8"/>
        <v>0</v>
      </c>
      <c r="J20" s="675">
        <f t="shared" ca="1" si="9"/>
        <v>0</v>
      </c>
      <c r="K20" s="675">
        <f ca="1">IF(OR($C20="S",$C20=0),0,MATCH(OFFSET($D20,0,$C20)+IF($C20&lt;&gt;1,1,COUNTIF(QCI!$A$13:$A$15,ORÇAMENTO!E20)),OFFSET($D20,1,$C20,ROW($C$231)-ROW($C20)),0))</f>
        <v>0</v>
      </c>
      <c r="L20" s="115" t="str">
        <f t="shared" ca="1" si="10"/>
        <v/>
      </c>
      <c r="M20" s="116" t="s">
        <v>706</v>
      </c>
      <c r="N20" s="117" t="str">
        <f t="shared" ca="1" si="11"/>
        <v>Serviço</v>
      </c>
      <c r="O20" s="118" t="str">
        <f t="shared" ca="1" si="12"/>
        <v>-</v>
      </c>
      <c r="P20" s="119" t="s">
        <v>969</v>
      </c>
      <c r="Q20" s="676" t="s">
        <v>967</v>
      </c>
      <c r="R20" s="121" t="str">
        <f ca="1">IF($C20="S",REFERENCIA.Descricao,"(digite a descrição aqui)")</f>
        <v>(abra o arquivo 'Referência 09-2025.xlsm)</v>
      </c>
      <c r="S20" s="122" t="str">
        <f ca="1">REFERENCIA.Unidade</f>
        <v>-</v>
      </c>
      <c r="T20" s="123">
        <f ca="1">OFFSET(CÁLCULO!H$15,ROW($T20)-ROW(T$15),0)</f>
        <v>80</v>
      </c>
      <c r="U20" s="124">
        <f ca="1">ROUND(IF(DESONERACAO="sim",REFERENCIA.Desonerado,REFERENCIA.NaoDesonerado),2)</f>
        <v>0</v>
      </c>
      <c r="V20" s="125" t="s">
        <v>698</v>
      </c>
      <c r="W20" s="123">
        <f ca="1">IF($C20="S",ROUND(IF(TIPOORCAMENTO="Proposto",ORÇAMENTO.CustoUnitario*(1+$AH20),ORÇAMENTO.PrecoUnitarioLicitado),15-13*$AF$10),0)</f>
        <v>0</v>
      </c>
      <c r="X20" s="126" cm="1">
        <f t="array" aca="1" ref="X20" ca="1">IF($C20="S",IF(OR(Import.TipoArredondamento&lt;&gt;"TransfereGOV",ACOMPANHAMENTO="BM"),VTOTAL1,SUM(OFFSET(CÁLCULO!$AA$15,ROW($X20)-ROW($X$15),1):OFFSET(CÁLCULO!$AL$15,ROW($X20)-ROW($X$15),-1))),IF($C20=0,0,ROUND(SomaAgrup,15-13*$AF$11)))</f>
        <v>0</v>
      </c>
      <c r="Y20" s="127" t="s">
        <v>752</v>
      </c>
      <c r="Z20" s="675" t="str">
        <f t="shared" ca="1" si="13"/>
        <v/>
      </c>
      <c r="AA20" s="128">
        <f ca="1">IF($C20="S",IF($Z20="CP",$X20,IF($Z20="RA",(($X20)*QCI!$AA$3),0)),SomaAgrup)</f>
        <v>0</v>
      </c>
      <c r="AB20" s="129">
        <f t="shared" ca="1" si="14"/>
        <v>0</v>
      </c>
      <c r="AC20" s="566"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IF(AND(_xlfn.SINGLE(TIPOORCAMENTO)="Licitado",$AL20=0,$AN20&gt;0),"SEM PREÇO",
IF(AND($C20="S",$P20&lt;&gt;"",$Q20&lt;&gt;"",$U20&gt;0,$V20=0),"BDI",
IF(OR(AND(TIPOORCAMENTO="Proposto",LEFT($O$8,5)&lt;&gt;"(N/D:",$AG20&lt;&gt;"",ORÇAMENTO.CustoUnitario&gt;$AG20),AND(TIPOORCAMENTO="LICITADO",ORÇAMENTO.PrecoUnitarioLicitado&gt;$AN20)),"ACIMA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SEM CUSTO</v>
      </c>
      <c r="AD20" s="675" t="str">
        <f ca="1">IF(C20&lt;=CRONO.NivelExibicao,MAX($AD$15:OFFSET(AD20,-1,0))+IF($C20&lt;&gt;1,1,MAX(1,COUNTIF(QCI!$A$13:$A$15,OFFSET($E20,-1,0)))),"")</f>
        <v/>
      </c>
      <c r="AE20" s="671" t="str">
        <f ca="1">IF(AND($C20="S",ORÇAMENTO.CodBarra&lt;&gt;""),IF(ORÇAMENTO.Fonte="",ORÇAMENTO.CodBarra,CONCATENATE(ORÇAMENTO.Fonte," ",ORÇAMENTO.CodBarra)))</f>
        <v>SINAPI-I 2706</v>
      </c>
      <c r="AF20" s="674" t="str">
        <f ca="1">IF(ISERROR(INDIRECT(ORÇAMENTO.BancoRef)),"(abra o arquivo 'Referência "&amp;Excel_BuiltIn_Database&amp;".xlsm)",IF(OR($C20&lt;&gt;"S",ORÇAMENTO.CodBarra=""),"(Sem Código)",IF(ISERROR(MATCH($AE20,INDIRECT(ORÇAMENTO.BancoRef),0)),"(Código não identificado nas referências)",MATCH($AE20,INDIRECT(ORÇAMENTO.BancoRef),0))))</f>
        <v>(abra o arquivo 'Referência 09-2025.xlsm)</v>
      </c>
      <c r="AG20" s="429">
        <f ca="1">ROUND(IF(DESONERACAO="sim",REFERENCIA.Desonerado,REFERENCIA.NaoDesonerado),2)</f>
        <v>0</v>
      </c>
      <c r="AH20" s="430">
        <f t="shared" ca="1" si="15"/>
        <v>0.1573</v>
      </c>
      <c r="AJ20" s="685">
        <v>80</v>
      </c>
      <c r="AL20" s="440"/>
      <c r="AM20" s="337">
        <f t="shared" ca="1" si="0"/>
        <v>0</v>
      </c>
      <c r="AN20" s="471">
        <f t="shared" ca="1" si="16"/>
        <v>0</v>
      </c>
    </row>
    <row r="21" spans="1:40" s="675" customFormat="1" ht="25.5" x14ac:dyDescent="0.2">
      <c r="A21" s="675" t="str">
        <f t="shared" si="1"/>
        <v>S</v>
      </c>
      <c r="B21" s="675">
        <f t="shared" ca="1" si="2"/>
        <v>2</v>
      </c>
      <c r="C21" s="675" t="str">
        <f t="shared" ca="1" si="3"/>
        <v>S</v>
      </c>
      <c r="D21" s="675">
        <f t="shared" ca="1" si="4"/>
        <v>0</v>
      </c>
      <c r="E21" s="675">
        <f ca="1">IF($C21=1,OFFSET(E21,-1,0)+MAX(1,COUNTIF(QCI!$A$13:$A$15,OFFSET(ORÇAMENTO!E21,-1,0))),OFFSET(E21,-1,0))</f>
        <v>1</v>
      </c>
      <c r="F21" s="675">
        <f t="shared" ca="1" si="5"/>
        <v>1</v>
      </c>
      <c r="G21" s="675">
        <f t="shared" ca="1" si="6"/>
        <v>0</v>
      </c>
      <c r="H21" s="675">
        <f t="shared" ca="1" si="7"/>
        <v>0</v>
      </c>
      <c r="I21" s="675">
        <f t="shared" ca="1" si="8"/>
        <v>0</v>
      </c>
      <c r="J21" s="675">
        <f t="shared" ca="1" si="9"/>
        <v>0</v>
      </c>
      <c r="K21" s="675">
        <f ca="1">IF(OR($C21="S",$C21=0),0,MATCH(OFFSET($D21,0,$C21)+IF($C21&lt;&gt;1,1,COUNTIF(QCI!$A$13:$A$15,ORÇAMENTO!E21)),OFFSET($D21,1,$C21,ROW($C$231)-ROW($C21)),0))</f>
        <v>0</v>
      </c>
      <c r="L21" s="115" t="str">
        <f t="shared" ca="1" si="10"/>
        <v/>
      </c>
      <c r="M21" s="116" t="s">
        <v>706</v>
      </c>
      <c r="N21" s="117" t="str">
        <f t="shared" ca="1" si="11"/>
        <v>Serviço</v>
      </c>
      <c r="O21" s="118" t="str">
        <f t="shared" ca="1" si="12"/>
        <v>-</v>
      </c>
      <c r="P21" s="119" t="s">
        <v>1066</v>
      </c>
      <c r="Q21" s="676" t="s">
        <v>1133</v>
      </c>
      <c r="R21" s="121" t="str">
        <f ca="1">IF($C21="S",REFERENCIA.Descricao,"(digite a descrição aqui)")</f>
        <v>(abra o arquivo 'Referência 09-2025.xlsm)</v>
      </c>
      <c r="S21" s="122" t="str">
        <f ca="1">REFERENCIA.Unidade</f>
        <v>-</v>
      </c>
      <c r="T21" s="123">
        <f ca="1">OFFSET(CÁLCULO!H$15,ROW($T21)-ROW(T$15),0)</f>
        <v>8</v>
      </c>
      <c r="U21" s="124">
        <f ca="1">ROUND(IF(DESONERACAO="sim",REFERENCIA.Desonerado,REFERENCIA.NaoDesonerado),2)</f>
        <v>0</v>
      </c>
      <c r="V21" s="125" t="s">
        <v>698</v>
      </c>
      <c r="W21" s="123">
        <f ca="1">IF($C21="S",ROUND(IF(TIPOORCAMENTO="Proposto",ORÇAMENTO.CustoUnitario*(1+$AH21),ORÇAMENTO.PrecoUnitarioLicitado),15-13*$AF$10),0)</f>
        <v>0</v>
      </c>
      <c r="X21" s="126" cm="1">
        <f t="array" aca="1" ref="X21" ca="1">IF($C21="S",IF(OR(Import.TipoArredondamento&lt;&gt;"TransfereGOV",ACOMPANHAMENTO="BM"),VTOTAL1,SUM(OFFSET(CÁLCULO!$AA$15,ROW($X21)-ROW($X$15),1):OFFSET(CÁLCULO!$AL$15,ROW($X21)-ROW($X$15),-1))),IF($C21=0,0,ROUND(SomaAgrup,15-13*$AF$11)))</f>
        <v>0</v>
      </c>
      <c r="Y21" s="127" t="s">
        <v>752</v>
      </c>
      <c r="Z21" s="675" t="str">
        <f t="shared" ca="1" si="13"/>
        <v/>
      </c>
      <c r="AA21" s="128">
        <f ca="1">IF($C21="S",IF($Z21="CP",$X21,IF($Z21="RA",(($X21)*QCI!$AA$3),0)),SomaAgrup)</f>
        <v>0</v>
      </c>
      <c r="AB21" s="129">
        <f t="shared" ca="1" si="14"/>
        <v>0</v>
      </c>
      <c r="AC21" s="566"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IF(AND(_xlfn.SINGLE(TIPOORCAMENTO)="Licitado",$AL21=0,$AN21&gt;0),"SEM PREÇO",
IF(AND($C21="S",$P21&lt;&gt;"",$Q21&lt;&gt;"",$U21&gt;0,$V21=0),"BDI",
IF(OR(AND(TIPOORCAMENTO="Proposto",LEFT($O$8,5)&lt;&gt;"(N/D:",$AG21&lt;&gt;"",ORÇAMENTO.CustoUnitario&gt;$AG21),AND(TIPOORCAMENTO="LICITADO",ORÇAMENTO.PrecoUnitarioLicitado&gt;$AN21)),"ACIMA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SEM CUSTO</v>
      </c>
      <c r="AD21" s="675" t="str">
        <f ca="1">IF(C21&lt;=CRONO.NivelExibicao,MAX($AD$15:OFFSET(AD21,-1,0))+IF($C21&lt;&gt;1,1,MAX(1,COUNTIF(QCI!$A$13:$A$15,OFFSET($E21,-1,0)))),"")</f>
        <v/>
      </c>
      <c r="AE21" s="671" t="str">
        <f ca="1">IF(AND($C21="S",ORÇAMENTO.CodBarra&lt;&gt;""),IF(ORÇAMENTO.Fonte="",ORÇAMENTO.CodBarra,CONCATENATE(ORÇAMENTO.Fonte," ",ORÇAMENTO.CodBarra)))</f>
        <v>SEINFRA ED-21776</v>
      </c>
      <c r="AF21" s="674" t="str">
        <f ca="1">IF(ISERROR(INDIRECT(ORÇAMENTO.BancoRef)),"(abra o arquivo 'Referência "&amp;Excel_BuiltIn_Database&amp;".xlsm)",IF(OR($C21&lt;&gt;"S",ORÇAMENTO.CodBarra=""),"(Sem Código)",IF(ISERROR(MATCH($AE21,INDIRECT(ORÇAMENTO.BancoRef),0)),"(Código não identificado nas referências)",MATCH($AE21,INDIRECT(ORÇAMENTO.BancoRef),0))))</f>
        <v>(abra o arquivo 'Referência 09-2025.xlsm)</v>
      </c>
      <c r="AG21" s="429">
        <f ca="1">ROUND(IF(DESONERACAO="sim",REFERENCIA.Desonerado,REFERENCIA.NaoDesonerado),2)</f>
        <v>0</v>
      </c>
      <c r="AH21" s="430">
        <f t="shared" ca="1" si="15"/>
        <v>0.1573</v>
      </c>
      <c r="AJ21" s="685">
        <v>8</v>
      </c>
      <c r="AL21" s="440"/>
      <c r="AM21" s="337">
        <f t="shared" ca="1" si="0"/>
        <v>0</v>
      </c>
      <c r="AN21" s="471">
        <f t="shared" ca="1" si="16"/>
        <v>0</v>
      </c>
    </row>
    <row r="22" spans="1:40" s="675" customFormat="1" x14ac:dyDescent="0.2">
      <c r="A22" s="675">
        <f t="shared" si="1"/>
        <v>2</v>
      </c>
      <c r="B22" s="675">
        <f t="shared" ca="1" si="2"/>
        <v>2</v>
      </c>
      <c r="C22" s="675">
        <f t="shared" ca="1" si="3"/>
        <v>2</v>
      </c>
      <c r="D22" s="675">
        <f t="shared" ca="1" si="4"/>
        <v>1</v>
      </c>
      <c r="E22" s="675">
        <f ca="1">IF($C22=1,OFFSET(E22,-1,0)+MAX(1,COUNTIF(QCI!$A$13:$A$15,OFFSET(ORÇAMENTO!E22,-1,0))),OFFSET(E22,-1,0))</f>
        <v>1</v>
      </c>
      <c r="F22" s="675">
        <f t="shared" ca="1" si="5"/>
        <v>2</v>
      </c>
      <c r="G22" s="675">
        <f t="shared" ca="1" si="6"/>
        <v>0</v>
      </c>
      <c r="H22" s="675">
        <f t="shared" ca="1" si="7"/>
        <v>0</v>
      </c>
      <c r="I22" s="675">
        <f t="shared" ca="1" si="8"/>
        <v>0</v>
      </c>
      <c r="J22" s="675">
        <f t="shared" ca="1" si="9"/>
        <v>209</v>
      </c>
      <c r="K22" s="675">
        <f ca="1">IF(OR($C22="S",$C22=0),0,MATCH(OFFSET($D22,0,$C22)+IF($C22&lt;&gt;1,1,COUNTIF(QCI!$A$13:$A$15,ORÇAMENTO!E22)),OFFSET($D22,1,$C22,ROW($C$231)-ROW($C22)),0))</f>
        <v>1</v>
      </c>
      <c r="L22" s="115" t="str">
        <f t="shared" ca="1" si="10"/>
        <v>F</v>
      </c>
      <c r="M22" s="116" t="s">
        <v>703</v>
      </c>
      <c r="N22" s="117" t="str">
        <f t="shared" ca="1" si="11"/>
        <v>Nível 2</v>
      </c>
      <c r="O22" s="118" t="str">
        <f t="shared" ca="1" si="12"/>
        <v>1.2.</v>
      </c>
      <c r="P22" s="119" t="s">
        <v>751</v>
      </c>
      <c r="Q22" s="120"/>
      <c r="R22" s="121" t="s">
        <v>971</v>
      </c>
      <c r="S22" s="122" t="str">
        <f ca="1">REFERENCIA.Unidade</f>
        <v>-</v>
      </c>
      <c r="T22" s="123">
        <f ca="1">OFFSET(CÁLCULO!H$15,ROW($T22)-ROW(T$15),0)</f>
        <v>0</v>
      </c>
      <c r="U22" s="124">
        <f ca="1">ROUND(IF(DESONERACAO="sim",REFERENCIA.Desonerado,REFERENCIA.NaoDesonerado),2)</f>
        <v>0</v>
      </c>
      <c r="V22" s="125" t="s">
        <v>664</v>
      </c>
      <c r="W22" s="123">
        <f ca="1">IF($C22="S",ROUND(IF(TIPOORCAMENTO="Proposto",ORÇAMENTO.CustoUnitario*(1+$AH22),ORÇAMENTO.PrecoUnitarioLicitado),15-13*$AF$10),0)</f>
        <v>0</v>
      </c>
      <c r="X22" s="126" cm="1">
        <f t="array" aca="1" ref="X22" ca="1">IF($C22="S",IF(OR(Import.TipoArredondamento&lt;&gt;"TransfereGOV",ACOMPANHAMENTO="BM"),VTOTAL1,SUM(OFFSET(CÁLCULO!$AA$15,ROW($X22)-ROW($X$15),1):OFFSET(CÁLCULO!$AL$15,ROW($X22)-ROW($X$15),-1))),IF($C22=0,0,ROUND(SomaAgrup,15-13*$AF$11)))</f>
        <v>0</v>
      </c>
      <c r="Y22" s="127" t="s">
        <v>752</v>
      </c>
      <c r="Z22" s="675" t="str">
        <f t="shared" ca="1" si="13"/>
        <v/>
      </c>
      <c r="AA22" s="128">
        <f ca="1">IF($C22="S",IF($Z22="CP",$X22,IF($Z22="RA",(($X22)*QCI!$AA$3),0)),SomaAgrup)</f>
        <v>0</v>
      </c>
      <c r="AB22" s="129">
        <f t="shared" ca="1" si="14"/>
        <v>0</v>
      </c>
      <c r="AC22" s="566" t="e"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IF(AND(_xlfn.SINGLE(TIPOORCAMENTO)="Licitado",$AL22=0,$AN22&gt;0),"SEM PREÇO",
IF(AND($C22="S",$P22&lt;&gt;"",$Q22&lt;&gt;"",$U22&gt;0,$V22=0),"BDI",
IF(OR(AND(TIPOORCAMENTO="Proposto",LEFT($O$8,5)&lt;&gt;"(N/D:",$AG22&lt;&gt;"",ORÇAMENTO.CustoUnitario&gt;$AG22),AND(TIPOORCAMENTO="LICITADO",ORÇAMENTO.PrecoUnitarioLicitado&gt;$AN22)),"ACIMA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#NAME?</v>
      </c>
      <c r="AD22" s="675">
        <f ca="1">IF(C22&lt;=CRONO.NivelExibicao,MAX($AD$15:OFFSET(AD22,-1,0))+IF($C22&lt;&gt;1,1,MAX(1,COUNTIF(QCI!$A$13:$A$15,OFFSET($E22,-1,0)))),"")</f>
        <v>3</v>
      </c>
      <c r="AE22" s="671" t="b">
        <f ca="1">IF(AND($C22="S",ORÇAMENTO.CodBarra&lt;&gt;""),IF(ORÇAMENTO.Fonte="",ORÇAMENTO.CodBarra,CONCATENATE(ORÇAMENTO.Fonte," ",ORÇAMENTO.CodBarra)))</f>
        <v>0</v>
      </c>
      <c r="AF22" s="674" t="str">
        <f ca="1">IF(ISERROR(INDIRECT(ORÇAMENTO.BancoRef)),"(abra o arquivo 'Referência "&amp;Excel_BuiltIn_Database&amp;".xlsm)",IF(OR($C22&lt;&gt;"S",ORÇAMENTO.CodBarra=""),"(Sem Código)",IF(ISERROR(MATCH($AE22,INDIRECT(ORÇAMENTO.BancoRef),0)),"(Código não identificado nas referências)",MATCH($AE22,INDIRECT(ORÇAMENTO.BancoRef),0))))</f>
        <v>(abra o arquivo 'Referência 09-2025.xlsm)</v>
      </c>
      <c r="AG22" s="429">
        <f ca="1">ROUND(IF(DESONERACAO="sim",REFERENCIA.Desonerado,REFERENCIA.NaoDesonerado),2)</f>
        <v>0</v>
      </c>
      <c r="AH22" s="430">
        <f t="shared" ca="1" si="15"/>
        <v>0.24740000000000001</v>
      </c>
      <c r="AJ22" s="685">
        <v>10.71</v>
      </c>
      <c r="AL22" s="440"/>
      <c r="AM22" s="337">
        <f t="shared" ca="1" si="0"/>
        <v>0</v>
      </c>
      <c r="AN22" s="471">
        <f t="shared" ca="1" si="16"/>
        <v>0</v>
      </c>
    </row>
    <row r="23" spans="1:40" s="675" customFormat="1" x14ac:dyDescent="0.2">
      <c r="A23" s="675">
        <f t="shared" si="1"/>
        <v>2</v>
      </c>
      <c r="B23" s="675">
        <f t="shared" ca="1" si="2"/>
        <v>2</v>
      </c>
      <c r="C23" s="675">
        <f t="shared" ca="1" si="3"/>
        <v>2</v>
      </c>
      <c r="D23" s="675">
        <f t="shared" ca="1" si="4"/>
        <v>15</v>
      </c>
      <c r="E23" s="675">
        <f ca="1">IF($C23=1,OFFSET(E23,-1,0)+MAX(1,COUNTIF(QCI!$A$13:$A$15,OFFSET(ORÇAMENTO!E23,-1,0))),OFFSET(E23,-1,0))</f>
        <v>1</v>
      </c>
      <c r="F23" s="675">
        <f t="shared" ca="1" si="5"/>
        <v>3</v>
      </c>
      <c r="G23" s="675">
        <f t="shared" ca="1" si="6"/>
        <v>0</v>
      </c>
      <c r="H23" s="675">
        <f t="shared" ca="1" si="7"/>
        <v>0</v>
      </c>
      <c r="I23" s="675">
        <f t="shared" ca="1" si="8"/>
        <v>0</v>
      </c>
      <c r="J23" s="675">
        <f t="shared" ca="1" si="9"/>
        <v>208</v>
      </c>
      <c r="K23" s="675">
        <f ca="1">IF(OR($C23="S",$C23=0),0,MATCH(OFFSET($D23,0,$C23)+IF($C23&lt;&gt;1,1,COUNTIF(QCI!$A$13:$A$15,ORÇAMENTO!E23)),OFFSET($D23,1,$C23,ROW($C$231)-ROW($C23)),0))</f>
        <v>15</v>
      </c>
      <c r="L23" s="115" t="str">
        <f t="shared" ca="1" si="10"/>
        <v>F</v>
      </c>
      <c r="M23" s="116" t="s">
        <v>703</v>
      </c>
      <c r="N23" s="117" t="str">
        <f t="shared" ca="1" si="11"/>
        <v>Nível 2</v>
      </c>
      <c r="O23" s="118" t="str">
        <f t="shared" ca="1" si="12"/>
        <v>1.3.</v>
      </c>
      <c r="P23" s="119" t="s">
        <v>751</v>
      </c>
      <c r="Q23" s="120"/>
      <c r="R23" s="121" t="s">
        <v>972</v>
      </c>
      <c r="S23" s="122" t="str">
        <f ca="1">REFERENCIA.Unidade</f>
        <v>-</v>
      </c>
      <c r="T23" s="123">
        <f ca="1">OFFSET(CÁLCULO!H$15,ROW($T23)-ROW(T$15),0)</f>
        <v>0</v>
      </c>
      <c r="U23" s="124">
        <f ca="1">ROUND(IF(DESONERACAO="sim",REFERENCIA.Desonerado,REFERENCIA.NaoDesonerado),2)</f>
        <v>0</v>
      </c>
      <c r="V23" s="125" t="s">
        <v>664</v>
      </c>
      <c r="W23" s="123">
        <f ca="1">IF($C23="S",ROUND(IF(TIPOORCAMENTO="Proposto",ORÇAMENTO.CustoUnitario*(1+$AH23),ORÇAMENTO.PrecoUnitarioLicitado),15-13*$AF$10),0)</f>
        <v>0</v>
      </c>
      <c r="X23" s="126" cm="1">
        <f t="array" aca="1" ref="X23" ca="1">IF($C23="S",IF(OR(Import.TipoArredondamento&lt;&gt;"TransfereGOV",ACOMPANHAMENTO="BM"),VTOTAL1,SUM(OFFSET(CÁLCULO!$AA$15,ROW($X23)-ROW($X$15),1):OFFSET(CÁLCULO!$AL$15,ROW($X23)-ROW($X$15),-1))),IF($C23=0,0,ROUND(SomaAgrup,15-13*$AF$11)))</f>
        <v>0</v>
      </c>
      <c r="Y23" s="127" t="s">
        <v>752</v>
      </c>
      <c r="Z23" s="675" t="str">
        <f t="shared" ca="1" si="13"/>
        <v/>
      </c>
      <c r="AA23" s="128">
        <f ca="1">IF($C23="S",IF($Z23="CP",$X23,IF($Z23="RA",(($X23)*QCI!$AA$3),0)),SomaAgrup)</f>
        <v>0</v>
      </c>
      <c r="AB23" s="129">
        <f t="shared" ca="1" si="14"/>
        <v>0</v>
      </c>
      <c r="AC23" s="566" t="e"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IF(AND(_xlfn.SINGLE(TIPOORCAMENTO)="Licitado",$AL23=0,$AN23&gt;0),"SEM PREÇO",
IF(AND($C23="S",$P23&lt;&gt;"",$Q23&lt;&gt;"",$U23&gt;0,$V23=0),"BDI",
IF(OR(AND(TIPOORCAMENTO="Proposto",LEFT($O$8,5)&lt;&gt;"(N/D:",$AG23&lt;&gt;"",ORÇAMENTO.CustoUnitario&gt;$AG23),AND(TIPOORCAMENTO="LICITADO",ORÇAMENTO.PrecoUnitarioLicitado&gt;$AN23)),"ACIMA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#NAME?</v>
      </c>
      <c r="AD23" s="675">
        <f ca="1">IF(C23&lt;=CRONO.NivelExibicao,MAX($AD$15:OFFSET(AD23,-1,0))+IF($C23&lt;&gt;1,1,MAX(1,COUNTIF(QCI!$A$13:$A$15,OFFSET($E23,-1,0)))),"")</f>
        <v>4</v>
      </c>
      <c r="AE23" s="671" t="b">
        <f ca="1">IF(AND($C23="S",ORÇAMENTO.CodBarra&lt;&gt;""),IF(ORÇAMENTO.Fonte="",ORÇAMENTO.CodBarra,CONCATENATE(ORÇAMENTO.Fonte," ",ORÇAMENTO.CodBarra)))</f>
        <v>0</v>
      </c>
      <c r="AF23" s="674" t="str">
        <f ca="1">IF(ISERROR(INDIRECT(ORÇAMENTO.BancoRef)),"(abra o arquivo 'Referência "&amp;Excel_BuiltIn_Database&amp;".xlsm)",IF(OR($C23&lt;&gt;"S",ORÇAMENTO.CodBarra=""),"(Sem Código)",IF(ISERROR(MATCH($AE23,INDIRECT(ORÇAMENTO.BancoRef),0)),"(Código não identificado nas referências)",MATCH($AE23,INDIRECT(ORÇAMENTO.BancoRef),0))))</f>
        <v>(abra o arquivo 'Referência 09-2025.xlsm)</v>
      </c>
      <c r="AG23" s="429">
        <f ca="1">ROUND(IF(DESONERACAO="sim",REFERENCIA.Desonerado,REFERENCIA.NaoDesonerado),2)</f>
        <v>0</v>
      </c>
      <c r="AH23" s="430">
        <f t="shared" ca="1" si="15"/>
        <v>0.24740000000000001</v>
      </c>
      <c r="AJ23" s="685">
        <v>21.4</v>
      </c>
      <c r="AL23" s="440"/>
      <c r="AM23" s="337">
        <f t="shared" ca="1" si="0"/>
        <v>0</v>
      </c>
      <c r="AN23" s="471">
        <f t="shared" ca="1" si="16"/>
        <v>0</v>
      </c>
    </row>
    <row r="24" spans="1:40" s="675" customFormat="1" x14ac:dyDescent="0.2">
      <c r="A24" s="675" t="str">
        <f t="shared" si="1"/>
        <v>S</v>
      </c>
      <c r="B24" s="675">
        <f t="shared" ca="1" si="2"/>
        <v>2</v>
      </c>
      <c r="C24" s="675" t="str">
        <f t="shared" ca="1" si="3"/>
        <v>S</v>
      </c>
      <c r="D24" s="675">
        <f t="shared" ca="1" si="4"/>
        <v>0</v>
      </c>
      <c r="E24" s="675">
        <f ca="1">IF($C24=1,OFFSET(E24,-1,0)+MAX(1,COUNTIF(QCI!$A$13:$A$15,OFFSET(ORÇAMENTO!E24,-1,0))),OFFSET(E24,-1,0))</f>
        <v>1</v>
      </c>
      <c r="F24" s="675">
        <f t="shared" ca="1" si="5"/>
        <v>3</v>
      </c>
      <c r="G24" s="675">
        <f t="shared" ca="1" si="6"/>
        <v>0</v>
      </c>
      <c r="H24" s="675">
        <f t="shared" ca="1" si="7"/>
        <v>0</v>
      </c>
      <c r="I24" s="675">
        <f t="shared" ca="1" si="8"/>
        <v>0</v>
      </c>
      <c r="J24" s="675">
        <f t="shared" ca="1" si="9"/>
        <v>0</v>
      </c>
      <c r="K24" s="675">
        <f ca="1">IF(OR($C24="S",$C24=0),0,MATCH(OFFSET($D24,0,$C24)+IF($C24&lt;&gt;1,1,COUNTIF(QCI!$A$13:$A$15,ORÇAMENTO!E24)),OFFSET($D24,1,$C24,ROW($C$231)-ROW($C24)),0))</f>
        <v>0</v>
      </c>
      <c r="L24" s="115" t="str">
        <f t="shared" ca="1" si="10"/>
        <v/>
      </c>
      <c r="M24" s="116" t="s">
        <v>706</v>
      </c>
      <c r="N24" s="117" t="str">
        <f t="shared" ca="1" si="11"/>
        <v>Serviço</v>
      </c>
      <c r="O24" s="118" t="str">
        <f t="shared" ca="1" si="12"/>
        <v>-</v>
      </c>
      <c r="P24" s="119" t="s">
        <v>968</v>
      </c>
      <c r="Q24" s="677" t="s">
        <v>973</v>
      </c>
      <c r="R24" s="121" t="str">
        <f ca="1">IF($C24="S",REFERENCIA.Descricao,"(digite a descrição aqui)")</f>
        <v>(abra o arquivo 'Referência 09-2025.xlsm)</v>
      </c>
      <c r="S24" s="122" t="str">
        <f ca="1">REFERENCIA.Unidade</f>
        <v>-</v>
      </c>
      <c r="T24" s="123">
        <f ca="1">OFFSET(CÁLCULO!H$15,ROW($T24)-ROW(T$15),0)</f>
        <v>1.2</v>
      </c>
      <c r="U24" s="124">
        <f ca="1">ROUND(IF(DESONERACAO="sim",REFERENCIA.Desonerado,REFERENCIA.NaoDesonerado),2)</f>
        <v>0</v>
      </c>
      <c r="V24" s="125" t="s">
        <v>664</v>
      </c>
      <c r="W24" s="123">
        <f ca="1">IF($C24="S",ROUND(IF(TIPOORCAMENTO="Proposto",ORÇAMENTO.CustoUnitario*(1+$AH24),ORÇAMENTO.PrecoUnitarioLicitado),15-13*$AF$10),0)</f>
        <v>0</v>
      </c>
      <c r="X24" s="126" cm="1">
        <f t="array" aca="1" ref="X24" ca="1">IF($C24="S",IF(OR(Import.TipoArredondamento&lt;&gt;"TransfereGOV",ACOMPANHAMENTO="BM"),VTOTAL1,SUM(OFFSET(CÁLCULO!$AA$15,ROW($X24)-ROW($X$15),1):OFFSET(CÁLCULO!$AL$15,ROW($X24)-ROW($X$15),-1))),IF($C24=0,0,ROUND(SomaAgrup,15-13*$AF$11)))</f>
        <v>0</v>
      </c>
      <c r="Y24" s="127" t="s">
        <v>752</v>
      </c>
      <c r="Z24" s="675" t="str">
        <f t="shared" ca="1" si="13"/>
        <v/>
      </c>
      <c r="AA24" s="128">
        <f ca="1">IF($C24="S",IF($Z24="CP",$X24,IF($Z24="RA",(($X24)*QCI!$AA$3),0)),SomaAgrup)</f>
        <v>0</v>
      </c>
      <c r="AB24" s="129">
        <f t="shared" ca="1" si="14"/>
        <v>0</v>
      </c>
      <c r="AC24" s="566"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IF(AND(_xlfn.SINGLE(TIPOORCAMENTO)="Licitado",$AL24=0,$AN24&gt;0),"SEM PREÇO",
IF(AND($C24="S",$P24&lt;&gt;"",$Q24&lt;&gt;"",$U24&gt;0,$V24=0),"BDI",
IF(OR(AND(TIPOORCAMENTO="Proposto",LEFT($O$8,5)&lt;&gt;"(N/D:",$AG24&lt;&gt;"",ORÇAMENTO.CustoUnitario&gt;$AG24),AND(TIPOORCAMENTO="LICITADO",ORÇAMENTO.PrecoUnitarioLicitado&gt;$AN24)),"ACIMA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SEM CUSTO</v>
      </c>
      <c r="AD24" s="675" t="str">
        <f ca="1">IF(C24&lt;=CRONO.NivelExibicao,MAX($AD$15:OFFSET(AD24,-1,0))+IF($C24&lt;&gt;1,1,MAX(1,COUNTIF(QCI!$A$13:$A$15,OFFSET($E24,-1,0)))),"")</f>
        <v/>
      </c>
      <c r="AE24" s="671" t="str">
        <f ca="1">IF(AND($C24="S",ORÇAMENTO.CodBarra&lt;&gt;""),IF(ORÇAMENTO.Fonte="",ORÇAMENTO.CodBarra,CONCATENATE(ORÇAMENTO.Fonte," ",ORÇAMENTO.CodBarra)))</f>
        <v>COPASA 65001168</v>
      </c>
      <c r="AF24" s="674" t="str">
        <f ca="1">IF(ISERROR(INDIRECT(ORÇAMENTO.BancoRef)),"(abra o arquivo 'Referência "&amp;Excel_BuiltIn_Database&amp;".xlsm)",IF(OR($C24&lt;&gt;"S",ORÇAMENTO.CodBarra=""),"(Sem Código)",IF(ISERROR(MATCH($AE24,INDIRECT(ORÇAMENTO.BancoRef),0)),"(Código não identificado nas referências)",MATCH($AE24,INDIRECT(ORÇAMENTO.BancoRef),0))))</f>
        <v>(abra o arquivo 'Referência 09-2025.xlsm)</v>
      </c>
      <c r="AG24" s="429">
        <f ca="1">ROUND(IF(DESONERACAO="sim",REFERENCIA.Desonerado,REFERENCIA.NaoDesonerado),2)</f>
        <v>0</v>
      </c>
      <c r="AH24" s="430">
        <f t="shared" ca="1" si="15"/>
        <v>0.24740000000000001</v>
      </c>
      <c r="AJ24" s="685">
        <v>1.2</v>
      </c>
      <c r="AL24" s="440"/>
      <c r="AM24" s="337">
        <f t="shared" ca="1" si="0"/>
        <v>0</v>
      </c>
      <c r="AN24" s="471">
        <f t="shared" ca="1" si="16"/>
        <v>0</v>
      </c>
    </row>
    <row r="25" spans="1:40" s="675" customFormat="1" ht="13.9" customHeight="1" x14ac:dyDescent="0.2">
      <c r="A25" s="675" t="str">
        <f t="shared" si="1"/>
        <v>S</v>
      </c>
      <c r="B25" s="675">
        <f t="shared" ca="1" si="2"/>
        <v>2</v>
      </c>
      <c r="C25" s="675" t="str">
        <f t="shared" ca="1" si="3"/>
        <v>S</v>
      </c>
      <c r="D25" s="675">
        <f t="shared" ca="1" si="4"/>
        <v>0</v>
      </c>
      <c r="E25" s="675">
        <f ca="1">IF($C25=1,OFFSET(E25,-1,0)+MAX(1,COUNTIF(QCI!$A$13:$A$15,OFFSET(ORÇAMENTO!E25,-1,0))),OFFSET(E25,-1,0))</f>
        <v>1</v>
      </c>
      <c r="F25" s="675">
        <f t="shared" ca="1" si="5"/>
        <v>3</v>
      </c>
      <c r="G25" s="675">
        <f t="shared" ca="1" si="6"/>
        <v>0</v>
      </c>
      <c r="H25" s="675">
        <f t="shared" ca="1" si="7"/>
        <v>0</v>
      </c>
      <c r="I25" s="675">
        <f t="shared" ca="1" si="8"/>
        <v>0</v>
      </c>
      <c r="J25" s="675">
        <f t="shared" ca="1" si="9"/>
        <v>0</v>
      </c>
      <c r="K25" s="675">
        <f ca="1">IF(OR($C25="S",$C25=0),0,MATCH(OFFSET($D25,0,$C25)+IF($C25&lt;&gt;1,1,COUNTIF(QCI!$A$13:$A$15,ORÇAMENTO!E25)),OFFSET($D25,1,$C25,ROW($C$231)-ROW($C25)),0))</f>
        <v>0</v>
      </c>
      <c r="L25" s="115" t="str">
        <f t="shared" ca="1" si="10"/>
        <v/>
      </c>
      <c r="M25" s="116" t="s">
        <v>706</v>
      </c>
      <c r="N25" s="117" t="str">
        <f t="shared" ca="1" si="11"/>
        <v>Serviço</v>
      </c>
      <c r="O25" s="118" t="str">
        <f t="shared" ca="1" si="12"/>
        <v>-</v>
      </c>
      <c r="P25" s="119" t="s">
        <v>968</v>
      </c>
      <c r="Q25" s="677" t="s">
        <v>974</v>
      </c>
      <c r="R25" s="121" t="str">
        <f ca="1">IF($C25="S",REFERENCIA.Descricao,"(digite a descrição aqui)")</f>
        <v>(abra o arquivo 'Referência 09-2025.xlsm)</v>
      </c>
      <c r="S25" s="122" t="str">
        <f ca="1">REFERENCIA.Unidade</f>
        <v>-</v>
      </c>
      <c r="T25" s="123">
        <f ca="1">OFFSET(CÁLCULO!H$15,ROW($T25)-ROW(T$15),0)</f>
        <v>1327.75</v>
      </c>
      <c r="U25" s="124">
        <f ca="1">ROUND(IF(DESONERACAO="sim",REFERENCIA.Desonerado,REFERENCIA.NaoDesonerado),2)</f>
        <v>0</v>
      </c>
      <c r="V25" s="125" t="s">
        <v>664</v>
      </c>
      <c r="W25" s="123">
        <f ca="1">IF($C25="S",ROUND(IF(TIPOORCAMENTO="Proposto",ORÇAMENTO.CustoUnitario*(1+$AH25),ORÇAMENTO.PrecoUnitarioLicitado),15-13*$AF$10),0)</f>
        <v>0</v>
      </c>
      <c r="X25" s="126" cm="1">
        <f t="array" aca="1" ref="X25" ca="1">IF($C25="S",IF(OR(Import.TipoArredondamento&lt;&gt;"TransfereGOV",ACOMPANHAMENTO="BM"),VTOTAL1,SUM(OFFSET(CÁLCULO!$AA$15,ROW($X25)-ROW($X$15),1):OFFSET(CÁLCULO!$AL$15,ROW($X25)-ROW($X$15),-1))),IF($C25=0,0,ROUND(SomaAgrup,15-13*$AF$11)))</f>
        <v>0</v>
      </c>
      <c r="Y25" s="127" t="s">
        <v>752</v>
      </c>
      <c r="Z25" s="675" t="str">
        <f t="shared" ca="1" si="13"/>
        <v/>
      </c>
      <c r="AA25" s="128">
        <f ca="1">IF($C25="S",IF($Z25="CP",$X25,IF($Z25="RA",(($X25)*QCI!$AA$3),0)),SomaAgrup)</f>
        <v>0</v>
      </c>
      <c r="AB25" s="129">
        <f t="shared" ca="1" si="14"/>
        <v>0</v>
      </c>
      <c r="AC25" s="566"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IF(AND(_xlfn.SINGLE(TIPOORCAMENTO)="Licitado",$AL25=0,$AN25&gt;0),"SEM PREÇO",
IF(AND($C25="S",$P25&lt;&gt;"",$Q25&lt;&gt;"",$U25&gt;0,$V25=0),"BDI",
IF(OR(AND(TIPOORCAMENTO="Proposto",LEFT($O$8,5)&lt;&gt;"(N/D:",$AG25&lt;&gt;"",ORÇAMENTO.CustoUnitario&gt;$AG25),AND(TIPOORCAMENTO="LICITADO",ORÇAMENTO.PrecoUnitarioLicitado&gt;$AN25)),"ACIMA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SEM CUSTO</v>
      </c>
      <c r="AD25" s="675" t="str">
        <f ca="1">IF(C25&lt;=CRONO.NivelExibicao,MAX($AD$15:OFFSET(AD25,-1,0))+IF($C25&lt;&gt;1,1,MAX(1,COUNTIF(QCI!$A$13:$A$15,OFFSET($E25,-1,0)))),"")</f>
        <v/>
      </c>
      <c r="AE25" s="671" t="str">
        <f ca="1">IF(AND($C25="S",ORÇAMENTO.CodBarra&lt;&gt;""),IF(ORÇAMENTO.Fonte="",ORÇAMENTO.CodBarra,CONCATENATE(ORÇAMENTO.Fonte," ",ORÇAMENTO.CodBarra)))</f>
        <v>COPASA 65000160</v>
      </c>
      <c r="AF25" s="674" t="str">
        <f ca="1">IF(ISERROR(INDIRECT(ORÇAMENTO.BancoRef)),"(abra o arquivo 'Referência "&amp;Excel_BuiltIn_Database&amp;".xlsm)",IF(OR($C25&lt;&gt;"S",ORÇAMENTO.CodBarra=""),"(Sem Código)",IF(ISERROR(MATCH($AE25,INDIRECT(ORÇAMENTO.BancoRef),0)),"(Código não identificado nas referências)",MATCH($AE25,INDIRECT(ORÇAMENTO.BancoRef),0))))</f>
        <v>(abra o arquivo 'Referência 09-2025.xlsm)</v>
      </c>
      <c r="AG25" s="429">
        <f ca="1">ROUND(IF(DESONERACAO="sim",REFERENCIA.Desonerado,REFERENCIA.NaoDesonerado),2)</f>
        <v>0</v>
      </c>
      <c r="AH25" s="430">
        <f t="shared" ca="1" si="15"/>
        <v>0.24740000000000001</v>
      </c>
      <c r="AJ25" s="685">
        <v>1327.75</v>
      </c>
      <c r="AL25" s="440"/>
      <c r="AM25" s="337">
        <f t="shared" ca="1" si="0"/>
        <v>0</v>
      </c>
      <c r="AN25" s="471">
        <f t="shared" ca="1" si="16"/>
        <v>0</v>
      </c>
    </row>
    <row r="26" spans="1:40" s="720" customFormat="1" ht="38.25" x14ac:dyDescent="0.2">
      <c r="A26" s="720" t="str">
        <f t="shared" si="1"/>
        <v>S</v>
      </c>
      <c r="B26" s="720">
        <f t="shared" ca="1" si="2"/>
        <v>2</v>
      </c>
      <c r="C26" s="720" t="str">
        <f t="shared" ca="1" si="3"/>
        <v>S</v>
      </c>
      <c r="D26" s="720">
        <f t="shared" ca="1" si="4"/>
        <v>0</v>
      </c>
      <c r="E26" s="720">
        <f ca="1">IF($C26=1,OFFSET(E26,-1,0)+MAX(1,COUNTIF(QCI!$A$13:$A$15,OFFSET(ORÇAMENTO!E26,-1,0))),OFFSET(E26,-1,0))</f>
        <v>1</v>
      </c>
      <c r="F26" s="720">
        <f t="shared" ca="1" si="5"/>
        <v>3</v>
      </c>
      <c r="G26" s="720">
        <f t="shared" ca="1" si="6"/>
        <v>0</v>
      </c>
      <c r="H26" s="720">
        <f t="shared" ca="1" si="7"/>
        <v>0</v>
      </c>
      <c r="I26" s="720">
        <f t="shared" ca="1" si="8"/>
        <v>0</v>
      </c>
      <c r="J26" s="720">
        <f t="shared" ca="1" si="9"/>
        <v>0</v>
      </c>
      <c r="K26" s="720">
        <f ca="1">IF(OR($C26="S",$C26=0),0,MATCH(OFFSET($D26,0,$C26)+IF($C26&lt;&gt;1,1,COUNTIF(QCI!$A$13:$A$15,ORÇAMENTO!E26)),OFFSET($D26,1,$C26,ROW($C$231)-ROW($C26)),0))</f>
        <v>0</v>
      </c>
      <c r="L26" s="115" t="str">
        <f t="shared" ca="1" si="10"/>
        <v/>
      </c>
      <c r="M26" s="116" t="s">
        <v>706</v>
      </c>
      <c r="N26" s="117" t="str">
        <f t="shared" ca="1" si="11"/>
        <v>Serviço</v>
      </c>
      <c r="O26" s="118" t="str">
        <f t="shared" ca="1" si="12"/>
        <v>-</v>
      </c>
      <c r="P26" s="119" t="s">
        <v>1066</v>
      </c>
      <c r="Q26" s="120" t="s">
        <v>1142</v>
      </c>
      <c r="R26" s="121" t="str">
        <f ca="1">IF($C26="S",REFERENCIA.Descricao,"(digite a descrição aqui)")</f>
        <v>(abra o arquivo 'Referência 09-2025.xlsm)</v>
      </c>
      <c r="S26" s="122" t="str">
        <f ca="1">REFERENCIA.Unidade</f>
        <v>-</v>
      </c>
      <c r="T26" s="123">
        <f ca="1">OFFSET(CÁLCULO!H$15,ROW($T26)-ROW(T$15),0)</f>
        <v>2</v>
      </c>
      <c r="U26" s="124">
        <f ca="1">AG26</f>
        <v>0</v>
      </c>
      <c r="V26" s="125" t="s">
        <v>664</v>
      </c>
      <c r="W26" s="123">
        <f ca="1">IF($C26="S",ROUND(IF(TIPOORCAMENTO="Proposto",ORÇAMENTO.CustoUnitario*(1+$AH26),ORÇAMENTO.PrecoUnitarioLicitado),15-13*$AF$10),0)</f>
        <v>0</v>
      </c>
      <c r="X26" s="126" cm="1">
        <f t="array" aca="1" ref="X26" ca="1">IF($C26="S",IF(OR(Import.TipoArredondamento&lt;&gt;"TransfereGOV",ACOMPANHAMENTO="BM"),VTOTAL1,SUM(OFFSET(CÁLCULO!$AA$15,ROW($X26)-ROW($X$15),1):OFFSET(CÁLCULO!$AL$15,ROW($X26)-ROW($X$15),-1))),IF($C26=0,0,ROUND(SomaAgrup,15-13*$AF$11)))</f>
        <v>0</v>
      </c>
      <c r="Y26" s="127" t="s">
        <v>752</v>
      </c>
      <c r="Z26" s="720" t="str">
        <f t="shared" ca="1" si="13"/>
        <v/>
      </c>
      <c r="AA26" s="128">
        <f ca="1">IF($C26="S",IF($Z26="CP",$X26,IF($Z26="RA",(($X26)*QCI!$AA$3),0)),SomaAgrup)</f>
        <v>0</v>
      </c>
      <c r="AB26" s="129">
        <f t="shared" ca="1" si="14"/>
        <v>0</v>
      </c>
      <c r="AC26" s="566"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IF(AND(_xlfn.SINGLE(TIPOORCAMENTO)="Licitado",$AL26=0,$AN26&gt;0),"SEM PREÇO",
IF(AND($C26="S",$P26&lt;&gt;"",$Q26&lt;&gt;"",$U26&gt;0,$V26=0),"BDI",
IF(OR(AND(TIPOORCAMENTO="Proposto",LEFT($O$8,5)&lt;&gt;"(N/D:",$AG26&lt;&gt;"",ORÇAMENTO.CustoUnitario&gt;$AG26),AND(TIPOORCAMENTO="LICITADO",ORÇAMENTO.PrecoUnitarioLicitado&gt;$AN26)),"ACIMA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SEM CUSTO</v>
      </c>
      <c r="AD26" s="720" t="str">
        <f ca="1">IF(C26&lt;=CRONO.NivelExibicao,MAX($AD$15:OFFSET(AD26,-1,0))+IF($C26&lt;&gt;1,1,MAX(1,COUNTIF(QCI!$A$13:$A$15,OFFSET($E26,-1,0)))),"")</f>
        <v/>
      </c>
      <c r="AE26" s="718" t="str">
        <f ca="1">IF(AND($C26="S",ORÇAMENTO.CodBarra&lt;&gt;""),IF(ORÇAMENTO.Fonte="",ORÇAMENTO.CodBarra,CONCATENATE(ORÇAMENTO.Fonte," ",ORÇAMENTO.CodBarra)))</f>
        <v>SEINFRA CO-28390</v>
      </c>
      <c r="AF26" s="719" t="str">
        <f ca="1">IF(ISERROR(INDIRECT(ORÇAMENTO.BancoRef)),"(abra o arquivo 'Referência "&amp;Excel_BuiltIn_Database&amp;".xlsm)",IF(OR($C26&lt;&gt;"S",ORÇAMENTO.CodBarra=""),"(Sem Código)",IF(ISERROR(MATCH($AE26,INDIRECT(ORÇAMENTO.BancoRef),0)),"(Código não identificado nas referências)",MATCH($AE26,INDIRECT(ORÇAMENTO.BancoRef),0))))</f>
        <v>(abra o arquivo 'Referência 09-2025.xlsm)</v>
      </c>
      <c r="AG26" s="429">
        <f ca="1">ROUND(IF(DESONERACAO="sim",REFERENCIA.Desonerado,REFERENCIA.NaoDesonerado),2)</f>
        <v>0</v>
      </c>
      <c r="AH26" s="430">
        <f t="shared" ca="1" si="15"/>
        <v>0.24740000000000001</v>
      </c>
      <c r="AJ26" s="699">
        <v>2</v>
      </c>
      <c r="AL26" s="440"/>
      <c r="AM26" s="337">
        <f t="shared" ca="1" si="0"/>
        <v>0</v>
      </c>
      <c r="AN26" s="471">
        <f t="shared" ca="1" si="16"/>
        <v>0</v>
      </c>
    </row>
    <row r="27" spans="1:40" s="720" customFormat="1" ht="38.25" x14ac:dyDescent="0.2">
      <c r="A27" s="720" t="str">
        <f t="shared" si="1"/>
        <v>S</v>
      </c>
      <c r="B27" s="720">
        <f t="shared" ca="1" si="2"/>
        <v>2</v>
      </c>
      <c r="C27" s="720" t="str">
        <f t="shared" ca="1" si="3"/>
        <v>S</v>
      </c>
      <c r="D27" s="720">
        <f t="shared" ca="1" si="4"/>
        <v>0</v>
      </c>
      <c r="E27" s="720">
        <f ca="1">IF($C27=1,OFFSET(E27,-1,0)+MAX(1,COUNTIF(QCI!$A$13:$A$15,OFFSET(ORÇAMENTO!E27,-1,0))),OFFSET(E27,-1,0))</f>
        <v>1</v>
      </c>
      <c r="F27" s="720">
        <f t="shared" ca="1" si="5"/>
        <v>3</v>
      </c>
      <c r="G27" s="720">
        <f t="shared" ca="1" si="6"/>
        <v>0</v>
      </c>
      <c r="H27" s="720">
        <f t="shared" ca="1" si="7"/>
        <v>0</v>
      </c>
      <c r="I27" s="720">
        <f t="shared" ca="1" si="8"/>
        <v>0</v>
      </c>
      <c r="J27" s="720">
        <f t="shared" ca="1" si="9"/>
        <v>0</v>
      </c>
      <c r="K27" s="720">
        <f ca="1">IF(OR($C27="S",$C27=0),0,MATCH(OFFSET($D27,0,$C27)+IF($C27&lt;&gt;1,1,COUNTIF(QCI!$A$13:$A$15,ORÇAMENTO!E27)),OFFSET($D27,1,$C27,ROW($C$231)-ROW($C27)),0))</f>
        <v>0</v>
      </c>
      <c r="L27" s="115" t="str">
        <f t="shared" ca="1" si="10"/>
        <v/>
      </c>
      <c r="M27" s="116" t="s">
        <v>706</v>
      </c>
      <c r="N27" s="117" t="str">
        <f t="shared" ca="1" si="11"/>
        <v>Serviço</v>
      </c>
      <c r="O27" s="118" t="str">
        <f t="shared" ca="1" si="12"/>
        <v>-</v>
      </c>
      <c r="P27" s="119" t="s">
        <v>1066</v>
      </c>
      <c r="Q27" s="120" t="s">
        <v>1143</v>
      </c>
      <c r="R27" s="121" t="str">
        <f ca="1">IF($C27="S",REFERENCIA.Descricao,"(digite a descrição aqui)")</f>
        <v>(abra o arquivo 'Referência 09-2025.xlsm)</v>
      </c>
      <c r="S27" s="122" t="str">
        <f ca="1">REFERENCIA.Unidade</f>
        <v>-</v>
      </c>
      <c r="T27" s="123">
        <f ca="1">OFFSET(CÁLCULO!H$15,ROW($T27)-ROW(T$15),0)</f>
        <v>30</v>
      </c>
      <c r="U27" s="124">
        <f ca="1">AG27</f>
        <v>0</v>
      </c>
      <c r="V27" s="125" t="s">
        <v>664</v>
      </c>
      <c r="W27" s="123">
        <f ca="1">IF($C27="S",ROUND(IF(TIPOORCAMENTO="Proposto",ORÇAMENTO.CustoUnitario*(1+$AH27),ORÇAMENTO.PrecoUnitarioLicitado),15-13*$AF$10),0)</f>
        <v>0</v>
      </c>
      <c r="X27" s="126" cm="1">
        <f t="array" aca="1" ref="X27" ca="1">IF($C27="S",IF(OR(Import.TipoArredondamento&lt;&gt;"TransfereGOV",ACOMPANHAMENTO="BM"),VTOTAL1,SUM(OFFSET(CÁLCULO!$AA$15,ROW($X27)-ROW($X$15),1):OFFSET(CÁLCULO!$AL$15,ROW($X27)-ROW($X$15),-1))),IF($C27=0,0,ROUND(SomaAgrup,15-13*$AF$11)))</f>
        <v>0</v>
      </c>
      <c r="Y27" s="127" t="s">
        <v>752</v>
      </c>
      <c r="Z27" s="720" t="str">
        <f t="shared" ca="1" si="13"/>
        <v/>
      </c>
      <c r="AA27" s="128">
        <f ca="1">IF($C27="S",IF($Z27="CP",$X27,IF($Z27="RA",(($X27)*QCI!$AA$3),0)),SomaAgrup)</f>
        <v>0</v>
      </c>
      <c r="AB27" s="129">
        <f t="shared" ca="1" si="14"/>
        <v>0</v>
      </c>
      <c r="AC27" s="566"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IF(AND(_xlfn.SINGLE(TIPOORCAMENTO)="Licitado",$AL27=0,$AN27&gt;0),"SEM PREÇO",
IF(AND($C27="S",$P27&lt;&gt;"",$Q27&lt;&gt;"",$U27&gt;0,$V27=0),"BDI",
IF(OR(AND(TIPOORCAMENTO="Proposto",LEFT($O$8,5)&lt;&gt;"(N/D:",$AG27&lt;&gt;"",ORÇAMENTO.CustoUnitario&gt;$AG27),AND(TIPOORCAMENTO="LICITADO",ORÇAMENTO.PrecoUnitarioLicitado&gt;$AN27)),"ACIMA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SEM CUSTO</v>
      </c>
      <c r="AD27" s="720" t="str">
        <f ca="1">IF(C27&lt;=CRONO.NivelExibicao,MAX($AD$15:OFFSET(AD27,-1,0))+IF($C27&lt;&gt;1,1,MAX(1,COUNTIF(QCI!$A$13:$A$15,OFFSET($E27,-1,0)))),"")</f>
        <v/>
      </c>
      <c r="AE27" s="718" t="str">
        <f ca="1">IF(AND($C27="S",ORÇAMENTO.CodBarra&lt;&gt;""),IF(ORÇAMENTO.Fonte="",ORÇAMENTO.CodBarra,CONCATENATE(ORÇAMENTO.Fonte," ",ORÇAMENTO.CodBarra)))</f>
        <v>SEINFRA CO-28388</v>
      </c>
      <c r="AF27" s="719" t="str">
        <f ca="1">IF(ISERROR(INDIRECT(ORÇAMENTO.BancoRef)),"(abra o arquivo 'Referência "&amp;Excel_BuiltIn_Database&amp;".xlsm)",IF(OR($C27&lt;&gt;"S",ORÇAMENTO.CodBarra=""),"(Sem Código)",IF(ISERROR(MATCH($AE27,INDIRECT(ORÇAMENTO.BancoRef),0)),"(Código não identificado nas referências)",MATCH($AE27,INDIRECT(ORÇAMENTO.BancoRef),0))))</f>
        <v>(abra o arquivo 'Referência 09-2025.xlsm)</v>
      </c>
      <c r="AG27" s="429">
        <f ca="1">ROUND(IF(DESONERACAO="sim",REFERENCIA.Desonerado,REFERENCIA.NaoDesonerado),2)</f>
        <v>0</v>
      </c>
      <c r="AH27" s="430">
        <f t="shared" ca="1" si="15"/>
        <v>0.24740000000000001</v>
      </c>
      <c r="AJ27" s="699">
        <v>30</v>
      </c>
      <c r="AL27" s="440"/>
      <c r="AM27" s="337">
        <f t="shared" ca="1" si="0"/>
        <v>0</v>
      </c>
      <c r="AN27" s="471">
        <f t="shared" ca="1" si="16"/>
        <v>0</v>
      </c>
    </row>
    <row r="28" spans="1:40" s="675" customFormat="1" ht="13.9" customHeight="1" x14ac:dyDescent="0.2">
      <c r="A28" s="675" t="str">
        <f t="shared" si="1"/>
        <v>S</v>
      </c>
      <c r="B28" s="675">
        <f t="shared" ca="1" si="2"/>
        <v>2</v>
      </c>
      <c r="C28" s="675" t="str">
        <f t="shared" ca="1" si="3"/>
        <v>S</v>
      </c>
      <c r="D28" s="675">
        <f t="shared" ca="1" si="4"/>
        <v>0</v>
      </c>
      <c r="E28" s="675">
        <f ca="1">IF($C28=1,OFFSET(E28,-1,0)+MAX(1,COUNTIF(QCI!$A$13:$A$15,OFFSET(ORÇAMENTO!E28,-1,0))),OFFSET(E28,-1,0))</f>
        <v>1</v>
      </c>
      <c r="F28" s="675">
        <f t="shared" ca="1" si="5"/>
        <v>3</v>
      </c>
      <c r="G28" s="675">
        <f t="shared" ca="1" si="6"/>
        <v>0</v>
      </c>
      <c r="H28" s="675">
        <f t="shared" ca="1" si="7"/>
        <v>0</v>
      </c>
      <c r="I28" s="675">
        <f t="shared" ca="1" si="8"/>
        <v>0</v>
      </c>
      <c r="J28" s="675">
        <f t="shared" ca="1" si="9"/>
        <v>0</v>
      </c>
      <c r="K28" s="675">
        <f ca="1">IF(OR($C28="S",$C28=0),0,MATCH(OFFSET($D28,0,$C28)+IF($C28&lt;&gt;1,1,COUNTIF(QCI!$A$13:$A$15,ORÇAMENTO!E28)),OFFSET($D28,1,$C28,ROW($C$231)-ROW($C28)),0))</f>
        <v>0</v>
      </c>
      <c r="L28" s="115" t="str">
        <f t="shared" ca="1" si="10"/>
        <v/>
      </c>
      <c r="M28" s="116" t="s">
        <v>706</v>
      </c>
      <c r="N28" s="117" t="str">
        <f t="shared" ca="1" si="11"/>
        <v>Serviço</v>
      </c>
      <c r="O28" s="118" t="str">
        <f t="shared" ca="1" si="12"/>
        <v>-</v>
      </c>
      <c r="P28" s="119" t="s">
        <v>968</v>
      </c>
      <c r="Q28" s="677" t="s">
        <v>975</v>
      </c>
      <c r="R28" s="121" t="str">
        <f ca="1">IF($C28="S",REFERENCIA.Descricao,"(digite a descrição aqui)")</f>
        <v>(abra o arquivo 'Referência 09-2025.xlsm)</v>
      </c>
      <c r="S28" s="122" t="str">
        <f ca="1">REFERENCIA.Unidade</f>
        <v>-</v>
      </c>
      <c r="T28" s="123">
        <f ca="1">OFFSET(CÁLCULO!H$15,ROW($T28)-ROW(T$15),0)</f>
        <v>15</v>
      </c>
      <c r="U28" s="124">
        <f ca="1">ROUND(IF(DESONERACAO="sim",REFERENCIA.Desonerado,REFERENCIA.NaoDesonerado),2)</f>
        <v>0</v>
      </c>
      <c r="V28" s="125" t="s">
        <v>664</v>
      </c>
      <c r="W28" s="123">
        <f ca="1">IF($C28="S",ROUND(IF(TIPOORCAMENTO="Proposto",ORÇAMENTO.CustoUnitario*(1+$AH28),ORÇAMENTO.PrecoUnitarioLicitado),15-13*$AF$10),0)</f>
        <v>0</v>
      </c>
      <c r="X28" s="126" cm="1">
        <f t="array" aca="1" ref="X28" ca="1">IF($C28="S",IF(OR(Import.TipoArredondamento&lt;&gt;"TransfereGOV",ACOMPANHAMENTO="BM"),VTOTAL1,SUM(OFFSET(CÁLCULO!$AA$15,ROW($X28)-ROW($X$15),1):OFFSET(CÁLCULO!$AL$15,ROW($X28)-ROW($X$15),-1))),IF($C28=0,0,ROUND(SomaAgrup,15-13*$AF$11)))</f>
        <v>0</v>
      </c>
      <c r="Y28" s="127" t="s">
        <v>752</v>
      </c>
      <c r="Z28" s="675" t="str">
        <f t="shared" ca="1" si="13"/>
        <v/>
      </c>
      <c r="AA28" s="128">
        <f ca="1">IF($C28="S",IF($Z28="CP",$X28,IF($Z28="RA",(($X28)*QCI!$AA$3),0)),SomaAgrup)</f>
        <v>0</v>
      </c>
      <c r="AB28" s="129">
        <f t="shared" ca="1" si="14"/>
        <v>0</v>
      </c>
      <c r="AC28" s="566"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IF(AND(_xlfn.SINGLE(TIPOORCAMENTO)="Licitado",$AL28=0,$AN28&gt;0),"SEM PREÇO",
IF(AND($C28="S",$P28&lt;&gt;"",$Q28&lt;&gt;"",$U28&gt;0,$V28=0),"BDI",
IF(OR(AND(TIPOORCAMENTO="Proposto",LEFT($O$8,5)&lt;&gt;"(N/D:",$AG28&lt;&gt;"",ORÇAMENTO.CustoUnitario&gt;$AG28),AND(TIPOORCAMENTO="LICITADO",ORÇAMENTO.PrecoUnitarioLicitado&gt;$AN28)),"ACIMA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SEM CUSTO</v>
      </c>
      <c r="AD28" s="675" t="str">
        <f ca="1">IF(C28&lt;=CRONO.NivelExibicao,MAX($AD$15:OFFSET(AD28,-1,0))+IF($C28&lt;&gt;1,1,MAX(1,COUNTIF(QCI!$A$13:$A$15,OFFSET($E28,-1,0)))),"")</f>
        <v/>
      </c>
      <c r="AE28" s="671" t="str">
        <f ca="1">IF(AND($C28="S",ORÇAMENTO.CodBarra&lt;&gt;""),IF(ORÇAMENTO.Fonte="",ORÇAMENTO.CodBarra,CONCATENATE(ORÇAMENTO.Fonte," ",ORÇAMENTO.CodBarra)))</f>
        <v>COPASA 65000152</v>
      </c>
      <c r="AF28" s="674" t="str">
        <f ca="1">IF(ISERROR(INDIRECT(ORÇAMENTO.BancoRef)),"(abra o arquivo 'Referência "&amp;Excel_BuiltIn_Database&amp;".xlsm)",IF(OR($C28&lt;&gt;"S",ORÇAMENTO.CodBarra=""),"(Sem Código)",IF(ISERROR(MATCH($AE28,INDIRECT(ORÇAMENTO.BancoRef),0)),"(Código não identificado nas referências)",MATCH($AE28,INDIRECT(ORÇAMENTO.BancoRef),0))))</f>
        <v>(abra o arquivo 'Referência 09-2025.xlsm)</v>
      </c>
      <c r="AG28" s="429">
        <f ca="1">ROUND(IF(DESONERACAO="sim",REFERENCIA.Desonerado,REFERENCIA.NaoDesonerado),2)</f>
        <v>0</v>
      </c>
      <c r="AH28" s="430">
        <f t="shared" ca="1" si="15"/>
        <v>0.24740000000000001</v>
      </c>
      <c r="AJ28" s="685">
        <v>15</v>
      </c>
      <c r="AL28" s="440"/>
      <c r="AM28" s="337">
        <f t="shared" ca="1" si="0"/>
        <v>0</v>
      </c>
      <c r="AN28" s="471">
        <f t="shared" ca="1" si="16"/>
        <v>0</v>
      </c>
    </row>
    <row r="29" spans="1:40" s="675" customFormat="1" x14ac:dyDescent="0.2">
      <c r="A29" s="675" t="str">
        <f t="shared" si="1"/>
        <v>S</v>
      </c>
      <c r="B29" s="675">
        <f t="shared" ca="1" si="2"/>
        <v>2</v>
      </c>
      <c r="C29" s="675" t="str">
        <f t="shared" ca="1" si="3"/>
        <v>S</v>
      </c>
      <c r="D29" s="675">
        <f t="shared" ca="1" si="4"/>
        <v>0</v>
      </c>
      <c r="E29" s="675">
        <f ca="1">IF($C29=1,OFFSET(E29,-1,0)+MAX(1,COUNTIF(QCI!$A$13:$A$15,OFFSET(ORÇAMENTO!E29,-1,0))),OFFSET(E29,-1,0))</f>
        <v>1</v>
      </c>
      <c r="F29" s="675">
        <f t="shared" ca="1" si="5"/>
        <v>3</v>
      </c>
      <c r="G29" s="675">
        <f t="shared" ca="1" si="6"/>
        <v>0</v>
      </c>
      <c r="H29" s="675">
        <f t="shared" ca="1" si="7"/>
        <v>0</v>
      </c>
      <c r="I29" s="675">
        <f t="shared" ca="1" si="8"/>
        <v>0</v>
      </c>
      <c r="J29" s="675">
        <f t="shared" ca="1" si="9"/>
        <v>0</v>
      </c>
      <c r="K29" s="675">
        <f ca="1">IF(OR($C29="S",$C29=0),0,MATCH(OFFSET($D29,0,$C29)+IF($C29&lt;&gt;1,1,COUNTIF(QCI!$A$13:$A$15,ORÇAMENTO!E29)),OFFSET($D29,1,$C29,ROW($C$231)-ROW($C29)),0))</f>
        <v>0</v>
      </c>
      <c r="L29" s="115" t="str">
        <f t="shared" ca="1" si="10"/>
        <v/>
      </c>
      <c r="M29" s="116" t="s">
        <v>706</v>
      </c>
      <c r="N29" s="117" t="str">
        <f t="shared" ca="1" si="11"/>
        <v>Serviço</v>
      </c>
      <c r="O29" s="118" t="str">
        <f t="shared" ca="1" si="12"/>
        <v>-</v>
      </c>
      <c r="P29" s="119" t="s">
        <v>968</v>
      </c>
      <c r="Q29" s="677" t="s">
        <v>976</v>
      </c>
      <c r="R29" s="121" t="str">
        <f ca="1">IF($C29="S",REFERENCIA.Descricao,"(digite a descrição aqui)")</f>
        <v>(abra o arquivo 'Referência 09-2025.xlsm)</v>
      </c>
      <c r="S29" s="122" t="str">
        <f ca="1">REFERENCIA.Unidade</f>
        <v>-</v>
      </c>
      <c r="T29" s="123">
        <f ca="1">OFFSET(CÁLCULO!H$15,ROW($T29)-ROW(T$15),0)</f>
        <v>1</v>
      </c>
      <c r="U29" s="124">
        <f ca="1">ROUND(IF(DESONERACAO="sim",REFERENCIA.Desonerado,REFERENCIA.NaoDesonerado),2)</f>
        <v>0</v>
      </c>
      <c r="V29" s="125" t="s">
        <v>664</v>
      </c>
      <c r="W29" s="123">
        <f ca="1">IF($C29="S",ROUND(IF(TIPOORCAMENTO="Proposto",ORÇAMENTO.CustoUnitario*(1+$AH29),ORÇAMENTO.PrecoUnitarioLicitado),15-13*$AF$10),0)</f>
        <v>0</v>
      </c>
      <c r="X29" s="126" cm="1">
        <f t="array" aca="1" ref="X29" ca="1">IF($C29="S",IF(OR(Import.TipoArredondamento&lt;&gt;"TransfereGOV",ACOMPANHAMENTO="BM"),VTOTAL1,SUM(OFFSET(CÁLCULO!$AA$15,ROW($X29)-ROW($X$15),1):OFFSET(CÁLCULO!$AL$15,ROW($X29)-ROW($X$15),-1))),IF($C29=0,0,ROUND(SomaAgrup,15-13*$AF$11)))</f>
        <v>0</v>
      </c>
      <c r="Y29" s="127" t="s">
        <v>752</v>
      </c>
      <c r="Z29" s="675" t="str">
        <f t="shared" ca="1" si="13"/>
        <v/>
      </c>
      <c r="AA29" s="128">
        <f ca="1">IF($C29="S",IF($Z29="CP",$X29,IF($Z29="RA",(($X29)*QCI!$AA$3),0)),SomaAgrup)</f>
        <v>0</v>
      </c>
      <c r="AB29" s="129">
        <f t="shared" ca="1" si="14"/>
        <v>0</v>
      </c>
      <c r="AC29" s="566"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IF(AND(_xlfn.SINGLE(TIPOORCAMENTO)="Licitado",$AL29=0,$AN29&gt;0),"SEM PREÇO",
IF(AND($C29="S",$P29&lt;&gt;"",$Q29&lt;&gt;"",$U29&gt;0,$V29=0),"BDI",
IF(OR(AND(TIPOORCAMENTO="Proposto",LEFT($O$8,5)&lt;&gt;"(N/D:",$AG29&lt;&gt;"",ORÇAMENTO.CustoUnitario&gt;$AG29),AND(TIPOORCAMENTO="LICITADO",ORÇAMENTO.PrecoUnitarioLicitado&gt;$AN29)),"ACIMA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SEM CUSTO</v>
      </c>
      <c r="AD29" s="675" t="str">
        <f ca="1">IF(C29&lt;=CRONO.NivelExibicao,MAX($AD$15:OFFSET(AD29,-1,0))+IF($C29&lt;&gt;1,1,MAX(1,COUNTIF(QCI!$A$13:$A$15,OFFSET($E29,-1,0)))),"")</f>
        <v/>
      </c>
      <c r="AE29" s="671" t="str">
        <f ca="1">IF(AND($C29="S",ORÇAMENTO.CodBarra&lt;&gt;""),IF(ORÇAMENTO.Fonte="",ORÇAMENTO.CodBarra,CONCATENATE(ORÇAMENTO.Fonte," ",ORÇAMENTO.CodBarra)))</f>
        <v>COPASA 65000199</v>
      </c>
      <c r="AF29" s="674" t="str">
        <f ca="1">IF(ISERROR(INDIRECT(ORÇAMENTO.BancoRef)),"(abra o arquivo 'Referência "&amp;Excel_BuiltIn_Database&amp;".xlsm)",IF(OR($C29&lt;&gt;"S",ORÇAMENTO.CodBarra=""),"(Sem Código)",IF(ISERROR(MATCH($AE29,INDIRECT(ORÇAMENTO.BancoRef),0)),"(Código não identificado nas referências)",MATCH($AE29,INDIRECT(ORÇAMENTO.BancoRef),0))))</f>
        <v>(abra o arquivo 'Referência 09-2025.xlsm)</v>
      </c>
      <c r="AG29" s="429">
        <f ca="1">ROUND(IF(DESONERACAO="sim",REFERENCIA.Desonerado,REFERENCIA.NaoDesonerado),2)</f>
        <v>0</v>
      </c>
      <c r="AH29" s="430">
        <f t="shared" ca="1" si="15"/>
        <v>0.24740000000000001</v>
      </c>
      <c r="AJ29" s="685">
        <v>1</v>
      </c>
      <c r="AL29" s="440"/>
      <c r="AM29" s="337">
        <f t="shared" ca="1" si="0"/>
        <v>0</v>
      </c>
      <c r="AN29" s="471">
        <f t="shared" ca="1" si="16"/>
        <v>0</v>
      </c>
    </row>
    <row r="30" spans="1:40" s="675" customFormat="1" x14ac:dyDescent="0.2">
      <c r="A30" s="675" t="str">
        <f t="shared" si="1"/>
        <v>S</v>
      </c>
      <c r="B30" s="675">
        <f t="shared" ca="1" si="2"/>
        <v>2</v>
      </c>
      <c r="C30" s="675" t="str">
        <f t="shared" ca="1" si="3"/>
        <v>S</v>
      </c>
      <c r="D30" s="675">
        <f t="shared" ca="1" si="4"/>
        <v>0</v>
      </c>
      <c r="E30" s="675">
        <f ca="1">IF($C30=1,OFFSET(E30,-1,0)+MAX(1,COUNTIF(QCI!$A$13:$A$15,OFFSET(ORÇAMENTO!E30,-1,0))),OFFSET(E30,-1,0))</f>
        <v>1</v>
      </c>
      <c r="F30" s="675">
        <f t="shared" ca="1" si="5"/>
        <v>3</v>
      </c>
      <c r="G30" s="675">
        <f t="shared" ca="1" si="6"/>
        <v>0</v>
      </c>
      <c r="H30" s="675">
        <f t="shared" ca="1" si="7"/>
        <v>0</v>
      </c>
      <c r="I30" s="675">
        <f t="shared" ca="1" si="8"/>
        <v>0</v>
      </c>
      <c r="J30" s="675">
        <f t="shared" ca="1" si="9"/>
        <v>0</v>
      </c>
      <c r="K30" s="675">
        <f ca="1">IF(OR($C30="S",$C30=0),0,MATCH(OFFSET($D30,0,$C30)+IF($C30&lt;&gt;1,1,COUNTIF(QCI!$A$13:$A$15,ORÇAMENTO!E30)),OFFSET($D30,1,$C30,ROW($C$231)-ROW($C30)),0))</f>
        <v>0</v>
      </c>
      <c r="L30" s="115" t="str">
        <f t="shared" ca="1" si="10"/>
        <v/>
      </c>
      <c r="M30" s="116" t="s">
        <v>706</v>
      </c>
      <c r="N30" s="117" t="str">
        <f t="shared" ca="1" si="11"/>
        <v>Serviço</v>
      </c>
      <c r="O30" s="118" t="str">
        <f t="shared" ca="1" si="12"/>
        <v>-</v>
      </c>
      <c r="P30" s="119" t="s">
        <v>968</v>
      </c>
      <c r="Q30" s="677" t="s">
        <v>977</v>
      </c>
      <c r="R30" s="121" t="str">
        <f ca="1">IF($C30="S",REFERENCIA.Descricao,"(digite a descrição aqui)")</f>
        <v>(abra o arquivo 'Referência 09-2025.xlsm)</v>
      </c>
      <c r="S30" s="122" t="str">
        <f ca="1">REFERENCIA.Unidade</f>
        <v>-</v>
      </c>
      <c r="T30" s="123">
        <f ca="1">OFFSET(CÁLCULO!H$15,ROW($T30)-ROW(T$15),0)</f>
        <v>863</v>
      </c>
      <c r="U30" s="124">
        <f ca="1">ROUND(IF(DESONERACAO="sim",REFERENCIA.Desonerado,REFERENCIA.NaoDesonerado),2)</f>
        <v>0</v>
      </c>
      <c r="V30" s="125" t="s">
        <v>664</v>
      </c>
      <c r="W30" s="123">
        <f ca="1">IF($C30="S",ROUND(IF(TIPOORCAMENTO="Proposto",ORÇAMENTO.CustoUnitario*(1+$AH30),ORÇAMENTO.PrecoUnitarioLicitado),15-13*$AF$10),0)</f>
        <v>0</v>
      </c>
      <c r="X30" s="126" cm="1">
        <f t="array" aca="1" ref="X30" ca="1">IF($C30="S",IF(OR(Import.TipoArredondamento&lt;&gt;"TransfereGOV",ACOMPANHAMENTO="BM"),VTOTAL1,SUM(OFFSET(CÁLCULO!$AA$15,ROW($X30)-ROW($X$15),1):OFFSET(CÁLCULO!$AL$15,ROW($X30)-ROW($X$15),-1))),IF($C30=0,0,ROUND(SomaAgrup,15-13*$AF$11)))</f>
        <v>0</v>
      </c>
      <c r="Y30" s="127" t="s">
        <v>752</v>
      </c>
      <c r="Z30" s="675" t="str">
        <f t="shared" ca="1" si="13"/>
        <v/>
      </c>
      <c r="AA30" s="128">
        <f ca="1">IF($C30="S",IF($Z30="CP",$X30,IF($Z30="RA",(($X30)*QCI!$AA$3),0)),SomaAgrup)</f>
        <v>0</v>
      </c>
      <c r="AB30" s="129">
        <f t="shared" ca="1" si="14"/>
        <v>0</v>
      </c>
      <c r="AC30" s="566"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IF(AND(_xlfn.SINGLE(TIPOORCAMENTO)="Licitado",$AL30=0,$AN30&gt;0),"SEM PREÇO",
IF(AND($C30="S",$P30&lt;&gt;"",$Q30&lt;&gt;"",$U30&gt;0,$V30=0),"BDI",
IF(OR(AND(TIPOORCAMENTO="Proposto",LEFT($O$8,5)&lt;&gt;"(N/D:",$AG30&lt;&gt;"",ORÇAMENTO.CustoUnitario&gt;$AG30),AND(TIPOORCAMENTO="LICITADO",ORÇAMENTO.PrecoUnitarioLicitado&gt;$AN30)),"ACIMA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SEM CUSTO</v>
      </c>
      <c r="AD30" s="675" t="str">
        <f ca="1">IF(C30&lt;=CRONO.NivelExibicao,MAX($AD$15:OFFSET(AD30,-1,0))+IF($C30&lt;&gt;1,1,MAX(1,COUNTIF(QCI!$A$13:$A$15,OFFSET($E30,-1,0)))),"")</f>
        <v/>
      </c>
      <c r="AE30" s="671" t="str">
        <f ca="1">IF(AND($C30="S",ORÇAMENTO.CodBarra&lt;&gt;""),IF(ORÇAMENTO.Fonte="",ORÇAMENTO.CodBarra,CONCATENATE(ORÇAMENTO.Fonte," ",ORÇAMENTO.CodBarra)))</f>
        <v>COPASA 65000172</v>
      </c>
      <c r="AF30" s="674" t="str">
        <f ca="1">IF(ISERROR(INDIRECT(ORÇAMENTO.BancoRef)),"(abra o arquivo 'Referência "&amp;Excel_BuiltIn_Database&amp;".xlsm)",IF(OR($C30&lt;&gt;"S",ORÇAMENTO.CodBarra=""),"(Sem Código)",IF(ISERROR(MATCH($AE30,INDIRECT(ORÇAMENTO.BancoRef),0)),"(Código não identificado nas referências)",MATCH($AE30,INDIRECT(ORÇAMENTO.BancoRef),0))))</f>
        <v>(abra o arquivo 'Referência 09-2025.xlsm)</v>
      </c>
      <c r="AG30" s="429">
        <f ca="1">ROUND(IF(DESONERACAO="sim",REFERENCIA.Desonerado,REFERENCIA.NaoDesonerado),2)</f>
        <v>0</v>
      </c>
      <c r="AH30" s="430">
        <f t="shared" ca="1" si="15"/>
        <v>0.24740000000000001</v>
      </c>
      <c r="AJ30" s="685">
        <v>863</v>
      </c>
      <c r="AL30" s="440"/>
      <c r="AM30" s="337">
        <f t="shared" ca="1" si="0"/>
        <v>0</v>
      </c>
      <c r="AN30" s="471">
        <f t="shared" ca="1" si="16"/>
        <v>0</v>
      </c>
    </row>
    <row r="31" spans="1:40" s="675" customFormat="1" ht="13.9" customHeight="1" x14ac:dyDescent="0.2">
      <c r="A31" s="675" t="str">
        <f t="shared" si="1"/>
        <v>S</v>
      </c>
      <c r="B31" s="675">
        <f t="shared" ca="1" si="2"/>
        <v>2</v>
      </c>
      <c r="C31" s="675" t="str">
        <f t="shared" ca="1" si="3"/>
        <v>S</v>
      </c>
      <c r="D31" s="675">
        <f t="shared" ca="1" si="4"/>
        <v>0</v>
      </c>
      <c r="E31" s="675">
        <f ca="1">IF($C31=1,OFFSET(E31,-1,0)+MAX(1,COUNTIF(QCI!$A$13:$A$15,OFFSET(ORÇAMENTO!E31,-1,0))),OFFSET(E31,-1,0))</f>
        <v>1</v>
      </c>
      <c r="F31" s="675">
        <f t="shared" ca="1" si="5"/>
        <v>3</v>
      </c>
      <c r="G31" s="675">
        <f t="shared" ca="1" si="6"/>
        <v>0</v>
      </c>
      <c r="H31" s="675">
        <f t="shared" ca="1" si="7"/>
        <v>0</v>
      </c>
      <c r="I31" s="675">
        <f t="shared" ca="1" si="8"/>
        <v>0</v>
      </c>
      <c r="J31" s="675">
        <f t="shared" ca="1" si="9"/>
        <v>0</v>
      </c>
      <c r="K31" s="675">
        <f ca="1">IF(OR($C31="S",$C31=0),0,MATCH(OFFSET($D31,0,$C31)+IF($C31&lt;&gt;1,1,COUNTIF(QCI!$A$13:$A$15,ORÇAMENTO!E31)),OFFSET($D31,1,$C31,ROW($C$231)-ROW($C31)),0))</f>
        <v>0</v>
      </c>
      <c r="L31" s="115" t="str">
        <f t="shared" ca="1" si="10"/>
        <v/>
      </c>
      <c r="M31" s="116" t="s">
        <v>706</v>
      </c>
      <c r="N31" s="117" t="str">
        <f t="shared" ca="1" si="11"/>
        <v>Serviço</v>
      </c>
      <c r="O31" s="118" t="str">
        <f t="shared" ca="1" si="12"/>
        <v>-</v>
      </c>
      <c r="P31" s="119" t="s">
        <v>968</v>
      </c>
      <c r="Q31" s="677" t="s">
        <v>978</v>
      </c>
      <c r="R31" s="121" t="str">
        <f ca="1">IF($C31="S",REFERENCIA.Descricao,"(digite a descrição aqui)")</f>
        <v>(abra o arquivo 'Referência 09-2025.xlsm)</v>
      </c>
      <c r="S31" s="122" t="str">
        <f ca="1">REFERENCIA.Unidade</f>
        <v>-</v>
      </c>
      <c r="T31" s="123">
        <f ca="1">OFFSET(CÁLCULO!H$15,ROW($T31)-ROW(T$15),0)</f>
        <v>1276.54</v>
      </c>
      <c r="U31" s="124">
        <f ca="1">ROUND(IF(DESONERACAO="sim",REFERENCIA.Desonerado,REFERENCIA.NaoDesonerado),2)</f>
        <v>0</v>
      </c>
      <c r="V31" s="125" t="s">
        <v>664</v>
      </c>
      <c r="W31" s="123">
        <f ca="1">IF($C31="S",ROUND(IF(TIPOORCAMENTO="Proposto",ORÇAMENTO.CustoUnitario*(1+$AH31),ORÇAMENTO.PrecoUnitarioLicitado),15-13*$AF$10),0)</f>
        <v>0</v>
      </c>
      <c r="X31" s="126" cm="1">
        <f t="array" aca="1" ref="X31" ca="1">IF($C31="S",IF(OR(Import.TipoArredondamento&lt;&gt;"TransfereGOV",ACOMPANHAMENTO="BM"),VTOTAL1,SUM(OFFSET(CÁLCULO!$AA$15,ROW($X31)-ROW($X$15),1):OFFSET(CÁLCULO!$AL$15,ROW($X31)-ROW($X$15),-1))),IF($C31=0,0,ROUND(SomaAgrup,15-13*$AF$11)))</f>
        <v>0</v>
      </c>
      <c r="Y31" s="127" t="s">
        <v>752</v>
      </c>
      <c r="Z31" s="675" t="str">
        <f t="shared" ca="1" si="13"/>
        <v/>
      </c>
      <c r="AA31" s="128">
        <f ca="1">IF($C31="S",IF($Z31="CP",$X31,IF($Z31="RA",(($X31)*QCI!$AA$3),0)),SomaAgrup)</f>
        <v>0</v>
      </c>
      <c r="AB31" s="129">
        <f t="shared" ca="1" si="14"/>
        <v>0</v>
      </c>
      <c r="AC31" s="566"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IF(AND(_xlfn.SINGLE(TIPOORCAMENTO)="Licitado",$AL31=0,$AN31&gt;0),"SEM PREÇO",
IF(AND($C31="S",$P31&lt;&gt;"",$Q31&lt;&gt;"",$U31&gt;0,$V31=0),"BDI",
IF(OR(AND(TIPOORCAMENTO="Proposto",LEFT($O$8,5)&lt;&gt;"(N/D:",$AG31&lt;&gt;"",ORÇAMENTO.CustoUnitario&gt;$AG31),AND(TIPOORCAMENTO="LICITADO",ORÇAMENTO.PrecoUnitarioLicitado&gt;$AN31)),"ACIMA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SEM CUSTO</v>
      </c>
      <c r="AD31" s="675" t="str">
        <f ca="1">IF(C31&lt;=CRONO.NivelExibicao,MAX($AD$15:OFFSET(AD31,-1,0))+IF($C31&lt;&gt;1,1,MAX(1,COUNTIF(QCI!$A$13:$A$15,OFFSET($E31,-1,0)))),"")</f>
        <v/>
      </c>
      <c r="AE31" s="671" t="str">
        <f ca="1">IF(AND($C31="S",ORÇAMENTO.CodBarra&lt;&gt;""),IF(ORÇAMENTO.Fonte="",ORÇAMENTO.CodBarra,CONCATENATE(ORÇAMENTO.Fonte," ",ORÇAMENTO.CodBarra)))</f>
        <v>COPASA 65000173</v>
      </c>
      <c r="AF31" s="674" t="str">
        <f ca="1">IF(ISERROR(INDIRECT(ORÇAMENTO.BancoRef)),"(abra o arquivo 'Referência "&amp;Excel_BuiltIn_Database&amp;".xlsm)",IF(OR($C31&lt;&gt;"S",ORÇAMENTO.CodBarra=""),"(Sem Código)",IF(ISERROR(MATCH($AE31,INDIRECT(ORÇAMENTO.BancoRef),0)),"(Código não identificado nas referências)",MATCH($AE31,INDIRECT(ORÇAMENTO.BancoRef),0))))</f>
        <v>(abra o arquivo 'Referência 09-2025.xlsm)</v>
      </c>
      <c r="AG31" s="429">
        <f ca="1">ROUND(IF(DESONERACAO="sim",REFERENCIA.Desonerado,REFERENCIA.NaoDesonerado),2)</f>
        <v>0</v>
      </c>
      <c r="AH31" s="430">
        <f t="shared" ca="1" si="15"/>
        <v>0.24740000000000001</v>
      </c>
      <c r="AJ31" s="685">
        <v>1276.54</v>
      </c>
      <c r="AL31" s="440"/>
      <c r="AM31" s="337">
        <f t="shared" ca="1" si="0"/>
        <v>0</v>
      </c>
      <c r="AN31" s="471">
        <f t="shared" ca="1" si="16"/>
        <v>0</v>
      </c>
    </row>
    <row r="32" spans="1:40" s="675" customFormat="1" ht="25.5" x14ac:dyDescent="0.2">
      <c r="A32" s="675" t="str">
        <f t="shared" si="1"/>
        <v>S</v>
      </c>
      <c r="B32" s="675">
        <f t="shared" ca="1" si="2"/>
        <v>2</v>
      </c>
      <c r="C32" s="675" t="str">
        <f t="shared" ca="1" si="3"/>
        <v>S</v>
      </c>
      <c r="D32" s="675">
        <f t="shared" ca="1" si="4"/>
        <v>0</v>
      </c>
      <c r="E32" s="675">
        <f ca="1">IF($C32=1,OFFSET(E32,-1,0)+MAX(1,COUNTIF(QCI!$A$13:$A$15,OFFSET(ORÇAMENTO!E32,-1,0))),OFFSET(E32,-1,0))</f>
        <v>1</v>
      </c>
      <c r="F32" s="675">
        <f t="shared" ca="1" si="5"/>
        <v>3</v>
      </c>
      <c r="G32" s="675">
        <f t="shared" ca="1" si="6"/>
        <v>0</v>
      </c>
      <c r="H32" s="675">
        <f t="shared" ca="1" si="7"/>
        <v>0</v>
      </c>
      <c r="I32" s="675">
        <f t="shared" ca="1" si="8"/>
        <v>0</v>
      </c>
      <c r="J32" s="675">
        <f t="shared" ca="1" si="9"/>
        <v>0</v>
      </c>
      <c r="K32" s="675">
        <f ca="1">IF(OR($C32="S",$C32=0),0,MATCH(OFFSET($D32,0,$C32)+IF($C32&lt;&gt;1,1,COUNTIF(QCI!$A$13:$A$15,ORÇAMENTO!E32)),OFFSET($D32,1,$C32,ROW($C$231)-ROW($C32)),0))</f>
        <v>0</v>
      </c>
      <c r="L32" s="115" t="str">
        <f t="shared" ca="1" si="10"/>
        <v/>
      </c>
      <c r="M32" s="116" t="s">
        <v>706</v>
      </c>
      <c r="N32" s="117" t="str">
        <f t="shared" ca="1" si="11"/>
        <v>Serviço</v>
      </c>
      <c r="O32" s="118" t="str">
        <f t="shared" ca="1" si="12"/>
        <v>-</v>
      </c>
      <c r="P32" s="119" t="s">
        <v>751</v>
      </c>
      <c r="Q32" s="677" t="s">
        <v>979</v>
      </c>
      <c r="R32" s="121" t="str">
        <f ca="1">IF($C32="S",REFERENCIA.Descricao,"(digite a descrição aqui)")</f>
        <v>(abra o arquivo 'Referência 09-2025.xlsm)</v>
      </c>
      <c r="S32" s="122" t="str">
        <f ca="1">REFERENCIA.Unidade</f>
        <v>-</v>
      </c>
      <c r="T32" s="123">
        <f ca="1">OFFSET(CÁLCULO!H$15,ROW($T32)-ROW(T$15),0)</f>
        <v>67.209999999999994</v>
      </c>
      <c r="U32" s="124">
        <f ca="1">ROUND(IF(DESONERACAO="sim",REFERENCIA.Desonerado,REFERENCIA.NaoDesonerado),2)</f>
        <v>0</v>
      </c>
      <c r="V32" s="125" t="s">
        <v>664</v>
      </c>
      <c r="W32" s="123">
        <f ca="1">IF($C32="S",ROUND(IF(TIPOORCAMENTO="Proposto",ORÇAMENTO.CustoUnitario*(1+$AH32),ORÇAMENTO.PrecoUnitarioLicitado),15-13*$AF$10),0)</f>
        <v>0</v>
      </c>
      <c r="X32" s="126" cm="1">
        <f t="array" aca="1" ref="X32" ca="1">IF($C32="S",IF(OR(Import.TipoArredondamento&lt;&gt;"TransfereGOV",ACOMPANHAMENTO="BM"),VTOTAL1,SUM(OFFSET(CÁLCULO!$AA$15,ROW($X32)-ROW($X$15),1):OFFSET(CÁLCULO!$AL$15,ROW($X32)-ROW($X$15),-1))),IF($C32=0,0,ROUND(SomaAgrup,15-13*$AF$11)))</f>
        <v>0</v>
      </c>
      <c r="Y32" s="127" t="s">
        <v>752</v>
      </c>
      <c r="Z32" s="675" t="str">
        <f t="shared" ca="1" si="13"/>
        <v/>
      </c>
      <c r="AA32" s="128">
        <f ca="1">IF($C32="S",IF($Z32="CP",$X32,IF($Z32="RA",(($X32)*QCI!$AA$3),0)),SomaAgrup)</f>
        <v>0</v>
      </c>
      <c r="AB32" s="129">
        <f t="shared" ca="1" si="14"/>
        <v>0</v>
      </c>
      <c r="AC32" s="566"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IF(AND(_xlfn.SINGLE(TIPOORCAMENTO)="Licitado",$AL32=0,$AN32&gt;0),"SEM PREÇO",
IF(AND($C32="S",$P32&lt;&gt;"",$Q32&lt;&gt;"",$U32&gt;0,$V32=0),"BDI",
IF(OR(AND(TIPOORCAMENTO="Proposto",LEFT($O$8,5)&lt;&gt;"(N/D:",$AG32&lt;&gt;"",ORÇAMENTO.CustoUnitario&gt;$AG32),AND(TIPOORCAMENTO="LICITADO",ORÇAMENTO.PrecoUnitarioLicitado&gt;$AN32)),"ACIMA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SEM CUSTO</v>
      </c>
      <c r="AD32" s="675" t="str">
        <f ca="1">IF(C32&lt;=CRONO.NivelExibicao,MAX($AD$15:OFFSET(AD32,-1,0))+IF($C32&lt;&gt;1,1,MAX(1,COUNTIF(QCI!$A$13:$A$15,OFFSET($E32,-1,0)))),"")</f>
        <v/>
      </c>
      <c r="AE32" s="671" t="str">
        <f ca="1">IF(AND($C32="S",ORÇAMENTO.CodBarra&lt;&gt;""),IF(ORÇAMENTO.Fonte="",ORÇAMENTO.CodBarra,CONCATENATE(ORÇAMENTO.Fonte," ",ORÇAMENTO.CodBarra)))</f>
        <v>SINAPI 100574</v>
      </c>
      <c r="AF32" s="674" t="str">
        <f ca="1">IF(ISERROR(INDIRECT(ORÇAMENTO.BancoRef)),"(abra o arquivo 'Referência "&amp;Excel_BuiltIn_Database&amp;".xlsm)",IF(OR($C32&lt;&gt;"S",ORÇAMENTO.CodBarra=""),"(Sem Código)",IF(ISERROR(MATCH($AE32,INDIRECT(ORÇAMENTO.BancoRef),0)),"(Código não identificado nas referências)",MATCH($AE32,INDIRECT(ORÇAMENTO.BancoRef),0))))</f>
        <v>(abra o arquivo 'Referência 09-2025.xlsm)</v>
      </c>
      <c r="AG32" s="429">
        <f ca="1">ROUND(IF(DESONERACAO="sim",REFERENCIA.Desonerado,REFERENCIA.NaoDesonerado),2)</f>
        <v>0</v>
      </c>
      <c r="AH32" s="430">
        <f t="shared" ca="1" si="15"/>
        <v>0.24740000000000001</v>
      </c>
      <c r="AJ32" s="685">
        <v>67.209999999999994</v>
      </c>
      <c r="AL32" s="440"/>
      <c r="AM32" s="337">
        <f t="shared" ca="1" si="0"/>
        <v>0</v>
      </c>
      <c r="AN32" s="471">
        <f t="shared" ca="1" si="16"/>
        <v>0</v>
      </c>
    </row>
    <row r="33" spans="1:40" s="675" customFormat="1" ht="13.9" customHeight="1" x14ac:dyDescent="0.2">
      <c r="A33" s="675" t="str">
        <f t="shared" si="1"/>
        <v>S</v>
      </c>
      <c r="B33" s="675">
        <f t="shared" ca="1" si="2"/>
        <v>2</v>
      </c>
      <c r="C33" s="675" t="str">
        <f t="shared" ca="1" si="3"/>
        <v>S</v>
      </c>
      <c r="D33" s="675">
        <f t="shared" ca="1" si="4"/>
        <v>0</v>
      </c>
      <c r="E33" s="675">
        <f ca="1">IF($C33=1,OFFSET(E33,-1,0)+MAX(1,COUNTIF(QCI!$A$13:$A$15,OFFSET(ORÇAMENTO!E33,-1,0))),OFFSET(E33,-1,0))</f>
        <v>1</v>
      </c>
      <c r="F33" s="675">
        <f t="shared" ca="1" si="5"/>
        <v>3</v>
      </c>
      <c r="G33" s="675">
        <f t="shared" ca="1" si="6"/>
        <v>0</v>
      </c>
      <c r="H33" s="675">
        <f t="shared" ca="1" si="7"/>
        <v>0</v>
      </c>
      <c r="I33" s="675">
        <f t="shared" ca="1" si="8"/>
        <v>0</v>
      </c>
      <c r="J33" s="675">
        <f t="shared" ca="1" si="9"/>
        <v>0</v>
      </c>
      <c r="K33" s="675">
        <f ca="1">IF(OR($C33="S",$C33=0),0,MATCH(OFFSET($D33,0,$C33)+IF($C33&lt;&gt;1,1,COUNTIF(QCI!$A$13:$A$15,ORÇAMENTO!E33)),OFFSET($D33,1,$C33,ROW($C$231)-ROW($C33)),0))</f>
        <v>0</v>
      </c>
      <c r="L33" s="115" t="str">
        <f t="shared" ca="1" si="10"/>
        <v/>
      </c>
      <c r="M33" s="116" t="s">
        <v>706</v>
      </c>
      <c r="N33" s="117" t="str">
        <f t="shared" ca="1" si="11"/>
        <v>Serviço</v>
      </c>
      <c r="O33" s="118" t="str">
        <f t="shared" ca="1" si="12"/>
        <v>-</v>
      </c>
      <c r="P33" s="119" t="s">
        <v>968</v>
      </c>
      <c r="Q33" s="677" t="s">
        <v>980</v>
      </c>
      <c r="R33" s="121" t="str">
        <f ca="1">IF($C33="S",REFERENCIA.Descricao,"(digite a descrição aqui)")</f>
        <v>(abra o arquivo 'Referência 09-2025.xlsm)</v>
      </c>
      <c r="S33" s="122" t="str">
        <f ca="1">REFERENCIA.Unidade</f>
        <v>-</v>
      </c>
      <c r="T33" s="123">
        <f ca="1">OFFSET(CÁLCULO!H$15,ROW($T33)-ROW(T$15),0)</f>
        <v>1</v>
      </c>
      <c r="U33" s="124">
        <f ca="1">ROUND(IF(DESONERACAO="sim",REFERENCIA.Desonerado,REFERENCIA.NaoDesonerado),2)</f>
        <v>0</v>
      </c>
      <c r="V33" s="125" t="s">
        <v>664</v>
      </c>
      <c r="W33" s="123">
        <f ca="1">IF($C33="S",ROUND(IF(TIPOORCAMENTO="Proposto",ORÇAMENTO.CustoUnitario*(1+$AH33),ORÇAMENTO.PrecoUnitarioLicitado),15-13*$AF$10),0)</f>
        <v>0</v>
      </c>
      <c r="X33" s="126" cm="1">
        <f t="array" aca="1" ref="X33" ca="1">IF($C33="S",IF(OR(Import.TipoArredondamento&lt;&gt;"TransfereGOV",ACOMPANHAMENTO="BM"),VTOTAL1,SUM(OFFSET(CÁLCULO!$AA$15,ROW($X33)-ROW($X$15),1):OFFSET(CÁLCULO!$AL$15,ROW($X33)-ROW($X$15),-1))),IF($C33=0,0,ROUND(SomaAgrup,15-13*$AF$11)))</f>
        <v>0</v>
      </c>
      <c r="Y33" s="127" t="s">
        <v>752</v>
      </c>
      <c r="Z33" s="675" t="str">
        <f t="shared" ca="1" si="13"/>
        <v/>
      </c>
      <c r="AA33" s="128">
        <f ca="1">IF($C33="S",IF($Z33="CP",$X33,IF($Z33="RA",(($X33)*QCI!$AA$3),0)),SomaAgrup)</f>
        <v>0</v>
      </c>
      <c r="AB33" s="129">
        <f t="shared" ca="1" si="14"/>
        <v>0</v>
      </c>
      <c r="AC33" s="566"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IF(AND(_xlfn.SINGLE(TIPOORCAMENTO)="Licitado",$AL33=0,$AN33&gt;0),"SEM PREÇO",
IF(AND($C33="S",$P33&lt;&gt;"",$Q33&lt;&gt;"",$U33&gt;0,$V33=0),"BDI",
IF(OR(AND(TIPOORCAMENTO="Proposto",LEFT($O$8,5)&lt;&gt;"(N/D:",$AG33&lt;&gt;"",ORÇAMENTO.CustoUnitario&gt;$AG33),AND(TIPOORCAMENTO="LICITADO",ORÇAMENTO.PrecoUnitarioLicitado&gt;$AN33)),"ACIMA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SEM CUSTO</v>
      </c>
      <c r="AD33" s="675" t="str">
        <f ca="1">IF(C33&lt;=CRONO.NivelExibicao,MAX($AD$15:OFFSET(AD33,-1,0))+IF($C33&lt;&gt;1,1,MAX(1,COUNTIF(QCI!$A$13:$A$15,OFFSET($E33,-1,0)))),"")</f>
        <v/>
      </c>
      <c r="AE33" s="671" t="str">
        <f ca="1">IF(AND($C33="S",ORÇAMENTO.CodBarra&lt;&gt;""),IF(ORÇAMENTO.Fonte="",ORÇAMENTO.CodBarra,CONCATENATE(ORÇAMENTO.Fonte," ",ORÇAMENTO.CodBarra)))</f>
        <v>COPASA 65000221</v>
      </c>
      <c r="AF33" s="674" t="str">
        <f ca="1">IF(ISERROR(INDIRECT(ORÇAMENTO.BancoRef)),"(abra o arquivo 'Referência "&amp;Excel_BuiltIn_Database&amp;".xlsm)",IF(OR($C33&lt;&gt;"S",ORÇAMENTO.CodBarra=""),"(Sem Código)",IF(ISERROR(MATCH($AE33,INDIRECT(ORÇAMENTO.BancoRef),0)),"(Código não identificado nas referências)",MATCH($AE33,INDIRECT(ORÇAMENTO.BancoRef),0))))</f>
        <v>(abra o arquivo 'Referência 09-2025.xlsm)</v>
      </c>
      <c r="AG33" s="429">
        <f ca="1">ROUND(IF(DESONERACAO="sim",REFERENCIA.Desonerado,REFERENCIA.NaoDesonerado),2)</f>
        <v>0</v>
      </c>
      <c r="AH33" s="430">
        <f t="shared" ca="1" si="15"/>
        <v>0.24740000000000001</v>
      </c>
      <c r="AJ33" s="685">
        <v>1</v>
      </c>
      <c r="AL33" s="440"/>
      <c r="AM33" s="337">
        <f t="shared" ca="1" si="0"/>
        <v>0</v>
      </c>
      <c r="AN33" s="471">
        <f t="shared" ca="1" si="16"/>
        <v>0</v>
      </c>
    </row>
    <row r="34" spans="1:40" s="675" customFormat="1" x14ac:dyDescent="0.2">
      <c r="A34" s="675" t="str">
        <f t="shared" si="1"/>
        <v>S</v>
      </c>
      <c r="B34" s="675">
        <f t="shared" ca="1" si="2"/>
        <v>2</v>
      </c>
      <c r="C34" s="675" t="str">
        <f t="shared" ca="1" si="3"/>
        <v>S</v>
      </c>
      <c r="D34" s="675">
        <f t="shared" ca="1" si="4"/>
        <v>0</v>
      </c>
      <c r="E34" s="675">
        <f ca="1">IF($C34=1,OFFSET(E34,-1,0)+MAX(1,COUNTIF(QCI!$A$13:$A$15,OFFSET(ORÇAMENTO!E34,-1,0))),OFFSET(E34,-1,0))</f>
        <v>1</v>
      </c>
      <c r="F34" s="675">
        <f t="shared" ca="1" si="5"/>
        <v>3</v>
      </c>
      <c r="G34" s="675">
        <f t="shared" ca="1" si="6"/>
        <v>0</v>
      </c>
      <c r="H34" s="675">
        <f t="shared" ca="1" si="7"/>
        <v>0</v>
      </c>
      <c r="I34" s="675">
        <f t="shared" ca="1" si="8"/>
        <v>0</v>
      </c>
      <c r="J34" s="675">
        <f t="shared" ca="1" si="9"/>
        <v>0</v>
      </c>
      <c r="K34" s="675">
        <f ca="1">IF(OR($C34="S",$C34=0),0,MATCH(OFFSET($D34,0,$C34)+IF($C34&lt;&gt;1,1,COUNTIF(QCI!$A$13:$A$15,ORÇAMENTO!E34)),OFFSET($D34,1,$C34,ROW($C$231)-ROW($C34)),0))</f>
        <v>0</v>
      </c>
      <c r="L34" s="115" t="str">
        <f t="shared" ca="1" si="10"/>
        <v/>
      </c>
      <c r="M34" s="116" t="s">
        <v>706</v>
      </c>
      <c r="N34" s="117" t="str">
        <f t="shared" ca="1" si="11"/>
        <v>Serviço</v>
      </c>
      <c r="O34" s="118" t="str">
        <f t="shared" ca="1" si="12"/>
        <v>-</v>
      </c>
      <c r="P34" s="119" t="s">
        <v>968</v>
      </c>
      <c r="Q34" s="677" t="s">
        <v>981</v>
      </c>
      <c r="R34" s="121" t="str">
        <f ca="1">IF($C34="S",REFERENCIA.Descricao,"(digite a descrição aqui)")</f>
        <v>(abra o arquivo 'Referência 09-2025.xlsm)</v>
      </c>
      <c r="S34" s="122" t="str">
        <f ca="1">REFERENCIA.Unidade</f>
        <v>-</v>
      </c>
      <c r="T34" s="123">
        <f ca="1">OFFSET(CÁLCULO!H$15,ROW($T34)-ROW(T$15),0)</f>
        <v>1</v>
      </c>
      <c r="U34" s="124">
        <f ca="1">ROUND(IF(DESONERACAO="sim",REFERENCIA.Desonerado,REFERENCIA.NaoDesonerado),2)</f>
        <v>0</v>
      </c>
      <c r="V34" s="125" t="s">
        <v>664</v>
      </c>
      <c r="W34" s="123">
        <f ca="1">IF($C34="S",ROUND(IF(TIPOORCAMENTO="Proposto",ORÇAMENTO.CustoUnitario*(1+$AH34),ORÇAMENTO.PrecoUnitarioLicitado),15-13*$AF$10),0)</f>
        <v>0</v>
      </c>
      <c r="X34" s="126" cm="1">
        <f t="array" aca="1" ref="X34" ca="1">IF($C34="S",IF(OR(Import.TipoArredondamento&lt;&gt;"TransfereGOV",ACOMPANHAMENTO="BM"),VTOTAL1,SUM(OFFSET(CÁLCULO!$AA$15,ROW($X34)-ROW($X$15),1):OFFSET(CÁLCULO!$AL$15,ROW($X34)-ROW($X$15),-1))),IF($C34=0,0,ROUND(SomaAgrup,15-13*$AF$11)))</f>
        <v>0</v>
      </c>
      <c r="Y34" s="127" t="s">
        <v>752</v>
      </c>
      <c r="Z34" s="675" t="str">
        <f t="shared" ca="1" si="13"/>
        <v/>
      </c>
      <c r="AA34" s="128">
        <f ca="1">IF($C34="S",IF($Z34="CP",$X34,IF($Z34="RA",(($X34)*QCI!$AA$3),0)),SomaAgrup)</f>
        <v>0</v>
      </c>
      <c r="AB34" s="129">
        <f t="shared" ca="1" si="14"/>
        <v>0</v>
      </c>
      <c r="AC34" s="566"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IF(AND(_xlfn.SINGLE(TIPOORCAMENTO)="Licitado",$AL34=0,$AN34&gt;0),"SEM PREÇO",
IF(AND($C34="S",$P34&lt;&gt;"",$Q34&lt;&gt;"",$U34&gt;0,$V34=0),"BDI",
IF(OR(AND(TIPOORCAMENTO="Proposto",LEFT($O$8,5)&lt;&gt;"(N/D:",$AG34&lt;&gt;"",ORÇAMENTO.CustoUnitario&gt;$AG34),AND(TIPOORCAMENTO="LICITADO",ORÇAMENTO.PrecoUnitarioLicitado&gt;$AN34)),"ACIMA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SEM CUSTO</v>
      </c>
      <c r="AD34" s="675" t="str">
        <f ca="1">IF(C34&lt;=CRONO.NivelExibicao,MAX($AD$15:OFFSET(AD34,-1,0))+IF($C34&lt;&gt;1,1,MAX(1,COUNTIF(QCI!$A$13:$A$15,OFFSET($E34,-1,0)))),"")</f>
        <v/>
      </c>
      <c r="AE34" s="671" t="str">
        <f ca="1">IF(AND($C34="S",ORÇAMENTO.CodBarra&lt;&gt;""),IF(ORÇAMENTO.Fonte="",ORÇAMENTO.CodBarra,CONCATENATE(ORÇAMENTO.Fonte," ",ORÇAMENTO.CodBarra)))</f>
        <v>COPASA 65000232</v>
      </c>
      <c r="AF34" s="674" t="str">
        <f ca="1">IF(ISERROR(INDIRECT(ORÇAMENTO.BancoRef)),"(abra o arquivo 'Referência "&amp;Excel_BuiltIn_Database&amp;".xlsm)",IF(OR($C34&lt;&gt;"S",ORÇAMENTO.CodBarra=""),"(Sem Código)",IF(ISERROR(MATCH($AE34,INDIRECT(ORÇAMENTO.BancoRef),0)),"(Código não identificado nas referências)",MATCH($AE34,INDIRECT(ORÇAMENTO.BancoRef),0))))</f>
        <v>(abra o arquivo 'Referência 09-2025.xlsm)</v>
      </c>
      <c r="AG34" s="429">
        <f ca="1">ROUND(IF(DESONERACAO="sim",REFERENCIA.Desonerado,REFERENCIA.NaoDesonerado),2)</f>
        <v>0</v>
      </c>
      <c r="AH34" s="430">
        <f t="shared" ca="1" si="15"/>
        <v>0.24740000000000001</v>
      </c>
      <c r="AJ34" s="685">
        <v>1</v>
      </c>
      <c r="AL34" s="440"/>
      <c r="AM34" s="337">
        <f t="shared" ca="1" si="0"/>
        <v>0</v>
      </c>
      <c r="AN34" s="471">
        <f t="shared" ca="1" si="16"/>
        <v>0</v>
      </c>
    </row>
    <row r="35" spans="1:40" s="675" customFormat="1" ht="13.9" customHeight="1" x14ac:dyDescent="0.2">
      <c r="A35" s="675" t="str">
        <f t="shared" si="1"/>
        <v>S</v>
      </c>
      <c r="B35" s="675">
        <f t="shared" ca="1" si="2"/>
        <v>2</v>
      </c>
      <c r="C35" s="675" t="str">
        <f t="shared" ca="1" si="3"/>
        <v>S</v>
      </c>
      <c r="D35" s="675">
        <f t="shared" ca="1" si="4"/>
        <v>0</v>
      </c>
      <c r="E35" s="675">
        <f ca="1">IF($C35=1,OFFSET(E35,-1,0)+MAX(1,COUNTIF(QCI!$A$13:$A$15,OFFSET(ORÇAMENTO!E35,-1,0))),OFFSET(E35,-1,0))</f>
        <v>1</v>
      </c>
      <c r="F35" s="675">
        <f t="shared" ca="1" si="5"/>
        <v>3</v>
      </c>
      <c r="G35" s="675">
        <f t="shared" ca="1" si="6"/>
        <v>0</v>
      </c>
      <c r="H35" s="675">
        <f t="shared" ca="1" si="7"/>
        <v>0</v>
      </c>
      <c r="I35" s="675">
        <f t="shared" ca="1" si="8"/>
        <v>0</v>
      </c>
      <c r="J35" s="675">
        <f t="shared" ca="1" si="9"/>
        <v>0</v>
      </c>
      <c r="K35" s="675">
        <f ca="1">IF(OR($C35="S",$C35=0),0,MATCH(OFFSET($D35,0,$C35)+IF($C35&lt;&gt;1,1,COUNTIF(QCI!$A$13:$A$15,ORÇAMENTO!E35)),OFFSET($D35,1,$C35,ROW($C$231)-ROW($C35)),0))</f>
        <v>0</v>
      </c>
      <c r="L35" s="115" t="str">
        <f t="shared" ca="1" si="10"/>
        <v/>
      </c>
      <c r="M35" s="116" t="s">
        <v>706</v>
      </c>
      <c r="N35" s="117" t="str">
        <f t="shared" ca="1" si="11"/>
        <v>Serviço</v>
      </c>
      <c r="O35" s="118" t="str">
        <f t="shared" ca="1" si="12"/>
        <v>-</v>
      </c>
      <c r="P35" s="119" t="s">
        <v>968</v>
      </c>
      <c r="Q35" s="677" t="s">
        <v>982</v>
      </c>
      <c r="R35" s="121" t="str">
        <f ca="1">IF($C35="S",REFERENCIA.Descricao,"(digite a descrição aqui)")</f>
        <v>(abra o arquivo 'Referência 09-2025.xlsm)</v>
      </c>
      <c r="S35" s="122" t="str">
        <f ca="1">REFERENCIA.Unidade</f>
        <v>-</v>
      </c>
      <c r="T35" s="123">
        <f ca="1">OFFSET(CÁLCULO!H$15,ROW($T35)-ROW(T$15),0)</f>
        <v>1140</v>
      </c>
      <c r="U35" s="124">
        <f ca="1">ROUND(IF(DESONERACAO="sim",REFERENCIA.Desonerado,REFERENCIA.NaoDesonerado),2)</f>
        <v>0</v>
      </c>
      <c r="V35" s="125" t="s">
        <v>664</v>
      </c>
      <c r="W35" s="123">
        <f ca="1">IF($C35="S",ROUND(IF(TIPOORCAMENTO="Proposto",ORÇAMENTO.CustoUnitario*(1+$AH35),ORÇAMENTO.PrecoUnitarioLicitado),15-13*$AF$10),0)</f>
        <v>0</v>
      </c>
      <c r="X35" s="126" cm="1">
        <f t="array" aca="1" ref="X35" ca="1">IF($C35="S",IF(OR(Import.TipoArredondamento&lt;&gt;"TransfereGOV",ACOMPANHAMENTO="BM"),VTOTAL1,SUM(OFFSET(CÁLCULO!$AA$15,ROW($X35)-ROW($X$15),1):OFFSET(CÁLCULO!$AL$15,ROW($X35)-ROW($X$15),-1))),IF($C35=0,0,ROUND(SomaAgrup,15-13*$AF$11)))</f>
        <v>0</v>
      </c>
      <c r="Y35" s="127" t="s">
        <v>752</v>
      </c>
      <c r="Z35" s="675" t="str">
        <f t="shared" ca="1" si="13"/>
        <v/>
      </c>
      <c r="AA35" s="128">
        <f ca="1">IF($C35="S",IF($Z35="CP",$X35,IF($Z35="RA",(($X35)*QCI!$AA$3),0)),SomaAgrup)</f>
        <v>0</v>
      </c>
      <c r="AB35" s="129">
        <f t="shared" ca="1" si="14"/>
        <v>0</v>
      </c>
      <c r="AC35" s="566"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IF(AND(_xlfn.SINGLE(TIPOORCAMENTO)="Licitado",$AL35=0,$AN35&gt;0),"SEM PREÇO",
IF(AND($C35="S",$P35&lt;&gt;"",$Q35&lt;&gt;"",$U35&gt;0,$V35=0),"BDI",
IF(OR(AND(TIPOORCAMENTO="Proposto",LEFT($O$8,5)&lt;&gt;"(N/D:",$AG35&lt;&gt;"",ORÇAMENTO.CustoUnitario&gt;$AG35),AND(TIPOORCAMENTO="LICITADO",ORÇAMENTO.PrecoUnitarioLicitado&gt;$AN35)),"ACIMA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SEM CUSTO</v>
      </c>
      <c r="AD35" s="675" t="str">
        <f ca="1">IF(C35&lt;=CRONO.NivelExibicao,MAX($AD$15:OFFSET(AD35,-1,0))+IF($C35&lt;&gt;1,1,MAX(1,COUNTIF(QCI!$A$13:$A$15,OFFSET($E35,-1,0)))),"")</f>
        <v/>
      </c>
      <c r="AE35" s="671" t="str">
        <f ca="1">IF(AND($C35="S",ORÇAMENTO.CodBarra&lt;&gt;""),IF(ORÇAMENTO.Fonte="",ORÇAMENTO.CodBarra,CONCATENATE(ORÇAMENTO.Fonte," ",ORÇAMENTO.CodBarra)))</f>
        <v>COPASA 65000395</v>
      </c>
      <c r="AF35" s="674" t="str">
        <f ca="1">IF(ISERROR(INDIRECT(ORÇAMENTO.BancoRef)),"(abra o arquivo 'Referência "&amp;Excel_BuiltIn_Database&amp;".xlsm)",IF(OR($C35&lt;&gt;"S",ORÇAMENTO.CodBarra=""),"(Sem Código)",IF(ISERROR(MATCH($AE35,INDIRECT(ORÇAMENTO.BancoRef),0)),"(Código não identificado nas referências)",MATCH($AE35,INDIRECT(ORÇAMENTO.BancoRef),0))))</f>
        <v>(abra o arquivo 'Referência 09-2025.xlsm)</v>
      </c>
      <c r="AG35" s="429">
        <f ca="1">ROUND(IF(DESONERACAO="sim",REFERENCIA.Desonerado,REFERENCIA.NaoDesonerado),2)</f>
        <v>0</v>
      </c>
      <c r="AH35" s="430">
        <f t="shared" ca="1" si="15"/>
        <v>0.24740000000000001</v>
      </c>
      <c r="AJ35" s="685">
        <v>1140</v>
      </c>
      <c r="AL35" s="440"/>
      <c r="AM35" s="337">
        <f t="shared" ca="1" si="0"/>
        <v>0</v>
      </c>
      <c r="AN35" s="471">
        <f t="shared" ca="1" si="16"/>
        <v>0</v>
      </c>
    </row>
    <row r="36" spans="1:40" s="675" customFormat="1" ht="13.9" customHeight="1" x14ac:dyDescent="0.2">
      <c r="A36" s="675" t="str">
        <f t="shared" si="1"/>
        <v>S</v>
      </c>
      <c r="B36" s="675">
        <f t="shared" ca="1" si="2"/>
        <v>2</v>
      </c>
      <c r="C36" s="675" t="str">
        <f t="shared" ca="1" si="3"/>
        <v>S</v>
      </c>
      <c r="D36" s="675">
        <f t="shared" ca="1" si="4"/>
        <v>0</v>
      </c>
      <c r="E36" s="675">
        <f ca="1">IF($C36=1,OFFSET(E36,-1,0)+MAX(1,COUNTIF(QCI!$A$13:$A$15,OFFSET(ORÇAMENTO!E36,-1,0))),OFFSET(E36,-1,0))</f>
        <v>1</v>
      </c>
      <c r="F36" s="675">
        <f t="shared" ca="1" si="5"/>
        <v>3</v>
      </c>
      <c r="G36" s="675">
        <f t="shared" ca="1" si="6"/>
        <v>0</v>
      </c>
      <c r="H36" s="675">
        <f t="shared" ca="1" si="7"/>
        <v>0</v>
      </c>
      <c r="I36" s="675">
        <f t="shared" ca="1" si="8"/>
        <v>0</v>
      </c>
      <c r="J36" s="675">
        <f t="shared" ca="1" si="9"/>
        <v>0</v>
      </c>
      <c r="K36" s="675">
        <f ca="1">IF(OR($C36="S",$C36=0),0,MATCH(OFFSET($D36,0,$C36)+IF($C36&lt;&gt;1,1,COUNTIF(QCI!$A$13:$A$15,ORÇAMENTO!E36)),OFFSET($D36,1,$C36,ROW($C$231)-ROW($C36)),0))</f>
        <v>0</v>
      </c>
      <c r="L36" s="115" t="str">
        <f t="shared" ca="1" si="10"/>
        <v/>
      </c>
      <c r="M36" s="116" t="s">
        <v>706</v>
      </c>
      <c r="N36" s="117" t="str">
        <f t="shared" ca="1" si="11"/>
        <v>Serviço</v>
      </c>
      <c r="O36" s="118" t="str">
        <f t="shared" ca="1" si="12"/>
        <v>-</v>
      </c>
      <c r="P36" s="119" t="s">
        <v>968</v>
      </c>
      <c r="Q36" s="677" t="s">
        <v>983</v>
      </c>
      <c r="R36" s="121" t="str">
        <f ca="1">IF($C36="S",REFERENCIA.Descricao,"(digite a descrição aqui)")</f>
        <v>(abra o arquivo 'Referência 09-2025.xlsm)</v>
      </c>
      <c r="S36" s="122" t="str">
        <f ca="1">REFERENCIA.Unidade</f>
        <v>-</v>
      </c>
      <c r="T36" s="123">
        <f ca="1">OFFSET(CÁLCULO!H$15,ROW($T36)-ROW(T$15),0)</f>
        <v>3300</v>
      </c>
      <c r="U36" s="124">
        <f ca="1">ROUND(IF(DESONERACAO="sim",REFERENCIA.Desonerado,REFERENCIA.NaoDesonerado),2)</f>
        <v>0</v>
      </c>
      <c r="V36" s="125" t="s">
        <v>664</v>
      </c>
      <c r="W36" s="123">
        <f ca="1">IF($C36="S",ROUND(IF(TIPOORCAMENTO="Proposto",ORÇAMENTO.CustoUnitario*(1+$AH36),ORÇAMENTO.PrecoUnitarioLicitado),15-13*$AF$10),0)</f>
        <v>0</v>
      </c>
      <c r="X36" s="126" cm="1">
        <f t="array" aca="1" ref="X36" ca="1">IF($C36="S",IF(OR(Import.TipoArredondamento&lt;&gt;"TransfereGOV",ACOMPANHAMENTO="BM"),VTOTAL1,SUM(OFFSET(CÁLCULO!$AA$15,ROW($X36)-ROW($X$15),1):OFFSET(CÁLCULO!$AL$15,ROW($X36)-ROW($X$15),-1))),IF($C36=0,0,ROUND(SomaAgrup,15-13*$AF$11)))</f>
        <v>0</v>
      </c>
      <c r="Y36" s="127" t="s">
        <v>752</v>
      </c>
      <c r="Z36" s="675" t="str">
        <f t="shared" ca="1" si="13"/>
        <v/>
      </c>
      <c r="AA36" s="128">
        <f ca="1">IF($C36="S",IF($Z36="CP",$X36,IF($Z36="RA",(($X36)*QCI!$AA$3),0)),SomaAgrup)</f>
        <v>0</v>
      </c>
      <c r="AB36" s="129">
        <f t="shared" ca="1" si="14"/>
        <v>0</v>
      </c>
      <c r="AC36" s="566"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IF(AND(_xlfn.SINGLE(TIPOORCAMENTO)="Licitado",$AL36=0,$AN36&gt;0),"SEM PREÇO",
IF(AND($C36="S",$P36&lt;&gt;"",$Q36&lt;&gt;"",$U36&gt;0,$V36=0),"BDI",
IF(OR(AND(TIPOORCAMENTO="Proposto",LEFT($O$8,5)&lt;&gt;"(N/D:",$AG36&lt;&gt;"",ORÇAMENTO.CustoUnitario&gt;$AG36),AND(TIPOORCAMENTO="LICITADO",ORÇAMENTO.PrecoUnitarioLicitado&gt;$AN36)),"ACIMA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SEM CUSTO</v>
      </c>
      <c r="AD36" s="675" t="str">
        <f ca="1">IF(C36&lt;=CRONO.NivelExibicao,MAX($AD$15:OFFSET(AD36,-1,0))+IF($C36&lt;&gt;1,1,MAX(1,COUNTIF(QCI!$A$13:$A$15,OFFSET($E36,-1,0)))),"")</f>
        <v/>
      </c>
      <c r="AE36" s="671" t="str">
        <f ca="1">IF(AND($C36="S",ORÇAMENTO.CodBarra&lt;&gt;""),IF(ORÇAMENTO.Fonte="",ORÇAMENTO.CodBarra,CONCATENATE(ORÇAMENTO.Fonte," ",ORÇAMENTO.CodBarra)))</f>
        <v>COPASA 65004986</v>
      </c>
      <c r="AF36" s="674" t="str">
        <f ca="1">IF(ISERROR(INDIRECT(ORÇAMENTO.BancoRef)),"(abra o arquivo 'Referência "&amp;Excel_BuiltIn_Database&amp;".xlsm)",IF(OR($C36&lt;&gt;"S",ORÇAMENTO.CodBarra=""),"(Sem Código)",IF(ISERROR(MATCH($AE36,INDIRECT(ORÇAMENTO.BancoRef),0)),"(Código não identificado nas referências)",MATCH($AE36,INDIRECT(ORÇAMENTO.BancoRef),0))))</f>
        <v>(abra o arquivo 'Referência 09-2025.xlsm)</v>
      </c>
      <c r="AG36" s="429">
        <f ca="1">ROUND(IF(DESONERACAO="sim",REFERENCIA.Desonerado,REFERENCIA.NaoDesonerado),2)</f>
        <v>0</v>
      </c>
      <c r="AH36" s="430">
        <f t="shared" ca="1" si="15"/>
        <v>0.24740000000000001</v>
      </c>
      <c r="AJ36" s="685">
        <v>3300</v>
      </c>
      <c r="AL36" s="440"/>
      <c r="AM36" s="337">
        <f t="shared" ca="1" si="0"/>
        <v>0</v>
      </c>
      <c r="AN36" s="471">
        <f t="shared" ca="1" si="16"/>
        <v>0</v>
      </c>
    </row>
    <row r="37" spans="1:40" s="675" customFormat="1" x14ac:dyDescent="0.2">
      <c r="A37" s="675" t="str">
        <f t="shared" si="1"/>
        <v>S</v>
      </c>
      <c r="B37" s="675">
        <f t="shared" ca="1" si="2"/>
        <v>2</v>
      </c>
      <c r="C37" s="675" t="str">
        <f t="shared" ca="1" si="3"/>
        <v>S</v>
      </c>
      <c r="D37" s="675">
        <f t="shared" ca="1" si="4"/>
        <v>0</v>
      </c>
      <c r="E37" s="675">
        <f ca="1">IF($C37=1,OFFSET(E37,-1,0)+MAX(1,COUNTIF(QCI!$A$13:$A$15,OFFSET(ORÇAMENTO!E37,-1,0))),OFFSET(E37,-1,0))</f>
        <v>1</v>
      </c>
      <c r="F37" s="675">
        <f t="shared" ca="1" si="5"/>
        <v>3</v>
      </c>
      <c r="G37" s="675">
        <f t="shared" ca="1" si="6"/>
        <v>0</v>
      </c>
      <c r="H37" s="675">
        <f t="shared" ca="1" si="7"/>
        <v>0</v>
      </c>
      <c r="I37" s="675">
        <f t="shared" ca="1" si="8"/>
        <v>0</v>
      </c>
      <c r="J37" s="675">
        <f t="shared" ca="1" si="9"/>
        <v>0</v>
      </c>
      <c r="K37" s="675">
        <f ca="1">IF(OR($C37="S",$C37=0),0,MATCH(OFFSET($D37,0,$C37)+IF($C37&lt;&gt;1,1,COUNTIF(QCI!$A$13:$A$15,ORÇAMENTO!E37)),OFFSET($D37,1,$C37,ROW($C$231)-ROW($C37)),0))</f>
        <v>0</v>
      </c>
      <c r="L37" s="115" t="str">
        <f t="shared" ca="1" si="10"/>
        <v/>
      </c>
      <c r="M37" s="116" t="s">
        <v>706</v>
      </c>
      <c r="N37" s="117" t="str">
        <f t="shared" ca="1" si="11"/>
        <v>Serviço</v>
      </c>
      <c r="O37" s="118" t="str">
        <f t="shared" ca="1" si="12"/>
        <v>-</v>
      </c>
      <c r="P37" s="119" t="s">
        <v>968</v>
      </c>
      <c r="Q37" s="677" t="s">
        <v>984</v>
      </c>
      <c r="R37" s="121" t="str">
        <f ca="1">IF($C37="S",REFERENCIA.Descricao,"(digite a descrição aqui)")</f>
        <v>(abra o arquivo 'Referência 09-2025.xlsm)</v>
      </c>
      <c r="S37" s="122" t="str">
        <f ca="1">REFERENCIA.Unidade</f>
        <v>-</v>
      </c>
      <c r="T37" s="123">
        <f ca="1">OFFSET(CÁLCULO!H$15,ROW($T37)-ROW(T$15),0)</f>
        <v>200</v>
      </c>
      <c r="U37" s="124">
        <f ca="1">ROUND(IF(DESONERACAO="sim",REFERENCIA.Desonerado,REFERENCIA.NaoDesonerado),2)</f>
        <v>0</v>
      </c>
      <c r="V37" s="125" t="s">
        <v>664</v>
      </c>
      <c r="W37" s="123">
        <f ca="1">IF($C37="S",ROUND(IF(TIPOORCAMENTO="Proposto",ORÇAMENTO.CustoUnitario*(1+$AH37),ORÇAMENTO.PrecoUnitarioLicitado),15-13*$AF$10),0)</f>
        <v>0</v>
      </c>
      <c r="X37" s="126" cm="1">
        <f t="array" aca="1" ref="X37" ca="1">IF($C37="S",IF(OR(Import.TipoArredondamento&lt;&gt;"TransfereGOV",ACOMPANHAMENTO="BM"),VTOTAL1,SUM(OFFSET(CÁLCULO!$AA$15,ROW($X37)-ROW($X$15),1):OFFSET(CÁLCULO!$AL$15,ROW($X37)-ROW($X$15),-1))),IF($C37=0,0,ROUND(SomaAgrup,15-13*$AF$11)))</f>
        <v>0</v>
      </c>
      <c r="Y37" s="127" t="s">
        <v>752</v>
      </c>
      <c r="Z37" s="675" t="str">
        <f t="shared" ca="1" si="13"/>
        <v/>
      </c>
      <c r="AA37" s="128">
        <f ca="1">IF($C37="S",IF($Z37="CP",$X37,IF($Z37="RA",(($X37)*QCI!$AA$3),0)),SomaAgrup)</f>
        <v>0</v>
      </c>
      <c r="AB37" s="129">
        <f t="shared" ca="1" si="14"/>
        <v>0</v>
      </c>
      <c r="AC37" s="566"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IF(AND(_xlfn.SINGLE(TIPOORCAMENTO)="Licitado",$AL37=0,$AN37&gt;0),"SEM PREÇO",
IF(AND($C37="S",$P37&lt;&gt;"",$Q37&lt;&gt;"",$U37&gt;0,$V37=0),"BDI",
IF(OR(AND(TIPOORCAMENTO="Proposto",LEFT($O$8,5)&lt;&gt;"(N/D:",$AG37&lt;&gt;"",ORÇAMENTO.CustoUnitario&gt;$AG37),AND(TIPOORCAMENTO="LICITADO",ORÇAMENTO.PrecoUnitarioLicitado&gt;$AN37)),"ACIMA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SEM CUSTO</v>
      </c>
      <c r="AD37" s="675" t="str">
        <f ca="1">IF(C37&lt;=CRONO.NivelExibicao,MAX($AD$15:OFFSET(AD37,-1,0))+IF($C37&lt;&gt;1,1,MAX(1,COUNTIF(QCI!$A$13:$A$15,OFFSET($E37,-1,0)))),"")</f>
        <v/>
      </c>
      <c r="AE37" s="671" t="str">
        <f ca="1">IF(AND($C37="S",ORÇAMENTO.CodBarra&lt;&gt;""),IF(ORÇAMENTO.Fonte="",ORÇAMENTO.CodBarra,CONCATENATE(ORÇAMENTO.Fonte," ",ORÇAMENTO.CodBarra)))</f>
        <v>COPASA 65000207</v>
      </c>
      <c r="AF37" s="674" t="str">
        <f ca="1">IF(ISERROR(INDIRECT(ORÇAMENTO.BancoRef)),"(abra o arquivo 'Referência "&amp;Excel_BuiltIn_Database&amp;".xlsm)",IF(OR($C37&lt;&gt;"S",ORÇAMENTO.CodBarra=""),"(Sem Código)",IF(ISERROR(MATCH($AE37,INDIRECT(ORÇAMENTO.BancoRef),0)),"(Código não identificado nas referências)",MATCH($AE37,INDIRECT(ORÇAMENTO.BancoRef),0))))</f>
        <v>(abra o arquivo 'Referência 09-2025.xlsm)</v>
      </c>
      <c r="AG37" s="429">
        <f ca="1">ROUND(IF(DESONERACAO="sim",REFERENCIA.Desonerado,REFERENCIA.NaoDesonerado),2)</f>
        <v>0</v>
      </c>
      <c r="AH37" s="430">
        <f t="shared" ca="1" si="15"/>
        <v>0.24740000000000001</v>
      </c>
      <c r="AJ37" s="685">
        <v>200</v>
      </c>
      <c r="AL37" s="440"/>
      <c r="AM37" s="337">
        <f t="shared" ca="1" si="0"/>
        <v>0</v>
      </c>
      <c r="AN37" s="471">
        <f t="shared" ca="1" si="16"/>
        <v>0</v>
      </c>
    </row>
    <row r="38" spans="1:40" s="675" customFormat="1" x14ac:dyDescent="0.2">
      <c r="A38" s="675">
        <f t="shared" si="1"/>
        <v>2</v>
      </c>
      <c r="B38" s="675">
        <f t="shared" ca="1" si="2"/>
        <v>2</v>
      </c>
      <c r="C38" s="675">
        <f t="shared" ca="1" si="3"/>
        <v>2</v>
      </c>
      <c r="D38" s="675">
        <f t="shared" ca="1" si="4"/>
        <v>20</v>
      </c>
      <c r="E38" s="675">
        <f ca="1">IF($C38=1,OFFSET(E38,-1,0)+MAX(1,COUNTIF(QCI!$A$13:$A$15,OFFSET(ORÇAMENTO!E38,-1,0))),OFFSET(E38,-1,0))</f>
        <v>1</v>
      </c>
      <c r="F38" s="675">
        <f t="shared" ca="1" si="5"/>
        <v>4</v>
      </c>
      <c r="G38" s="675">
        <f t="shared" ca="1" si="6"/>
        <v>0</v>
      </c>
      <c r="H38" s="675">
        <f t="shared" ca="1" si="7"/>
        <v>0</v>
      </c>
      <c r="I38" s="675">
        <f t="shared" ca="1" si="8"/>
        <v>0</v>
      </c>
      <c r="J38" s="675">
        <f t="shared" ca="1" si="9"/>
        <v>193</v>
      </c>
      <c r="K38" s="675">
        <f ca="1">IF(OR($C38="S",$C38=0),0,MATCH(OFFSET($D38,0,$C38)+IF($C38&lt;&gt;1,1,COUNTIF(QCI!$A$13:$A$15,ORÇAMENTO!E38)),OFFSET($D38,1,$C38,ROW($C$231)-ROW($C38)),0))</f>
        <v>20</v>
      </c>
      <c r="L38" s="115" t="str">
        <f t="shared" ca="1" si="10"/>
        <v>F</v>
      </c>
      <c r="M38" s="116" t="s">
        <v>703</v>
      </c>
      <c r="N38" s="117" t="str">
        <f t="shared" ca="1" si="11"/>
        <v>Nível 2</v>
      </c>
      <c r="O38" s="118" t="str">
        <f t="shared" ca="1" si="12"/>
        <v>1.4.</v>
      </c>
      <c r="P38" s="119" t="s">
        <v>751</v>
      </c>
      <c r="Q38" s="120"/>
      <c r="R38" s="121" t="s">
        <v>985</v>
      </c>
      <c r="S38" s="122" t="str">
        <f ca="1">REFERENCIA.Unidade</f>
        <v>-</v>
      </c>
      <c r="T38" s="123">
        <f ca="1">OFFSET(CÁLCULO!H$15,ROW($T38)-ROW(T$15),0)</f>
        <v>0</v>
      </c>
      <c r="U38" s="124">
        <f ca="1">ROUND(IF(DESONERACAO="sim",REFERENCIA.Desonerado,REFERENCIA.NaoDesonerado),2)</f>
        <v>0</v>
      </c>
      <c r="V38" s="125" t="s">
        <v>664</v>
      </c>
      <c r="W38" s="123">
        <f ca="1">IF($C38="S",ROUND(IF(TIPOORCAMENTO="Proposto",ORÇAMENTO.CustoUnitario*(1+$AH38),ORÇAMENTO.PrecoUnitarioLicitado),15-13*$AF$10),0)</f>
        <v>0</v>
      </c>
      <c r="X38" s="126" cm="1">
        <f t="array" aca="1" ref="X38" ca="1">IF($C38="S",IF(OR(Import.TipoArredondamento&lt;&gt;"TransfereGOV",ACOMPANHAMENTO="BM"),VTOTAL1,SUM(OFFSET(CÁLCULO!$AA$15,ROW($X38)-ROW($X$15),1):OFFSET(CÁLCULO!$AL$15,ROW($X38)-ROW($X$15),-1))),IF($C38=0,0,ROUND(SomaAgrup,15-13*$AF$11)))</f>
        <v>0</v>
      </c>
      <c r="Y38" s="127" t="s">
        <v>752</v>
      </c>
      <c r="Z38" s="675" t="str">
        <f t="shared" ca="1" si="13"/>
        <v/>
      </c>
      <c r="AA38" s="128">
        <f ca="1">IF($C38="S",IF($Z38="CP",$X38,IF($Z38="RA",(($X38)*QCI!$AA$3),0)),SomaAgrup)</f>
        <v>0</v>
      </c>
      <c r="AB38" s="129">
        <f t="shared" ca="1" si="14"/>
        <v>0</v>
      </c>
      <c r="AC38" s="566" t="e"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IF(AND(_xlfn.SINGLE(TIPOORCAMENTO)="Licitado",$AL38=0,$AN38&gt;0),"SEM PREÇO",
IF(AND($C38="S",$P38&lt;&gt;"",$Q38&lt;&gt;"",$U38&gt;0,$V38=0),"BDI",
IF(OR(AND(TIPOORCAMENTO="Proposto",LEFT($O$8,5)&lt;&gt;"(N/D:",$AG38&lt;&gt;"",ORÇAMENTO.CustoUnitario&gt;$AG38),AND(TIPOORCAMENTO="LICITADO",ORÇAMENTO.PrecoUnitarioLicitado&gt;$AN38)),"ACIMA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#NAME?</v>
      </c>
      <c r="AD38" s="675">
        <f ca="1">IF(C38&lt;=CRONO.NivelExibicao,MAX($AD$15:OFFSET(AD38,-1,0))+IF($C38&lt;&gt;1,1,MAX(1,COUNTIF(QCI!$A$13:$A$15,OFFSET($E38,-1,0)))),"")</f>
        <v>5</v>
      </c>
      <c r="AE38" s="671" t="b">
        <f ca="1">IF(AND($C38="S",ORÇAMENTO.CodBarra&lt;&gt;""),IF(ORÇAMENTO.Fonte="",ORÇAMENTO.CodBarra,CONCATENATE(ORÇAMENTO.Fonte," ",ORÇAMENTO.CodBarra)))</f>
        <v>0</v>
      </c>
      <c r="AF38" s="674" t="str">
        <f ca="1">IF(ISERROR(INDIRECT(ORÇAMENTO.BancoRef)),"(abra o arquivo 'Referência "&amp;Excel_BuiltIn_Database&amp;".xlsm)",IF(OR($C38&lt;&gt;"S",ORÇAMENTO.CodBarra=""),"(Sem Código)",IF(ISERROR(MATCH($AE38,INDIRECT(ORÇAMENTO.BancoRef),0)),"(Código não identificado nas referências)",MATCH($AE38,INDIRECT(ORÇAMENTO.BancoRef),0))))</f>
        <v>(abra o arquivo 'Referência 09-2025.xlsm)</v>
      </c>
      <c r="AG38" s="429">
        <f ca="1">ROUND(IF(DESONERACAO="sim",REFERENCIA.Desonerado,REFERENCIA.NaoDesonerado),2)</f>
        <v>0</v>
      </c>
      <c r="AH38" s="430">
        <f t="shared" ca="1" si="15"/>
        <v>0.24740000000000001</v>
      </c>
      <c r="AJ38" s="685">
        <v>207.78</v>
      </c>
      <c r="AL38" s="440"/>
      <c r="AM38" s="337">
        <f t="shared" ca="1" si="0"/>
        <v>0</v>
      </c>
      <c r="AN38" s="471">
        <f t="shared" ca="1" si="16"/>
        <v>0</v>
      </c>
    </row>
    <row r="39" spans="1:40" s="675" customFormat="1" ht="13.9" customHeight="1" x14ac:dyDescent="0.2">
      <c r="A39" s="675" t="str">
        <f t="shared" si="1"/>
        <v>S</v>
      </c>
      <c r="B39" s="675">
        <f t="shared" ca="1" si="2"/>
        <v>2</v>
      </c>
      <c r="C39" s="675" t="str">
        <f t="shared" ca="1" si="3"/>
        <v>S</v>
      </c>
      <c r="D39" s="675">
        <f t="shared" ca="1" si="4"/>
        <v>0</v>
      </c>
      <c r="E39" s="675">
        <f ca="1">IF($C39=1,OFFSET(E39,-1,0)+MAX(1,COUNTIF(QCI!$A$13:$A$15,OFFSET(ORÇAMENTO!E39,-1,0))),OFFSET(E39,-1,0))</f>
        <v>1</v>
      </c>
      <c r="F39" s="675">
        <f t="shared" ca="1" si="5"/>
        <v>4</v>
      </c>
      <c r="G39" s="675">
        <f t="shared" ca="1" si="6"/>
        <v>0</v>
      </c>
      <c r="H39" s="675">
        <f t="shared" ca="1" si="7"/>
        <v>0</v>
      </c>
      <c r="I39" s="675">
        <f t="shared" ca="1" si="8"/>
        <v>0</v>
      </c>
      <c r="J39" s="675">
        <f t="shared" ca="1" si="9"/>
        <v>0</v>
      </c>
      <c r="K39" s="675">
        <f ca="1">IF(OR($C39="S",$C39=0),0,MATCH(OFFSET($D39,0,$C39)+IF($C39&lt;&gt;1,1,COUNTIF(QCI!$A$13:$A$15,ORÇAMENTO!E39)),OFFSET($D39,1,$C39,ROW($C$231)-ROW($C39)),0))</f>
        <v>0</v>
      </c>
      <c r="L39" s="115" t="str">
        <f t="shared" ca="1" si="10"/>
        <v/>
      </c>
      <c r="M39" s="116" t="s">
        <v>706</v>
      </c>
      <c r="N39" s="117" t="str">
        <f t="shared" ca="1" si="11"/>
        <v>Serviço</v>
      </c>
      <c r="O39" s="118" t="str">
        <f t="shared" ca="1" si="12"/>
        <v>-</v>
      </c>
      <c r="P39" s="119" t="s">
        <v>968</v>
      </c>
      <c r="Q39" s="678" t="s">
        <v>986</v>
      </c>
      <c r="R39" s="121" t="str">
        <f ca="1">IF($C39="S",REFERENCIA.Descricao,"(digite a descrição aqui)")</f>
        <v>(abra o arquivo 'Referência 09-2025.xlsm)</v>
      </c>
      <c r="S39" s="122" t="str">
        <f ca="1">REFERENCIA.Unidade</f>
        <v>-</v>
      </c>
      <c r="T39" s="123">
        <f ca="1">OFFSET(CÁLCULO!H$15,ROW($T39)-ROW(T$15),0)</f>
        <v>3.52</v>
      </c>
      <c r="U39" s="124">
        <f ca="1">ROUND(IF(DESONERACAO="sim",REFERENCIA.Desonerado,REFERENCIA.NaoDesonerado),2)</f>
        <v>0</v>
      </c>
      <c r="V39" s="125" t="s">
        <v>664</v>
      </c>
      <c r="W39" s="123">
        <f ca="1">IF($C39="S",ROUND(IF(TIPOORCAMENTO="Proposto",ORÇAMENTO.CustoUnitario*(1+$AH39),ORÇAMENTO.PrecoUnitarioLicitado),15-13*$AF$10),0)</f>
        <v>0</v>
      </c>
      <c r="X39" s="126" cm="1">
        <f t="array" aca="1" ref="X39" ca="1">IF($C39="S",IF(OR(Import.TipoArredondamento&lt;&gt;"TransfereGOV",ACOMPANHAMENTO="BM"),VTOTAL1,SUM(OFFSET(CÁLCULO!$AA$15,ROW($X39)-ROW($X$15),1):OFFSET(CÁLCULO!$AL$15,ROW($X39)-ROW($X$15),-1))),IF($C39=0,0,ROUND(SomaAgrup,15-13*$AF$11)))</f>
        <v>0</v>
      </c>
      <c r="Y39" s="127" t="s">
        <v>752</v>
      </c>
      <c r="Z39" s="675" t="str">
        <f t="shared" ca="1" si="13"/>
        <v/>
      </c>
      <c r="AA39" s="128">
        <f ca="1">IF($C39="S",IF($Z39="CP",$X39,IF($Z39="RA",(($X39)*QCI!$AA$3),0)),SomaAgrup)</f>
        <v>0</v>
      </c>
      <c r="AB39" s="129">
        <f t="shared" ca="1" si="14"/>
        <v>0</v>
      </c>
      <c r="AC39" s="566"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IF(AND(_xlfn.SINGLE(TIPOORCAMENTO)="Licitado",$AL39=0,$AN39&gt;0),"SEM PREÇO",
IF(AND($C39="S",$P39&lt;&gt;"",$Q39&lt;&gt;"",$U39&gt;0,$V39=0),"BDI",
IF(OR(AND(TIPOORCAMENTO="Proposto",LEFT($O$8,5)&lt;&gt;"(N/D:",$AG39&lt;&gt;"",ORÇAMENTO.CustoUnitario&gt;$AG39),AND(TIPOORCAMENTO="LICITADO",ORÇAMENTO.PrecoUnitarioLicitado&gt;$AN39)),"ACIMA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SEM CUSTO</v>
      </c>
      <c r="AD39" s="675" t="str">
        <f ca="1">IF(C39&lt;=CRONO.NivelExibicao,MAX($AD$15:OFFSET(AD39,-1,0))+IF($C39&lt;&gt;1,1,MAX(1,COUNTIF(QCI!$A$13:$A$15,OFFSET($E39,-1,0)))),"")</f>
        <v/>
      </c>
      <c r="AE39" s="671" t="str">
        <f ca="1">IF(AND($C39="S",ORÇAMENTO.CodBarra&lt;&gt;""),IF(ORÇAMENTO.Fonte="",ORÇAMENTO.CodBarra,CONCATENATE(ORÇAMENTO.Fonte," ",ORÇAMENTO.CodBarra)))</f>
        <v>COPASA 65002373</v>
      </c>
      <c r="AF39" s="674" t="str">
        <f ca="1">IF(ISERROR(INDIRECT(ORÇAMENTO.BancoRef)),"(abra o arquivo 'Referência "&amp;Excel_BuiltIn_Database&amp;".xlsm)",IF(OR($C39&lt;&gt;"S",ORÇAMENTO.CodBarra=""),"(Sem Código)",IF(ISERROR(MATCH($AE39,INDIRECT(ORÇAMENTO.BancoRef),0)),"(Código não identificado nas referências)",MATCH($AE39,INDIRECT(ORÇAMENTO.BancoRef),0))))</f>
        <v>(abra o arquivo 'Referência 09-2025.xlsm)</v>
      </c>
      <c r="AG39" s="429">
        <f ca="1">ROUND(IF(DESONERACAO="sim",REFERENCIA.Desonerado,REFERENCIA.NaoDesonerado),2)</f>
        <v>0</v>
      </c>
      <c r="AH39" s="430">
        <f t="shared" ca="1" si="15"/>
        <v>0.24740000000000001</v>
      </c>
      <c r="AJ39" s="685">
        <v>3.52</v>
      </c>
      <c r="AL39" s="440"/>
      <c r="AM39" s="337">
        <f t="shared" ca="1" si="0"/>
        <v>0</v>
      </c>
      <c r="AN39" s="471">
        <f t="shared" ca="1" si="16"/>
        <v>0</v>
      </c>
    </row>
    <row r="40" spans="1:40" s="675" customFormat="1" ht="13.9" customHeight="1" x14ac:dyDescent="0.2">
      <c r="A40" s="675" t="str">
        <f t="shared" si="1"/>
        <v>S</v>
      </c>
      <c r="B40" s="675">
        <f t="shared" ca="1" si="2"/>
        <v>2</v>
      </c>
      <c r="C40" s="675" t="str">
        <f t="shared" ca="1" si="3"/>
        <v>S</v>
      </c>
      <c r="D40" s="675">
        <f t="shared" ca="1" si="4"/>
        <v>0</v>
      </c>
      <c r="E40" s="675">
        <f ca="1">IF($C40=1,OFFSET(E40,-1,0)+MAX(1,COUNTIF(QCI!$A$13:$A$15,OFFSET(ORÇAMENTO!E40,-1,0))),OFFSET(E40,-1,0))</f>
        <v>1</v>
      </c>
      <c r="F40" s="675">
        <f t="shared" ca="1" si="5"/>
        <v>4</v>
      </c>
      <c r="G40" s="675">
        <f t="shared" ca="1" si="6"/>
        <v>0</v>
      </c>
      <c r="H40" s="675">
        <f t="shared" ca="1" si="7"/>
        <v>0</v>
      </c>
      <c r="I40" s="675">
        <f t="shared" ca="1" si="8"/>
        <v>0</v>
      </c>
      <c r="J40" s="675">
        <f t="shared" ca="1" si="9"/>
        <v>0</v>
      </c>
      <c r="K40" s="675">
        <f ca="1">IF(OR($C40="S",$C40=0),0,MATCH(OFFSET($D40,0,$C40)+IF($C40&lt;&gt;1,1,COUNTIF(QCI!$A$13:$A$15,ORÇAMENTO!E40)),OFFSET($D40,1,$C40,ROW($C$231)-ROW($C40)),0))</f>
        <v>0</v>
      </c>
      <c r="L40" s="115" t="str">
        <f t="shared" ca="1" si="10"/>
        <v/>
      </c>
      <c r="M40" s="116" t="s">
        <v>706</v>
      </c>
      <c r="N40" s="117" t="str">
        <f t="shared" ca="1" si="11"/>
        <v>Serviço</v>
      </c>
      <c r="O40" s="118" t="str">
        <f t="shared" ca="1" si="12"/>
        <v>-</v>
      </c>
      <c r="P40" s="119" t="s">
        <v>968</v>
      </c>
      <c r="Q40" s="678" t="s">
        <v>986</v>
      </c>
      <c r="R40" s="121" t="str">
        <f ca="1">IF($C40="S",REFERENCIA.Descricao,"(digite a descrição aqui)")</f>
        <v>(abra o arquivo 'Referência 09-2025.xlsm)</v>
      </c>
      <c r="S40" s="122" t="str">
        <f ca="1">REFERENCIA.Unidade</f>
        <v>-</v>
      </c>
      <c r="T40" s="123">
        <f ca="1">OFFSET(CÁLCULO!H$15,ROW($T40)-ROW(T$15),0)</f>
        <v>1.51</v>
      </c>
      <c r="U40" s="124">
        <f ca="1">ROUND(IF(DESONERACAO="sim",REFERENCIA.Desonerado,REFERENCIA.NaoDesonerado),2)</f>
        <v>0</v>
      </c>
      <c r="V40" s="125" t="s">
        <v>664</v>
      </c>
      <c r="W40" s="123">
        <f ca="1">IF($C40="S",ROUND(IF(TIPOORCAMENTO="Proposto",ORÇAMENTO.CustoUnitario*(1+$AH40),ORÇAMENTO.PrecoUnitarioLicitado),15-13*$AF$10),0)</f>
        <v>0</v>
      </c>
      <c r="X40" s="126" cm="1">
        <f t="array" aca="1" ref="X40" ca="1">IF($C40="S",IF(OR(Import.TipoArredondamento&lt;&gt;"TransfereGOV",ACOMPANHAMENTO="BM"),VTOTAL1,SUM(OFFSET(CÁLCULO!$AA$15,ROW($X40)-ROW($X$15),1):OFFSET(CÁLCULO!$AL$15,ROW($X40)-ROW($X$15),-1))),IF($C40=0,0,ROUND(SomaAgrup,15-13*$AF$11)))</f>
        <v>0</v>
      </c>
      <c r="Y40" s="127" t="s">
        <v>752</v>
      </c>
      <c r="Z40" s="675" t="str">
        <f t="shared" ca="1" si="13"/>
        <v/>
      </c>
      <c r="AA40" s="128">
        <f ca="1">IF($C40="S",IF($Z40="CP",$X40,IF($Z40="RA",(($X40)*QCI!$AA$3),0)),SomaAgrup)</f>
        <v>0</v>
      </c>
      <c r="AB40" s="129">
        <f t="shared" ca="1" si="14"/>
        <v>0</v>
      </c>
      <c r="AC40" s="566"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IF(AND(_xlfn.SINGLE(TIPOORCAMENTO)="Licitado",$AL40=0,$AN40&gt;0),"SEM PREÇO",
IF(AND($C40="S",$P40&lt;&gt;"",$Q40&lt;&gt;"",$U40&gt;0,$V40=0),"BDI",
IF(OR(AND(TIPOORCAMENTO="Proposto",LEFT($O$8,5)&lt;&gt;"(N/D:",$AG40&lt;&gt;"",ORÇAMENTO.CustoUnitario&gt;$AG40),AND(TIPOORCAMENTO="LICITADO",ORÇAMENTO.PrecoUnitarioLicitado&gt;$AN40)),"ACIMA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SEM CUSTO</v>
      </c>
      <c r="AD40" s="675" t="str">
        <f ca="1">IF(C40&lt;=CRONO.NivelExibicao,MAX($AD$15:OFFSET(AD40,-1,0))+IF($C40&lt;&gt;1,1,MAX(1,COUNTIF(QCI!$A$13:$A$15,OFFSET($E40,-1,0)))),"")</f>
        <v/>
      </c>
      <c r="AE40" s="671" t="str">
        <f ca="1">IF(AND($C40="S",ORÇAMENTO.CodBarra&lt;&gt;""),IF(ORÇAMENTO.Fonte="",ORÇAMENTO.CodBarra,CONCATENATE(ORÇAMENTO.Fonte," ",ORÇAMENTO.CodBarra)))</f>
        <v>COPASA 65002373</v>
      </c>
      <c r="AF40" s="674" t="str">
        <f ca="1">IF(ISERROR(INDIRECT(ORÇAMENTO.BancoRef)),"(abra o arquivo 'Referência "&amp;Excel_BuiltIn_Database&amp;".xlsm)",IF(OR($C40&lt;&gt;"S",ORÇAMENTO.CodBarra=""),"(Sem Código)",IF(ISERROR(MATCH($AE40,INDIRECT(ORÇAMENTO.BancoRef),0)),"(Código não identificado nas referências)",MATCH($AE40,INDIRECT(ORÇAMENTO.BancoRef),0))))</f>
        <v>(abra o arquivo 'Referência 09-2025.xlsm)</v>
      </c>
      <c r="AG40" s="429">
        <f ca="1">ROUND(IF(DESONERACAO="sim",REFERENCIA.Desonerado,REFERENCIA.NaoDesonerado),2)</f>
        <v>0</v>
      </c>
      <c r="AH40" s="430">
        <f t="shared" ca="1" si="15"/>
        <v>0.24740000000000001</v>
      </c>
      <c r="AJ40" s="685">
        <v>1.51</v>
      </c>
      <c r="AL40" s="440"/>
      <c r="AM40" s="337">
        <f t="shared" ca="1" si="0"/>
        <v>0</v>
      </c>
      <c r="AN40" s="471">
        <f t="shared" ca="1" si="16"/>
        <v>0</v>
      </c>
    </row>
    <row r="41" spans="1:40" s="675" customFormat="1" ht="13.9" customHeight="1" x14ac:dyDescent="0.2">
      <c r="A41" s="675" t="str">
        <f t="shared" si="1"/>
        <v>S</v>
      </c>
      <c r="B41" s="675">
        <f t="shared" ca="1" si="2"/>
        <v>2</v>
      </c>
      <c r="C41" s="675" t="str">
        <f t="shared" ca="1" si="3"/>
        <v>S</v>
      </c>
      <c r="D41" s="675">
        <f t="shared" ca="1" si="4"/>
        <v>0</v>
      </c>
      <c r="E41" s="675">
        <f ca="1">IF($C41=1,OFFSET(E41,-1,0)+MAX(1,COUNTIF(QCI!$A$13:$A$15,OFFSET(ORÇAMENTO!E41,-1,0))),OFFSET(E41,-1,0))</f>
        <v>1</v>
      </c>
      <c r="F41" s="675">
        <f t="shared" ca="1" si="5"/>
        <v>4</v>
      </c>
      <c r="G41" s="675">
        <f t="shared" ca="1" si="6"/>
        <v>0</v>
      </c>
      <c r="H41" s="675">
        <f t="shared" ca="1" si="7"/>
        <v>0</v>
      </c>
      <c r="I41" s="675">
        <f t="shared" ca="1" si="8"/>
        <v>0</v>
      </c>
      <c r="J41" s="675">
        <f t="shared" ca="1" si="9"/>
        <v>0</v>
      </c>
      <c r="K41" s="675">
        <f ca="1">IF(OR($C41="S",$C41=0),0,MATCH(OFFSET($D41,0,$C41)+IF($C41&lt;&gt;1,1,COUNTIF(QCI!$A$13:$A$15,ORÇAMENTO!E41)),OFFSET($D41,1,$C41,ROW($C$231)-ROW($C41)),0))</f>
        <v>0</v>
      </c>
      <c r="L41" s="115" t="str">
        <f t="shared" ca="1" si="10"/>
        <v/>
      </c>
      <c r="M41" s="116" t="s">
        <v>706</v>
      </c>
      <c r="N41" s="117" t="str">
        <f t="shared" ca="1" si="11"/>
        <v>Serviço</v>
      </c>
      <c r="O41" s="118" t="str">
        <f t="shared" ca="1" si="12"/>
        <v>-</v>
      </c>
      <c r="P41" s="119" t="s">
        <v>968</v>
      </c>
      <c r="Q41" s="678" t="s">
        <v>986</v>
      </c>
      <c r="R41" s="121" t="str">
        <f ca="1">IF($C41="S",REFERENCIA.Descricao,"(digite a descrição aqui)")</f>
        <v>(abra o arquivo 'Referência 09-2025.xlsm)</v>
      </c>
      <c r="S41" s="122" t="str">
        <f ca="1">REFERENCIA.Unidade</f>
        <v>-</v>
      </c>
      <c r="T41" s="123">
        <f ca="1">OFFSET(CÁLCULO!H$15,ROW($T41)-ROW(T$15),0)</f>
        <v>3.04</v>
      </c>
      <c r="U41" s="124">
        <f ca="1">ROUND(IF(DESONERACAO="sim",REFERENCIA.Desonerado,REFERENCIA.NaoDesonerado),2)</f>
        <v>0</v>
      </c>
      <c r="V41" s="125" t="s">
        <v>664</v>
      </c>
      <c r="W41" s="123">
        <f ca="1">IF($C41="S",ROUND(IF(TIPOORCAMENTO="Proposto",ORÇAMENTO.CustoUnitario*(1+$AH41),ORÇAMENTO.PrecoUnitarioLicitado),15-13*$AF$10),0)</f>
        <v>0</v>
      </c>
      <c r="X41" s="126" cm="1">
        <f t="array" aca="1" ref="X41" ca="1">IF($C41="S",IF(OR(Import.TipoArredondamento&lt;&gt;"TransfereGOV",ACOMPANHAMENTO="BM"),VTOTAL1,SUM(OFFSET(CÁLCULO!$AA$15,ROW($X41)-ROW($X$15),1):OFFSET(CÁLCULO!$AL$15,ROW($X41)-ROW($X$15),-1))),IF($C41=0,0,ROUND(SomaAgrup,15-13*$AF$11)))</f>
        <v>0</v>
      </c>
      <c r="Y41" s="127" t="s">
        <v>752</v>
      </c>
      <c r="Z41" s="675" t="str">
        <f t="shared" ca="1" si="13"/>
        <v/>
      </c>
      <c r="AA41" s="128">
        <f ca="1">IF($C41="S",IF($Z41="CP",$X41,IF($Z41="RA",(($X41)*QCI!$AA$3),0)),SomaAgrup)</f>
        <v>0</v>
      </c>
      <c r="AB41" s="129">
        <f t="shared" ca="1" si="14"/>
        <v>0</v>
      </c>
      <c r="AC41" s="566"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IF(AND(_xlfn.SINGLE(TIPOORCAMENTO)="Licitado",$AL41=0,$AN41&gt;0),"SEM PREÇO",
IF(AND($C41="S",$P41&lt;&gt;"",$Q41&lt;&gt;"",$U41&gt;0,$V41=0),"BDI",
IF(OR(AND(TIPOORCAMENTO="Proposto",LEFT($O$8,5)&lt;&gt;"(N/D:",$AG41&lt;&gt;"",ORÇAMENTO.CustoUnitario&gt;$AG41),AND(TIPOORCAMENTO="LICITADO",ORÇAMENTO.PrecoUnitarioLicitado&gt;$AN41)),"ACIMA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SEM CUSTO</v>
      </c>
      <c r="AD41" s="675" t="str">
        <f ca="1">IF(C41&lt;=CRONO.NivelExibicao,MAX($AD$15:OFFSET(AD41,-1,0))+IF($C41&lt;&gt;1,1,MAX(1,COUNTIF(QCI!$A$13:$A$15,OFFSET($E41,-1,0)))),"")</f>
        <v/>
      </c>
      <c r="AE41" s="671" t="str">
        <f ca="1">IF(AND($C41="S",ORÇAMENTO.CodBarra&lt;&gt;""),IF(ORÇAMENTO.Fonte="",ORÇAMENTO.CodBarra,CONCATENATE(ORÇAMENTO.Fonte," ",ORÇAMENTO.CodBarra)))</f>
        <v>COPASA 65002373</v>
      </c>
      <c r="AF41" s="674" t="str">
        <f ca="1">IF(ISERROR(INDIRECT(ORÇAMENTO.BancoRef)),"(abra o arquivo 'Referência "&amp;Excel_BuiltIn_Database&amp;".xlsm)",IF(OR($C41&lt;&gt;"S",ORÇAMENTO.CodBarra=""),"(Sem Código)",IF(ISERROR(MATCH($AE41,INDIRECT(ORÇAMENTO.BancoRef),0)),"(Código não identificado nas referências)",MATCH($AE41,INDIRECT(ORÇAMENTO.BancoRef),0))))</f>
        <v>(abra o arquivo 'Referência 09-2025.xlsm)</v>
      </c>
      <c r="AG41" s="429">
        <f ca="1">ROUND(IF(DESONERACAO="sim",REFERENCIA.Desonerado,REFERENCIA.NaoDesonerado),2)</f>
        <v>0</v>
      </c>
      <c r="AH41" s="430">
        <f t="shared" ca="1" si="15"/>
        <v>0.24740000000000001</v>
      </c>
      <c r="AJ41" s="685">
        <v>3.04</v>
      </c>
      <c r="AL41" s="440"/>
      <c r="AM41" s="337">
        <f t="shared" ca="1" si="0"/>
        <v>0</v>
      </c>
      <c r="AN41" s="471">
        <f t="shared" ca="1" si="16"/>
        <v>0</v>
      </c>
    </row>
    <row r="42" spans="1:40" s="675" customFormat="1" ht="13.9" customHeight="1" x14ac:dyDescent="0.2">
      <c r="A42" s="675" t="str">
        <f t="shared" si="1"/>
        <v>S</v>
      </c>
      <c r="B42" s="675">
        <f t="shared" ca="1" si="2"/>
        <v>2</v>
      </c>
      <c r="C42" s="675" t="str">
        <f t="shared" ca="1" si="3"/>
        <v>S</v>
      </c>
      <c r="D42" s="675">
        <f t="shared" ca="1" si="4"/>
        <v>0</v>
      </c>
      <c r="E42" s="675">
        <f ca="1">IF($C42=1,OFFSET(E42,-1,0)+MAX(1,COUNTIF(QCI!$A$13:$A$15,OFFSET(ORÇAMENTO!E42,-1,0))),OFFSET(E42,-1,0))</f>
        <v>1</v>
      </c>
      <c r="F42" s="675">
        <f t="shared" ca="1" si="5"/>
        <v>4</v>
      </c>
      <c r="G42" s="675">
        <f t="shared" ca="1" si="6"/>
        <v>0</v>
      </c>
      <c r="H42" s="675">
        <f t="shared" ca="1" si="7"/>
        <v>0</v>
      </c>
      <c r="I42" s="675">
        <f t="shared" ca="1" si="8"/>
        <v>0</v>
      </c>
      <c r="J42" s="675">
        <f t="shared" ca="1" si="9"/>
        <v>0</v>
      </c>
      <c r="K42" s="675">
        <f ca="1">IF(OR($C42="S",$C42=0),0,MATCH(OFFSET($D42,0,$C42)+IF($C42&lt;&gt;1,1,COUNTIF(QCI!$A$13:$A$15,ORÇAMENTO!E42)),OFFSET($D42,1,$C42,ROW($C$231)-ROW($C42)),0))</f>
        <v>0</v>
      </c>
      <c r="L42" s="115" t="str">
        <f t="shared" ca="1" si="10"/>
        <v/>
      </c>
      <c r="M42" s="116" t="s">
        <v>706</v>
      </c>
      <c r="N42" s="117" t="str">
        <f t="shared" ca="1" si="11"/>
        <v>Serviço</v>
      </c>
      <c r="O42" s="118" t="str">
        <f t="shared" ca="1" si="12"/>
        <v>-</v>
      </c>
      <c r="P42" s="119" t="s">
        <v>968</v>
      </c>
      <c r="Q42" s="678" t="s">
        <v>986</v>
      </c>
      <c r="R42" s="121" t="str">
        <f ca="1">IF($C42="S",REFERENCIA.Descricao,"(digite a descrição aqui)")</f>
        <v>(abra o arquivo 'Referência 09-2025.xlsm)</v>
      </c>
      <c r="S42" s="122" t="str">
        <f ca="1">REFERENCIA.Unidade</f>
        <v>-</v>
      </c>
      <c r="T42" s="123">
        <f ca="1">OFFSET(CÁLCULO!H$15,ROW($T42)-ROW(T$15),0)</f>
        <v>0.83</v>
      </c>
      <c r="U42" s="124">
        <f ca="1">ROUND(IF(DESONERACAO="sim",REFERENCIA.Desonerado,REFERENCIA.NaoDesonerado),2)</f>
        <v>0</v>
      </c>
      <c r="V42" s="125" t="s">
        <v>664</v>
      </c>
      <c r="W42" s="123">
        <f ca="1">IF($C42="S",ROUND(IF(TIPOORCAMENTO="Proposto",ORÇAMENTO.CustoUnitario*(1+$AH42),ORÇAMENTO.PrecoUnitarioLicitado),15-13*$AF$10),0)</f>
        <v>0</v>
      </c>
      <c r="X42" s="126" cm="1">
        <f t="array" aca="1" ref="X42" ca="1">IF($C42="S",IF(OR(Import.TipoArredondamento&lt;&gt;"TransfereGOV",ACOMPANHAMENTO="BM"),VTOTAL1,SUM(OFFSET(CÁLCULO!$AA$15,ROW($X42)-ROW($X$15),1):OFFSET(CÁLCULO!$AL$15,ROW($X42)-ROW($X$15),-1))),IF($C42=0,0,ROUND(SomaAgrup,15-13*$AF$11)))</f>
        <v>0</v>
      </c>
      <c r="Y42" s="127" t="s">
        <v>752</v>
      </c>
      <c r="Z42" s="675" t="str">
        <f t="shared" ca="1" si="13"/>
        <v/>
      </c>
      <c r="AA42" s="128">
        <f ca="1">IF($C42="S",IF($Z42="CP",$X42,IF($Z42="RA",(($X42)*QCI!$AA$3),0)),SomaAgrup)</f>
        <v>0</v>
      </c>
      <c r="AB42" s="129">
        <f t="shared" ca="1" si="14"/>
        <v>0</v>
      </c>
      <c r="AC42" s="566"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IF(AND(_xlfn.SINGLE(TIPOORCAMENTO)="Licitado",$AL42=0,$AN42&gt;0),"SEM PREÇO",
IF(AND($C42="S",$P42&lt;&gt;"",$Q42&lt;&gt;"",$U42&gt;0,$V42=0),"BDI",
IF(OR(AND(TIPOORCAMENTO="Proposto",LEFT($O$8,5)&lt;&gt;"(N/D:",$AG42&lt;&gt;"",ORÇAMENTO.CustoUnitario&gt;$AG42),AND(TIPOORCAMENTO="LICITADO",ORÇAMENTO.PrecoUnitarioLicitado&gt;$AN42)),"ACIMA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SEM CUSTO</v>
      </c>
      <c r="AD42" s="675" t="str">
        <f ca="1">IF(C42&lt;=CRONO.NivelExibicao,MAX($AD$15:OFFSET(AD42,-1,0))+IF($C42&lt;&gt;1,1,MAX(1,COUNTIF(QCI!$A$13:$A$15,OFFSET($E42,-1,0)))),"")</f>
        <v/>
      </c>
      <c r="AE42" s="671" t="str">
        <f ca="1">IF(AND($C42="S",ORÇAMENTO.CodBarra&lt;&gt;""),IF(ORÇAMENTO.Fonte="",ORÇAMENTO.CodBarra,CONCATENATE(ORÇAMENTO.Fonte," ",ORÇAMENTO.CodBarra)))</f>
        <v>COPASA 65002373</v>
      </c>
      <c r="AF42" s="674" t="str">
        <f ca="1">IF(ISERROR(INDIRECT(ORÇAMENTO.BancoRef)),"(abra o arquivo 'Referência "&amp;Excel_BuiltIn_Database&amp;".xlsm)",IF(OR($C42&lt;&gt;"S",ORÇAMENTO.CodBarra=""),"(Sem Código)",IF(ISERROR(MATCH($AE42,INDIRECT(ORÇAMENTO.BancoRef),0)),"(Código não identificado nas referências)",MATCH($AE42,INDIRECT(ORÇAMENTO.BancoRef),0))))</f>
        <v>(abra o arquivo 'Referência 09-2025.xlsm)</v>
      </c>
      <c r="AG42" s="429">
        <f ca="1">ROUND(IF(DESONERACAO="sim",REFERENCIA.Desonerado,REFERENCIA.NaoDesonerado),2)</f>
        <v>0</v>
      </c>
      <c r="AH42" s="430">
        <f t="shared" ca="1" si="15"/>
        <v>0.24740000000000001</v>
      </c>
      <c r="AJ42" s="685">
        <v>0.83</v>
      </c>
      <c r="AL42" s="440"/>
      <c r="AM42" s="337">
        <f t="shared" ca="1" si="0"/>
        <v>0</v>
      </c>
      <c r="AN42" s="471">
        <f t="shared" ca="1" si="16"/>
        <v>0</v>
      </c>
    </row>
    <row r="43" spans="1:40" s="675" customFormat="1" ht="13.9" customHeight="1" x14ac:dyDescent="0.2">
      <c r="A43" s="675" t="str">
        <f t="shared" si="1"/>
        <v>S</v>
      </c>
      <c r="B43" s="675">
        <f t="shared" ca="1" si="2"/>
        <v>2</v>
      </c>
      <c r="C43" s="675" t="str">
        <f t="shared" ca="1" si="3"/>
        <v>S</v>
      </c>
      <c r="D43" s="675">
        <f t="shared" ca="1" si="4"/>
        <v>0</v>
      </c>
      <c r="E43" s="675">
        <f ca="1">IF($C43=1,OFFSET(E43,-1,0)+MAX(1,COUNTIF(QCI!$A$13:$A$15,OFFSET(ORÇAMENTO!E43,-1,0))),OFFSET(E43,-1,0))</f>
        <v>1</v>
      </c>
      <c r="F43" s="675">
        <f t="shared" ca="1" si="5"/>
        <v>4</v>
      </c>
      <c r="G43" s="675">
        <f t="shared" ca="1" si="6"/>
        <v>0</v>
      </c>
      <c r="H43" s="675">
        <f t="shared" ca="1" si="7"/>
        <v>0</v>
      </c>
      <c r="I43" s="675">
        <f t="shared" ca="1" si="8"/>
        <v>0</v>
      </c>
      <c r="J43" s="675">
        <f t="shared" ca="1" si="9"/>
        <v>0</v>
      </c>
      <c r="K43" s="675">
        <f ca="1">IF(OR($C43="S",$C43=0),0,MATCH(OFFSET($D43,0,$C43)+IF($C43&lt;&gt;1,1,COUNTIF(QCI!$A$13:$A$15,ORÇAMENTO!E43)),OFFSET($D43,1,$C43,ROW($C$231)-ROW($C43)),0))</f>
        <v>0</v>
      </c>
      <c r="L43" s="115" t="str">
        <f t="shared" ca="1" si="10"/>
        <v/>
      </c>
      <c r="M43" s="116" t="s">
        <v>706</v>
      </c>
      <c r="N43" s="117" t="str">
        <f t="shared" ca="1" si="11"/>
        <v>Serviço</v>
      </c>
      <c r="O43" s="118" t="str">
        <f t="shared" ca="1" si="12"/>
        <v>-</v>
      </c>
      <c r="P43" s="119" t="s">
        <v>968</v>
      </c>
      <c r="Q43" s="678" t="s">
        <v>986</v>
      </c>
      <c r="R43" s="121" t="str">
        <f ca="1">IF($C43="S",REFERENCIA.Descricao,"(digite a descrição aqui)")</f>
        <v>(abra o arquivo 'Referência 09-2025.xlsm)</v>
      </c>
      <c r="S43" s="122" t="str">
        <f ca="1">REFERENCIA.Unidade</f>
        <v>-</v>
      </c>
      <c r="T43" s="123">
        <f ca="1">OFFSET(CÁLCULO!H$15,ROW($T43)-ROW(T$15),0)</f>
        <v>2.65</v>
      </c>
      <c r="U43" s="124">
        <f ca="1">ROUND(IF(DESONERACAO="sim",REFERENCIA.Desonerado,REFERENCIA.NaoDesonerado),2)</f>
        <v>0</v>
      </c>
      <c r="V43" s="125" t="s">
        <v>664</v>
      </c>
      <c r="W43" s="123">
        <f ca="1">IF($C43="S",ROUND(IF(TIPOORCAMENTO="Proposto",ORÇAMENTO.CustoUnitario*(1+$AH43),ORÇAMENTO.PrecoUnitarioLicitado),15-13*$AF$10),0)</f>
        <v>0</v>
      </c>
      <c r="X43" s="126" cm="1">
        <f t="array" aca="1" ref="X43" ca="1">IF($C43="S",IF(OR(Import.TipoArredondamento&lt;&gt;"TransfereGOV",ACOMPANHAMENTO="BM"),VTOTAL1,SUM(OFFSET(CÁLCULO!$AA$15,ROW($X43)-ROW($X$15),1):OFFSET(CÁLCULO!$AL$15,ROW($X43)-ROW($X$15),-1))),IF($C43=0,0,ROUND(SomaAgrup,15-13*$AF$11)))</f>
        <v>0</v>
      </c>
      <c r="Y43" s="127" t="s">
        <v>752</v>
      </c>
      <c r="Z43" s="675" t="str">
        <f t="shared" ca="1" si="13"/>
        <v/>
      </c>
      <c r="AA43" s="128">
        <f ca="1">IF($C43="S",IF($Z43="CP",$X43,IF($Z43="RA",(($X43)*QCI!$AA$3),0)),SomaAgrup)</f>
        <v>0</v>
      </c>
      <c r="AB43" s="129">
        <f t="shared" ca="1" si="14"/>
        <v>0</v>
      </c>
      <c r="AC43" s="566"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IF(AND(_xlfn.SINGLE(TIPOORCAMENTO)="Licitado",$AL43=0,$AN43&gt;0),"SEM PREÇO",
IF(AND($C43="S",$P43&lt;&gt;"",$Q43&lt;&gt;"",$U43&gt;0,$V43=0),"BDI",
IF(OR(AND(TIPOORCAMENTO="Proposto",LEFT($O$8,5)&lt;&gt;"(N/D:",$AG43&lt;&gt;"",ORÇAMENTO.CustoUnitario&gt;$AG43),AND(TIPOORCAMENTO="LICITADO",ORÇAMENTO.PrecoUnitarioLicitado&gt;$AN43)),"ACIMA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SEM CUSTO</v>
      </c>
      <c r="AD43" s="675" t="str">
        <f ca="1">IF(C43&lt;=CRONO.NivelExibicao,MAX($AD$15:OFFSET(AD43,-1,0))+IF($C43&lt;&gt;1,1,MAX(1,COUNTIF(QCI!$A$13:$A$15,OFFSET($E43,-1,0)))),"")</f>
        <v/>
      </c>
      <c r="AE43" s="671" t="str">
        <f ca="1">IF(AND($C43="S",ORÇAMENTO.CodBarra&lt;&gt;""),IF(ORÇAMENTO.Fonte="",ORÇAMENTO.CodBarra,CONCATENATE(ORÇAMENTO.Fonte," ",ORÇAMENTO.CodBarra)))</f>
        <v>COPASA 65002373</v>
      </c>
      <c r="AF43" s="674" t="str">
        <f ca="1">IF(ISERROR(INDIRECT(ORÇAMENTO.BancoRef)),"(abra o arquivo 'Referência "&amp;Excel_BuiltIn_Database&amp;".xlsm)",IF(OR($C43&lt;&gt;"S",ORÇAMENTO.CodBarra=""),"(Sem Código)",IF(ISERROR(MATCH($AE43,INDIRECT(ORÇAMENTO.BancoRef),0)),"(Código não identificado nas referências)",MATCH($AE43,INDIRECT(ORÇAMENTO.BancoRef),0))))</f>
        <v>(abra o arquivo 'Referência 09-2025.xlsm)</v>
      </c>
      <c r="AG43" s="429">
        <f ca="1">ROUND(IF(DESONERACAO="sim",REFERENCIA.Desonerado,REFERENCIA.NaoDesonerado),2)</f>
        <v>0</v>
      </c>
      <c r="AH43" s="430">
        <f t="shared" ca="1" si="15"/>
        <v>0.24740000000000001</v>
      </c>
      <c r="AJ43" s="685">
        <v>2.65</v>
      </c>
      <c r="AL43" s="440"/>
      <c r="AM43" s="337">
        <f t="shared" ca="1" si="0"/>
        <v>0</v>
      </c>
      <c r="AN43" s="471">
        <f t="shared" ca="1" si="16"/>
        <v>0</v>
      </c>
    </row>
    <row r="44" spans="1:40" s="675" customFormat="1" ht="13.9" customHeight="1" x14ac:dyDescent="0.2">
      <c r="A44" s="675" t="str">
        <f t="shared" si="1"/>
        <v>S</v>
      </c>
      <c r="B44" s="675">
        <f t="shared" ca="1" si="2"/>
        <v>2</v>
      </c>
      <c r="C44" s="675" t="str">
        <f t="shared" ca="1" si="3"/>
        <v>S</v>
      </c>
      <c r="D44" s="675">
        <f t="shared" ca="1" si="4"/>
        <v>0</v>
      </c>
      <c r="E44" s="675">
        <f ca="1">IF($C44=1,OFFSET(E44,-1,0)+MAX(1,COUNTIF(QCI!$A$13:$A$15,OFFSET(ORÇAMENTO!E44,-1,0))),OFFSET(E44,-1,0))</f>
        <v>1</v>
      </c>
      <c r="F44" s="675">
        <f t="shared" ca="1" si="5"/>
        <v>4</v>
      </c>
      <c r="G44" s="675">
        <f t="shared" ca="1" si="6"/>
        <v>0</v>
      </c>
      <c r="H44" s="675">
        <f t="shared" ca="1" si="7"/>
        <v>0</v>
      </c>
      <c r="I44" s="675">
        <f t="shared" ca="1" si="8"/>
        <v>0</v>
      </c>
      <c r="J44" s="675">
        <f t="shared" ca="1" si="9"/>
        <v>0</v>
      </c>
      <c r="K44" s="675">
        <f ca="1">IF(OR($C44="S",$C44=0),0,MATCH(OFFSET($D44,0,$C44)+IF($C44&lt;&gt;1,1,COUNTIF(QCI!$A$13:$A$15,ORÇAMENTO!E44)),OFFSET($D44,1,$C44,ROW($C$231)-ROW($C44)),0))</f>
        <v>0</v>
      </c>
      <c r="L44" s="115" t="str">
        <f t="shared" ca="1" si="10"/>
        <v/>
      </c>
      <c r="M44" s="116" t="s">
        <v>706</v>
      </c>
      <c r="N44" s="117" t="str">
        <f t="shared" ca="1" si="11"/>
        <v>Serviço</v>
      </c>
      <c r="O44" s="118" t="str">
        <f t="shared" ca="1" si="12"/>
        <v>-</v>
      </c>
      <c r="P44" s="119" t="s">
        <v>968</v>
      </c>
      <c r="Q44" s="678" t="s">
        <v>986</v>
      </c>
      <c r="R44" s="121" t="str">
        <f ca="1">IF($C44="S",REFERENCIA.Descricao,"(digite a descrição aqui)")</f>
        <v>(abra o arquivo 'Referência 09-2025.xlsm)</v>
      </c>
      <c r="S44" s="122" t="str">
        <f ca="1">REFERENCIA.Unidade</f>
        <v>-</v>
      </c>
      <c r="T44" s="123">
        <f ca="1">OFFSET(CÁLCULO!H$15,ROW($T44)-ROW(T$15),0)</f>
        <v>2.04</v>
      </c>
      <c r="U44" s="124">
        <f ca="1">ROUND(IF(DESONERACAO="sim",REFERENCIA.Desonerado,REFERENCIA.NaoDesonerado),2)</f>
        <v>0</v>
      </c>
      <c r="V44" s="125" t="s">
        <v>664</v>
      </c>
      <c r="W44" s="123">
        <f ca="1">IF($C44="S",ROUND(IF(TIPOORCAMENTO="Proposto",ORÇAMENTO.CustoUnitario*(1+$AH44),ORÇAMENTO.PrecoUnitarioLicitado),15-13*$AF$10),0)</f>
        <v>0</v>
      </c>
      <c r="X44" s="126" cm="1">
        <f t="array" aca="1" ref="X44" ca="1">IF($C44="S",IF(OR(Import.TipoArredondamento&lt;&gt;"TransfereGOV",ACOMPANHAMENTO="BM"),VTOTAL1,SUM(OFFSET(CÁLCULO!$AA$15,ROW($X44)-ROW($X$15),1):OFFSET(CÁLCULO!$AL$15,ROW($X44)-ROW($X$15),-1))),IF($C44=0,0,ROUND(SomaAgrup,15-13*$AF$11)))</f>
        <v>0</v>
      </c>
      <c r="Y44" s="127" t="s">
        <v>752</v>
      </c>
      <c r="Z44" s="675" t="str">
        <f t="shared" ca="1" si="13"/>
        <v/>
      </c>
      <c r="AA44" s="128">
        <f ca="1">IF($C44="S",IF($Z44="CP",$X44,IF($Z44="RA",(($X44)*QCI!$AA$3),0)),SomaAgrup)</f>
        <v>0</v>
      </c>
      <c r="AB44" s="129">
        <f t="shared" ca="1" si="14"/>
        <v>0</v>
      </c>
      <c r="AC44" s="566"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IF(AND(_xlfn.SINGLE(TIPOORCAMENTO)="Licitado",$AL44=0,$AN44&gt;0),"SEM PREÇO",
IF(AND($C44="S",$P44&lt;&gt;"",$Q44&lt;&gt;"",$U44&gt;0,$V44=0),"BDI",
IF(OR(AND(TIPOORCAMENTO="Proposto",LEFT($O$8,5)&lt;&gt;"(N/D:",$AG44&lt;&gt;"",ORÇAMENTO.CustoUnitario&gt;$AG44),AND(TIPOORCAMENTO="LICITADO",ORÇAMENTO.PrecoUnitarioLicitado&gt;$AN44)),"ACIMA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SEM CUSTO</v>
      </c>
      <c r="AD44" s="675" t="str">
        <f ca="1">IF(C44&lt;=CRONO.NivelExibicao,MAX($AD$15:OFFSET(AD44,-1,0))+IF($C44&lt;&gt;1,1,MAX(1,COUNTIF(QCI!$A$13:$A$15,OFFSET($E44,-1,0)))),"")</f>
        <v/>
      </c>
      <c r="AE44" s="671" t="str">
        <f ca="1">IF(AND($C44="S",ORÇAMENTO.CodBarra&lt;&gt;""),IF(ORÇAMENTO.Fonte="",ORÇAMENTO.CodBarra,CONCATENATE(ORÇAMENTO.Fonte," ",ORÇAMENTO.CodBarra)))</f>
        <v>COPASA 65002373</v>
      </c>
      <c r="AF44" s="674" t="str">
        <f ca="1">IF(ISERROR(INDIRECT(ORÇAMENTO.BancoRef)),"(abra o arquivo 'Referência "&amp;Excel_BuiltIn_Database&amp;".xlsm)",IF(OR($C44&lt;&gt;"S",ORÇAMENTO.CodBarra=""),"(Sem Código)",IF(ISERROR(MATCH($AE44,INDIRECT(ORÇAMENTO.BancoRef),0)),"(Código não identificado nas referências)",MATCH($AE44,INDIRECT(ORÇAMENTO.BancoRef),0))))</f>
        <v>(abra o arquivo 'Referência 09-2025.xlsm)</v>
      </c>
      <c r="AG44" s="429">
        <f ca="1">ROUND(IF(DESONERACAO="sim",REFERENCIA.Desonerado,REFERENCIA.NaoDesonerado),2)</f>
        <v>0</v>
      </c>
      <c r="AH44" s="430">
        <f t="shared" ca="1" si="15"/>
        <v>0.24740000000000001</v>
      </c>
      <c r="AJ44" s="685">
        <v>2.04</v>
      </c>
      <c r="AL44" s="440"/>
      <c r="AM44" s="337">
        <f t="shared" ca="1" si="0"/>
        <v>0</v>
      </c>
      <c r="AN44" s="471">
        <f t="shared" ca="1" si="16"/>
        <v>0</v>
      </c>
    </row>
    <row r="45" spans="1:40" s="675" customFormat="1" ht="13.9" customHeight="1" x14ac:dyDescent="0.2">
      <c r="A45" s="675" t="str">
        <f t="shared" si="1"/>
        <v>S</v>
      </c>
      <c r="B45" s="675">
        <f t="shared" ca="1" si="2"/>
        <v>2</v>
      </c>
      <c r="C45" s="675" t="str">
        <f t="shared" ca="1" si="3"/>
        <v>S</v>
      </c>
      <c r="D45" s="675">
        <f t="shared" ca="1" si="4"/>
        <v>0</v>
      </c>
      <c r="E45" s="675">
        <f ca="1">IF($C45=1,OFFSET(E45,-1,0)+MAX(1,COUNTIF(QCI!$A$13:$A$15,OFFSET(ORÇAMENTO!E45,-1,0))),OFFSET(E45,-1,0))</f>
        <v>1</v>
      </c>
      <c r="F45" s="675">
        <f t="shared" ca="1" si="5"/>
        <v>4</v>
      </c>
      <c r="G45" s="675">
        <f t="shared" ca="1" si="6"/>
        <v>0</v>
      </c>
      <c r="H45" s="675">
        <f t="shared" ca="1" si="7"/>
        <v>0</v>
      </c>
      <c r="I45" s="675">
        <f t="shared" ca="1" si="8"/>
        <v>0</v>
      </c>
      <c r="J45" s="675">
        <f t="shared" ca="1" si="9"/>
        <v>0</v>
      </c>
      <c r="K45" s="675">
        <f ca="1">IF(OR($C45="S",$C45=0),0,MATCH(OFFSET($D45,0,$C45)+IF($C45&lt;&gt;1,1,COUNTIF(QCI!$A$13:$A$15,ORÇAMENTO!E45)),OFFSET($D45,1,$C45,ROW($C$231)-ROW($C45)),0))</f>
        <v>0</v>
      </c>
      <c r="L45" s="115" t="str">
        <f t="shared" ca="1" si="10"/>
        <v/>
      </c>
      <c r="M45" s="116" t="s">
        <v>706</v>
      </c>
      <c r="N45" s="117" t="str">
        <f t="shared" ca="1" si="11"/>
        <v>Serviço</v>
      </c>
      <c r="O45" s="118" t="str">
        <f t="shared" ca="1" si="12"/>
        <v>-</v>
      </c>
      <c r="P45" s="119" t="s">
        <v>968</v>
      </c>
      <c r="Q45" s="678" t="s">
        <v>986</v>
      </c>
      <c r="R45" s="121" t="str">
        <f ca="1">IF($C45="S",REFERENCIA.Descricao,"(digite a descrição aqui)")</f>
        <v>(abra o arquivo 'Referência 09-2025.xlsm)</v>
      </c>
      <c r="S45" s="122" t="str">
        <f ca="1">REFERENCIA.Unidade</f>
        <v>-</v>
      </c>
      <c r="T45" s="123">
        <f ca="1">OFFSET(CÁLCULO!H$15,ROW($T45)-ROW(T$15),0)</f>
        <v>1.2</v>
      </c>
      <c r="U45" s="124">
        <f ca="1">ROUND(IF(DESONERACAO="sim",REFERENCIA.Desonerado,REFERENCIA.NaoDesonerado),2)</f>
        <v>0</v>
      </c>
      <c r="V45" s="125" t="s">
        <v>664</v>
      </c>
      <c r="W45" s="123">
        <f ca="1">IF($C45="S",ROUND(IF(TIPOORCAMENTO="Proposto",ORÇAMENTO.CustoUnitario*(1+$AH45),ORÇAMENTO.PrecoUnitarioLicitado),15-13*$AF$10),0)</f>
        <v>0</v>
      </c>
      <c r="X45" s="126" cm="1">
        <f t="array" aca="1" ref="X45" ca="1">IF($C45="S",IF(OR(Import.TipoArredondamento&lt;&gt;"TransfereGOV",ACOMPANHAMENTO="BM"),VTOTAL1,SUM(OFFSET(CÁLCULO!$AA$15,ROW($X45)-ROW($X$15),1):OFFSET(CÁLCULO!$AL$15,ROW($X45)-ROW($X$15),-1))),IF($C45=0,0,ROUND(SomaAgrup,15-13*$AF$11)))</f>
        <v>0</v>
      </c>
      <c r="Y45" s="127" t="s">
        <v>752</v>
      </c>
      <c r="Z45" s="675" t="str">
        <f t="shared" ca="1" si="13"/>
        <v/>
      </c>
      <c r="AA45" s="128">
        <f ca="1">IF($C45="S",IF($Z45="CP",$X45,IF($Z45="RA",(($X45)*QCI!$AA$3),0)),SomaAgrup)</f>
        <v>0</v>
      </c>
      <c r="AB45" s="129">
        <f t="shared" ca="1" si="14"/>
        <v>0</v>
      </c>
      <c r="AC45" s="566"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IF(AND(_xlfn.SINGLE(TIPOORCAMENTO)="Licitado",$AL45=0,$AN45&gt;0),"SEM PREÇO",
IF(AND($C45="S",$P45&lt;&gt;"",$Q45&lt;&gt;"",$U45&gt;0,$V45=0),"BDI",
IF(OR(AND(TIPOORCAMENTO="Proposto",LEFT($O$8,5)&lt;&gt;"(N/D:",$AG45&lt;&gt;"",ORÇAMENTO.CustoUnitario&gt;$AG45),AND(TIPOORCAMENTO="LICITADO",ORÇAMENTO.PrecoUnitarioLicitado&gt;$AN45)),"ACIMA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SEM CUSTO</v>
      </c>
      <c r="AD45" s="675" t="str">
        <f ca="1">IF(C45&lt;=CRONO.NivelExibicao,MAX($AD$15:OFFSET(AD45,-1,0))+IF($C45&lt;&gt;1,1,MAX(1,COUNTIF(QCI!$A$13:$A$15,OFFSET($E45,-1,0)))),"")</f>
        <v/>
      </c>
      <c r="AE45" s="671" t="str">
        <f ca="1">IF(AND($C45="S",ORÇAMENTO.CodBarra&lt;&gt;""),IF(ORÇAMENTO.Fonte="",ORÇAMENTO.CodBarra,CONCATENATE(ORÇAMENTO.Fonte," ",ORÇAMENTO.CodBarra)))</f>
        <v>COPASA 65002373</v>
      </c>
      <c r="AF45" s="674" t="str">
        <f ca="1">IF(ISERROR(INDIRECT(ORÇAMENTO.BancoRef)),"(abra o arquivo 'Referência "&amp;Excel_BuiltIn_Database&amp;".xlsm)",IF(OR($C45&lt;&gt;"S",ORÇAMENTO.CodBarra=""),"(Sem Código)",IF(ISERROR(MATCH($AE45,INDIRECT(ORÇAMENTO.BancoRef),0)),"(Código não identificado nas referências)",MATCH($AE45,INDIRECT(ORÇAMENTO.BancoRef),0))))</f>
        <v>(abra o arquivo 'Referência 09-2025.xlsm)</v>
      </c>
      <c r="AG45" s="429">
        <f ca="1">ROUND(IF(DESONERACAO="sim",REFERENCIA.Desonerado,REFERENCIA.NaoDesonerado),2)</f>
        <v>0</v>
      </c>
      <c r="AH45" s="430">
        <f t="shared" ca="1" si="15"/>
        <v>0.24740000000000001</v>
      </c>
      <c r="AJ45" s="685">
        <v>1.2</v>
      </c>
      <c r="AL45" s="440"/>
      <c r="AM45" s="337">
        <f t="shared" ca="1" si="0"/>
        <v>0</v>
      </c>
      <c r="AN45" s="471">
        <f t="shared" ca="1" si="16"/>
        <v>0</v>
      </c>
    </row>
    <row r="46" spans="1:40" s="675" customFormat="1" ht="13.9" customHeight="1" x14ac:dyDescent="0.2">
      <c r="A46" s="675" t="str">
        <f t="shared" si="1"/>
        <v>S</v>
      </c>
      <c r="B46" s="675">
        <f t="shared" ca="1" si="2"/>
        <v>2</v>
      </c>
      <c r="C46" s="675" t="str">
        <f t="shared" ca="1" si="3"/>
        <v>S</v>
      </c>
      <c r="D46" s="675">
        <f t="shared" ca="1" si="4"/>
        <v>0</v>
      </c>
      <c r="E46" s="675">
        <f ca="1">IF($C46=1,OFFSET(E46,-1,0)+MAX(1,COUNTIF(QCI!$A$13:$A$15,OFFSET(ORÇAMENTO!E46,-1,0))),OFFSET(E46,-1,0))</f>
        <v>1</v>
      </c>
      <c r="F46" s="675">
        <f t="shared" ca="1" si="5"/>
        <v>4</v>
      </c>
      <c r="G46" s="675">
        <f t="shared" ca="1" si="6"/>
        <v>0</v>
      </c>
      <c r="H46" s="675">
        <f t="shared" ca="1" si="7"/>
        <v>0</v>
      </c>
      <c r="I46" s="675">
        <f t="shared" ca="1" si="8"/>
        <v>0</v>
      </c>
      <c r="J46" s="675">
        <f t="shared" ca="1" si="9"/>
        <v>0</v>
      </c>
      <c r="K46" s="675">
        <f ca="1">IF(OR($C46="S",$C46=0),0,MATCH(OFFSET($D46,0,$C46)+IF($C46&lt;&gt;1,1,COUNTIF(QCI!$A$13:$A$15,ORÇAMENTO!E46)),OFFSET($D46,1,$C46,ROW($C$231)-ROW($C46)),0))</f>
        <v>0</v>
      </c>
      <c r="L46" s="115" t="str">
        <f t="shared" ca="1" si="10"/>
        <v/>
      </c>
      <c r="M46" s="116" t="s">
        <v>706</v>
      </c>
      <c r="N46" s="117" t="str">
        <f t="shared" ca="1" si="11"/>
        <v>Serviço</v>
      </c>
      <c r="O46" s="118" t="str">
        <f t="shared" ca="1" si="12"/>
        <v>-</v>
      </c>
      <c r="P46" s="119" t="s">
        <v>968</v>
      </c>
      <c r="Q46" s="678" t="s">
        <v>986</v>
      </c>
      <c r="R46" s="121" t="str">
        <f ca="1">IF($C46="S",REFERENCIA.Descricao,"(digite a descrição aqui)")</f>
        <v>(abra o arquivo 'Referência 09-2025.xlsm)</v>
      </c>
      <c r="S46" s="122" t="str">
        <f ca="1">REFERENCIA.Unidade</f>
        <v>-</v>
      </c>
      <c r="T46" s="123">
        <f ca="1">OFFSET(CÁLCULO!H$15,ROW($T46)-ROW(T$15),0)</f>
        <v>0.61</v>
      </c>
      <c r="U46" s="124">
        <f ca="1">ROUND(IF(DESONERACAO="sim",REFERENCIA.Desonerado,REFERENCIA.NaoDesonerado),2)</f>
        <v>0</v>
      </c>
      <c r="V46" s="125" t="s">
        <v>664</v>
      </c>
      <c r="W46" s="123">
        <f ca="1">IF($C46="S",ROUND(IF(TIPOORCAMENTO="Proposto",ORÇAMENTO.CustoUnitario*(1+$AH46),ORÇAMENTO.PrecoUnitarioLicitado),15-13*$AF$10),0)</f>
        <v>0</v>
      </c>
      <c r="X46" s="126" cm="1">
        <f t="array" aca="1" ref="X46" ca="1">IF($C46="S",IF(OR(Import.TipoArredondamento&lt;&gt;"TransfereGOV",ACOMPANHAMENTO="BM"),VTOTAL1,SUM(OFFSET(CÁLCULO!$AA$15,ROW($X46)-ROW($X$15),1):OFFSET(CÁLCULO!$AL$15,ROW($X46)-ROW($X$15),-1))),IF($C46=0,0,ROUND(SomaAgrup,15-13*$AF$11)))</f>
        <v>0</v>
      </c>
      <c r="Y46" s="127" t="s">
        <v>752</v>
      </c>
      <c r="Z46" s="675" t="str">
        <f t="shared" ca="1" si="13"/>
        <v/>
      </c>
      <c r="AA46" s="128">
        <f ca="1">IF($C46="S",IF($Z46="CP",$X46,IF($Z46="RA",(($X46)*QCI!$AA$3),0)),SomaAgrup)</f>
        <v>0</v>
      </c>
      <c r="AB46" s="129">
        <f t="shared" ca="1" si="14"/>
        <v>0</v>
      </c>
      <c r="AC46" s="566"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IF(AND(_xlfn.SINGLE(TIPOORCAMENTO)="Licitado",$AL46=0,$AN46&gt;0),"SEM PREÇO",
IF(AND($C46="S",$P46&lt;&gt;"",$Q46&lt;&gt;"",$U46&gt;0,$V46=0),"BDI",
IF(OR(AND(TIPOORCAMENTO="Proposto",LEFT($O$8,5)&lt;&gt;"(N/D:",$AG46&lt;&gt;"",ORÇAMENTO.CustoUnitario&gt;$AG46),AND(TIPOORCAMENTO="LICITADO",ORÇAMENTO.PrecoUnitarioLicitado&gt;$AN46)),"ACIMA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SEM CUSTO</v>
      </c>
      <c r="AD46" s="675" t="str">
        <f ca="1">IF(C46&lt;=CRONO.NivelExibicao,MAX($AD$15:OFFSET(AD46,-1,0))+IF($C46&lt;&gt;1,1,MAX(1,COUNTIF(QCI!$A$13:$A$15,OFFSET($E46,-1,0)))),"")</f>
        <v/>
      </c>
      <c r="AE46" s="671" t="str">
        <f ca="1">IF(AND($C46="S",ORÇAMENTO.CodBarra&lt;&gt;""),IF(ORÇAMENTO.Fonte="",ORÇAMENTO.CodBarra,CONCATENATE(ORÇAMENTO.Fonte," ",ORÇAMENTO.CodBarra)))</f>
        <v>COPASA 65002373</v>
      </c>
      <c r="AF46" s="674" t="str">
        <f ca="1">IF(ISERROR(INDIRECT(ORÇAMENTO.BancoRef)),"(abra o arquivo 'Referência "&amp;Excel_BuiltIn_Database&amp;".xlsm)",IF(OR($C46&lt;&gt;"S",ORÇAMENTO.CodBarra=""),"(Sem Código)",IF(ISERROR(MATCH($AE46,INDIRECT(ORÇAMENTO.BancoRef),0)),"(Código não identificado nas referências)",MATCH($AE46,INDIRECT(ORÇAMENTO.BancoRef),0))))</f>
        <v>(abra o arquivo 'Referência 09-2025.xlsm)</v>
      </c>
      <c r="AG46" s="429">
        <f ca="1">ROUND(IF(DESONERACAO="sim",REFERENCIA.Desonerado,REFERENCIA.NaoDesonerado),2)</f>
        <v>0</v>
      </c>
      <c r="AH46" s="430">
        <f t="shared" ca="1" si="15"/>
        <v>0.24740000000000001</v>
      </c>
      <c r="AJ46" s="685">
        <v>0.61</v>
      </c>
      <c r="AL46" s="440"/>
      <c r="AM46" s="337">
        <f t="shared" ca="1" si="0"/>
        <v>0</v>
      </c>
      <c r="AN46" s="471">
        <f t="shared" ca="1" si="16"/>
        <v>0</v>
      </c>
    </row>
    <row r="47" spans="1:40" s="675" customFormat="1" ht="13.9" customHeight="1" x14ac:dyDescent="0.2">
      <c r="A47" s="675" t="str">
        <f t="shared" si="1"/>
        <v>S</v>
      </c>
      <c r="B47" s="675">
        <f t="shared" ca="1" si="2"/>
        <v>2</v>
      </c>
      <c r="C47" s="675" t="str">
        <f t="shared" ca="1" si="3"/>
        <v>S</v>
      </c>
      <c r="D47" s="675">
        <f t="shared" ca="1" si="4"/>
        <v>0</v>
      </c>
      <c r="E47" s="675">
        <f ca="1">IF($C47=1,OFFSET(E47,-1,0)+MAX(1,COUNTIF(QCI!$A$13:$A$15,OFFSET(ORÇAMENTO!E47,-1,0))),OFFSET(E47,-1,0))</f>
        <v>1</v>
      </c>
      <c r="F47" s="675">
        <f t="shared" ca="1" si="5"/>
        <v>4</v>
      </c>
      <c r="G47" s="675">
        <f t="shared" ca="1" si="6"/>
        <v>0</v>
      </c>
      <c r="H47" s="675">
        <f t="shared" ca="1" si="7"/>
        <v>0</v>
      </c>
      <c r="I47" s="675">
        <f t="shared" ca="1" si="8"/>
        <v>0</v>
      </c>
      <c r="J47" s="675">
        <f t="shared" ca="1" si="9"/>
        <v>0</v>
      </c>
      <c r="K47" s="675">
        <f ca="1">IF(OR($C47="S",$C47=0),0,MATCH(OFFSET($D47,0,$C47)+IF($C47&lt;&gt;1,1,COUNTIF(QCI!$A$13:$A$15,ORÇAMENTO!E47)),OFFSET($D47,1,$C47,ROW($C$231)-ROW($C47)),0))</f>
        <v>0</v>
      </c>
      <c r="L47" s="115" t="str">
        <f t="shared" ca="1" si="10"/>
        <v/>
      </c>
      <c r="M47" s="116" t="s">
        <v>706</v>
      </c>
      <c r="N47" s="117" t="str">
        <f t="shared" ca="1" si="11"/>
        <v>Serviço</v>
      </c>
      <c r="O47" s="118" t="str">
        <f t="shared" ca="1" si="12"/>
        <v>-</v>
      </c>
      <c r="P47" s="119" t="s">
        <v>968</v>
      </c>
      <c r="Q47" s="678" t="s">
        <v>986</v>
      </c>
      <c r="R47" s="121" t="str">
        <f ca="1">IF($C47="S",REFERENCIA.Descricao,"(digite a descrição aqui)")</f>
        <v>(abra o arquivo 'Referência 09-2025.xlsm)</v>
      </c>
      <c r="S47" s="122" t="str">
        <f ca="1">REFERENCIA.Unidade</f>
        <v>-</v>
      </c>
      <c r="T47" s="123">
        <f ca="1">OFFSET(CÁLCULO!H$15,ROW($T47)-ROW(T$15),0)</f>
        <v>2.37</v>
      </c>
      <c r="U47" s="124">
        <f ca="1">ROUND(IF(DESONERACAO="sim",REFERENCIA.Desonerado,REFERENCIA.NaoDesonerado),2)</f>
        <v>0</v>
      </c>
      <c r="V47" s="125" t="s">
        <v>664</v>
      </c>
      <c r="W47" s="123">
        <f ca="1">IF($C47="S",ROUND(IF(TIPOORCAMENTO="Proposto",ORÇAMENTO.CustoUnitario*(1+$AH47),ORÇAMENTO.PrecoUnitarioLicitado),15-13*$AF$10),0)</f>
        <v>0</v>
      </c>
      <c r="X47" s="126" cm="1">
        <f t="array" aca="1" ref="X47" ca="1">IF($C47="S",IF(OR(Import.TipoArredondamento&lt;&gt;"TransfereGOV",ACOMPANHAMENTO="BM"),VTOTAL1,SUM(OFFSET(CÁLCULO!$AA$15,ROW($X47)-ROW($X$15),1):OFFSET(CÁLCULO!$AL$15,ROW($X47)-ROW($X$15),-1))),IF($C47=0,0,ROUND(SomaAgrup,15-13*$AF$11)))</f>
        <v>0</v>
      </c>
      <c r="Y47" s="127" t="s">
        <v>752</v>
      </c>
      <c r="Z47" s="675" t="str">
        <f t="shared" ca="1" si="13"/>
        <v/>
      </c>
      <c r="AA47" s="128">
        <f ca="1">IF($C47="S",IF($Z47="CP",$X47,IF($Z47="RA",(($X47)*QCI!$AA$3),0)),SomaAgrup)</f>
        <v>0</v>
      </c>
      <c r="AB47" s="129">
        <f t="shared" ca="1" si="14"/>
        <v>0</v>
      </c>
      <c r="AC47" s="566"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IF(AND(_xlfn.SINGLE(TIPOORCAMENTO)="Licitado",$AL47=0,$AN47&gt;0),"SEM PREÇO",
IF(AND($C47="S",$P47&lt;&gt;"",$Q47&lt;&gt;"",$U47&gt;0,$V47=0),"BDI",
IF(OR(AND(TIPOORCAMENTO="Proposto",LEFT($O$8,5)&lt;&gt;"(N/D:",$AG47&lt;&gt;"",ORÇAMENTO.CustoUnitario&gt;$AG47),AND(TIPOORCAMENTO="LICITADO",ORÇAMENTO.PrecoUnitarioLicitado&gt;$AN47)),"ACIMA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SEM CUSTO</v>
      </c>
      <c r="AD47" s="675" t="str">
        <f ca="1">IF(C47&lt;=CRONO.NivelExibicao,MAX($AD$15:OFFSET(AD47,-1,0))+IF($C47&lt;&gt;1,1,MAX(1,COUNTIF(QCI!$A$13:$A$15,OFFSET($E47,-1,0)))),"")</f>
        <v/>
      </c>
      <c r="AE47" s="671" t="str">
        <f ca="1">IF(AND($C47="S",ORÇAMENTO.CodBarra&lt;&gt;""),IF(ORÇAMENTO.Fonte="",ORÇAMENTO.CodBarra,CONCATENATE(ORÇAMENTO.Fonte," ",ORÇAMENTO.CodBarra)))</f>
        <v>COPASA 65002373</v>
      </c>
      <c r="AF47" s="674" t="str">
        <f ca="1">IF(ISERROR(INDIRECT(ORÇAMENTO.BancoRef)),"(abra o arquivo 'Referência "&amp;Excel_BuiltIn_Database&amp;".xlsm)",IF(OR($C47&lt;&gt;"S",ORÇAMENTO.CodBarra=""),"(Sem Código)",IF(ISERROR(MATCH($AE47,INDIRECT(ORÇAMENTO.BancoRef),0)),"(Código não identificado nas referências)",MATCH($AE47,INDIRECT(ORÇAMENTO.BancoRef),0))))</f>
        <v>(abra o arquivo 'Referência 09-2025.xlsm)</v>
      </c>
      <c r="AG47" s="429">
        <f ca="1">ROUND(IF(DESONERACAO="sim",REFERENCIA.Desonerado,REFERENCIA.NaoDesonerado),2)</f>
        <v>0</v>
      </c>
      <c r="AH47" s="430">
        <f t="shared" ca="1" si="15"/>
        <v>0.24740000000000001</v>
      </c>
      <c r="AJ47" s="685">
        <v>2.37</v>
      </c>
      <c r="AL47" s="440"/>
      <c r="AM47" s="337">
        <f t="shared" ca="1" si="0"/>
        <v>0</v>
      </c>
      <c r="AN47" s="471">
        <f t="shared" ca="1" si="16"/>
        <v>0</v>
      </c>
    </row>
    <row r="48" spans="1:40" s="675" customFormat="1" ht="13.9" customHeight="1" x14ac:dyDescent="0.2">
      <c r="A48" s="675" t="str">
        <f t="shared" si="1"/>
        <v>S</v>
      </c>
      <c r="B48" s="675">
        <f t="shared" ca="1" si="2"/>
        <v>2</v>
      </c>
      <c r="C48" s="675" t="str">
        <f t="shared" ca="1" si="3"/>
        <v>S</v>
      </c>
      <c r="D48" s="675">
        <f t="shared" ca="1" si="4"/>
        <v>0</v>
      </c>
      <c r="E48" s="675">
        <f ca="1">IF($C48=1,OFFSET(E48,-1,0)+MAX(1,COUNTIF(QCI!$A$13:$A$15,OFFSET(ORÇAMENTO!E48,-1,0))),OFFSET(E48,-1,0))</f>
        <v>1</v>
      </c>
      <c r="F48" s="675">
        <f t="shared" ca="1" si="5"/>
        <v>4</v>
      </c>
      <c r="G48" s="675">
        <f t="shared" ca="1" si="6"/>
        <v>0</v>
      </c>
      <c r="H48" s="675">
        <f t="shared" ca="1" si="7"/>
        <v>0</v>
      </c>
      <c r="I48" s="675">
        <f t="shared" ca="1" si="8"/>
        <v>0</v>
      </c>
      <c r="J48" s="675">
        <f t="shared" ref="J48:J79" ca="1" si="17">IF(OR($C48="S",$C48=0),0,MATCH(0,OFFSET($D48,1,$C48,ROW($C$231)-ROW($C48)),0))</f>
        <v>0</v>
      </c>
      <c r="K48" s="675">
        <f ca="1">IF(OR($C48="S",$C48=0),0,MATCH(OFFSET($D48,0,$C48)+IF($C48&lt;&gt;1,1,COUNTIF(QCI!$A$13:$A$15,ORÇAMENTO!E48)),OFFSET($D48,1,$C48,ROW($C$231)-ROW($C48)),0))</f>
        <v>0</v>
      </c>
      <c r="L48" s="115" t="str">
        <f t="shared" ca="1" si="10"/>
        <v/>
      </c>
      <c r="M48" s="116" t="s">
        <v>706</v>
      </c>
      <c r="N48" s="117" t="str">
        <f t="shared" ca="1" si="11"/>
        <v>Serviço</v>
      </c>
      <c r="O48" s="118" t="str">
        <f t="shared" ca="1" si="12"/>
        <v>-</v>
      </c>
      <c r="P48" s="119" t="s">
        <v>968</v>
      </c>
      <c r="Q48" s="678" t="s">
        <v>986</v>
      </c>
      <c r="R48" s="121" t="str">
        <f ca="1">IF($C48="S",REFERENCIA.Descricao,"(digite a descrição aqui)")</f>
        <v>(abra o arquivo 'Referência 09-2025.xlsm)</v>
      </c>
      <c r="S48" s="122" t="str">
        <f ca="1">REFERENCIA.Unidade</f>
        <v>-</v>
      </c>
      <c r="T48" s="123">
        <f ca="1">OFFSET(CÁLCULO!H$15,ROW($T48)-ROW(T$15),0)</f>
        <v>1.1000000000000001</v>
      </c>
      <c r="U48" s="124">
        <f ca="1">ROUND(IF(DESONERACAO="sim",REFERENCIA.Desonerado,REFERENCIA.NaoDesonerado),2)</f>
        <v>0</v>
      </c>
      <c r="V48" s="125" t="s">
        <v>664</v>
      </c>
      <c r="W48" s="123">
        <f ca="1">IF($C48="S",ROUND(IF(TIPOORCAMENTO="Proposto",ORÇAMENTO.CustoUnitario*(1+$AH48),ORÇAMENTO.PrecoUnitarioLicitado),15-13*$AF$10),0)</f>
        <v>0</v>
      </c>
      <c r="X48" s="126" cm="1">
        <f t="array" aca="1" ref="X48" ca="1">IF($C48="S",IF(OR(Import.TipoArredondamento&lt;&gt;"TransfereGOV",ACOMPANHAMENTO="BM"),VTOTAL1,SUM(OFFSET(CÁLCULO!$AA$15,ROW($X48)-ROW($X$15),1):OFFSET(CÁLCULO!$AL$15,ROW($X48)-ROW($X$15),-1))),IF($C48=0,0,ROUND(SomaAgrup,15-13*$AF$11)))</f>
        <v>0</v>
      </c>
      <c r="Y48" s="127" t="s">
        <v>752</v>
      </c>
      <c r="Z48" s="675" t="str">
        <f t="shared" ca="1" si="13"/>
        <v/>
      </c>
      <c r="AA48" s="128">
        <f ca="1">IF($C48="S",IF($Z48="CP",$X48,IF($Z48="RA",(($X48)*QCI!$AA$3),0)),SomaAgrup)</f>
        <v>0</v>
      </c>
      <c r="AB48" s="129">
        <f t="shared" ca="1" si="14"/>
        <v>0</v>
      </c>
      <c r="AC48" s="566"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IF(AND(_xlfn.SINGLE(TIPOORCAMENTO)="Licitado",$AL48=0,$AN48&gt;0),"SEM PREÇO",
IF(AND($C48="S",$P48&lt;&gt;"",$Q48&lt;&gt;"",$U48&gt;0,$V48=0),"BDI",
IF(OR(AND(TIPOORCAMENTO="Proposto",LEFT($O$8,5)&lt;&gt;"(N/D:",$AG48&lt;&gt;"",ORÇAMENTO.CustoUnitario&gt;$AG48),AND(TIPOORCAMENTO="LICITADO",ORÇAMENTO.PrecoUnitarioLicitado&gt;$AN48)),"ACIMA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SEM CUSTO</v>
      </c>
      <c r="AD48" s="675" t="str">
        <f ca="1">IF(C48&lt;=CRONO.NivelExibicao,MAX($AD$15:OFFSET(AD48,-1,0))+IF($C48&lt;&gt;1,1,MAX(1,COUNTIF(QCI!$A$13:$A$15,OFFSET($E48,-1,0)))),"")</f>
        <v/>
      </c>
      <c r="AE48" s="671" t="str">
        <f ca="1">IF(AND($C48="S",ORÇAMENTO.CodBarra&lt;&gt;""),IF(ORÇAMENTO.Fonte="",ORÇAMENTO.CodBarra,CONCATENATE(ORÇAMENTO.Fonte," ",ORÇAMENTO.CodBarra)))</f>
        <v>COPASA 65002373</v>
      </c>
      <c r="AF48" s="674" t="str">
        <f ca="1">IF(ISERROR(INDIRECT(ORÇAMENTO.BancoRef)),"(abra o arquivo 'Referência "&amp;Excel_BuiltIn_Database&amp;".xlsm)",IF(OR($C48&lt;&gt;"S",ORÇAMENTO.CodBarra=""),"(Sem Código)",IF(ISERROR(MATCH($AE48,INDIRECT(ORÇAMENTO.BancoRef),0)),"(Código não identificado nas referências)",MATCH($AE48,INDIRECT(ORÇAMENTO.BancoRef),0))))</f>
        <v>(abra o arquivo 'Referência 09-2025.xlsm)</v>
      </c>
      <c r="AG48" s="429">
        <f ca="1">ROUND(IF(DESONERACAO="sim",REFERENCIA.Desonerado,REFERENCIA.NaoDesonerado),2)</f>
        <v>0</v>
      </c>
      <c r="AH48" s="430">
        <f t="shared" ca="1" si="15"/>
        <v>0.24740000000000001</v>
      </c>
      <c r="AJ48" s="685">
        <v>1.1000000000000001</v>
      </c>
      <c r="AL48" s="440"/>
      <c r="AM48" s="337">
        <f t="shared" ca="1" si="0"/>
        <v>0</v>
      </c>
      <c r="AN48" s="471">
        <f t="shared" ca="1" si="16"/>
        <v>0</v>
      </c>
    </row>
    <row r="49" spans="1:40" s="675" customFormat="1" ht="13.9" customHeight="1" x14ac:dyDescent="0.2">
      <c r="A49" s="675" t="str">
        <f t="shared" si="1"/>
        <v>S</v>
      </c>
      <c r="B49" s="675">
        <f t="shared" ca="1" si="2"/>
        <v>2</v>
      </c>
      <c r="C49" s="675" t="str">
        <f t="shared" ca="1" si="3"/>
        <v>S</v>
      </c>
      <c r="D49" s="675">
        <f t="shared" ca="1" si="4"/>
        <v>0</v>
      </c>
      <c r="E49" s="675">
        <f ca="1">IF($C49=1,OFFSET(E49,-1,0)+MAX(1,COUNTIF(QCI!$A$13:$A$15,OFFSET(ORÇAMENTO!E49,-1,0))),OFFSET(E49,-1,0))</f>
        <v>1</v>
      </c>
      <c r="F49" s="675">
        <f t="shared" ca="1" si="5"/>
        <v>4</v>
      </c>
      <c r="G49" s="675">
        <f t="shared" ca="1" si="6"/>
        <v>0</v>
      </c>
      <c r="H49" s="675">
        <f t="shared" ca="1" si="7"/>
        <v>0</v>
      </c>
      <c r="I49" s="675">
        <f t="shared" ca="1" si="8"/>
        <v>0</v>
      </c>
      <c r="J49" s="675">
        <f t="shared" ca="1" si="17"/>
        <v>0</v>
      </c>
      <c r="K49" s="675">
        <f ca="1">IF(OR($C49="S",$C49=0),0,MATCH(OFFSET($D49,0,$C49)+IF($C49&lt;&gt;1,1,COUNTIF(QCI!$A$13:$A$15,ORÇAMENTO!E49)),OFFSET($D49,1,$C49,ROW($C$231)-ROW($C49)),0))</f>
        <v>0</v>
      </c>
      <c r="L49" s="115" t="str">
        <f t="shared" ca="1" si="10"/>
        <v/>
      </c>
      <c r="M49" s="116" t="s">
        <v>706</v>
      </c>
      <c r="N49" s="117" t="str">
        <f t="shared" ca="1" si="11"/>
        <v>Serviço</v>
      </c>
      <c r="O49" s="118" t="str">
        <f t="shared" ca="1" si="12"/>
        <v>-</v>
      </c>
      <c r="P49" s="119" t="s">
        <v>968</v>
      </c>
      <c r="Q49" s="678" t="s">
        <v>986</v>
      </c>
      <c r="R49" s="121" t="str">
        <f ca="1">IF($C49="S",REFERENCIA.Descricao,"(digite a descrição aqui)")</f>
        <v>(abra o arquivo 'Referência 09-2025.xlsm)</v>
      </c>
      <c r="S49" s="122" t="str">
        <f ca="1">REFERENCIA.Unidade</f>
        <v>-</v>
      </c>
      <c r="T49" s="123">
        <f ca="1">OFFSET(CÁLCULO!H$15,ROW($T49)-ROW(T$15),0)</f>
        <v>0.61</v>
      </c>
      <c r="U49" s="124">
        <f ca="1">ROUND(IF(DESONERACAO="sim",REFERENCIA.Desonerado,REFERENCIA.NaoDesonerado),2)</f>
        <v>0</v>
      </c>
      <c r="V49" s="125" t="s">
        <v>664</v>
      </c>
      <c r="W49" s="123">
        <f ca="1">IF($C49="S",ROUND(IF(TIPOORCAMENTO="Proposto",ORÇAMENTO.CustoUnitario*(1+$AH49),ORÇAMENTO.PrecoUnitarioLicitado),15-13*$AF$10),0)</f>
        <v>0</v>
      </c>
      <c r="X49" s="126" cm="1">
        <f t="array" aca="1" ref="X49" ca="1">IF($C49="S",IF(OR(Import.TipoArredondamento&lt;&gt;"TransfereGOV",ACOMPANHAMENTO="BM"),VTOTAL1,SUM(OFFSET(CÁLCULO!$AA$15,ROW($X49)-ROW($X$15),1):OFFSET(CÁLCULO!$AL$15,ROW($X49)-ROW($X$15),-1))),IF($C49=0,0,ROUND(SomaAgrup,15-13*$AF$11)))</f>
        <v>0</v>
      </c>
      <c r="Y49" s="127" t="s">
        <v>752</v>
      </c>
      <c r="Z49" s="675" t="str">
        <f t="shared" ca="1" si="13"/>
        <v/>
      </c>
      <c r="AA49" s="128">
        <f ca="1">IF($C49="S",IF($Z49="CP",$X49,IF($Z49="RA",(($X49)*QCI!$AA$3),0)),SomaAgrup)</f>
        <v>0</v>
      </c>
      <c r="AB49" s="129">
        <f t="shared" ca="1" si="14"/>
        <v>0</v>
      </c>
      <c r="AC49" s="566"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IF(AND(_xlfn.SINGLE(TIPOORCAMENTO)="Licitado",$AL49=0,$AN49&gt;0),"SEM PREÇO",
IF(AND($C49="S",$P49&lt;&gt;"",$Q49&lt;&gt;"",$U49&gt;0,$V49=0),"BDI",
IF(OR(AND(TIPOORCAMENTO="Proposto",LEFT($O$8,5)&lt;&gt;"(N/D:",$AG49&lt;&gt;"",ORÇAMENTO.CustoUnitario&gt;$AG49),AND(TIPOORCAMENTO="LICITADO",ORÇAMENTO.PrecoUnitarioLicitado&gt;$AN49)),"ACIMA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SEM CUSTO</v>
      </c>
      <c r="AD49" s="675" t="str">
        <f ca="1">IF(C49&lt;=CRONO.NivelExibicao,MAX($AD$15:OFFSET(AD49,-1,0))+IF($C49&lt;&gt;1,1,MAX(1,COUNTIF(QCI!$A$13:$A$15,OFFSET($E49,-1,0)))),"")</f>
        <v/>
      </c>
      <c r="AE49" s="671" t="str">
        <f ca="1">IF(AND($C49="S",ORÇAMENTO.CodBarra&lt;&gt;""),IF(ORÇAMENTO.Fonte="",ORÇAMENTO.CodBarra,CONCATENATE(ORÇAMENTO.Fonte," ",ORÇAMENTO.CodBarra)))</f>
        <v>COPASA 65002373</v>
      </c>
      <c r="AF49" s="674" t="str">
        <f ca="1">IF(ISERROR(INDIRECT(ORÇAMENTO.BancoRef)),"(abra o arquivo 'Referência "&amp;Excel_BuiltIn_Database&amp;".xlsm)",IF(OR($C49&lt;&gt;"S",ORÇAMENTO.CodBarra=""),"(Sem Código)",IF(ISERROR(MATCH($AE49,INDIRECT(ORÇAMENTO.BancoRef),0)),"(Código não identificado nas referências)",MATCH($AE49,INDIRECT(ORÇAMENTO.BancoRef),0))))</f>
        <v>(abra o arquivo 'Referência 09-2025.xlsm)</v>
      </c>
      <c r="AG49" s="429">
        <f ca="1">ROUND(IF(DESONERACAO="sim",REFERENCIA.Desonerado,REFERENCIA.NaoDesonerado),2)</f>
        <v>0</v>
      </c>
      <c r="AH49" s="430">
        <f t="shared" ca="1" si="15"/>
        <v>0.24740000000000001</v>
      </c>
      <c r="AJ49" s="685">
        <v>0.61</v>
      </c>
      <c r="AL49" s="440"/>
      <c r="AM49" s="337">
        <f t="shared" ca="1" si="0"/>
        <v>0</v>
      </c>
      <c r="AN49" s="471">
        <f t="shared" ca="1" si="16"/>
        <v>0</v>
      </c>
    </row>
    <row r="50" spans="1:40" s="675" customFormat="1" ht="13.9" customHeight="1" x14ac:dyDescent="0.2">
      <c r="A50" s="675" t="str">
        <f t="shared" si="1"/>
        <v>S</v>
      </c>
      <c r="B50" s="675">
        <f t="shared" ca="1" si="2"/>
        <v>2</v>
      </c>
      <c r="C50" s="675" t="str">
        <f t="shared" ca="1" si="3"/>
        <v>S</v>
      </c>
      <c r="D50" s="675">
        <f t="shared" ca="1" si="4"/>
        <v>0</v>
      </c>
      <c r="E50" s="675">
        <f ca="1">IF($C50=1,OFFSET(E50,-1,0)+MAX(1,COUNTIF(QCI!$A$13:$A$15,OFFSET(ORÇAMENTO!E50,-1,0))),OFFSET(E50,-1,0))</f>
        <v>1</v>
      </c>
      <c r="F50" s="675">
        <f t="shared" ca="1" si="5"/>
        <v>4</v>
      </c>
      <c r="G50" s="675">
        <f t="shared" ca="1" si="6"/>
        <v>0</v>
      </c>
      <c r="H50" s="675">
        <f t="shared" ca="1" si="7"/>
        <v>0</v>
      </c>
      <c r="I50" s="675">
        <f t="shared" ca="1" si="8"/>
        <v>0</v>
      </c>
      <c r="J50" s="675">
        <f t="shared" ca="1" si="17"/>
        <v>0</v>
      </c>
      <c r="K50" s="675">
        <f ca="1">IF(OR($C50="S",$C50=0),0,MATCH(OFFSET($D50,0,$C50)+IF($C50&lt;&gt;1,1,COUNTIF(QCI!$A$13:$A$15,ORÇAMENTO!E50)),OFFSET($D50,1,$C50,ROW($C$231)-ROW($C50)),0))</f>
        <v>0</v>
      </c>
      <c r="L50" s="115" t="str">
        <f t="shared" ca="1" si="10"/>
        <v/>
      </c>
      <c r="M50" s="116" t="s">
        <v>706</v>
      </c>
      <c r="N50" s="117" t="str">
        <f t="shared" ca="1" si="11"/>
        <v>Serviço</v>
      </c>
      <c r="O50" s="118" t="str">
        <f t="shared" ca="1" si="12"/>
        <v>-</v>
      </c>
      <c r="P50" s="119" t="s">
        <v>968</v>
      </c>
      <c r="Q50" s="678" t="s">
        <v>986</v>
      </c>
      <c r="R50" s="121" t="str">
        <f ca="1">IF($C50="S",REFERENCIA.Descricao,"(digite a descrição aqui)")</f>
        <v>(abra o arquivo 'Referência 09-2025.xlsm)</v>
      </c>
      <c r="S50" s="122" t="str">
        <f ca="1">REFERENCIA.Unidade</f>
        <v>-</v>
      </c>
      <c r="T50" s="123">
        <f ca="1">OFFSET(CÁLCULO!H$15,ROW($T50)-ROW(T$15),0)</f>
        <v>0.56999999999999995</v>
      </c>
      <c r="U50" s="124">
        <f ca="1">ROUND(IF(DESONERACAO="sim",REFERENCIA.Desonerado,REFERENCIA.NaoDesonerado),2)</f>
        <v>0</v>
      </c>
      <c r="V50" s="125" t="s">
        <v>664</v>
      </c>
      <c r="W50" s="123">
        <f ca="1">IF($C50="S",ROUND(IF(TIPOORCAMENTO="Proposto",ORÇAMENTO.CustoUnitario*(1+$AH50),ORÇAMENTO.PrecoUnitarioLicitado),15-13*$AF$10),0)</f>
        <v>0</v>
      </c>
      <c r="X50" s="126" cm="1">
        <f t="array" aca="1" ref="X50" ca="1">IF($C50="S",IF(OR(Import.TipoArredondamento&lt;&gt;"TransfereGOV",ACOMPANHAMENTO="BM"),VTOTAL1,SUM(OFFSET(CÁLCULO!$AA$15,ROW($X50)-ROW($X$15),1):OFFSET(CÁLCULO!$AL$15,ROW($X50)-ROW($X$15),-1))),IF($C50=0,0,ROUND(SomaAgrup,15-13*$AF$11)))</f>
        <v>0</v>
      </c>
      <c r="Y50" s="127" t="s">
        <v>752</v>
      </c>
      <c r="Z50" s="675" t="str">
        <f t="shared" ca="1" si="13"/>
        <v/>
      </c>
      <c r="AA50" s="128">
        <f ca="1">IF($C50="S",IF($Z50="CP",$X50,IF($Z50="RA",(($X50)*QCI!$AA$3),0)),SomaAgrup)</f>
        <v>0</v>
      </c>
      <c r="AB50" s="129">
        <f t="shared" ca="1" si="14"/>
        <v>0</v>
      </c>
      <c r="AC50" s="566"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IF(AND(_xlfn.SINGLE(TIPOORCAMENTO)="Licitado",$AL50=0,$AN50&gt;0),"SEM PREÇO",
IF(AND($C50="S",$P50&lt;&gt;"",$Q50&lt;&gt;"",$U50&gt;0,$V50=0),"BDI",
IF(OR(AND(TIPOORCAMENTO="Proposto",LEFT($O$8,5)&lt;&gt;"(N/D:",$AG50&lt;&gt;"",ORÇAMENTO.CustoUnitario&gt;$AG50),AND(TIPOORCAMENTO="LICITADO",ORÇAMENTO.PrecoUnitarioLicitado&gt;$AN50)),"ACIMA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SEM CUSTO</v>
      </c>
      <c r="AD50" s="675" t="str">
        <f ca="1">IF(C50&lt;=CRONO.NivelExibicao,MAX($AD$15:OFFSET(AD50,-1,0))+IF($C50&lt;&gt;1,1,MAX(1,COUNTIF(QCI!$A$13:$A$15,OFFSET($E50,-1,0)))),"")</f>
        <v/>
      </c>
      <c r="AE50" s="671" t="str">
        <f ca="1">IF(AND($C50="S",ORÇAMENTO.CodBarra&lt;&gt;""),IF(ORÇAMENTO.Fonte="",ORÇAMENTO.CodBarra,CONCATENATE(ORÇAMENTO.Fonte," ",ORÇAMENTO.CodBarra)))</f>
        <v>COPASA 65002373</v>
      </c>
      <c r="AF50" s="674" t="str">
        <f ca="1">IF(ISERROR(INDIRECT(ORÇAMENTO.BancoRef)),"(abra o arquivo 'Referência "&amp;Excel_BuiltIn_Database&amp;".xlsm)",IF(OR($C50&lt;&gt;"S",ORÇAMENTO.CodBarra=""),"(Sem Código)",IF(ISERROR(MATCH($AE50,INDIRECT(ORÇAMENTO.BancoRef),0)),"(Código não identificado nas referências)",MATCH($AE50,INDIRECT(ORÇAMENTO.BancoRef),0))))</f>
        <v>(abra o arquivo 'Referência 09-2025.xlsm)</v>
      </c>
      <c r="AG50" s="429">
        <f ca="1">ROUND(IF(DESONERACAO="sim",REFERENCIA.Desonerado,REFERENCIA.NaoDesonerado),2)</f>
        <v>0</v>
      </c>
      <c r="AH50" s="430">
        <f t="shared" ca="1" si="15"/>
        <v>0.24740000000000001</v>
      </c>
      <c r="AJ50" s="685">
        <v>0.56999999999999995</v>
      </c>
      <c r="AL50" s="440"/>
      <c r="AM50" s="337">
        <f t="shared" ca="1" si="0"/>
        <v>0</v>
      </c>
      <c r="AN50" s="471">
        <f t="shared" ca="1" si="16"/>
        <v>0</v>
      </c>
    </row>
    <row r="51" spans="1:40" s="675" customFormat="1" ht="13.9" customHeight="1" x14ac:dyDescent="0.2">
      <c r="A51" s="675" t="str">
        <f t="shared" si="1"/>
        <v>S</v>
      </c>
      <c r="B51" s="675">
        <f t="shared" ca="1" si="2"/>
        <v>2</v>
      </c>
      <c r="C51" s="675" t="str">
        <f t="shared" ca="1" si="3"/>
        <v>S</v>
      </c>
      <c r="D51" s="675">
        <f t="shared" ca="1" si="4"/>
        <v>0</v>
      </c>
      <c r="E51" s="675">
        <f ca="1">IF($C51=1,OFFSET(E51,-1,0)+MAX(1,COUNTIF(QCI!$A$13:$A$15,OFFSET(ORÇAMENTO!E51,-1,0))),OFFSET(E51,-1,0))</f>
        <v>1</v>
      </c>
      <c r="F51" s="675">
        <f t="shared" ca="1" si="5"/>
        <v>4</v>
      </c>
      <c r="G51" s="675">
        <f t="shared" ca="1" si="6"/>
        <v>0</v>
      </c>
      <c r="H51" s="675">
        <f t="shared" ca="1" si="7"/>
        <v>0</v>
      </c>
      <c r="I51" s="675">
        <f t="shared" ca="1" si="8"/>
        <v>0</v>
      </c>
      <c r="J51" s="675">
        <f t="shared" ca="1" si="17"/>
        <v>0</v>
      </c>
      <c r="K51" s="675">
        <f ca="1">IF(OR($C51="S",$C51=0),0,MATCH(OFFSET($D51,0,$C51)+IF($C51&lt;&gt;1,1,COUNTIF(QCI!$A$13:$A$15,ORÇAMENTO!E51)),OFFSET($D51,1,$C51,ROW($C$231)-ROW($C51)),0))</f>
        <v>0</v>
      </c>
      <c r="L51" s="115" t="str">
        <f t="shared" ca="1" si="10"/>
        <v/>
      </c>
      <c r="M51" s="116" t="s">
        <v>706</v>
      </c>
      <c r="N51" s="117" t="str">
        <f t="shared" ca="1" si="11"/>
        <v>Serviço</v>
      </c>
      <c r="O51" s="118" t="str">
        <f t="shared" ca="1" si="12"/>
        <v>-</v>
      </c>
      <c r="P51" s="119" t="s">
        <v>968</v>
      </c>
      <c r="Q51" s="678" t="s">
        <v>986</v>
      </c>
      <c r="R51" s="121" t="str">
        <f ca="1">IF($C51="S",REFERENCIA.Descricao,"(digite a descrição aqui)")</f>
        <v>(abra o arquivo 'Referência 09-2025.xlsm)</v>
      </c>
      <c r="S51" s="122" t="str">
        <f ca="1">REFERENCIA.Unidade</f>
        <v>-</v>
      </c>
      <c r="T51" s="123">
        <f ca="1">OFFSET(CÁLCULO!H$15,ROW($T51)-ROW(T$15),0)</f>
        <v>1.1000000000000001</v>
      </c>
      <c r="U51" s="124">
        <f ca="1">ROUND(IF(DESONERACAO="sim",REFERENCIA.Desonerado,REFERENCIA.NaoDesonerado),2)</f>
        <v>0</v>
      </c>
      <c r="V51" s="125" t="s">
        <v>664</v>
      </c>
      <c r="W51" s="123">
        <f ca="1">IF($C51="S",ROUND(IF(TIPOORCAMENTO="Proposto",ORÇAMENTO.CustoUnitario*(1+$AH51),ORÇAMENTO.PrecoUnitarioLicitado),15-13*$AF$10),0)</f>
        <v>0</v>
      </c>
      <c r="X51" s="126" cm="1">
        <f t="array" aca="1" ref="X51" ca="1">IF($C51="S",IF(OR(Import.TipoArredondamento&lt;&gt;"TransfereGOV",ACOMPANHAMENTO="BM"),VTOTAL1,SUM(OFFSET(CÁLCULO!$AA$15,ROW($X51)-ROW($X$15),1):OFFSET(CÁLCULO!$AL$15,ROW($X51)-ROW($X$15),-1))),IF($C51=0,0,ROUND(SomaAgrup,15-13*$AF$11)))</f>
        <v>0</v>
      </c>
      <c r="Y51" s="127" t="s">
        <v>752</v>
      </c>
      <c r="Z51" s="675" t="str">
        <f t="shared" ca="1" si="13"/>
        <v/>
      </c>
      <c r="AA51" s="128">
        <f ca="1">IF($C51="S",IF($Z51="CP",$X51,IF($Z51="RA",(($X51)*QCI!$AA$3),0)),SomaAgrup)</f>
        <v>0</v>
      </c>
      <c r="AB51" s="129">
        <f t="shared" ca="1" si="14"/>
        <v>0</v>
      </c>
      <c r="AC51" s="566"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IF(AND(_xlfn.SINGLE(TIPOORCAMENTO)="Licitado",$AL51=0,$AN51&gt;0),"SEM PREÇO",
IF(AND($C51="S",$P51&lt;&gt;"",$Q51&lt;&gt;"",$U51&gt;0,$V51=0),"BDI",
IF(OR(AND(TIPOORCAMENTO="Proposto",LEFT($O$8,5)&lt;&gt;"(N/D:",$AG51&lt;&gt;"",ORÇAMENTO.CustoUnitario&gt;$AG51),AND(TIPOORCAMENTO="LICITADO",ORÇAMENTO.PrecoUnitarioLicitado&gt;$AN51)),"ACIMA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SEM CUSTO</v>
      </c>
      <c r="AD51" s="675" t="str">
        <f ca="1">IF(C51&lt;=CRONO.NivelExibicao,MAX($AD$15:OFFSET(AD51,-1,0))+IF($C51&lt;&gt;1,1,MAX(1,COUNTIF(QCI!$A$13:$A$15,OFFSET($E51,-1,0)))),"")</f>
        <v/>
      </c>
      <c r="AE51" s="671" t="str">
        <f ca="1">IF(AND($C51="S",ORÇAMENTO.CodBarra&lt;&gt;""),IF(ORÇAMENTO.Fonte="",ORÇAMENTO.CodBarra,CONCATENATE(ORÇAMENTO.Fonte," ",ORÇAMENTO.CodBarra)))</f>
        <v>COPASA 65002373</v>
      </c>
      <c r="AF51" s="674" t="str">
        <f ca="1">IF(ISERROR(INDIRECT(ORÇAMENTO.BancoRef)),"(abra o arquivo 'Referência "&amp;Excel_BuiltIn_Database&amp;".xlsm)",IF(OR($C51&lt;&gt;"S",ORÇAMENTO.CodBarra=""),"(Sem Código)",IF(ISERROR(MATCH($AE51,INDIRECT(ORÇAMENTO.BancoRef),0)),"(Código não identificado nas referências)",MATCH($AE51,INDIRECT(ORÇAMENTO.BancoRef),0))))</f>
        <v>(abra o arquivo 'Referência 09-2025.xlsm)</v>
      </c>
      <c r="AG51" s="429">
        <f ca="1">ROUND(IF(DESONERACAO="sim",REFERENCIA.Desonerado,REFERENCIA.NaoDesonerado),2)</f>
        <v>0</v>
      </c>
      <c r="AH51" s="430">
        <f t="shared" ca="1" si="15"/>
        <v>0.24740000000000001</v>
      </c>
      <c r="AJ51" s="685">
        <v>1.1000000000000001</v>
      </c>
      <c r="AL51" s="440"/>
      <c r="AM51" s="337">
        <f t="shared" ca="1" si="0"/>
        <v>0</v>
      </c>
      <c r="AN51" s="471">
        <f t="shared" ca="1" si="16"/>
        <v>0</v>
      </c>
    </row>
    <row r="52" spans="1:40" s="675" customFormat="1" ht="13.9" customHeight="1" x14ac:dyDescent="0.2">
      <c r="A52" s="675" t="str">
        <f t="shared" si="1"/>
        <v>S</v>
      </c>
      <c r="B52" s="675">
        <f t="shared" ca="1" si="2"/>
        <v>2</v>
      </c>
      <c r="C52" s="675" t="str">
        <f t="shared" ca="1" si="3"/>
        <v>S</v>
      </c>
      <c r="D52" s="675">
        <f t="shared" ca="1" si="4"/>
        <v>0</v>
      </c>
      <c r="E52" s="675">
        <f ca="1">IF($C52=1,OFFSET(E52,-1,0)+MAX(1,COUNTIF(QCI!$A$13:$A$15,OFFSET(ORÇAMENTO!E52,-1,0))),OFFSET(E52,-1,0))</f>
        <v>1</v>
      </c>
      <c r="F52" s="675">
        <f t="shared" ca="1" si="5"/>
        <v>4</v>
      </c>
      <c r="G52" s="675">
        <f t="shared" ca="1" si="6"/>
        <v>0</v>
      </c>
      <c r="H52" s="675">
        <f t="shared" ca="1" si="7"/>
        <v>0</v>
      </c>
      <c r="I52" s="675">
        <f t="shared" ca="1" si="8"/>
        <v>0</v>
      </c>
      <c r="J52" s="675">
        <f t="shared" ca="1" si="17"/>
        <v>0</v>
      </c>
      <c r="K52" s="675">
        <f ca="1">IF(OR($C52="S",$C52=0),0,MATCH(OFFSET($D52,0,$C52)+IF($C52&lt;&gt;1,1,COUNTIF(QCI!$A$13:$A$15,ORÇAMENTO!E52)),OFFSET($D52,1,$C52,ROW($C$231)-ROW($C52)),0))</f>
        <v>0</v>
      </c>
      <c r="L52" s="115" t="str">
        <f t="shared" ca="1" si="10"/>
        <v/>
      </c>
      <c r="M52" s="116" t="s">
        <v>706</v>
      </c>
      <c r="N52" s="117" t="str">
        <f t="shared" ca="1" si="11"/>
        <v>Serviço</v>
      </c>
      <c r="O52" s="118" t="str">
        <f t="shared" ca="1" si="12"/>
        <v>-</v>
      </c>
      <c r="P52" s="119" t="s">
        <v>968</v>
      </c>
      <c r="Q52" s="678" t="s">
        <v>986</v>
      </c>
      <c r="R52" s="121" t="str">
        <f ca="1">IF($C52="S",REFERENCIA.Descricao,"(digite a descrição aqui)")</f>
        <v>(abra o arquivo 'Referência 09-2025.xlsm)</v>
      </c>
      <c r="S52" s="122" t="str">
        <f ca="1">REFERENCIA.Unidade</f>
        <v>-</v>
      </c>
      <c r="T52" s="123">
        <f ca="1">OFFSET(CÁLCULO!H$15,ROW($T52)-ROW(T$15),0)</f>
        <v>1.1000000000000001</v>
      </c>
      <c r="U52" s="124">
        <f ca="1">ROUND(IF(DESONERACAO="sim",REFERENCIA.Desonerado,REFERENCIA.NaoDesonerado),2)</f>
        <v>0</v>
      </c>
      <c r="V52" s="125" t="s">
        <v>664</v>
      </c>
      <c r="W52" s="123">
        <f ca="1">IF($C52="S",ROUND(IF(TIPOORCAMENTO="Proposto",ORÇAMENTO.CustoUnitario*(1+$AH52),ORÇAMENTO.PrecoUnitarioLicitado),15-13*$AF$10),0)</f>
        <v>0</v>
      </c>
      <c r="X52" s="126" cm="1">
        <f t="array" aca="1" ref="X52" ca="1">IF($C52="S",IF(OR(Import.TipoArredondamento&lt;&gt;"TransfereGOV",ACOMPANHAMENTO="BM"),VTOTAL1,SUM(OFFSET(CÁLCULO!$AA$15,ROW($X52)-ROW($X$15),1):OFFSET(CÁLCULO!$AL$15,ROW($X52)-ROW($X$15),-1))),IF($C52=0,0,ROUND(SomaAgrup,15-13*$AF$11)))</f>
        <v>0</v>
      </c>
      <c r="Y52" s="127" t="s">
        <v>752</v>
      </c>
      <c r="Z52" s="675" t="str">
        <f t="shared" ca="1" si="13"/>
        <v/>
      </c>
      <c r="AA52" s="128">
        <f ca="1">IF($C52="S",IF($Z52="CP",$X52,IF($Z52="RA",(($X52)*QCI!$AA$3),0)),SomaAgrup)</f>
        <v>0</v>
      </c>
      <c r="AB52" s="129">
        <f t="shared" ca="1" si="14"/>
        <v>0</v>
      </c>
      <c r="AC52" s="566"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IF(AND(_xlfn.SINGLE(TIPOORCAMENTO)="Licitado",$AL52=0,$AN52&gt;0),"SEM PREÇO",
IF(AND($C52="S",$P52&lt;&gt;"",$Q52&lt;&gt;"",$U52&gt;0,$V52=0),"BDI",
IF(OR(AND(TIPOORCAMENTO="Proposto",LEFT($O$8,5)&lt;&gt;"(N/D:",$AG52&lt;&gt;"",ORÇAMENTO.CustoUnitario&gt;$AG52),AND(TIPOORCAMENTO="LICITADO",ORÇAMENTO.PrecoUnitarioLicitado&gt;$AN52)),"ACIMA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SEM CUSTO</v>
      </c>
      <c r="AD52" s="675" t="str">
        <f ca="1">IF(C52&lt;=CRONO.NivelExibicao,MAX($AD$15:OFFSET(AD52,-1,0))+IF($C52&lt;&gt;1,1,MAX(1,COUNTIF(QCI!$A$13:$A$15,OFFSET($E52,-1,0)))),"")</f>
        <v/>
      </c>
      <c r="AE52" s="671" t="str">
        <f ca="1">IF(AND($C52="S",ORÇAMENTO.CodBarra&lt;&gt;""),IF(ORÇAMENTO.Fonte="",ORÇAMENTO.CodBarra,CONCATENATE(ORÇAMENTO.Fonte," ",ORÇAMENTO.CodBarra)))</f>
        <v>COPASA 65002373</v>
      </c>
      <c r="AF52" s="674" t="str">
        <f ca="1">IF(ISERROR(INDIRECT(ORÇAMENTO.BancoRef)),"(abra o arquivo 'Referência "&amp;Excel_BuiltIn_Database&amp;".xlsm)",IF(OR($C52&lt;&gt;"S",ORÇAMENTO.CodBarra=""),"(Sem Código)",IF(ISERROR(MATCH($AE52,INDIRECT(ORÇAMENTO.BancoRef),0)),"(Código não identificado nas referências)",MATCH($AE52,INDIRECT(ORÇAMENTO.BancoRef),0))))</f>
        <v>(abra o arquivo 'Referência 09-2025.xlsm)</v>
      </c>
      <c r="AG52" s="429">
        <f ca="1">ROUND(IF(DESONERACAO="sim",REFERENCIA.Desonerado,REFERENCIA.NaoDesonerado),2)</f>
        <v>0</v>
      </c>
      <c r="AH52" s="430">
        <f t="shared" ca="1" si="15"/>
        <v>0.24740000000000001</v>
      </c>
      <c r="AJ52" s="685">
        <v>1.1000000000000001</v>
      </c>
      <c r="AL52" s="440"/>
      <c r="AM52" s="337">
        <f t="shared" ca="1" si="0"/>
        <v>0</v>
      </c>
      <c r="AN52" s="471">
        <f t="shared" ca="1" si="16"/>
        <v>0</v>
      </c>
    </row>
    <row r="53" spans="1:40" s="675" customFormat="1" ht="13.9" customHeight="1" x14ac:dyDescent="0.2">
      <c r="A53" s="675" t="str">
        <f t="shared" si="1"/>
        <v>S</v>
      </c>
      <c r="B53" s="675">
        <f t="shared" ca="1" si="2"/>
        <v>2</v>
      </c>
      <c r="C53" s="675" t="str">
        <f t="shared" ca="1" si="3"/>
        <v>S</v>
      </c>
      <c r="D53" s="675">
        <f t="shared" ca="1" si="4"/>
        <v>0</v>
      </c>
      <c r="E53" s="675">
        <f ca="1">IF($C53=1,OFFSET(E53,-1,0)+MAX(1,COUNTIF(QCI!$A$13:$A$15,OFFSET(ORÇAMENTO!E53,-1,0))),OFFSET(E53,-1,0))</f>
        <v>1</v>
      </c>
      <c r="F53" s="675">
        <f t="shared" ca="1" si="5"/>
        <v>4</v>
      </c>
      <c r="G53" s="675">
        <f t="shared" ca="1" si="6"/>
        <v>0</v>
      </c>
      <c r="H53" s="675">
        <f t="shared" ca="1" si="7"/>
        <v>0</v>
      </c>
      <c r="I53" s="675">
        <f t="shared" ca="1" si="8"/>
        <v>0</v>
      </c>
      <c r="J53" s="675">
        <f t="shared" ca="1" si="17"/>
        <v>0</v>
      </c>
      <c r="K53" s="675">
        <f ca="1">IF(OR($C53="S",$C53=0),0,MATCH(OFFSET($D53,0,$C53)+IF($C53&lt;&gt;1,1,COUNTIF(QCI!$A$13:$A$15,ORÇAMENTO!E53)),OFFSET($D53,1,$C53,ROW($C$231)-ROW($C53)),0))</f>
        <v>0</v>
      </c>
      <c r="L53" s="115" t="str">
        <f t="shared" ca="1" si="10"/>
        <v/>
      </c>
      <c r="M53" s="116" t="s">
        <v>706</v>
      </c>
      <c r="N53" s="117" t="str">
        <f t="shared" ca="1" si="11"/>
        <v>Serviço</v>
      </c>
      <c r="O53" s="118" t="str">
        <f t="shared" ca="1" si="12"/>
        <v>-</v>
      </c>
      <c r="P53" s="119" t="s">
        <v>968</v>
      </c>
      <c r="Q53" s="678" t="s">
        <v>986</v>
      </c>
      <c r="R53" s="121" t="str">
        <f ca="1">IF($C53="S",REFERENCIA.Descricao,"(digite a descrição aqui)")</f>
        <v>(abra o arquivo 'Referência 09-2025.xlsm)</v>
      </c>
      <c r="S53" s="122" t="str">
        <f ca="1">REFERENCIA.Unidade</f>
        <v>-</v>
      </c>
      <c r="T53" s="123">
        <f ca="1">OFFSET(CÁLCULO!H$15,ROW($T53)-ROW(T$15),0)</f>
        <v>0.83</v>
      </c>
      <c r="U53" s="124">
        <f ca="1">ROUND(IF(DESONERACAO="sim",REFERENCIA.Desonerado,REFERENCIA.NaoDesonerado),2)</f>
        <v>0</v>
      </c>
      <c r="V53" s="125" t="s">
        <v>664</v>
      </c>
      <c r="W53" s="123">
        <f ca="1">IF($C53="S",ROUND(IF(TIPOORCAMENTO="Proposto",ORÇAMENTO.CustoUnitario*(1+$AH53),ORÇAMENTO.PrecoUnitarioLicitado),15-13*$AF$10),0)</f>
        <v>0</v>
      </c>
      <c r="X53" s="126" cm="1">
        <f t="array" aca="1" ref="X53" ca="1">IF($C53="S",IF(OR(Import.TipoArredondamento&lt;&gt;"TransfereGOV",ACOMPANHAMENTO="BM"),VTOTAL1,SUM(OFFSET(CÁLCULO!$AA$15,ROW($X53)-ROW($X$15),1):OFFSET(CÁLCULO!$AL$15,ROW($X53)-ROW($X$15),-1))),IF($C53=0,0,ROUND(SomaAgrup,15-13*$AF$11)))</f>
        <v>0</v>
      </c>
      <c r="Y53" s="127" t="s">
        <v>752</v>
      </c>
      <c r="Z53" s="675" t="str">
        <f t="shared" ca="1" si="13"/>
        <v/>
      </c>
      <c r="AA53" s="128">
        <f ca="1">IF($C53="S",IF($Z53="CP",$X53,IF($Z53="RA",(($X53)*QCI!$AA$3),0)),SomaAgrup)</f>
        <v>0</v>
      </c>
      <c r="AB53" s="129">
        <f t="shared" ca="1" si="14"/>
        <v>0</v>
      </c>
      <c r="AC53" s="566"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IF(AND(_xlfn.SINGLE(TIPOORCAMENTO)="Licitado",$AL53=0,$AN53&gt;0),"SEM PREÇO",
IF(AND($C53="S",$P53&lt;&gt;"",$Q53&lt;&gt;"",$U53&gt;0,$V53=0),"BDI",
IF(OR(AND(TIPOORCAMENTO="Proposto",LEFT($O$8,5)&lt;&gt;"(N/D:",$AG53&lt;&gt;"",ORÇAMENTO.CustoUnitario&gt;$AG53),AND(TIPOORCAMENTO="LICITADO",ORÇAMENTO.PrecoUnitarioLicitado&gt;$AN53)),"ACIMA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SEM CUSTO</v>
      </c>
      <c r="AD53" s="675" t="str">
        <f ca="1">IF(C53&lt;=CRONO.NivelExibicao,MAX($AD$15:OFFSET(AD53,-1,0))+IF($C53&lt;&gt;1,1,MAX(1,COUNTIF(QCI!$A$13:$A$15,OFFSET($E53,-1,0)))),"")</f>
        <v/>
      </c>
      <c r="AE53" s="671" t="str">
        <f ca="1">IF(AND($C53="S",ORÇAMENTO.CodBarra&lt;&gt;""),IF(ORÇAMENTO.Fonte="",ORÇAMENTO.CodBarra,CONCATENATE(ORÇAMENTO.Fonte," ",ORÇAMENTO.CodBarra)))</f>
        <v>COPASA 65002373</v>
      </c>
      <c r="AF53" s="674" t="str">
        <f ca="1">IF(ISERROR(INDIRECT(ORÇAMENTO.BancoRef)),"(abra o arquivo 'Referência "&amp;Excel_BuiltIn_Database&amp;".xlsm)",IF(OR($C53&lt;&gt;"S",ORÇAMENTO.CodBarra=""),"(Sem Código)",IF(ISERROR(MATCH($AE53,INDIRECT(ORÇAMENTO.BancoRef),0)),"(Código não identificado nas referências)",MATCH($AE53,INDIRECT(ORÇAMENTO.BancoRef),0))))</f>
        <v>(abra o arquivo 'Referência 09-2025.xlsm)</v>
      </c>
      <c r="AG53" s="429">
        <f ca="1">ROUND(IF(DESONERACAO="sim",REFERENCIA.Desonerado,REFERENCIA.NaoDesonerado),2)</f>
        <v>0</v>
      </c>
      <c r="AH53" s="430">
        <f t="shared" ca="1" si="15"/>
        <v>0.24740000000000001</v>
      </c>
      <c r="AJ53" s="685">
        <v>0.83</v>
      </c>
      <c r="AL53" s="440"/>
      <c r="AM53" s="337">
        <f t="shared" ca="1" si="0"/>
        <v>0</v>
      </c>
      <c r="AN53" s="471">
        <f t="shared" ca="1" si="16"/>
        <v>0</v>
      </c>
    </row>
    <row r="54" spans="1:40" s="675" customFormat="1" ht="13.9" customHeight="1" x14ac:dyDescent="0.2">
      <c r="A54" s="675" t="str">
        <f t="shared" si="1"/>
        <v>S</v>
      </c>
      <c r="B54" s="675">
        <f t="shared" ca="1" si="2"/>
        <v>2</v>
      </c>
      <c r="C54" s="675" t="str">
        <f t="shared" ca="1" si="3"/>
        <v>S</v>
      </c>
      <c r="D54" s="675">
        <f t="shared" ca="1" si="4"/>
        <v>0</v>
      </c>
      <c r="E54" s="675">
        <f ca="1">IF($C54=1,OFFSET(E54,-1,0)+MAX(1,COUNTIF(QCI!$A$13:$A$15,OFFSET(ORÇAMENTO!E54,-1,0))),OFFSET(E54,-1,0))</f>
        <v>1</v>
      </c>
      <c r="F54" s="675">
        <f t="shared" ca="1" si="5"/>
        <v>4</v>
      </c>
      <c r="G54" s="675">
        <f t="shared" ca="1" si="6"/>
        <v>0</v>
      </c>
      <c r="H54" s="675">
        <f t="shared" ca="1" si="7"/>
        <v>0</v>
      </c>
      <c r="I54" s="675">
        <f t="shared" ca="1" si="8"/>
        <v>0</v>
      </c>
      <c r="J54" s="675">
        <f t="shared" ca="1" si="17"/>
        <v>0</v>
      </c>
      <c r="K54" s="675">
        <f ca="1">IF(OR($C54="S",$C54=0),0,MATCH(OFFSET($D54,0,$C54)+IF($C54&lt;&gt;1,1,COUNTIF(QCI!$A$13:$A$15,ORÇAMENTO!E54)),OFFSET($D54,1,$C54,ROW($C$231)-ROW($C54)),0))</f>
        <v>0</v>
      </c>
      <c r="L54" s="115" t="str">
        <f t="shared" ca="1" si="10"/>
        <v/>
      </c>
      <c r="M54" s="116" t="s">
        <v>706</v>
      </c>
      <c r="N54" s="117" t="str">
        <f t="shared" ca="1" si="11"/>
        <v>Serviço</v>
      </c>
      <c r="O54" s="118" t="str">
        <f t="shared" ca="1" si="12"/>
        <v>-</v>
      </c>
      <c r="P54" s="119" t="s">
        <v>968</v>
      </c>
      <c r="Q54" s="678" t="s">
        <v>986</v>
      </c>
      <c r="R54" s="121" t="str">
        <f ca="1">IF($C54="S",REFERENCIA.Descricao,"(digite a descrição aqui)")</f>
        <v>(abra o arquivo 'Referência 09-2025.xlsm)</v>
      </c>
      <c r="S54" s="122" t="str">
        <f ca="1">REFERENCIA.Unidade</f>
        <v>-</v>
      </c>
      <c r="T54" s="123">
        <f ca="1">OFFSET(CÁLCULO!H$15,ROW($T54)-ROW(T$15),0)</f>
        <v>1.51</v>
      </c>
      <c r="U54" s="124">
        <f ca="1">ROUND(IF(DESONERACAO="sim",REFERENCIA.Desonerado,REFERENCIA.NaoDesonerado),2)</f>
        <v>0</v>
      </c>
      <c r="V54" s="125" t="s">
        <v>664</v>
      </c>
      <c r="W54" s="123">
        <f ca="1">IF($C54="S",ROUND(IF(TIPOORCAMENTO="Proposto",ORÇAMENTO.CustoUnitario*(1+$AH54),ORÇAMENTO.PrecoUnitarioLicitado),15-13*$AF$10),0)</f>
        <v>0</v>
      </c>
      <c r="X54" s="126" cm="1">
        <f t="array" aca="1" ref="X54" ca="1">IF($C54="S",IF(OR(Import.TipoArredondamento&lt;&gt;"TransfereGOV",ACOMPANHAMENTO="BM"),VTOTAL1,SUM(OFFSET(CÁLCULO!$AA$15,ROW($X54)-ROW($X$15),1):OFFSET(CÁLCULO!$AL$15,ROW($X54)-ROW($X$15),-1))),IF($C54=0,0,ROUND(SomaAgrup,15-13*$AF$11)))</f>
        <v>0</v>
      </c>
      <c r="Y54" s="127" t="s">
        <v>752</v>
      </c>
      <c r="Z54" s="675" t="str">
        <f t="shared" ca="1" si="13"/>
        <v/>
      </c>
      <c r="AA54" s="128">
        <f ca="1">IF($C54="S",IF($Z54="CP",$X54,IF($Z54="RA",(($X54)*QCI!$AA$3),0)),SomaAgrup)</f>
        <v>0</v>
      </c>
      <c r="AB54" s="129">
        <f t="shared" ca="1" si="14"/>
        <v>0</v>
      </c>
      <c r="AC54" s="566"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IF(AND(_xlfn.SINGLE(TIPOORCAMENTO)="Licitado",$AL54=0,$AN54&gt;0),"SEM PREÇO",
IF(AND($C54="S",$P54&lt;&gt;"",$Q54&lt;&gt;"",$U54&gt;0,$V54=0),"BDI",
IF(OR(AND(TIPOORCAMENTO="Proposto",LEFT($O$8,5)&lt;&gt;"(N/D:",$AG54&lt;&gt;"",ORÇAMENTO.CustoUnitario&gt;$AG54),AND(TIPOORCAMENTO="LICITADO",ORÇAMENTO.PrecoUnitarioLicitado&gt;$AN54)),"ACIMA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SEM CUSTO</v>
      </c>
      <c r="AD54" s="675" t="str">
        <f ca="1">IF(C54&lt;=CRONO.NivelExibicao,MAX($AD$15:OFFSET(AD54,-1,0))+IF($C54&lt;&gt;1,1,MAX(1,COUNTIF(QCI!$A$13:$A$15,OFFSET($E54,-1,0)))),"")</f>
        <v/>
      </c>
      <c r="AE54" s="671" t="str">
        <f ca="1">IF(AND($C54="S",ORÇAMENTO.CodBarra&lt;&gt;""),IF(ORÇAMENTO.Fonte="",ORÇAMENTO.CodBarra,CONCATENATE(ORÇAMENTO.Fonte," ",ORÇAMENTO.CodBarra)))</f>
        <v>COPASA 65002373</v>
      </c>
      <c r="AF54" s="674" t="str">
        <f ca="1">IF(ISERROR(INDIRECT(ORÇAMENTO.BancoRef)),"(abra o arquivo 'Referência "&amp;Excel_BuiltIn_Database&amp;".xlsm)",IF(OR($C54&lt;&gt;"S",ORÇAMENTO.CodBarra=""),"(Sem Código)",IF(ISERROR(MATCH($AE54,INDIRECT(ORÇAMENTO.BancoRef),0)),"(Código não identificado nas referências)",MATCH($AE54,INDIRECT(ORÇAMENTO.BancoRef),0))))</f>
        <v>(abra o arquivo 'Referência 09-2025.xlsm)</v>
      </c>
      <c r="AG54" s="429">
        <f ca="1">ROUND(IF(DESONERACAO="sim",REFERENCIA.Desonerado,REFERENCIA.NaoDesonerado),2)</f>
        <v>0</v>
      </c>
      <c r="AH54" s="430">
        <f t="shared" ca="1" si="15"/>
        <v>0.24740000000000001</v>
      </c>
      <c r="AJ54" s="685">
        <v>1.51</v>
      </c>
      <c r="AL54" s="440"/>
      <c r="AM54" s="337">
        <f t="shared" ca="1" si="0"/>
        <v>0</v>
      </c>
      <c r="AN54" s="471">
        <f t="shared" ca="1" si="16"/>
        <v>0</v>
      </c>
    </row>
    <row r="55" spans="1:40" s="675" customFormat="1" ht="13.9" customHeight="1" x14ac:dyDescent="0.2">
      <c r="A55" s="675" t="str">
        <f t="shared" si="1"/>
        <v>S</v>
      </c>
      <c r="B55" s="675">
        <f t="shared" ca="1" si="2"/>
        <v>2</v>
      </c>
      <c r="C55" s="675" t="str">
        <f t="shared" ca="1" si="3"/>
        <v>S</v>
      </c>
      <c r="D55" s="675">
        <f t="shared" ca="1" si="4"/>
        <v>0</v>
      </c>
      <c r="E55" s="675">
        <f ca="1">IF($C55=1,OFFSET(E55,-1,0)+MAX(1,COUNTIF(QCI!$A$13:$A$15,OFFSET(ORÇAMENTO!E55,-1,0))),OFFSET(E55,-1,0))</f>
        <v>1</v>
      </c>
      <c r="F55" s="675">
        <f t="shared" ca="1" si="5"/>
        <v>4</v>
      </c>
      <c r="G55" s="675">
        <f t="shared" ca="1" si="6"/>
        <v>0</v>
      </c>
      <c r="H55" s="675">
        <f t="shared" ca="1" si="7"/>
        <v>0</v>
      </c>
      <c r="I55" s="675">
        <f t="shared" ca="1" si="8"/>
        <v>0</v>
      </c>
      <c r="J55" s="675">
        <f t="shared" ca="1" si="17"/>
        <v>0</v>
      </c>
      <c r="K55" s="675">
        <f ca="1">IF(OR($C55="S",$C55=0),0,MATCH(OFFSET($D55,0,$C55)+IF($C55&lt;&gt;1,1,COUNTIF(QCI!$A$13:$A$15,ORÇAMENTO!E55)),OFFSET($D55,1,$C55,ROW($C$231)-ROW($C55)),0))</f>
        <v>0</v>
      </c>
      <c r="L55" s="115" t="str">
        <f t="shared" ca="1" si="10"/>
        <v/>
      </c>
      <c r="M55" s="116" t="s">
        <v>706</v>
      </c>
      <c r="N55" s="117" t="str">
        <f t="shared" ca="1" si="11"/>
        <v>Serviço</v>
      </c>
      <c r="O55" s="118" t="str">
        <f t="shared" ca="1" si="12"/>
        <v>-</v>
      </c>
      <c r="P55" s="119" t="s">
        <v>968</v>
      </c>
      <c r="Q55" s="678" t="s">
        <v>986</v>
      </c>
      <c r="R55" s="121" t="str">
        <f ca="1">IF($C55="S",REFERENCIA.Descricao,"(digite a descrição aqui)")</f>
        <v>(abra o arquivo 'Referência 09-2025.xlsm)</v>
      </c>
      <c r="S55" s="122" t="str">
        <f ca="1">REFERENCIA.Unidade</f>
        <v>-</v>
      </c>
      <c r="T55" s="123">
        <f ca="1">OFFSET(CÁLCULO!H$15,ROW($T55)-ROW(T$15),0)</f>
        <v>0.97</v>
      </c>
      <c r="U55" s="124">
        <f ca="1">ROUND(IF(DESONERACAO="sim",REFERENCIA.Desonerado,REFERENCIA.NaoDesonerado),2)</f>
        <v>0</v>
      </c>
      <c r="V55" s="125" t="s">
        <v>664</v>
      </c>
      <c r="W55" s="123">
        <f ca="1">IF($C55="S",ROUND(IF(TIPOORCAMENTO="Proposto",ORÇAMENTO.CustoUnitario*(1+$AH55),ORÇAMENTO.PrecoUnitarioLicitado),15-13*$AF$10),0)</f>
        <v>0</v>
      </c>
      <c r="X55" s="126" cm="1">
        <f t="array" aca="1" ref="X55" ca="1">IF($C55="S",IF(OR(Import.TipoArredondamento&lt;&gt;"TransfereGOV",ACOMPANHAMENTO="BM"),VTOTAL1,SUM(OFFSET(CÁLCULO!$AA$15,ROW($X55)-ROW($X$15),1):OFFSET(CÁLCULO!$AL$15,ROW($X55)-ROW($X$15),-1))),IF($C55=0,0,ROUND(SomaAgrup,15-13*$AF$11)))</f>
        <v>0</v>
      </c>
      <c r="Y55" s="127" t="s">
        <v>752</v>
      </c>
      <c r="Z55" s="675" t="str">
        <f t="shared" ca="1" si="13"/>
        <v/>
      </c>
      <c r="AA55" s="128">
        <f ca="1">IF($C55="S",IF($Z55="CP",$X55,IF($Z55="RA",(($X55)*QCI!$AA$3),0)),SomaAgrup)</f>
        <v>0</v>
      </c>
      <c r="AB55" s="129">
        <f t="shared" ca="1" si="14"/>
        <v>0</v>
      </c>
      <c r="AC55" s="566"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IF(AND(_xlfn.SINGLE(TIPOORCAMENTO)="Licitado",$AL55=0,$AN55&gt;0),"SEM PREÇO",
IF(AND($C55="S",$P55&lt;&gt;"",$Q55&lt;&gt;"",$U55&gt;0,$V55=0),"BDI",
IF(OR(AND(TIPOORCAMENTO="Proposto",LEFT($O$8,5)&lt;&gt;"(N/D:",$AG55&lt;&gt;"",ORÇAMENTO.CustoUnitario&gt;$AG55),AND(TIPOORCAMENTO="LICITADO",ORÇAMENTO.PrecoUnitarioLicitado&gt;$AN55)),"ACIMA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SEM CUSTO</v>
      </c>
      <c r="AD55" s="675" t="str">
        <f ca="1">IF(C55&lt;=CRONO.NivelExibicao,MAX($AD$15:OFFSET(AD55,-1,0))+IF($C55&lt;&gt;1,1,MAX(1,COUNTIF(QCI!$A$13:$A$15,OFFSET($E55,-1,0)))),"")</f>
        <v/>
      </c>
      <c r="AE55" s="671" t="str">
        <f ca="1">IF(AND($C55="S",ORÇAMENTO.CodBarra&lt;&gt;""),IF(ORÇAMENTO.Fonte="",ORÇAMENTO.CodBarra,CONCATENATE(ORÇAMENTO.Fonte," ",ORÇAMENTO.CodBarra)))</f>
        <v>COPASA 65002373</v>
      </c>
      <c r="AF55" s="674" t="str">
        <f ca="1">IF(ISERROR(INDIRECT(ORÇAMENTO.BancoRef)),"(abra o arquivo 'Referência "&amp;Excel_BuiltIn_Database&amp;".xlsm)",IF(OR($C55&lt;&gt;"S",ORÇAMENTO.CodBarra=""),"(Sem Código)",IF(ISERROR(MATCH($AE55,INDIRECT(ORÇAMENTO.BancoRef),0)),"(Código não identificado nas referências)",MATCH($AE55,INDIRECT(ORÇAMENTO.BancoRef),0))))</f>
        <v>(abra o arquivo 'Referência 09-2025.xlsm)</v>
      </c>
      <c r="AG55" s="429">
        <f ca="1">ROUND(IF(DESONERACAO="sim",REFERENCIA.Desonerado,REFERENCIA.NaoDesonerado),2)</f>
        <v>0</v>
      </c>
      <c r="AH55" s="430">
        <f t="shared" ca="1" si="15"/>
        <v>0.24740000000000001</v>
      </c>
      <c r="AJ55" s="685">
        <v>0.97</v>
      </c>
      <c r="AL55" s="440"/>
      <c r="AM55" s="337">
        <f t="shared" ca="1" si="0"/>
        <v>0</v>
      </c>
      <c r="AN55" s="471">
        <f t="shared" ca="1" si="16"/>
        <v>0</v>
      </c>
    </row>
    <row r="56" spans="1:40" s="675" customFormat="1" ht="13.9" customHeight="1" x14ac:dyDescent="0.2">
      <c r="A56" s="675" t="str">
        <f t="shared" si="1"/>
        <v>S</v>
      </c>
      <c r="B56" s="675">
        <f t="shared" ca="1" si="2"/>
        <v>2</v>
      </c>
      <c r="C56" s="675" t="str">
        <f t="shared" ca="1" si="3"/>
        <v>S</v>
      </c>
      <c r="D56" s="675">
        <f t="shared" ca="1" si="4"/>
        <v>0</v>
      </c>
      <c r="E56" s="675">
        <f ca="1">IF($C56=1,OFFSET(E56,-1,0)+MAX(1,COUNTIF(QCI!$A$13:$A$15,OFFSET(ORÇAMENTO!E56,-1,0))),OFFSET(E56,-1,0))</f>
        <v>1</v>
      </c>
      <c r="F56" s="675">
        <f t="shared" ca="1" si="5"/>
        <v>4</v>
      </c>
      <c r="G56" s="675">
        <f t="shared" ca="1" si="6"/>
        <v>0</v>
      </c>
      <c r="H56" s="675">
        <f t="shared" ca="1" si="7"/>
        <v>0</v>
      </c>
      <c r="I56" s="675">
        <f t="shared" ca="1" si="8"/>
        <v>0</v>
      </c>
      <c r="J56" s="675">
        <f t="shared" ca="1" si="17"/>
        <v>0</v>
      </c>
      <c r="K56" s="675">
        <f ca="1">IF(OR($C56="S",$C56=0),0,MATCH(OFFSET($D56,0,$C56)+IF($C56&lt;&gt;1,1,COUNTIF(QCI!$A$13:$A$15,ORÇAMENTO!E56)),OFFSET($D56,1,$C56,ROW($C$231)-ROW($C56)),0))</f>
        <v>0</v>
      </c>
      <c r="L56" s="115" t="str">
        <f t="shared" ca="1" si="10"/>
        <v/>
      </c>
      <c r="M56" s="116" t="s">
        <v>706</v>
      </c>
      <c r="N56" s="117" t="str">
        <f t="shared" ca="1" si="11"/>
        <v>Serviço</v>
      </c>
      <c r="O56" s="118" t="str">
        <f t="shared" ca="1" si="12"/>
        <v>-</v>
      </c>
      <c r="P56" s="119" t="s">
        <v>968</v>
      </c>
      <c r="Q56" s="678" t="s">
        <v>986</v>
      </c>
      <c r="R56" s="121" t="str">
        <f ca="1">IF($C56="S",REFERENCIA.Descricao,"(digite a descrição aqui)")</f>
        <v>(abra o arquivo 'Referência 09-2025.xlsm)</v>
      </c>
      <c r="S56" s="122" t="str">
        <f ca="1">REFERENCIA.Unidade</f>
        <v>-</v>
      </c>
      <c r="T56" s="123">
        <f ca="1">OFFSET(CÁLCULO!H$15,ROW($T56)-ROW(T$15),0)</f>
        <v>1.51</v>
      </c>
      <c r="U56" s="124">
        <f ca="1">ROUND(IF(DESONERACAO="sim",REFERENCIA.Desonerado,REFERENCIA.NaoDesonerado),2)</f>
        <v>0</v>
      </c>
      <c r="V56" s="125" t="s">
        <v>664</v>
      </c>
      <c r="W56" s="123">
        <f ca="1">IF($C56="S",ROUND(IF(TIPOORCAMENTO="Proposto",ORÇAMENTO.CustoUnitario*(1+$AH56),ORÇAMENTO.PrecoUnitarioLicitado),15-13*$AF$10),0)</f>
        <v>0</v>
      </c>
      <c r="X56" s="126" cm="1">
        <f t="array" aca="1" ref="X56" ca="1">IF($C56="S",IF(OR(Import.TipoArredondamento&lt;&gt;"TransfereGOV",ACOMPANHAMENTO="BM"),VTOTAL1,SUM(OFFSET(CÁLCULO!$AA$15,ROW($X56)-ROW($X$15),1):OFFSET(CÁLCULO!$AL$15,ROW($X56)-ROW($X$15),-1))),IF($C56=0,0,ROUND(SomaAgrup,15-13*$AF$11)))</f>
        <v>0</v>
      </c>
      <c r="Y56" s="127" t="s">
        <v>752</v>
      </c>
      <c r="Z56" s="675" t="str">
        <f t="shared" ca="1" si="13"/>
        <v/>
      </c>
      <c r="AA56" s="128">
        <f ca="1">IF($C56="S",IF($Z56="CP",$X56,IF($Z56="RA",(($X56)*QCI!$AA$3),0)),SomaAgrup)</f>
        <v>0</v>
      </c>
      <c r="AB56" s="129">
        <f t="shared" ca="1" si="14"/>
        <v>0</v>
      </c>
      <c r="AC56" s="566"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IF(AND(_xlfn.SINGLE(TIPOORCAMENTO)="Licitado",$AL56=0,$AN56&gt;0),"SEM PREÇO",
IF(AND($C56="S",$P56&lt;&gt;"",$Q56&lt;&gt;"",$U56&gt;0,$V56=0),"BDI",
IF(OR(AND(TIPOORCAMENTO="Proposto",LEFT($O$8,5)&lt;&gt;"(N/D:",$AG56&lt;&gt;"",ORÇAMENTO.CustoUnitario&gt;$AG56),AND(TIPOORCAMENTO="LICITADO",ORÇAMENTO.PrecoUnitarioLicitado&gt;$AN56)),"ACIMA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SEM CUSTO</v>
      </c>
      <c r="AD56" s="675" t="str">
        <f ca="1">IF(C56&lt;=CRONO.NivelExibicao,MAX($AD$15:OFFSET(AD56,-1,0))+IF($C56&lt;&gt;1,1,MAX(1,COUNTIF(QCI!$A$13:$A$15,OFFSET($E56,-1,0)))),"")</f>
        <v/>
      </c>
      <c r="AE56" s="671" t="str">
        <f ca="1">IF(AND($C56="S",ORÇAMENTO.CodBarra&lt;&gt;""),IF(ORÇAMENTO.Fonte="",ORÇAMENTO.CodBarra,CONCATENATE(ORÇAMENTO.Fonte," ",ORÇAMENTO.CodBarra)))</f>
        <v>COPASA 65002373</v>
      </c>
      <c r="AF56" s="674" t="str">
        <f ca="1">IF(ISERROR(INDIRECT(ORÇAMENTO.BancoRef)),"(abra o arquivo 'Referência "&amp;Excel_BuiltIn_Database&amp;".xlsm)",IF(OR($C56&lt;&gt;"S",ORÇAMENTO.CodBarra=""),"(Sem Código)",IF(ISERROR(MATCH($AE56,INDIRECT(ORÇAMENTO.BancoRef),0)),"(Código não identificado nas referências)",MATCH($AE56,INDIRECT(ORÇAMENTO.BancoRef),0))))</f>
        <v>(abra o arquivo 'Referência 09-2025.xlsm)</v>
      </c>
      <c r="AG56" s="429">
        <f ca="1">ROUND(IF(DESONERACAO="sim",REFERENCIA.Desonerado,REFERENCIA.NaoDesonerado),2)</f>
        <v>0</v>
      </c>
      <c r="AH56" s="430">
        <f t="shared" ca="1" si="15"/>
        <v>0.24740000000000001</v>
      </c>
      <c r="AJ56" s="685">
        <v>1.51</v>
      </c>
      <c r="AL56" s="440"/>
      <c r="AM56" s="337">
        <f t="shared" ca="1" si="0"/>
        <v>0</v>
      </c>
      <c r="AN56" s="471">
        <f t="shared" ca="1" si="16"/>
        <v>0</v>
      </c>
    </row>
    <row r="57" spans="1:40" s="675" customFormat="1" ht="13.9" customHeight="1" x14ac:dyDescent="0.2">
      <c r="A57" s="675" t="str">
        <f t="shared" si="1"/>
        <v>S</v>
      </c>
      <c r="B57" s="675">
        <f t="shared" ca="1" si="2"/>
        <v>2</v>
      </c>
      <c r="C57" s="675" t="str">
        <f t="shared" ca="1" si="3"/>
        <v>S</v>
      </c>
      <c r="D57" s="675">
        <f t="shared" ca="1" si="4"/>
        <v>0</v>
      </c>
      <c r="E57" s="675">
        <f ca="1">IF($C57=1,OFFSET(E57,-1,0)+MAX(1,COUNTIF(QCI!$A$13:$A$15,OFFSET(ORÇAMENTO!E57,-1,0))),OFFSET(E57,-1,0))</f>
        <v>1</v>
      </c>
      <c r="F57" s="675">
        <f t="shared" ca="1" si="5"/>
        <v>4</v>
      </c>
      <c r="G57" s="675">
        <f t="shared" ca="1" si="6"/>
        <v>0</v>
      </c>
      <c r="H57" s="675">
        <f t="shared" ca="1" si="7"/>
        <v>0</v>
      </c>
      <c r="I57" s="675">
        <f t="shared" ca="1" si="8"/>
        <v>0</v>
      </c>
      <c r="J57" s="675">
        <f t="shared" ca="1" si="17"/>
        <v>0</v>
      </c>
      <c r="K57" s="675">
        <f ca="1">IF(OR($C57="S",$C57=0),0,MATCH(OFFSET($D57,0,$C57)+IF($C57&lt;&gt;1,1,COUNTIF(QCI!$A$13:$A$15,ORÇAMENTO!E57)),OFFSET($D57,1,$C57,ROW($C$231)-ROW($C57)),0))</f>
        <v>0</v>
      </c>
      <c r="L57" s="115" t="str">
        <f t="shared" ca="1" si="10"/>
        <v/>
      </c>
      <c r="M57" s="116" t="s">
        <v>706</v>
      </c>
      <c r="N57" s="117" t="str">
        <f t="shared" ca="1" si="11"/>
        <v>Serviço</v>
      </c>
      <c r="O57" s="118" t="str">
        <f t="shared" ca="1" si="12"/>
        <v>-</v>
      </c>
      <c r="P57" s="119" t="s">
        <v>968</v>
      </c>
      <c r="Q57" s="678" t="s">
        <v>986</v>
      </c>
      <c r="R57" s="121" t="str">
        <f ca="1">IF($C57="S",REFERENCIA.Descricao,"(digite a descrição aqui)")</f>
        <v>(abra o arquivo 'Referência 09-2025.xlsm)</v>
      </c>
      <c r="S57" s="122" t="str">
        <f ca="1">REFERENCIA.Unidade</f>
        <v>-</v>
      </c>
      <c r="T57" s="123">
        <f ca="1">OFFSET(CÁLCULO!H$15,ROW($T57)-ROW(T$15),0)</f>
        <v>0.34</v>
      </c>
      <c r="U57" s="124">
        <f ca="1">ROUND(IF(DESONERACAO="sim",REFERENCIA.Desonerado,REFERENCIA.NaoDesonerado),2)</f>
        <v>0</v>
      </c>
      <c r="V57" s="125" t="s">
        <v>664</v>
      </c>
      <c r="W57" s="123">
        <f ca="1">IF($C57="S",ROUND(IF(TIPOORCAMENTO="Proposto",ORÇAMENTO.CustoUnitario*(1+$AH57),ORÇAMENTO.PrecoUnitarioLicitado),15-13*$AF$10),0)</f>
        <v>0</v>
      </c>
      <c r="X57" s="126" cm="1">
        <f t="array" aca="1" ref="X57" ca="1">IF($C57="S",IF(OR(Import.TipoArredondamento&lt;&gt;"TransfereGOV",ACOMPANHAMENTO="BM"),VTOTAL1,SUM(OFFSET(CÁLCULO!$AA$15,ROW($X57)-ROW($X$15),1):OFFSET(CÁLCULO!$AL$15,ROW($X57)-ROW($X$15),-1))),IF($C57=0,0,ROUND(SomaAgrup,15-13*$AF$11)))</f>
        <v>0</v>
      </c>
      <c r="Y57" s="127" t="s">
        <v>752</v>
      </c>
      <c r="Z57" s="675" t="str">
        <f t="shared" ca="1" si="13"/>
        <v/>
      </c>
      <c r="AA57" s="128">
        <f ca="1">IF($C57="S",IF($Z57="CP",$X57,IF($Z57="RA",(($X57)*QCI!$AA$3),0)),SomaAgrup)</f>
        <v>0</v>
      </c>
      <c r="AB57" s="129">
        <f t="shared" ca="1" si="14"/>
        <v>0</v>
      </c>
      <c r="AC57" s="566"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IF(AND(_xlfn.SINGLE(TIPOORCAMENTO)="Licitado",$AL57=0,$AN57&gt;0),"SEM PREÇO",
IF(AND($C57="S",$P57&lt;&gt;"",$Q57&lt;&gt;"",$U57&gt;0,$V57=0),"BDI",
IF(OR(AND(TIPOORCAMENTO="Proposto",LEFT($O$8,5)&lt;&gt;"(N/D:",$AG57&lt;&gt;"",ORÇAMENTO.CustoUnitario&gt;$AG57),AND(TIPOORCAMENTO="LICITADO",ORÇAMENTO.PrecoUnitarioLicitado&gt;$AN57)),"ACIMA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SEM CUSTO</v>
      </c>
      <c r="AD57" s="675" t="str">
        <f ca="1">IF(C57&lt;=CRONO.NivelExibicao,MAX($AD$15:OFFSET(AD57,-1,0))+IF($C57&lt;&gt;1,1,MAX(1,COUNTIF(QCI!$A$13:$A$15,OFFSET($E57,-1,0)))),"")</f>
        <v/>
      </c>
      <c r="AE57" s="671" t="str">
        <f ca="1">IF(AND($C57="S",ORÇAMENTO.CodBarra&lt;&gt;""),IF(ORÇAMENTO.Fonte="",ORÇAMENTO.CodBarra,CONCATENATE(ORÇAMENTO.Fonte," ",ORÇAMENTO.CodBarra)))</f>
        <v>COPASA 65002373</v>
      </c>
      <c r="AF57" s="674" t="str">
        <f ca="1">IF(ISERROR(INDIRECT(ORÇAMENTO.BancoRef)),"(abra o arquivo 'Referência "&amp;Excel_BuiltIn_Database&amp;".xlsm)",IF(OR($C57&lt;&gt;"S",ORÇAMENTO.CodBarra=""),"(Sem Código)",IF(ISERROR(MATCH($AE57,INDIRECT(ORÇAMENTO.BancoRef),0)),"(Código não identificado nas referências)",MATCH($AE57,INDIRECT(ORÇAMENTO.BancoRef),0))))</f>
        <v>(abra o arquivo 'Referência 09-2025.xlsm)</v>
      </c>
      <c r="AG57" s="429">
        <f ca="1">ROUND(IF(DESONERACAO="sim",REFERENCIA.Desonerado,REFERENCIA.NaoDesonerado),2)</f>
        <v>0</v>
      </c>
      <c r="AH57" s="430">
        <f t="shared" ca="1" si="15"/>
        <v>0.24740000000000001</v>
      </c>
      <c r="AJ57" s="685">
        <v>0.34</v>
      </c>
      <c r="AL57" s="440"/>
      <c r="AM57" s="337">
        <f t="shared" ca="1" si="0"/>
        <v>0</v>
      </c>
      <c r="AN57" s="471">
        <f t="shared" ca="1" si="16"/>
        <v>0</v>
      </c>
    </row>
    <row r="58" spans="1:40" s="675" customFormat="1" x14ac:dyDescent="0.2">
      <c r="A58" s="675">
        <f t="shared" si="1"/>
        <v>2</v>
      </c>
      <c r="B58" s="675">
        <f t="shared" ca="1" si="2"/>
        <v>2</v>
      </c>
      <c r="C58" s="675">
        <f t="shared" ca="1" si="3"/>
        <v>2</v>
      </c>
      <c r="D58" s="675">
        <f t="shared" ca="1" si="4"/>
        <v>6</v>
      </c>
      <c r="E58" s="675">
        <f ca="1">IF($C58=1,OFFSET(E58,-1,0)+MAX(1,COUNTIF(QCI!$A$13:$A$15,OFFSET(ORÇAMENTO!E58,-1,0))),OFFSET(E58,-1,0))</f>
        <v>1</v>
      </c>
      <c r="F58" s="675">
        <f t="shared" ca="1" si="5"/>
        <v>5</v>
      </c>
      <c r="G58" s="675">
        <f t="shared" ca="1" si="6"/>
        <v>0</v>
      </c>
      <c r="H58" s="675">
        <f t="shared" ca="1" si="7"/>
        <v>0</v>
      </c>
      <c r="I58" s="675">
        <f t="shared" ca="1" si="8"/>
        <v>0</v>
      </c>
      <c r="J58" s="675">
        <f t="shared" ca="1" si="17"/>
        <v>173</v>
      </c>
      <c r="K58" s="675">
        <f ca="1">IF(OR($C58="S",$C58=0),0,MATCH(OFFSET($D58,0,$C58)+IF($C58&lt;&gt;1,1,COUNTIF(QCI!$A$13:$A$15,ORÇAMENTO!E58)),OFFSET($D58,1,$C58,ROW($C$231)-ROW($C58)),0))</f>
        <v>6</v>
      </c>
      <c r="L58" s="115" t="str">
        <f t="shared" ca="1" si="10"/>
        <v>F</v>
      </c>
      <c r="M58" s="116" t="s">
        <v>703</v>
      </c>
      <c r="N58" s="117" t="str">
        <f t="shared" ca="1" si="11"/>
        <v>Nível 2</v>
      </c>
      <c r="O58" s="118" t="str">
        <f t="shared" ca="1" si="12"/>
        <v>1.5.</v>
      </c>
      <c r="P58" s="119" t="s">
        <v>751</v>
      </c>
      <c r="Q58" s="120"/>
      <c r="R58" s="121" t="s">
        <v>987</v>
      </c>
      <c r="S58" s="122" t="str">
        <f ca="1">REFERENCIA.Unidade</f>
        <v>-</v>
      </c>
      <c r="T58" s="123">
        <f ca="1">OFFSET(CÁLCULO!H$15,ROW($T58)-ROW(T$15),0)</f>
        <v>0</v>
      </c>
      <c r="U58" s="124">
        <f ca="1">ROUND(IF(DESONERACAO="sim",REFERENCIA.Desonerado,REFERENCIA.NaoDesonerado),2)</f>
        <v>0</v>
      </c>
      <c r="V58" s="125" t="s">
        <v>664</v>
      </c>
      <c r="W58" s="123">
        <f ca="1">IF($C58="S",ROUND(IF(TIPOORCAMENTO="Proposto",ORÇAMENTO.CustoUnitario*(1+$AH58),ORÇAMENTO.PrecoUnitarioLicitado),15-13*$AF$10),0)</f>
        <v>0</v>
      </c>
      <c r="X58" s="126" cm="1">
        <f t="array" aca="1" ref="X58" ca="1">IF($C58="S",IF(OR(Import.TipoArredondamento&lt;&gt;"TransfereGOV",ACOMPANHAMENTO="BM"),VTOTAL1,SUM(OFFSET(CÁLCULO!$AA$15,ROW($X58)-ROW($X$15),1):OFFSET(CÁLCULO!$AL$15,ROW($X58)-ROW($X$15),-1))),IF($C58=0,0,ROUND(SomaAgrup,15-13*$AF$11)))</f>
        <v>0</v>
      </c>
      <c r="Y58" s="127" t="s">
        <v>752</v>
      </c>
      <c r="Z58" s="675" t="str">
        <f t="shared" ca="1" si="13"/>
        <v/>
      </c>
      <c r="AA58" s="128">
        <f ca="1">IF($C58="S",IF($Z58="CP",$X58,IF($Z58="RA",(($X58)*QCI!$AA$3),0)),SomaAgrup)</f>
        <v>0</v>
      </c>
      <c r="AB58" s="129">
        <f t="shared" ca="1" si="14"/>
        <v>0</v>
      </c>
      <c r="AC58" s="566" t="e"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IF(AND(_xlfn.SINGLE(TIPOORCAMENTO)="Licitado",$AL58=0,$AN58&gt;0),"SEM PREÇO",
IF(AND($C58="S",$P58&lt;&gt;"",$Q58&lt;&gt;"",$U58&gt;0,$V58=0),"BDI",
IF(OR(AND(TIPOORCAMENTO="Proposto",LEFT($O$8,5)&lt;&gt;"(N/D:",$AG58&lt;&gt;"",ORÇAMENTO.CustoUnitario&gt;$AG58),AND(TIPOORCAMENTO="LICITADO",ORÇAMENTO.PrecoUnitarioLicitado&gt;$AN58)),"ACIMA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#NAME?</v>
      </c>
      <c r="AD58" s="675">
        <f ca="1">IF(C58&lt;=CRONO.NivelExibicao,MAX($AD$15:OFFSET(AD58,-1,0))+IF($C58&lt;&gt;1,1,MAX(1,COUNTIF(QCI!$A$13:$A$15,OFFSET($E58,-1,0)))),"")</f>
        <v>6</v>
      </c>
      <c r="AE58" s="671" t="b">
        <f ca="1">IF(AND($C58="S",ORÇAMENTO.CodBarra&lt;&gt;""),IF(ORÇAMENTO.Fonte="",ORÇAMENTO.CodBarra,CONCATENATE(ORÇAMENTO.Fonte," ",ORÇAMENTO.CodBarra)))</f>
        <v>0</v>
      </c>
      <c r="AF58" s="674" t="str">
        <f ca="1">IF(ISERROR(INDIRECT(ORÇAMENTO.BancoRef)),"(abra o arquivo 'Referência "&amp;Excel_BuiltIn_Database&amp;".xlsm)",IF(OR($C58&lt;&gt;"S",ORÇAMENTO.CodBarra=""),"(Sem Código)",IF(ISERROR(MATCH($AE58,INDIRECT(ORÇAMENTO.BancoRef),0)),"(Código não identificado nas referências)",MATCH($AE58,INDIRECT(ORÇAMENTO.BancoRef),0))))</f>
        <v>(abra o arquivo 'Referência 09-2025.xlsm)</v>
      </c>
      <c r="AG58" s="429">
        <f ca="1">ROUND(IF(DESONERACAO="sim",REFERENCIA.Desonerado,REFERENCIA.NaoDesonerado),2)</f>
        <v>0</v>
      </c>
      <c r="AH58" s="430">
        <f t="shared" ca="1" si="15"/>
        <v>0.24740000000000001</v>
      </c>
      <c r="AJ58" s="685">
        <v>27.55</v>
      </c>
      <c r="AL58" s="440"/>
      <c r="AM58" s="337">
        <f t="shared" ca="1" si="0"/>
        <v>0</v>
      </c>
      <c r="AN58" s="471">
        <f t="shared" ca="1" si="16"/>
        <v>0</v>
      </c>
    </row>
    <row r="59" spans="1:40" s="675" customFormat="1" ht="13.9" customHeight="1" x14ac:dyDescent="0.2">
      <c r="A59" s="675" t="str">
        <f t="shared" si="1"/>
        <v>S</v>
      </c>
      <c r="B59" s="675">
        <f t="shared" ca="1" si="2"/>
        <v>2</v>
      </c>
      <c r="C59" s="675" t="str">
        <f t="shared" ca="1" si="3"/>
        <v>S</v>
      </c>
      <c r="D59" s="675">
        <f t="shared" ca="1" si="4"/>
        <v>0</v>
      </c>
      <c r="E59" s="675">
        <f ca="1">IF($C59=1,OFFSET(E59,-1,0)+MAX(1,COUNTIF(QCI!$A$13:$A$15,OFFSET(ORÇAMENTO!E59,-1,0))),OFFSET(E59,-1,0))</f>
        <v>1</v>
      </c>
      <c r="F59" s="675">
        <f t="shared" ca="1" si="5"/>
        <v>5</v>
      </c>
      <c r="G59" s="675">
        <f t="shared" ca="1" si="6"/>
        <v>0</v>
      </c>
      <c r="H59" s="675">
        <f t="shared" ca="1" si="7"/>
        <v>0</v>
      </c>
      <c r="I59" s="675">
        <f t="shared" ca="1" si="8"/>
        <v>0</v>
      </c>
      <c r="J59" s="675">
        <f t="shared" ca="1" si="17"/>
        <v>0</v>
      </c>
      <c r="K59" s="675">
        <f ca="1">IF(OR($C59="S",$C59=0),0,MATCH(OFFSET($D59,0,$C59)+IF($C59&lt;&gt;1,1,COUNTIF(QCI!$A$13:$A$15,ORÇAMENTO!E59)),OFFSET($D59,1,$C59,ROW($C$231)-ROW($C59)),0))</f>
        <v>0</v>
      </c>
      <c r="L59" s="115" t="str">
        <f t="shared" ca="1" si="10"/>
        <v/>
      </c>
      <c r="M59" s="116" t="s">
        <v>706</v>
      </c>
      <c r="N59" s="117" t="str">
        <f t="shared" ca="1" si="11"/>
        <v>Serviço</v>
      </c>
      <c r="O59" s="118" t="str">
        <f t="shared" ca="1" si="12"/>
        <v>-</v>
      </c>
      <c r="P59" s="119" t="s">
        <v>993</v>
      </c>
      <c r="Q59" s="679" t="s">
        <v>1016</v>
      </c>
      <c r="R59" s="121" t="str">
        <f ca="1">IF($C59="S",REFERENCIA.Descricao,"(digite a descrição aqui)")</f>
        <v>(abra o arquivo 'Referência 09-2025.xlsm)</v>
      </c>
      <c r="S59" s="122" t="str">
        <f ca="1">REFERENCIA.Unidade</f>
        <v>-</v>
      </c>
      <c r="T59" s="123">
        <f ca="1">OFFSET(CÁLCULO!H$15,ROW($T59)-ROW(T$15),0)</f>
        <v>1</v>
      </c>
      <c r="U59" s="124">
        <f ca="1">ROUND(IF(DESONERACAO="sim",REFERENCIA.Desonerado,REFERENCIA.NaoDesonerado),2)</f>
        <v>0</v>
      </c>
      <c r="V59" s="125" t="s">
        <v>664</v>
      </c>
      <c r="W59" s="123">
        <f ca="1">IF($C59="S",ROUND(IF(TIPOORCAMENTO="Proposto",ORÇAMENTO.CustoUnitario*(1+$AH59),ORÇAMENTO.PrecoUnitarioLicitado),15-13*$AF$10),0)</f>
        <v>0</v>
      </c>
      <c r="X59" s="126" cm="1">
        <f t="array" aca="1" ref="X59" ca="1">IF($C59="S",IF(OR(Import.TipoArredondamento&lt;&gt;"TransfereGOV",ACOMPANHAMENTO="BM"),VTOTAL1,SUM(OFFSET(CÁLCULO!$AA$15,ROW($X59)-ROW($X$15),1):OFFSET(CÁLCULO!$AL$15,ROW($X59)-ROW($X$15),-1))),IF($C59=0,0,ROUND(SomaAgrup,15-13*$AF$11)))</f>
        <v>0</v>
      </c>
      <c r="Y59" s="127" t="s">
        <v>752</v>
      </c>
      <c r="Z59" s="675" t="str">
        <f t="shared" ca="1" si="13"/>
        <v/>
      </c>
      <c r="AA59" s="128">
        <f ca="1">IF($C59="S",IF($Z59="CP",$X59,IF($Z59="RA",(($X59)*QCI!$AA$3),0)),SomaAgrup)</f>
        <v>0</v>
      </c>
      <c r="AB59" s="129">
        <f t="shared" ca="1" si="14"/>
        <v>0</v>
      </c>
      <c r="AC59" s="566"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IF(AND(_xlfn.SINGLE(TIPOORCAMENTO)="Licitado",$AL59=0,$AN59&gt;0),"SEM PREÇO",
IF(AND($C59="S",$P59&lt;&gt;"",$Q59&lt;&gt;"",$U59&gt;0,$V59=0),"BDI",
IF(OR(AND(TIPOORCAMENTO="Proposto",LEFT($O$8,5)&lt;&gt;"(N/D:",$AG59&lt;&gt;"",ORÇAMENTO.CustoUnitario&gt;$AG59),AND(TIPOORCAMENTO="LICITADO",ORÇAMENTO.PrecoUnitarioLicitado&gt;$AN59)),"ACIMA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SEM CUSTO</v>
      </c>
      <c r="AD59" s="675" t="str">
        <f ca="1">IF(C59&lt;=CRONO.NivelExibicao,MAX($AD$15:OFFSET(AD59,-1,0))+IF($C59&lt;&gt;1,1,MAX(1,COUNTIF(QCI!$A$13:$A$15,OFFSET($E59,-1,0)))),"")</f>
        <v/>
      </c>
      <c r="AE59" s="671" t="str">
        <f ca="1">IF(AND($C59="S",ORÇAMENTO.CodBarra&lt;&gt;""),IF(ORÇAMENTO.Fonte="",ORÇAMENTO.CodBarra,CONCATENATE(ORÇAMENTO.Fonte," ",ORÇAMENTO.CodBarra)))</f>
        <v>Cotação COT 01</v>
      </c>
      <c r="AF59" s="674" t="str">
        <f ca="1">IF(ISERROR(INDIRECT(ORÇAMENTO.BancoRef)),"(abra o arquivo 'Referência "&amp;Excel_BuiltIn_Database&amp;".xlsm)",IF(OR($C59&lt;&gt;"S",ORÇAMENTO.CodBarra=""),"(Sem Código)",IF(ISERROR(MATCH($AE59,INDIRECT(ORÇAMENTO.BancoRef),0)),"(Código não identificado nas referências)",MATCH($AE59,INDIRECT(ORÇAMENTO.BancoRef),0))))</f>
        <v>(abra o arquivo 'Referência 09-2025.xlsm)</v>
      </c>
      <c r="AG59" s="429">
        <f ca="1">ROUND(IF(DESONERACAO="sim",REFERENCIA.Desonerado,REFERENCIA.NaoDesonerado),2)</f>
        <v>0</v>
      </c>
      <c r="AH59" s="430">
        <f t="shared" ca="1" si="15"/>
        <v>0.24740000000000001</v>
      </c>
      <c r="AJ59" s="685">
        <v>1</v>
      </c>
      <c r="AL59" s="440"/>
      <c r="AM59" s="337">
        <f t="shared" ca="1" si="0"/>
        <v>0</v>
      </c>
      <c r="AN59" s="471">
        <f t="shared" ca="1" si="16"/>
        <v>0</v>
      </c>
    </row>
    <row r="60" spans="1:40" s="675" customFormat="1" ht="13.9" customHeight="1" x14ac:dyDescent="0.2">
      <c r="A60" s="675" t="str">
        <f t="shared" si="1"/>
        <v>S</v>
      </c>
      <c r="B60" s="675">
        <f t="shared" ca="1" si="2"/>
        <v>2</v>
      </c>
      <c r="C60" s="675" t="str">
        <f t="shared" ca="1" si="3"/>
        <v>S</v>
      </c>
      <c r="D60" s="675">
        <f t="shared" ca="1" si="4"/>
        <v>0</v>
      </c>
      <c r="E60" s="675">
        <f ca="1">IF($C60=1,OFFSET(E60,-1,0)+MAX(1,COUNTIF(QCI!$A$13:$A$15,OFFSET(ORÇAMENTO!E60,-1,0))),OFFSET(E60,-1,0))</f>
        <v>1</v>
      </c>
      <c r="F60" s="675">
        <f t="shared" ca="1" si="5"/>
        <v>5</v>
      </c>
      <c r="G60" s="675">
        <f t="shared" ca="1" si="6"/>
        <v>0</v>
      </c>
      <c r="H60" s="675">
        <f t="shared" ca="1" si="7"/>
        <v>0</v>
      </c>
      <c r="I60" s="675">
        <f t="shared" ca="1" si="8"/>
        <v>0</v>
      </c>
      <c r="J60" s="675">
        <f t="shared" ca="1" si="17"/>
        <v>0</v>
      </c>
      <c r="K60" s="675">
        <f ca="1">IF(OR($C60="S",$C60=0),0,MATCH(OFFSET($D60,0,$C60)+IF($C60&lt;&gt;1,1,COUNTIF(QCI!$A$13:$A$15,ORÇAMENTO!E60)),OFFSET($D60,1,$C60,ROW($C$231)-ROW($C60)),0))</f>
        <v>0</v>
      </c>
      <c r="L60" s="115" t="str">
        <f t="shared" ca="1" si="10"/>
        <v/>
      </c>
      <c r="M60" s="116" t="s">
        <v>706</v>
      </c>
      <c r="N60" s="117" t="str">
        <f t="shared" ca="1" si="11"/>
        <v>Serviço</v>
      </c>
      <c r="O60" s="118" t="str">
        <f t="shared" ca="1" si="12"/>
        <v>-</v>
      </c>
      <c r="P60" s="119" t="s">
        <v>968</v>
      </c>
      <c r="Q60" s="679" t="s">
        <v>988</v>
      </c>
      <c r="R60" s="121" t="str">
        <f ca="1">IF($C60="S",REFERENCIA.Descricao,"(digite a descrição aqui)")</f>
        <v>(abra o arquivo 'Referência 09-2025.xlsm)</v>
      </c>
      <c r="S60" s="122" t="str">
        <f ca="1">REFERENCIA.Unidade</f>
        <v>-</v>
      </c>
      <c r="T60" s="123">
        <f ca="1">OFFSET(CÁLCULO!H$15,ROW($T60)-ROW(T$15),0)</f>
        <v>5</v>
      </c>
      <c r="U60" s="124">
        <f ca="1">ROUND(IF(DESONERACAO="sim",REFERENCIA.Desonerado,REFERENCIA.NaoDesonerado),2)</f>
        <v>0</v>
      </c>
      <c r="V60" s="125" t="s">
        <v>664</v>
      </c>
      <c r="W60" s="123">
        <f ca="1">IF($C60="S",ROUND(IF(TIPOORCAMENTO="Proposto",ORÇAMENTO.CustoUnitario*(1+$AH60),ORÇAMENTO.PrecoUnitarioLicitado),15-13*$AF$10),0)</f>
        <v>0</v>
      </c>
      <c r="X60" s="126" cm="1">
        <f t="array" aca="1" ref="X60" ca="1">IF($C60="S",IF(OR(Import.TipoArredondamento&lt;&gt;"TransfereGOV",ACOMPANHAMENTO="BM"),VTOTAL1,SUM(OFFSET(CÁLCULO!$AA$15,ROW($X60)-ROW($X$15),1):OFFSET(CÁLCULO!$AL$15,ROW($X60)-ROW($X$15),-1))),IF($C60=0,0,ROUND(SomaAgrup,15-13*$AF$11)))</f>
        <v>0</v>
      </c>
      <c r="Y60" s="127" t="s">
        <v>752</v>
      </c>
      <c r="Z60" s="675" t="str">
        <f t="shared" ca="1" si="13"/>
        <v/>
      </c>
      <c r="AA60" s="128">
        <f ca="1">IF($C60="S",IF($Z60="CP",$X60,IF($Z60="RA",(($X60)*QCI!$AA$3),0)),SomaAgrup)</f>
        <v>0</v>
      </c>
      <c r="AB60" s="129">
        <f t="shared" ca="1" si="14"/>
        <v>0</v>
      </c>
      <c r="AC60" s="566"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IF(AND(_xlfn.SINGLE(TIPOORCAMENTO)="Licitado",$AL60=0,$AN60&gt;0),"SEM PREÇO",
IF(AND($C60="S",$P60&lt;&gt;"",$Q60&lt;&gt;"",$U60&gt;0,$V60=0),"BDI",
IF(OR(AND(TIPOORCAMENTO="Proposto",LEFT($O$8,5)&lt;&gt;"(N/D:",$AG60&lt;&gt;"",ORÇAMENTO.CustoUnitario&gt;$AG60),AND(TIPOORCAMENTO="LICITADO",ORÇAMENTO.PrecoUnitarioLicitado&gt;$AN60)),"ACIMA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SEM CUSTO</v>
      </c>
      <c r="AD60" s="675" t="str">
        <f ca="1">IF(C60&lt;=CRONO.NivelExibicao,MAX($AD$15:OFFSET(AD60,-1,0))+IF($C60&lt;&gt;1,1,MAX(1,COUNTIF(QCI!$A$13:$A$15,OFFSET($E60,-1,0)))),"")</f>
        <v/>
      </c>
      <c r="AE60" s="671" t="str">
        <f ca="1">IF(AND($C60="S",ORÇAMENTO.CodBarra&lt;&gt;""),IF(ORÇAMENTO.Fonte="",ORÇAMENTO.CodBarra,CONCATENATE(ORÇAMENTO.Fonte," ",ORÇAMENTO.CodBarra)))</f>
        <v>COPASA 65002557</v>
      </c>
      <c r="AF60" s="674" t="str">
        <f ca="1">IF(ISERROR(INDIRECT(ORÇAMENTO.BancoRef)),"(abra o arquivo 'Referência "&amp;Excel_BuiltIn_Database&amp;".xlsm)",IF(OR($C60&lt;&gt;"S",ORÇAMENTO.CodBarra=""),"(Sem Código)",IF(ISERROR(MATCH($AE60,INDIRECT(ORÇAMENTO.BancoRef),0)),"(Código não identificado nas referências)",MATCH($AE60,INDIRECT(ORÇAMENTO.BancoRef),0))))</f>
        <v>(abra o arquivo 'Referência 09-2025.xlsm)</v>
      </c>
      <c r="AG60" s="429">
        <f ca="1">ROUND(IF(DESONERACAO="sim",REFERENCIA.Desonerado,REFERENCIA.NaoDesonerado),2)</f>
        <v>0</v>
      </c>
      <c r="AH60" s="430">
        <f t="shared" ca="1" si="15"/>
        <v>0.24740000000000001</v>
      </c>
      <c r="AJ60" s="685">
        <v>5</v>
      </c>
      <c r="AL60" s="440"/>
      <c r="AM60" s="337">
        <f t="shared" ca="1" si="0"/>
        <v>0</v>
      </c>
      <c r="AN60" s="471">
        <f t="shared" ca="1" si="16"/>
        <v>0</v>
      </c>
    </row>
    <row r="61" spans="1:40" s="675" customFormat="1" x14ac:dyDescent="0.2">
      <c r="A61" s="675" t="str">
        <f t="shared" si="1"/>
        <v>S</v>
      </c>
      <c r="B61" s="675">
        <f t="shared" ca="1" si="2"/>
        <v>2</v>
      </c>
      <c r="C61" s="675" t="str">
        <f t="shared" ca="1" si="3"/>
        <v>S</v>
      </c>
      <c r="D61" s="675">
        <f t="shared" ca="1" si="4"/>
        <v>0</v>
      </c>
      <c r="E61" s="675">
        <f ca="1">IF($C61=1,OFFSET(E61,-1,0)+MAX(1,COUNTIF(QCI!$A$13:$A$15,OFFSET(ORÇAMENTO!E61,-1,0))),OFFSET(E61,-1,0))</f>
        <v>1</v>
      </c>
      <c r="F61" s="675">
        <f t="shared" ca="1" si="5"/>
        <v>5</v>
      </c>
      <c r="G61" s="675">
        <f t="shared" ca="1" si="6"/>
        <v>0</v>
      </c>
      <c r="H61" s="675">
        <f t="shared" ca="1" si="7"/>
        <v>0</v>
      </c>
      <c r="I61" s="675">
        <f t="shared" ca="1" si="8"/>
        <v>0</v>
      </c>
      <c r="J61" s="675">
        <f t="shared" ca="1" si="17"/>
        <v>0</v>
      </c>
      <c r="K61" s="675">
        <f ca="1">IF(OR($C61="S",$C61=0),0,MATCH(OFFSET($D61,0,$C61)+IF($C61&lt;&gt;1,1,COUNTIF(QCI!$A$13:$A$15,ORÇAMENTO!E61)),OFFSET($D61,1,$C61,ROW($C$231)-ROW($C61)),0))</f>
        <v>0</v>
      </c>
      <c r="L61" s="115" t="str">
        <f t="shared" ca="1" si="10"/>
        <v/>
      </c>
      <c r="M61" s="116" t="s">
        <v>706</v>
      </c>
      <c r="N61" s="117" t="str">
        <f t="shared" ca="1" si="11"/>
        <v>Serviço</v>
      </c>
      <c r="O61" s="118" t="str">
        <f t="shared" ca="1" si="12"/>
        <v>-</v>
      </c>
      <c r="P61" s="119" t="s">
        <v>993</v>
      </c>
      <c r="Q61" s="679" t="s">
        <v>1017</v>
      </c>
      <c r="R61" s="121" t="str">
        <f ca="1">IF($C61="S",REFERENCIA.Descricao,"(digite a descrição aqui)")</f>
        <v>(abra o arquivo 'Referência 09-2025.xlsm)</v>
      </c>
      <c r="S61" s="122" t="str">
        <f ca="1">REFERENCIA.Unidade</f>
        <v>-</v>
      </c>
      <c r="T61" s="123">
        <f ca="1">OFFSET(CÁLCULO!H$15,ROW($T61)-ROW(T$15),0)</f>
        <v>8</v>
      </c>
      <c r="U61" s="124">
        <f ca="1">ROUND(IF(DESONERACAO="sim",REFERENCIA.Desonerado,REFERENCIA.NaoDesonerado),2)</f>
        <v>0</v>
      </c>
      <c r="V61" s="125" t="s">
        <v>664</v>
      </c>
      <c r="W61" s="123">
        <f ca="1">IF($C61="S",ROUND(IF(TIPOORCAMENTO="Proposto",ORÇAMENTO.CustoUnitario*(1+$AH61),ORÇAMENTO.PrecoUnitarioLicitado),15-13*$AF$10),0)</f>
        <v>0</v>
      </c>
      <c r="X61" s="126" cm="1">
        <f t="array" aca="1" ref="X61" ca="1">IF($C61="S",IF(OR(Import.TipoArredondamento&lt;&gt;"TransfereGOV",ACOMPANHAMENTO="BM"),VTOTAL1,SUM(OFFSET(CÁLCULO!$AA$15,ROW($X61)-ROW($X$15),1):OFFSET(CÁLCULO!$AL$15,ROW($X61)-ROW($X$15),-1))),IF($C61=0,0,ROUND(SomaAgrup,15-13*$AF$11)))</f>
        <v>0</v>
      </c>
      <c r="Y61" s="127" t="s">
        <v>752</v>
      </c>
      <c r="Z61" s="675" t="str">
        <f t="shared" ca="1" si="13"/>
        <v/>
      </c>
      <c r="AA61" s="128">
        <f ca="1">IF($C61="S",IF($Z61="CP",$X61,IF($Z61="RA",(($X61)*QCI!$AA$3),0)),SomaAgrup)</f>
        <v>0</v>
      </c>
      <c r="AB61" s="129">
        <f t="shared" ca="1" si="14"/>
        <v>0</v>
      </c>
      <c r="AC61" s="566"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IF(AND(_xlfn.SINGLE(TIPOORCAMENTO)="Licitado",$AL61=0,$AN61&gt;0),"SEM PREÇO",
IF(AND($C61="S",$P61&lt;&gt;"",$Q61&lt;&gt;"",$U61&gt;0,$V61=0),"BDI",
IF(OR(AND(TIPOORCAMENTO="Proposto",LEFT($O$8,5)&lt;&gt;"(N/D:",$AG61&lt;&gt;"",ORÇAMENTO.CustoUnitario&gt;$AG61),AND(TIPOORCAMENTO="LICITADO",ORÇAMENTO.PrecoUnitarioLicitado&gt;$AN61)),"ACIMA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SEM CUSTO</v>
      </c>
      <c r="AD61" s="675" t="str">
        <f ca="1">IF(C61&lt;=CRONO.NivelExibicao,MAX($AD$15:OFFSET(AD61,-1,0))+IF($C61&lt;&gt;1,1,MAX(1,COUNTIF(QCI!$A$13:$A$15,OFFSET($E61,-1,0)))),"")</f>
        <v/>
      </c>
      <c r="AE61" s="671" t="str">
        <f ca="1">IF(AND($C61="S",ORÇAMENTO.CodBarra&lt;&gt;""),IF(ORÇAMENTO.Fonte="",ORÇAMENTO.CodBarra,CONCATENATE(ORÇAMENTO.Fonte," ",ORÇAMENTO.CodBarra)))</f>
        <v>Cotação COT 02</v>
      </c>
      <c r="AF61" s="674" t="str">
        <f ca="1">IF(ISERROR(INDIRECT(ORÇAMENTO.BancoRef)),"(abra o arquivo 'Referência "&amp;Excel_BuiltIn_Database&amp;".xlsm)",IF(OR($C61&lt;&gt;"S",ORÇAMENTO.CodBarra=""),"(Sem Código)",IF(ISERROR(MATCH($AE61,INDIRECT(ORÇAMENTO.BancoRef),0)),"(Código não identificado nas referências)",MATCH($AE61,INDIRECT(ORÇAMENTO.BancoRef),0))))</f>
        <v>(abra o arquivo 'Referência 09-2025.xlsm)</v>
      </c>
      <c r="AG61" s="429">
        <f ca="1">ROUND(IF(DESONERACAO="sim",REFERENCIA.Desonerado,REFERENCIA.NaoDesonerado),2)</f>
        <v>0</v>
      </c>
      <c r="AH61" s="430">
        <f t="shared" ca="1" si="15"/>
        <v>0.24740000000000001</v>
      </c>
      <c r="AJ61" s="685">
        <v>8</v>
      </c>
      <c r="AL61" s="440"/>
      <c r="AM61" s="337">
        <f t="shared" ca="1" si="0"/>
        <v>0</v>
      </c>
      <c r="AN61" s="471">
        <f t="shared" ca="1" si="16"/>
        <v>0</v>
      </c>
    </row>
    <row r="62" spans="1:40" s="675" customFormat="1" ht="25.5" x14ac:dyDescent="0.2">
      <c r="A62" s="675" t="str">
        <f t="shared" si="1"/>
        <v>S</v>
      </c>
      <c r="B62" s="675">
        <f t="shared" ca="1" si="2"/>
        <v>2</v>
      </c>
      <c r="C62" s="675" t="str">
        <f t="shared" ca="1" si="3"/>
        <v>S</v>
      </c>
      <c r="D62" s="675">
        <f t="shared" ca="1" si="4"/>
        <v>0</v>
      </c>
      <c r="E62" s="675">
        <f ca="1">IF($C62=1,OFFSET(E62,-1,0)+MAX(1,COUNTIF(QCI!$A$13:$A$15,OFFSET(ORÇAMENTO!E62,-1,0))),OFFSET(E62,-1,0))</f>
        <v>1</v>
      </c>
      <c r="F62" s="675">
        <f t="shared" ca="1" si="5"/>
        <v>5</v>
      </c>
      <c r="G62" s="675">
        <f t="shared" ca="1" si="6"/>
        <v>0</v>
      </c>
      <c r="H62" s="675">
        <f t="shared" ca="1" si="7"/>
        <v>0</v>
      </c>
      <c r="I62" s="675">
        <f t="shared" ca="1" si="8"/>
        <v>0</v>
      </c>
      <c r="J62" s="675">
        <f t="shared" ca="1" si="17"/>
        <v>0</v>
      </c>
      <c r="K62" s="675">
        <f ca="1">IF(OR($C62="S",$C62=0),0,MATCH(OFFSET($D62,0,$C62)+IF($C62&lt;&gt;1,1,COUNTIF(QCI!$A$13:$A$15,ORÇAMENTO!E62)),OFFSET($D62,1,$C62,ROW($C$231)-ROW($C62)),0))</f>
        <v>0</v>
      </c>
      <c r="L62" s="115" t="str">
        <f t="shared" ca="1" si="10"/>
        <v/>
      </c>
      <c r="M62" s="116" t="s">
        <v>706</v>
      </c>
      <c r="N62" s="117" t="str">
        <f t="shared" ca="1" si="11"/>
        <v>Serviço</v>
      </c>
      <c r="O62" s="118" t="str">
        <f t="shared" ca="1" si="12"/>
        <v>-</v>
      </c>
      <c r="P62" s="119" t="s">
        <v>994</v>
      </c>
      <c r="Q62" s="679" t="s">
        <v>1095</v>
      </c>
      <c r="R62" s="121" t="str">
        <f ca="1">IF($C62="S",REFERENCIA.Descricao,"(digite a descrição aqui)")</f>
        <v>(abra o arquivo 'Referência 09-2025.xlsm)</v>
      </c>
      <c r="S62" s="122" t="str">
        <f ca="1">REFERENCIA.Unidade</f>
        <v>-</v>
      </c>
      <c r="T62" s="123">
        <f ca="1">OFFSET(CÁLCULO!H$15,ROW($T62)-ROW(T$15),0)</f>
        <v>3</v>
      </c>
      <c r="U62" s="124">
        <f ca="1">ROUND(IF(DESONERACAO="sim",REFERENCIA.Desonerado,REFERENCIA.NaoDesonerado),2)</f>
        <v>0</v>
      </c>
      <c r="V62" s="125" t="s">
        <v>664</v>
      </c>
      <c r="W62" s="123">
        <f ca="1">IF($C62="S",ROUND(IF(TIPOORCAMENTO="Proposto",ORÇAMENTO.CustoUnitario*(1+$AH62),ORÇAMENTO.PrecoUnitarioLicitado),15-13*$AF$10),0)</f>
        <v>0</v>
      </c>
      <c r="X62" s="126" cm="1">
        <f t="array" aca="1" ref="X62" ca="1">IF($C62="S",IF(OR(Import.TipoArredondamento&lt;&gt;"TransfereGOV",ACOMPANHAMENTO="BM"),VTOTAL1,SUM(OFFSET(CÁLCULO!$AA$15,ROW($X62)-ROW($X$15),1):OFFSET(CÁLCULO!$AL$15,ROW($X62)-ROW($X$15),-1))),IF($C62=0,0,ROUND(SomaAgrup,15-13*$AF$11)))</f>
        <v>0</v>
      </c>
      <c r="Y62" s="127" t="s">
        <v>752</v>
      </c>
      <c r="Z62" s="675" t="str">
        <f t="shared" ca="1" si="13"/>
        <v/>
      </c>
      <c r="AA62" s="128">
        <f ca="1">IF($C62="S",IF($Z62="CP",$X62,IF($Z62="RA",(($X62)*QCI!$AA$3),0)),SomaAgrup)</f>
        <v>0</v>
      </c>
      <c r="AB62" s="129">
        <f t="shared" ca="1" si="14"/>
        <v>0</v>
      </c>
      <c r="AC62" s="566"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IF(AND(_xlfn.SINGLE(TIPOORCAMENTO)="Licitado",$AL62=0,$AN62&gt;0),"SEM PREÇO",
IF(AND($C62="S",$P62&lt;&gt;"",$Q62&lt;&gt;"",$U62&gt;0,$V62=0),"BDI",
IF(OR(AND(TIPOORCAMENTO="Proposto",LEFT($O$8,5)&lt;&gt;"(N/D:",$AG62&lt;&gt;"",ORÇAMENTO.CustoUnitario&gt;$AG62),AND(TIPOORCAMENTO="LICITADO",ORÇAMENTO.PrecoUnitarioLicitado&gt;$AN62)),"ACIMA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SEM CUSTO</v>
      </c>
      <c r="AD62" s="675" t="str">
        <f ca="1">IF(C62&lt;=CRONO.NivelExibicao,MAX($AD$15:OFFSET(AD62,-1,0))+IF($C62&lt;&gt;1,1,MAX(1,COUNTIF(QCI!$A$13:$A$15,OFFSET($E62,-1,0)))),"")</f>
        <v/>
      </c>
      <c r="AE62" s="671" t="str">
        <f ca="1">IF(AND($C62="S",ORÇAMENTO.CodBarra&lt;&gt;""),IF(ORÇAMENTO.Fonte="",ORÇAMENTO.CodBarra,CONCATENATE(ORÇAMENTO.Fonte," ",ORÇAMENTO.CodBarra)))</f>
        <v>Composição 001</v>
      </c>
      <c r="AF62" s="674" t="str">
        <f ca="1">IF(ISERROR(INDIRECT(ORÇAMENTO.BancoRef)),"(abra o arquivo 'Referência "&amp;Excel_BuiltIn_Database&amp;".xlsm)",IF(OR($C62&lt;&gt;"S",ORÇAMENTO.CodBarra=""),"(Sem Código)",IF(ISERROR(MATCH($AE62,INDIRECT(ORÇAMENTO.BancoRef),0)),"(Código não identificado nas referências)",MATCH($AE62,INDIRECT(ORÇAMENTO.BancoRef),0))))</f>
        <v>(abra o arquivo 'Referência 09-2025.xlsm)</v>
      </c>
      <c r="AG62" s="429">
        <f ca="1">ROUND(IF(DESONERACAO="sim",REFERENCIA.Desonerado,REFERENCIA.NaoDesonerado),2)</f>
        <v>0</v>
      </c>
      <c r="AH62" s="430">
        <f t="shared" ca="1" si="15"/>
        <v>0.24740000000000001</v>
      </c>
      <c r="AJ62" s="685">
        <v>3</v>
      </c>
      <c r="AL62" s="440"/>
      <c r="AM62" s="337">
        <f t="shared" ca="1" si="0"/>
        <v>0</v>
      </c>
      <c r="AN62" s="471">
        <f t="shared" ca="1" si="16"/>
        <v>0</v>
      </c>
    </row>
    <row r="63" spans="1:40" s="675" customFormat="1" ht="13.9" customHeight="1" x14ac:dyDescent="0.2">
      <c r="A63" s="675" t="str">
        <f t="shared" si="1"/>
        <v>S</v>
      </c>
      <c r="B63" s="675">
        <f t="shared" ca="1" si="2"/>
        <v>2</v>
      </c>
      <c r="C63" s="675" t="str">
        <f t="shared" ca="1" si="3"/>
        <v>S</v>
      </c>
      <c r="D63" s="675">
        <f t="shared" ca="1" si="4"/>
        <v>0</v>
      </c>
      <c r="E63" s="675">
        <f ca="1">IF($C63=1,OFFSET(E63,-1,0)+MAX(1,COUNTIF(QCI!$A$13:$A$15,OFFSET(ORÇAMENTO!E63,-1,0))),OFFSET(E63,-1,0))</f>
        <v>1</v>
      </c>
      <c r="F63" s="675">
        <f t="shared" ca="1" si="5"/>
        <v>5</v>
      </c>
      <c r="G63" s="675">
        <f t="shared" ca="1" si="6"/>
        <v>0</v>
      </c>
      <c r="H63" s="675">
        <f t="shared" ca="1" si="7"/>
        <v>0</v>
      </c>
      <c r="I63" s="675">
        <f t="shared" ca="1" si="8"/>
        <v>0</v>
      </c>
      <c r="J63" s="675">
        <f t="shared" ca="1" si="17"/>
        <v>0</v>
      </c>
      <c r="K63" s="675">
        <f ca="1">IF(OR($C63="S",$C63=0),0,MATCH(OFFSET($D63,0,$C63)+IF($C63&lt;&gt;1,1,COUNTIF(QCI!$A$13:$A$15,ORÇAMENTO!E63)),OFFSET($D63,1,$C63,ROW($C$231)-ROW($C63)),0))</f>
        <v>0</v>
      </c>
      <c r="L63" s="115" t="str">
        <f t="shared" ca="1" si="10"/>
        <v/>
      </c>
      <c r="M63" s="116" t="s">
        <v>706</v>
      </c>
      <c r="N63" s="117" t="str">
        <f t="shared" ca="1" si="11"/>
        <v>Serviço</v>
      </c>
      <c r="O63" s="118" t="str">
        <f t="shared" ca="1" si="12"/>
        <v>-</v>
      </c>
      <c r="P63" s="119" t="s">
        <v>968</v>
      </c>
      <c r="Q63" s="679" t="s">
        <v>989</v>
      </c>
      <c r="R63" s="121" t="str">
        <f ca="1">IF($C63="S",REFERENCIA.Descricao,"(digite a descrição aqui)")</f>
        <v>(abra o arquivo 'Referência 09-2025.xlsm)</v>
      </c>
      <c r="S63" s="122" t="str">
        <f ca="1">REFERENCIA.Unidade</f>
        <v>-</v>
      </c>
      <c r="T63" s="123">
        <f ca="1">OFFSET(CÁLCULO!H$15,ROW($T63)-ROW(T$15),0)</f>
        <v>2</v>
      </c>
      <c r="U63" s="124">
        <f ca="1">ROUND(IF(DESONERACAO="sim",REFERENCIA.Desonerado,REFERENCIA.NaoDesonerado),2)</f>
        <v>0</v>
      </c>
      <c r="V63" s="125" t="s">
        <v>664</v>
      </c>
      <c r="W63" s="123">
        <f ca="1">IF($C63="S",ROUND(IF(TIPOORCAMENTO="Proposto",ORÇAMENTO.CustoUnitario*(1+$AH63),ORÇAMENTO.PrecoUnitarioLicitado),15-13*$AF$10),0)</f>
        <v>0</v>
      </c>
      <c r="X63" s="126" cm="1">
        <f t="array" aca="1" ref="X63" ca="1">IF($C63="S",IF(OR(Import.TipoArredondamento&lt;&gt;"TransfereGOV",ACOMPANHAMENTO="BM"),VTOTAL1,SUM(OFFSET(CÁLCULO!$AA$15,ROW($X63)-ROW($X$15),1):OFFSET(CÁLCULO!$AL$15,ROW($X63)-ROW($X$15),-1))),IF($C63=0,0,ROUND(SomaAgrup,15-13*$AF$11)))</f>
        <v>0</v>
      </c>
      <c r="Y63" s="127" t="s">
        <v>752</v>
      </c>
      <c r="Z63" s="675" t="str">
        <f t="shared" ca="1" si="13"/>
        <v/>
      </c>
      <c r="AA63" s="128">
        <f ca="1">IF($C63="S",IF($Z63="CP",$X63,IF($Z63="RA",(($X63)*QCI!$AA$3),0)),SomaAgrup)</f>
        <v>0</v>
      </c>
      <c r="AB63" s="129">
        <f t="shared" ca="1" si="14"/>
        <v>0</v>
      </c>
      <c r="AC63" s="566"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IF(AND(_xlfn.SINGLE(TIPOORCAMENTO)="Licitado",$AL63=0,$AN63&gt;0),"SEM PREÇO",
IF(AND($C63="S",$P63&lt;&gt;"",$Q63&lt;&gt;"",$U63&gt;0,$V63=0),"BDI",
IF(OR(AND(TIPOORCAMENTO="Proposto",LEFT($O$8,5)&lt;&gt;"(N/D:",$AG63&lt;&gt;"",ORÇAMENTO.CustoUnitario&gt;$AG63),AND(TIPOORCAMENTO="LICITADO",ORÇAMENTO.PrecoUnitarioLicitado&gt;$AN63)),"ACIMA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SEM CUSTO</v>
      </c>
      <c r="AD63" s="675" t="str">
        <f ca="1">IF(C63&lt;=CRONO.NivelExibicao,MAX($AD$15:OFFSET(AD63,-1,0))+IF($C63&lt;&gt;1,1,MAX(1,COUNTIF(QCI!$A$13:$A$15,OFFSET($E63,-1,0)))),"")</f>
        <v/>
      </c>
      <c r="AE63" s="671" t="str">
        <f ca="1">IF(AND($C63="S",ORÇAMENTO.CodBarra&lt;&gt;""),IF(ORÇAMENTO.Fonte="",ORÇAMENTO.CodBarra,CONCATENATE(ORÇAMENTO.Fonte," ",ORÇAMENTO.CodBarra)))</f>
        <v>COPASA 65000329</v>
      </c>
      <c r="AF63" s="674" t="str">
        <f ca="1">IF(ISERROR(INDIRECT(ORÇAMENTO.BancoRef)),"(abra o arquivo 'Referência "&amp;Excel_BuiltIn_Database&amp;".xlsm)",IF(OR($C63&lt;&gt;"S",ORÇAMENTO.CodBarra=""),"(Sem Código)",IF(ISERROR(MATCH($AE63,INDIRECT(ORÇAMENTO.BancoRef),0)),"(Código não identificado nas referências)",MATCH($AE63,INDIRECT(ORÇAMENTO.BancoRef),0))))</f>
        <v>(abra o arquivo 'Referência 09-2025.xlsm)</v>
      </c>
      <c r="AG63" s="429">
        <f ca="1">ROUND(IF(DESONERACAO="sim",REFERENCIA.Desonerado,REFERENCIA.NaoDesonerado),2)</f>
        <v>0</v>
      </c>
      <c r="AH63" s="430">
        <f t="shared" ca="1" si="15"/>
        <v>0.24740000000000001</v>
      </c>
      <c r="AJ63" s="685">
        <v>2</v>
      </c>
      <c r="AL63" s="440"/>
      <c r="AM63" s="337">
        <f t="shared" ca="1" si="0"/>
        <v>0</v>
      </c>
      <c r="AN63" s="471">
        <f t="shared" ca="1" si="16"/>
        <v>0</v>
      </c>
    </row>
    <row r="64" spans="1:40" s="675" customFormat="1" x14ac:dyDescent="0.2">
      <c r="A64" s="675">
        <f t="shared" si="1"/>
        <v>2</v>
      </c>
      <c r="B64" s="675">
        <f t="shared" ca="1" si="2"/>
        <v>2</v>
      </c>
      <c r="C64" s="675">
        <f t="shared" ca="1" si="3"/>
        <v>2</v>
      </c>
      <c r="D64" s="675">
        <f t="shared" ca="1" si="4"/>
        <v>6</v>
      </c>
      <c r="E64" s="675">
        <f ca="1">IF($C64=1,OFFSET(E64,-1,0)+MAX(1,COUNTIF(QCI!$A$13:$A$15,OFFSET(ORÇAMENTO!E64,-1,0))),OFFSET(E64,-1,0))</f>
        <v>1</v>
      </c>
      <c r="F64" s="675">
        <f t="shared" ca="1" si="5"/>
        <v>6</v>
      </c>
      <c r="G64" s="675">
        <f t="shared" ca="1" si="6"/>
        <v>0</v>
      </c>
      <c r="H64" s="675">
        <f t="shared" ca="1" si="7"/>
        <v>0</v>
      </c>
      <c r="I64" s="675">
        <f t="shared" ca="1" si="8"/>
        <v>0</v>
      </c>
      <c r="J64" s="675">
        <f t="shared" ca="1" si="17"/>
        <v>167</v>
      </c>
      <c r="K64" s="675">
        <f ca="1">IF(OR($C64="S",$C64=0),0,MATCH(OFFSET($D64,0,$C64)+IF($C64&lt;&gt;1,1,COUNTIF(QCI!$A$13:$A$15,ORÇAMENTO!E64)),OFFSET($D64,1,$C64,ROW($C$231)-ROW($C64)),0))</f>
        <v>6</v>
      </c>
      <c r="L64" s="115" t="str">
        <f t="shared" ca="1" si="10"/>
        <v>F</v>
      </c>
      <c r="M64" s="116" t="s">
        <v>703</v>
      </c>
      <c r="N64" s="117" t="str">
        <f t="shared" ca="1" si="11"/>
        <v>Nível 2</v>
      </c>
      <c r="O64" s="118" t="str">
        <f t="shared" ca="1" si="12"/>
        <v>1.6.</v>
      </c>
      <c r="P64" s="119" t="s">
        <v>751</v>
      </c>
      <c r="Q64" s="120"/>
      <c r="R64" s="121" t="s">
        <v>992</v>
      </c>
      <c r="S64" s="122" t="str">
        <f ca="1">REFERENCIA.Unidade</f>
        <v>-</v>
      </c>
      <c r="T64" s="123">
        <f ca="1">OFFSET(CÁLCULO!H$15,ROW($T64)-ROW(T$15),0)</f>
        <v>0</v>
      </c>
      <c r="U64" s="124">
        <f ca="1">ROUND(IF(DESONERACAO="sim",REFERENCIA.Desonerado,REFERENCIA.NaoDesonerado),2)</f>
        <v>0</v>
      </c>
      <c r="V64" s="125" t="s">
        <v>664</v>
      </c>
      <c r="W64" s="123">
        <f ca="1">IF($C64="S",ROUND(IF(TIPOORCAMENTO="Proposto",ORÇAMENTO.CustoUnitario*(1+$AH64),ORÇAMENTO.PrecoUnitarioLicitado),15-13*$AF$10),0)</f>
        <v>0</v>
      </c>
      <c r="X64" s="126" cm="1">
        <f t="array" aca="1" ref="X64" ca="1">IF($C64="S",IF(OR(Import.TipoArredondamento&lt;&gt;"TransfereGOV",ACOMPANHAMENTO="BM"),VTOTAL1,SUM(OFFSET(CÁLCULO!$AA$15,ROW($X64)-ROW($X$15),1):OFFSET(CÁLCULO!$AL$15,ROW($X64)-ROW($X$15),-1))),IF($C64=0,0,ROUND(SomaAgrup,15-13*$AF$11)))</f>
        <v>0</v>
      </c>
      <c r="Y64" s="127" t="s">
        <v>752</v>
      </c>
      <c r="Z64" s="675" t="str">
        <f t="shared" ca="1" si="13"/>
        <v/>
      </c>
      <c r="AA64" s="128">
        <f ca="1">IF($C64="S",IF($Z64="CP",$X64,IF($Z64="RA",(($X64)*QCI!$AA$3),0)),SomaAgrup)</f>
        <v>0</v>
      </c>
      <c r="AB64" s="129">
        <f t="shared" ca="1" si="14"/>
        <v>0</v>
      </c>
      <c r="AC64" s="566" t="e"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IF(AND(_xlfn.SINGLE(TIPOORCAMENTO)="Licitado",$AL64=0,$AN64&gt;0),"SEM PREÇO",
IF(AND($C64="S",$P64&lt;&gt;"",$Q64&lt;&gt;"",$U64&gt;0,$V64=0),"BDI",
IF(OR(AND(TIPOORCAMENTO="Proposto",LEFT($O$8,5)&lt;&gt;"(N/D:",$AG64&lt;&gt;"",ORÇAMENTO.CustoUnitario&gt;$AG64),AND(TIPOORCAMENTO="LICITADO",ORÇAMENTO.PrecoUnitarioLicitado&gt;$AN64)),"ACIMA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#NAME?</v>
      </c>
      <c r="AD64" s="675">
        <f ca="1">IF(C64&lt;=CRONO.NivelExibicao,MAX($AD$15:OFFSET(AD64,-1,0))+IF($C64&lt;&gt;1,1,MAX(1,COUNTIF(QCI!$A$13:$A$15,OFFSET($E64,-1,0)))),"")</f>
        <v>7</v>
      </c>
      <c r="AE64" s="671" t="b">
        <f ca="1">IF(AND($C64="S",ORÇAMENTO.CodBarra&lt;&gt;""),IF(ORÇAMENTO.Fonte="",ORÇAMENTO.CodBarra,CONCATENATE(ORÇAMENTO.Fonte," ",ORÇAMENTO.CodBarra)))</f>
        <v>0</v>
      </c>
      <c r="AF64" s="674" t="str">
        <f ca="1">IF(ISERROR(INDIRECT(ORÇAMENTO.BancoRef)),"(abra o arquivo 'Referência "&amp;Excel_BuiltIn_Database&amp;".xlsm)",IF(OR($C64&lt;&gt;"S",ORÇAMENTO.CodBarra=""),"(Sem Código)",IF(ISERROR(MATCH($AE64,INDIRECT(ORÇAMENTO.BancoRef),0)),"(Código não identificado nas referências)",MATCH($AE64,INDIRECT(ORÇAMENTO.BancoRef),0))))</f>
        <v>(abra o arquivo 'Referência 09-2025.xlsm)</v>
      </c>
      <c r="AG64" s="429">
        <f ca="1">ROUND(IF(DESONERACAO="sim",REFERENCIA.Desonerado,REFERENCIA.NaoDesonerado),2)</f>
        <v>0</v>
      </c>
      <c r="AH64" s="430">
        <f t="shared" ca="1" si="15"/>
        <v>0.24740000000000001</v>
      </c>
      <c r="AJ64" s="685">
        <v>2</v>
      </c>
      <c r="AL64" s="440"/>
      <c r="AM64" s="337">
        <f t="shared" ca="1" si="0"/>
        <v>0</v>
      </c>
      <c r="AN64" s="471">
        <f t="shared" ca="1" si="16"/>
        <v>0</v>
      </c>
    </row>
    <row r="65" spans="1:40" s="675" customFormat="1" ht="13.9" customHeight="1" x14ac:dyDescent="0.2">
      <c r="A65" s="675" t="str">
        <f t="shared" si="1"/>
        <v>S</v>
      </c>
      <c r="B65" s="675">
        <f t="shared" ca="1" si="2"/>
        <v>2</v>
      </c>
      <c r="C65" s="675" t="str">
        <f t="shared" ca="1" si="3"/>
        <v>S</v>
      </c>
      <c r="D65" s="675">
        <f t="shared" ca="1" si="4"/>
        <v>0</v>
      </c>
      <c r="E65" s="675">
        <f ca="1">IF($C65=1,OFFSET(E65,-1,0)+MAX(1,COUNTIF(QCI!$A$13:$A$15,OFFSET(ORÇAMENTO!E65,-1,0))),OFFSET(E65,-1,0))</f>
        <v>1</v>
      </c>
      <c r="F65" s="675">
        <f t="shared" ca="1" si="5"/>
        <v>6</v>
      </c>
      <c r="G65" s="675">
        <f t="shared" ca="1" si="6"/>
        <v>0</v>
      </c>
      <c r="H65" s="675">
        <f t="shared" ca="1" si="7"/>
        <v>0</v>
      </c>
      <c r="I65" s="675">
        <f t="shared" ca="1" si="8"/>
        <v>0</v>
      </c>
      <c r="J65" s="675">
        <f t="shared" ca="1" si="17"/>
        <v>0</v>
      </c>
      <c r="K65" s="675">
        <f ca="1">IF(OR($C65="S",$C65=0),0,MATCH(OFFSET($D65,0,$C65)+IF($C65&lt;&gt;1,1,COUNTIF(QCI!$A$13:$A$15,ORÇAMENTO!E65)),OFFSET($D65,1,$C65,ROW($C$231)-ROW($C65)),0))</f>
        <v>0</v>
      </c>
      <c r="L65" s="115" t="str">
        <f t="shared" ca="1" si="10"/>
        <v/>
      </c>
      <c r="M65" s="116" t="s">
        <v>706</v>
      </c>
      <c r="N65" s="117" t="str">
        <f t="shared" ca="1" si="11"/>
        <v>Serviço</v>
      </c>
      <c r="O65" s="118" t="str">
        <f t="shared" ca="1" si="12"/>
        <v>-</v>
      </c>
      <c r="P65" s="119" t="s">
        <v>968</v>
      </c>
      <c r="Q65" s="680" t="s">
        <v>990</v>
      </c>
      <c r="R65" s="121" t="str">
        <f ca="1">IF($C65="S",REFERENCIA.Descricao,"(digite a descrição aqui)")</f>
        <v>(abra o arquivo 'Referência 09-2025.xlsm)</v>
      </c>
      <c r="S65" s="122" t="str">
        <f ca="1">REFERENCIA.Unidade</f>
        <v>-</v>
      </c>
      <c r="T65" s="123">
        <f ca="1">OFFSET(CÁLCULO!H$15,ROW($T65)-ROW(T$15),0)</f>
        <v>8</v>
      </c>
      <c r="U65" s="124">
        <f ca="1">ROUND(IF(DESONERACAO="sim",REFERENCIA.Desonerado,REFERENCIA.NaoDesonerado),2)</f>
        <v>0</v>
      </c>
      <c r="V65" s="125" t="s">
        <v>664</v>
      </c>
      <c r="W65" s="123">
        <f ca="1">IF($C65="S",ROUND(IF(TIPOORCAMENTO="Proposto",ORÇAMENTO.CustoUnitario*(1+$AH65),ORÇAMENTO.PrecoUnitarioLicitado),15-13*$AF$10),0)</f>
        <v>0</v>
      </c>
      <c r="X65" s="126" cm="1">
        <f t="array" aca="1" ref="X65" ca="1">IF($C65="S",IF(OR(Import.TipoArredondamento&lt;&gt;"TransfereGOV",ACOMPANHAMENTO="BM"),VTOTAL1,SUM(OFFSET(CÁLCULO!$AA$15,ROW($X65)-ROW($X$15),1):OFFSET(CÁLCULO!$AL$15,ROW($X65)-ROW($X$15),-1))),IF($C65=0,0,ROUND(SomaAgrup,15-13*$AF$11)))</f>
        <v>0</v>
      </c>
      <c r="Y65" s="127" t="s">
        <v>752</v>
      </c>
      <c r="Z65" s="675" t="str">
        <f t="shared" ca="1" si="13"/>
        <v/>
      </c>
      <c r="AA65" s="128">
        <f ca="1">IF($C65="S",IF($Z65="CP",$X65,IF($Z65="RA",(($X65)*QCI!$AA$3),0)),SomaAgrup)</f>
        <v>0</v>
      </c>
      <c r="AB65" s="129">
        <f t="shared" ca="1" si="14"/>
        <v>0</v>
      </c>
      <c r="AC65" s="566"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IF(AND(_xlfn.SINGLE(TIPOORCAMENTO)="Licitado",$AL65=0,$AN65&gt;0),"SEM PREÇO",
IF(AND($C65="S",$P65&lt;&gt;"",$Q65&lt;&gt;"",$U65&gt;0,$V65=0),"BDI",
IF(OR(AND(TIPOORCAMENTO="Proposto",LEFT($O$8,5)&lt;&gt;"(N/D:",$AG65&lt;&gt;"",ORÇAMENTO.CustoUnitario&gt;$AG65),AND(TIPOORCAMENTO="LICITADO",ORÇAMENTO.PrecoUnitarioLicitado&gt;$AN65)),"ACIMA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SEM CUSTO</v>
      </c>
      <c r="AD65" s="675" t="str">
        <f ca="1">IF(C65&lt;=CRONO.NivelExibicao,MAX($AD$15:OFFSET(AD65,-1,0))+IF($C65&lt;&gt;1,1,MAX(1,COUNTIF(QCI!$A$13:$A$15,OFFSET($E65,-1,0)))),"")</f>
        <v/>
      </c>
      <c r="AE65" s="671" t="str">
        <f ca="1">IF(AND($C65="S",ORÇAMENTO.CodBarra&lt;&gt;""),IF(ORÇAMENTO.Fonte="",ORÇAMENTO.CodBarra,CONCATENATE(ORÇAMENTO.Fonte," ",ORÇAMENTO.CodBarra)))</f>
        <v>COPASA 65000313</v>
      </c>
      <c r="AF65" s="674" t="str">
        <f ca="1">IF(ISERROR(INDIRECT(ORÇAMENTO.BancoRef)),"(abra o arquivo 'Referência "&amp;Excel_BuiltIn_Database&amp;".xlsm)",IF(OR($C65&lt;&gt;"S",ORÇAMENTO.CodBarra=""),"(Sem Código)",IF(ISERROR(MATCH($AE65,INDIRECT(ORÇAMENTO.BancoRef),0)),"(Código não identificado nas referências)",MATCH($AE65,INDIRECT(ORÇAMENTO.BancoRef),0))))</f>
        <v>(abra o arquivo 'Referência 09-2025.xlsm)</v>
      </c>
      <c r="AG65" s="429">
        <f ca="1">ROUND(IF(DESONERACAO="sim",REFERENCIA.Desonerado,REFERENCIA.NaoDesonerado),2)</f>
        <v>0</v>
      </c>
      <c r="AH65" s="430">
        <f t="shared" ca="1" si="15"/>
        <v>0.24740000000000001</v>
      </c>
      <c r="AJ65" s="685">
        <v>8</v>
      </c>
      <c r="AL65" s="440"/>
      <c r="AM65" s="337">
        <f t="shared" ca="1" si="0"/>
        <v>0</v>
      </c>
      <c r="AN65" s="471">
        <f t="shared" ca="1" si="16"/>
        <v>0</v>
      </c>
    </row>
    <row r="66" spans="1:40" s="675" customFormat="1" ht="13.9" customHeight="1" x14ac:dyDescent="0.2">
      <c r="A66" s="675" t="str">
        <f t="shared" si="1"/>
        <v>S</v>
      </c>
      <c r="B66" s="675">
        <f t="shared" ca="1" si="2"/>
        <v>2</v>
      </c>
      <c r="C66" s="675" t="str">
        <f t="shared" ca="1" si="3"/>
        <v>S</v>
      </c>
      <c r="D66" s="675">
        <f t="shared" ca="1" si="4"/>
        <v>0</v>
      </c>
      <c r="E66" s="675">
        <f ca="1">IF($C66=1,OFFSET(E66,-1,0)+MAX(1,COUNTIF(QCI!$A$13:$A$15,OFFSET(ORÇAMENTO!E66,-1,0))),OFFSET(E66,-1,0))</f>
        <v>1</v>
      </c>
      <c r="F66" s="675">
        <f t="shared" ca="1" si="5"/>
        <v>6</v>
      </c>
      <c r="G66" s="675">
        <f t="shared" ca="1" si="6"/>
        <v>0</v>
      </c>
      <c r="H66" s="675">
        <f t="shared" ca="1" si="7"/>
        <v>0</v>
      </c>
      <c r="I66" s="675">
        <f t="shared" ca="1" si="8"/>
        <v>0</v>
      </c>
      <c r="J66" s="675">
        <f t="shared" ca="1" si="17"/>
        <v>0</v>
      </c>
      <c r="K66" s="675">
        <f ca="1">IF(OR($C66="S",$C66=0),0,MATCH(OFFSET($D66,0,$C66)+IF($C66&lt;&gt;1,1,COUNTIF(QCI!$A$13:$A$15,ORÇAMENTO!E66)),OFFSET($D66,1,$C66,ROW($C$231)-ROW($C66)),0))</f>
        <v>0</v>
      </c>
      <c r="L66" s="115" t="str">
        <f t="shared" ca="1" si="10"/>
        <v/>
      </c>
      <c r="M66" s="116" t="s">
        <v>706</v>
      </c>
      <c r="N66" s="117" t="str">
        <f t="shared" ca="1" si="11"/>
        <v>Serviço</v>
      </c>
      <c r="O66" s="118" t="str">
        <f t="shared" ca="1" si="12"/>
        <v>-</v>
      </c>
      <c r="P66" s="119" t="s">
        <v>968</v>
      </c>
      <c r="Q66" s="680" t="s">
        <v>991</v>
      </c>
      <c r="R66" s="121" t="str">
        <f ca="1">IF($C66="S",REFERENCIA.Descricao,"(digite a descrição aqui)")</f>
        <v>(abra o arquivo 'Referência 09-2025.xlsm)</v>
      </c>
      <c r="S66" s="122" t="str">
        <f ca="1">REFERENCIA.Unidade</f>
        <v>-</v>
      </c>
      <c r="T66" s="123">
        <f ca="1">OFFSET(CÁLCULO!H$15,ROW($T66)-ROW(T$15),0)</f>
        <v>6.3</v>
      </c>
      <c r="U66" s="124">
        <f ca="1">ROUND(IF(DESONERACAO="sim",REFERENCIA.Desonerado,REFERENCIA.NaoDesonerado),2)</f>
        <v>0</v>
      </c>
      <c r="V66" s="125" t="s">
        <v>664</v>
      </c>
      <c r="W66" s="123">
        <f ca="1">IF($C66="S",ROUND(IF(TIPOORCAMENTO="Proposto",ORÇAMENTO.CustoUnitario*(1+$AH66),ORÇAMENTO.PrecoUnitarioLicitado),15-13*$AF$10),0)</f>
        <v>0</v>
      </c>
      <c r="X66" s="126" cm="1">
        <f t="array" aca="1" ref="X66" ca="1">IF($C66="S",IF(OR(Import.TipoArredondamento&lt;&gt;"TransfereGOV",ACOMPANHAMENTO="BM"),VTOTAL1,SUM(OFFSET(CÁLCULO!$AA$15,ROW($X66)-ROW($X$15),1):OFFSET(CÁLCULO!$AL$15,ROW($X66)-ROW($X$15),-1))),IF($C66=0,0,ROUND(SomaAgrup,15-13*$AF$11)))</f>
        <v>0</v>
      </c>
      <c r="Y66" s="127" t="s">
        <v>752</v>
      </c>
      <c r="Z66" s="675" t="str">
        <f t="shared" ca="1" si="13"/>
        <v/>
      </c>
      <c r="AA66" s="128">
        <f ca="1">IF($C66="S",IF($Z66="CP",$X66,IF($Z66="RA",(($X66)*QCI!$AA$3),0)),SomaAgrup)</f>
        <v>0</v>
      </c>
      <c r="AB66" s="129">
        <f t="shared" ca="1" si="14"/>
        <v>0</v>
      </c>
      <c r="AC66" s="566"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IF(AND(_xlfn.SINGLE(TIPOORCAMENTO)="Licitado",$AL66=0,$AN66&gt;0),"SEM PREÇO",
IF(AND($C66="S",$P66&lt;&gt;"",$Q66&lt;&gt;"",$U66&gt;0,$V66=0),"BDI",
IF(OR(AND(TIPOORCAMENTO="Proposto",LEFT($O$8,5)&lt;&gt;"(N/D:",$AG66&lt;&gt;"",ORÇAMENTO.CustoUnitario&gt;$AG66),AND(TIPOORCAMENTO="LICITADO",ORÇAMENTO.PrecoUnitarioLicitado&gt;$AN66)),"ACIMA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SEM CUSTO</v>
      </c>
      <c r="AD66" s="675" t="str">
        <f ca="1">IF(C66&lt;=CRONO.NivelExibicao,MAX($AD$15:OFFSET(AD66,-1,0))+IF($C66&lt;&gt;1,1,MAX(1,COUNTIF(QCI!$A$13:$A$15,OFFSET($E66,-1,0)))),"")</f>
        <v/>
      </c>
      <c r="AE66" s="671" t="str">
        <f ca="1">IF(AND($C66="S",ORÇAMENTO.CodBarra&lt;&gt;""),IF(ORÇAMENTO.Fonte="",ORÇAMENTO.CodBarra,CONCATENATE(ORÇAMENTO.Fonte," ",ORÇAMENTO.CodBarra)))</f>
        <v>COPASA 65002838</v>
      </c>
      <c r="AF66" s="674" t="str">
        <f ca="1">IF(ISERROR(INDIRECT(ORÇAMENTO.BancoRef)),"(abra o arquivo 'Referência "&amp;Excel_BuiltIn_Database&amp;".xlsm)",IF(OR($C66&lt;&gt;"S",ORÇAMENTO.CodBarra=""),"(Sem Código)",IF(ISERROR(MATCH($AE66,INDIRECT(ORÇAMENTO.BancoRef),0)),"(Código não identificado nas referências)",MATCH($AE66,INDIRECT(ORÇAMENTO.BancoRef),0))))</f>
        <v>(abra o arquivo 'Referência 09-2025.xlsm)</v>
      </c>
      <c r="AG66" s="429">
        <f ca="1">ROUND(IF(DESONERACAO="sim",REFERENCIA.Desonerado,REFERENCIA.NaoDesonerado),2)</f>
        <v>0</v>
      </c>
      <c r="AH66" s="430">
        <f t="shared" ca="1" si="15"/>
        <v>0.24740000000000001</v>
      </c>
      <c r="AJ66" s="685">
        <v>6.3</v>
      </c>
      <c r="AL66" s="440"/>
      <c r="AM66" s="337">
        <f t="shared" ca="1" si="0"/>
        <v>0</v>
      </c>
      <c r="AN66" s="471">
        <f t="shared" ca="1" si="16"/>
        <v>0</v>
      </c>
    </row>
    <row r="67" spans="1:40" s="675" customFormat="1" ht="13.9" customHeight="1" x14ac:dyDescent="0.2">
      <c r="A67" s="675" t="str">
        <f t="shared" si="1"/>
        <v>S</v>
      </c>
      <c r="B67" s="675">
        <f t="shared" ca="1" si="2"/>
        <v>2</v>
      </c>
      <c r="C67" s="675" t="str">
        <f t="shared" ca="1" si="3"/>
        <v>S</v>
      </c>
      <c r="D67" s="675">
        <f t="shared" ca="1" si="4"/>
        <v>0</v>
      </c>
      <c r="E67" s="675">
        <f ca="1">IF($C67=1,OFFSET(E67,-1,0)+MAX(1,COUNTIF(QCI!$A$13:$A$15,OFFSET(ORÇAMENTO!E67,-1,0))),OFFSET(E67,-1,0))</f>
        <v>1</v>
      </c>
      <c r="F67" s="675">
        <f t="shared" ca="1" si="5"/>
        <v>6</v>
      </c>
      <c r="G67" s="675">
        <f t="shared" ca="1" si="6"/>
        <v>0</v>
      </c>
      <c r="H67" s="675">
        <f t="shared" ca="1" si="7"/>
        <v>0</v>
      </c>
      <c r="I67" s="675">
        <f t="shared" ca="1" si="8"/>
        <v>0</v>
      </c>
      <c r="J67" s="675">
        <f t="shared" ca="1" si="17"/>
        <v>0</v>
      </c>
      <c r="K67" s="675">
        <f ca="1">IF(OR($C67="S",$C67=0),0,MATCH(OFFSET($D67,0,$C67)+IF($C67&lt;&gt;1,1,COUNTIF(QCI!$A$13:$A$15,ORÇAMENTO!E67)),OFFSET($D67,1,$C67,ROW($C$231)-ROW($C67)),0))</f>
        <v>0</v>
      </c>
      <c r="L67" s="115" t="str">
        <f t="shared" ca="1" si="10"/>
        <v/>
      </c>
      <c r="M67" s="116" t="s">
        <v>706</v>
      </c>
      <c r="N67" s="117" t="str">
        <f t="shared" ca="1" si="11"/>
        <v>Serviço</v>
      </c>
      <c r="O67" s="118" t="str">
        <f t="shared" ca="1" si="12"/>
        <v>-</v>
      </c>
      <c r="P67" s="119" t="s">
        <v>968</v>
      </c>
      <c r="Q67" s="680" t="s">
        <v>990</v>
      </c>
      <c r="R67" s="121" t="str">
        <f ca="1">IF($C67="S",REFERENCIA.Descricao,"(digite a descrição aqui)")</f>
        <v>(abra o arquivo 'Referência 09-2025.xlsm)</v>
      </c>
      <c r="S67" s="122" t="str">
        <f ca="1">REFERENCIA.Unidade</f>
        <v>-</v>
      </c>
      <c r="T67" s="123">
        <f ca="1">OFFSET(CÁLCULO!H$15,ROW($T67)-ROW(T$15),0)</f>
        <v>2</v>
      </c>
      <c r="U67" s="124">
        <f ca="1">ROUND(IF(DESONERACAO="sim",REFERENCIA.Desonerado,REFERENCIA.NaoDesonerado),2)</f>
        <v>0</v>
      </c>
      <c r="V67" s="125" t="s">
        <v>664</v>
      </c>
      <c r="W67" s="123">
        <f ca="1">IF($C67="S",ROUND(IF(TIPOORCAMENTO="Proposto",ORÇAMENTO.CustoUnitario*(1+$AH67),ORÇAMENTO.PrecoUnitarioLicitado),15-13*$AF$10),0)</f>
        <v>0</v>
      </c>
      <c r="X67" s="126" cm="1">
        <f t="array" aca="1" ref="X67" ca="1">IF($C67="S",IF(OR(Import.TipoArredondamento&lt;&gt;"TransfereGOV",ACOMPANHAMENTO="BM"),VTOTAL1,SUM(OFFSET(CÁLCULO!$AA$15,ROW($X67)-ROW($X$15),1):OFFSET(CÁLCULO!$AL$15,ROW($X67)-ROW($X$15),-1))),IF($C67=0,0,ROUND(SomaAgrup,15-13*$AF$11)))</f>
        <v>0</v>
      </c>
      <c r="Y67" s="127" t="s">
        <v>752</v>
      </c>
      <c r="Z67" s="675" t="str">
        <f t="shared" ca="1" si="13"/>
        <v/>
      </c>
      <c r="AA67" s="128">
        <f ca="1">IF($C67="S",IF($Z67="CP",$X67,IF($Z67="RA",(($X67)*QCI!$AA$3),0)),SomaAgrup)</f>
        <v>0</v>
      </c>
      <c r="AB67" s="129">
        <f t="shared" ca="1" si="14"/>
        <v>0</v>
      </c>
      <c r="AC67" s="566"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IF(AND(_xlfn.SINGLE(TIPOORCAMENTO)="Licitado",$AL67=0,$AN67&gt;0),"SEM PREÇO",
IF(AND($C67="S",$P67&lt;&gt;"",$Q67&lt;&gt;"",$U67&gt;0,$V67=0),"BDI",
IF(OR(AND(TIPOORCAMENTO="Proposto",LEFT($O$8,5)&lt;&gt;"(N/D:",$AG67&lt;&gt;"",ORÇAMENTO.CustoUnitario&gt;$AG67),AND(TIPOORCAMENTO="LICITADO",ORÇAMENTO.PrecoUnitarioLicitado&gt;$AN67)),"ACIMA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SEM CUSTO</v>
      </c>
      <c r="AD67" s="675" t="str">
        <f ca="1">IF(C67&lt;=CRONO.NivelExibicao,MAX($AD$15:OFFSET(AD67,-1,0))+IF($C67&lt;&gt;1,1,MAX(1,COUNTIF(QCI!$A$13:$A$15,OFFSET($E67,-1,0)))),"")</f>
        <v/>
      </c>
      <c r="AE67" s="671" t="str">
        <f ca="1">IF(AND($C67="S",ORÇAMENTO.CodBarra&lt;&gt;""),IF(ORÇAMENTO.Fonte="",ORÇAMENTO.CodBarra,CONCATENATE(ORÇAMENTO.Fonte," ",ORÇAMENTO.CodBarra)))</f>
        <v>COPASA 65000313</v>
      </c>
      <c r="AF67" s="674" t="str">
        <f ca="1">IF(ISERROR(INDIRECT(ORÇAMENTO.BancoRef)),"(abra o arquivo 'Referência "&amp;Excel_BuiltIn_Database&amp;".xlsm)",IF(OR($C67&lt;&gt;"S",ORÇAMENTO.CodBarra=""),"(Sem Código)",IF(ISERROR(MATCH($AE67,INDIRECT(ORÇAMENTO.BancoRef),0)),"(Código não identificado nas referências)",MATCH($AE67,INDIRECT(ORÇAMENTO.BancoRef),0))))</f>
        <v>(abra o arquivo 'Referência 09-2025.xlsm)</v>
      </c>
      <c r="AG67" s="429">
        <f ca="1">ROUND(IF(DESONERACAO="sim",REFERENCIA.Desonerado,REFERENCIA.NaoDesonerado),2)</f>
        <v>0</v>
      </c>
      <c r="AH67" s="430">
        <f t="shared" ca="1" si="15"/>
        <v>0.24740000000000001</v>
      </c>
      <c r="AJ67" s="685">
        <v>2</v>
      </c>
      <c r="AL67" s="440"/>
      <c r="AM67" s="337">
        <f t="shared" ca="1" si="0"/>
        <v>0</v>
      </c>
      <c r="AN67" s="471">
        <f t="shared" ca="1" si="16"/>
        <v>0</v>
      </c>
    </row>
    <row r="68" spans="1:40" s="675" customFormat="1" ht="13.9" customHeight="1" x14ac:dyDescent="0.2">
      <c r="A68" s="675" t="str">
        <f t="shared" si="1"/>
        <v>S</v>
      </c>
      <c r="B68" s="675">
        <f t="shared" ca="1" si="2"/>
        <v>2</v>
      </c>
      <c r="C68" s="675" t="str">
        <f t="shared" ca="1" si="3"/>
        <v>S</v>
      </c>
      <c r="D68" s="675">
        <f t="shared" ca="1" si="4"/>
        <v>0</v>
      </c>
      <c r="E68" s="675">
        <f ca="1">IF($C68=1,OFFSET(E68,-1,0)+MAX(1,COUNTIF(QCI!$A$13:$A$15,OFFSET(ORÇAMENTO!E68,-1,0))),OFFSET(E68,-1,0))</f>
        <v>1</v>
      </c>
      <c r="F68" s="675">
        <f t="shared" ca="1" si="5"/>
        <v>6</v>
      </c>
      <c r="G68" s="675">
        <f t="shared" ca="1" si="6"/>
        <v>0</v>
      </c>
      <c r="H68" s="675">
        <f t="shared" ca="1" si="7"/>
        <v>0</v>
      </c>
      <c r="I68" s="675">
        <f t="shared" ca="1" si="8"/>
        <v>0</v>
      </c>
      <c r="J68" s="675">
        <f t="shared" ca="1" si="17"/>
        <v>0</v>
      </c>
      <c r="K68" s="675">
        <f ca="1">IF(OR($C68="S",$C68=0),0,MATCH(OFFSET($D68,0,$C68)+IF($C68&lt;&gt;1,1,COUNTIF(QCI!$A$13:$A$15,ORÇAMENTO!E68)),OFFSET($D68,1,$C68,ROW($C$231)-ROW($C68)),0))</f>
        <v>0</v>
      </c>
      <c r="L68" s="115" t="str">
        <f t="shared" ca="1" si="10"/>
        <v/>
      </c>
      <c r="M68" s="116" t="s">
        <v>706</v>
      </c>
      <c r="N68" s="117" t="str">
        <f t="shared" ca="1" si="11"/>
        <v>Serviço</v>
      </c>
      <c r="O68" s="118" t="str">
        <f t="shared" ca="1" si="12"/>
        <v>-</v>
      </c>
      <c r="P68" s="119" t="s">
        <v>968</v>
      </c>
      <c r="Q68" s="680" t="s">
        <v>991</v>
      </c>
      <c r="R68" s="121" t="str">
        <f ca="1">IF($C68="S",REFERENCIA.Descricao,"(digite a descrição aqui)")</f>
        <v>(abra o arquivo 'Referência 09-2025.xlsm)</v>
      </c>
      <c r="S68" s="122" t="str">
        <f ca="1">REFERENCIA.Unidade</f>
        <v>-</v>
      </c>
      <c r="T68" s="123">
        <f ca="1">OFFSET(CÁLCULO!H$15,ROW($T68)-ROW(T$15),0)</f>
        <v>2.4</v>
      </c>
      <c r="U68" s="124">
        <f ca="1">ROUND(IF(DESONERACAO="sim",REFERENCIA.Desonerado,REFERENCIA.NaoDesonerado),2)</f>
        <v>0</v>
      </c>
      <c r="V68" s="125" t="s">
        <v>664</v>
      </c>
      <c r="W68" s="123">
        <f ca="1">IF($C68="S",ROUND(IF(TIPOORCAMENTO="Proposto",ORÇAMENTO.CustoUnitario*(1+$AH68),ORÇAMENTO.PrecoUnitarioLicitado),15-13*$AF$10),0)</f>
        <v>0</v>
      </c>
      <c r="X68" s="126" cm="1">
        <f t="array" aca="1" ref="X68" ca="1">IF($C68="S",IF(OR(Import.TipoArredondamento&lt;&gt;"TransfereGOV",ACOMPANHAMENTO="BM"),VTOTAL1,SUM(OFFSET(CÁLCULO!$AA$15,ROW($X68)-ROW($X$15),1):OFFSET(CÁLCULO!$AL$15,ROW($X68)-ROW($X$15),-1))),IF($C68=0,0,ROUND(SomaAgrup,15-13*$AF$11)))</f>
        <v>0</v>
      </c>
      <c r="Y68" s="127" t="s">
        <v>752</v>
      </c>
      <c r="Z68" s="675" t="str">
        <f t="shared" ca="1" si="13"/>
        <v/>
      </c>
      <c r="AA68" s="128">
        <f ca="1">IF($C68="S",IF($Z68="CP",$X68,IF($Z68="RA",(($X68)*QCI!$AA$3),0)),SomaAgrup)</f>
        <v>0</v>
      </c>
      <c r="AB68" s="129">
        <f t="shared" ca="1" si="14"/>
        <v>0</v>
      </c>
      <c r="AC68" s="566"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IF(AND(_xlfn.SINGLE(TIPOORCAMENTO)="Licitado",$AL68=0,$AN68&gt;0),"SEM PREÇO",
IF(AND($C68="S",$P68&lt;&gt;"",$Q68&lt;&gt;"",$U68&gt;0,$V68=0),"BDI",
IF(OR(AND(TIPOORCAMENTO="Proposto",LEFT($O$8,5)&lt;&gt;"(N/D:",$AG68&lt;&gt;"",ORÇAMENTO.CustoUnitario&gt;$AG68),AND(TIPOORCAMENTO="LICITADO",ORÇAMENTO.PrecoUnitarioLicitado&gt;$AN68)),"ACIMA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SEM CUSTO</v>
      </c>
      <c r="AD68" s="675" t="str">
        <f ca="1">IF(C68&lt;=CRONO.NivelExibicao,MAX($AD$15:OFFSET(AD68,-1,0))+IF($C68&lt;&gt;1,1,MAX(1,COUNTIF(QCI!$A$13:$A$15,OFFSET($E68,-1,0)))),"")</f>
        <v/>
      </c>
      <c r="AE68" s="671" t="str">
        <f ca="1">IF(AND($C68="S",ORÇAMENTO.CodBarra&lt;&gt;""),IF(ORÇAMENTO.Fonte="",ORÇAMENTO.CodBarra,CONCATENATE(ORÇAMENTO.Fonte," ",ORÇAMENTO.CodBarra)))</f>
        <v>COPASA 65002838</v>
      </c>
      <c r="AF68" s="674" t="str">
        <f ca="1">IF(ISERROR(INDIRECT(ORÇAMENTO.BancoRef)),"(abra o arquivo 'Referência "&amp;Excel_BuiltIn_Database&amp;".xlsm)",IF(OR($C68&lt;&gt;"S",ORÇAMENTO.CodBarra=""),"(Sem Código)",IF(ISERROR(MATCH($AE68,INDIRECT(ORÇAMENTO.BancoRef),0)),"(Código não identificado nas referências)",MATCH($AE68,INDIRECT(ORÇAMENTO.BancoRef),0))))</f>
        <v>(abra o arquivo 'Referência 09-2025.xlsm)</v>
      </c>
      <c r="AG68" s="429">
        <f ca="1">ROUND(IF(DESONERACAO="sim",REFERENCIA.Desonerado,REFERENCIA.NaoDesonerado),2)</f>
        <v>0</v>
      </c>
      <c r="AH68" s="430">
        <f t="shared" ca="1" si="15"/>
        <v>0.24740000000000001</v>
      </c>
      <c r="AJ68" s="685">
        <v>2.4</v>
      </c>
      <c r="AL68" s="440"/>
      <c r="AM68" s="337">
        <f t="shared" ca="1" si="0"/>
        <v>0</v>
      </c>
      <c r="AN68" s="471">
        <f t="shared" ca="1" si="16"/>
        <v>0</v>
      </c>
    </row>
    <row r="69" spans="1:40" s="675" customFormat="1" ht="13.9" customHeight="1" x14ac:dyDescent="0.2">
      <c r="A69" s="675" t="str">
        <f t="shared" si="1"/>
        <v>S</v>
      </c>
      <c r="B69" s="675">
        <f t="shared" ca="1" si="2"/>
        <v>2</v>
      </c>
      <c r="C69" s="675" t="str">
        <f t="shared" ca="1" si="3"/>
        <v>S</v>
      </c>
      <c r="D69" s="675">
        <f t="shared" ca="1" si="4"/>
        <v>0</v>
      </c>
      <c r="E69" s="675">
        <f ca="1">IF($C69=1,OFFSET(E69,-1,0)+MAX(1,COUNTIF(QCI!$A$13:$A$15,OFFSET(ORÇAMENTO!E69,-1,0))),OFFSET(E69,-1,0))</f>
        <v>1</v>
      </c>
      <c r="F69" s="675">
        <f t="shared" ca="1" si="5"/>
        <v>6</v>
      </c>
      <c r="G69" s="675">
        <f t="shared" ca="1" si="6"/>
        <v>0</v>
      </c>
      <c r="H69" s="675">
        <f t="shared" ca="1" si="7"/>
        <v>0</v>
      </c>
      <c r="I69" s="675">
        <f t="shared" ca="1" si="8"/>
        <v>0</v>
      </c>
      <c r="J69" s="675">
        <f t="shared" ca="1" si="17"/>
        <v>0</v>
      </c>
      <c r="K69" s="675">
        <f ca="1">IF(OR($C69="S",$C69=0),0,MATCH(OFFSET($D69,0,$C69)+IF($C69&lt;&gt;1,1,COUNTIF(QCI!$A$13:$A$15,ORÇAMENTO!E69)),OFFSET($D69,1,$C69,ROW($C$231)-ROW($C69)),0))</f>
        <v>0</v>
      </c>
      <c r="L69" s="115" t="str">
        <f t="shared" ca="1" si="10"/>
        <v/>
      </c>
      <c r="M69" s="116" t="s">
        <v>706</v>
      </c>
      <c r="N69" s="117" t="str">
        <f t="shared" ca="1" si="11"/>
        <v>Serviço</v>
      </c>
      <c r="O69" s="118" t="str">
        <f t="shared" ca="1" si="12"/>
        <v>-</v>
      </c>
      <c r="P69" s="119" t="s">
        <v>968</v>
      </c>
      <c r="Q69" s="680" t="s">
        <v>989</v>
      </c>
      <c r="R69" s="121" t="str">
        <f ca="1">IF($C69="S",REFERENCIA.Descricao,"(digite a descrição aqui)")</f>
        <v>(abra o arquivo 'Referência 09-2025.xlsm)</v>
      </c>
      <c r="S69" s="122" t="str">
        <f ca="1">REFERENCIA.Unidade</f>
        <v>-</v>
      </c>
      <c r="T69" s="123">
        <f ca="1">OFFSET(CÁLCULO!H$15,ROW($T69)-ROW(T$15),0)</f>
        <v>10</v>
      </c>
      <c r="U69" s="124">
        <f ca="1">ROUND(IF(DESONERACAO="sim",REFERENCIA.Desonerado,REFERENCIA.NaoDesonerado),2)</f>
        <v>0</v>
      </c>
      <c r="V69" s="125" t="s">
        <v>664</v>
      </c>
      <c r="W69" s="123">
        <f ca="1">IF($C69="S",ROUND(IF(TIPOORCAMENTO="Proposto",ORÇAMENTO.CustoUnitario*(1+$AH69),ORÇAMENTO.PrecoUnitarioLicitado),15-13*$AF$10),0)</f>
        <v>0</v>
      </c>
      <c r="X69" s="126" cm="1">
        <f t="array" aca="1" ref="X69" ca="1">IF($C69="S",IF(OR(Import.TipoArredondamento&lt;&gt;"TransfereGOV",ACOMPANHAMENTO="BM"),VTOTAL1,SUM(OFFSET(CÁLCULO!$AA$15,ROW($X69)-ROW($X$15),1):OFFSET(CÁLCULO!$AL$15,ROW($X69)-ROW($X$15),-1))),IF($C69=0,0,ROUND(SomaAgrup,15-13*$AF$11)))</f>
        <v>0</v>
      </c>
      <c r="Y69" s="127" t="s">
        <v>752</v>
      </c>
      <c r="Z69" s="675" t="str">
        <f t="shared" ca="1" si="13"/>
        <v/>
      </c>
      <c r="AA69" s="128">
        <f ca="1">IF($C69="S",IF($Z69="CP",$X69,IF($Z69="RA",(($X69)*QCI!$AA$3),0)),SomaAgrup)</f>
        <v>0</v>
      </c>
      <c r="AB69" s="129">
        <f t="shared" ca="1" si="14"/>
        <v>0</v>
      </c>
      <c r="AC69" s="566"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IF(AND(_xlfn.SINGLE(TIPOORCAMENTO)="Licitado",$AL69=0,$AN69&gt;0),"SEM PREÇO",
IF(AND($C69="S",$P69&lt;&gt;"",$Q69&lt;&gt;"",$U69&gt;0,$V69=0),"BDI",
IF(OR(AND(TIPOORCAMENTO="Proposto",LEFT($O$8,5)&lt;&gt;"(N/D:",$AG69&lt;&gt;"",ORÇAMENTO.CustoUnitario&gt;$AG69),AND(TIPOORCAMENTO="LICITADO",ORÇAMENTO.PrecoUnitarioLicitado&gt;$AN69)),"ACIMA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SEM CUSTO</v>
      </c>
      <c r="AD69" s="675" t="str">
        <f ca="1">IF(C69&lt;=CRONO.NivelExibicao,MAX($AD$15:OFFSET(AD69,-1,0))+IF($C69&lt;&gt;1,1,MAX(1,COUNTIF(QCI!$A$13:$A$15,OFFSET($E69,-1,0)))),"")</f>
        <v/>
      </c>
      <c r="AE69" s="671" t="str">
        <f ca="1">IF(AND($C69="S",ORÇAMENTO.CodBarra&lt;&gt;""),IF(ORÇAMENTO.Fonte="",ORÇAMENTO.CodBarra,CONCATENATE(ORÇAMENTO.Fonte," ",ORÇAMENTO.CodBarra)))</f>
        <v>COPASA 65000329</v>
      </c>
      <c r="AF69" s="674" t="str">
        <f ca="1">IF(ISERROR(INDIRECT(ORÇAMENTO.BancoRef)),"(abra o arquivo 'Referência "&amp;Excel_BuiltIn_Database&amp;".xlsm)",IF(OR($C69&lt;&gt;"S",ORÇAMENTO.CodBarra=""),"(Sem Código)",IF(ISERROR(MATCH($AE69,INDIRECT(ORÇAMENTO.BancoRef),0)),"(Código não identificado nas referências)",MATCH($AE69,INDIRECT(ORÇAMENTO.BancoRef),0))))</f>
        <v>(abra o arquivo 'Referência 09-2025.xlsm)</v>
      </c>
      <c r="AG69" s="429">
        <f ca="1">ROUND(IF(DESONERACAO="sim",REFERENCIA.Desonerado,REFERENCIA.NaoDesonerado),2)</f>
        <v>0</v>
      </c>
      <c r="AH69" s="430">
        <f t="shared" ca="1" si="15"/>
        <v>0.24740000000000001</v>
      </c>
      <c r="AJ69" s="685">
        <v>10</v>
      </c>
      <c r="AL69" s="440"/>
      <c r="AM69" s="337">
        <f t="shared" ca="1" si="0"/>
        <v>0</v>
      </c>
      <c r="AN69" s="471">
        <f t="shared" ca="1" si="16"/>
        <v>0</v>
      </c>
    </row>
    <row r="70" spans="1:40" s="675" customFormat="1" x14ac:dyDescent="0.2">
      <c r="A70" s="675">
        <f t="shared" si="1"/>
        <v>2</v>
      </c>
      <c r="B70" s="675">
        <f t="shared" ca="1" si="2"/>
        <v>2</v>
      </c>
      <c r="C70" s="675">
        <f t="shared" ca="1" si="3"/>
        <v>2</v>
      </c>
      <c r="D70" s="675">
        <f t="shared" ca="1" si="4"/>
        <v>4</v>
      </c>
      <c r="E70" s="675">
        <f ca="1">IF($C70=1,OFFSET(E70,-1,0)+MAX(1,COUNTIF(QCI!$A$13:$A$15,OFFSET(ORÇAMENTO!E70,-1,0))),OFFSET(E70,-1,0))</f>
        <v>1</v>
      </c>
      <c r="F70" s="675">
        <f t="shared" ca="1" si="5"/>
        <v>7</v>
      </c>
      <c r="G70" s="675">
        <f t="shared" ca="1" si="6"/>
        <v>0</v>
      </c>
      <c r="H70" s="675">
        <f t="shared" ca="1" si="7"/>
        <v>0</v>
      </c>
      <c r="I70" s="675">
        <f t="shared" ca="1" si="8"/>
        <v>0</v>
      </c>
      <c r="J70" s="675">
        <f t="shared" ca="1" si="17"/>
        <v>161</v>
      </c>
      <c r="K70" s="675">
        <f ca="1">IF(OR($C70="S",$C70=0),0,MATCH(OFFSET($D70,0,$C70)+IF($C70&lt;&gt;1,1,COUNTIF(QCI!$A$13:$A$15,ORÇAMENTO!E70)),OFFSET($D70,1,$C70,ROW($C$231)-ROW($C70)),0))</f>
        <v>4</v>
      </c>
      <c r="L70" s="115" t="str">
        <f t="shared" ca="1" si="10"/>
        <v>F</v>
      </c>
      <c r="M70" s="116" t="s">
        <v>703</v>
      </c>
      <c r="N70" s="117" t="str">
        <f t="shared" ca="1" si="11"/>
        <v>Nível 2</v>
      </c>
      <c r="O70" s="118" t="str">
        <f t="shared" ca="1" si="12"/>
        <v>1.7.</v>
      </c>
      <c r="P70" s="119" t="s">
        <v>751</v>
      </c>
      <c r="Q70" s="120"/>
      <c r="R70" s="121" t="s">
        <v>1026</v>
      </c>
      <c r="S70" s="122" t="str">
        <f ca="1">REFERENCIA.Unidade</f>
        <v>-</v>
      </c>
      <c r="T70" s="123">
        <f ca="1">OFFSET(CÁLCULO!H$15,ROW($T70)-ROW(T$15),0)</f>
        <v>0</v>
      </c>
      <c r="U70" s="124">
        <f ca="1">ROUND(IF(DESONERACAO="sim",REFERENCIA.Desonerado,REFERENCIA.NaoDesonerado),2)</f>
        <v>0</v>
      </c>
      <c r="V70" s="125" t="s">
        <v>664</v>
      </c>
      <c r="W70" s="123">
        <f ca="1">IF($C70="S",ROUND(IF(TIPOORCAMENTO="Proposto",ORÇAMENTO.CustoUnitario*(1+$AH70),ORÇAMENTO.PrecoUnitarioLicitado),15-13*$AF$10),0)</f>
        <v>0</v>
      </c>
      <c r="X70" s="126" cm="1">
        <f t="array" aca="1" ref="X70" ca="1">IF($C70="S",IF(OR(Import.TipoArredondamento&lt;&gt;"TransfereGOV",ACOMPANHAMENTO="BM"),VTOTAL1,SUM(OFFSET(CÁLCULO!$AA$15,ROW($X70)-ROW($X$15),1):OFFSET(CÁLCULO!$AL$15,ROW($X70)-ROW($X$15),-1))),IF($C70=0,0,ROUND(SomaAgrup,15-13*$AF$11)))</f>
        <v>0</v>
      </c>
      <c r="Y70" s="127" t="s">
        <v>752</v>
      </c>
      <c r="Z70" s="675" t="str">
        <f t="shared" ca="1" si="13"/>
        <v/>
      </c>
      <c r="AA70" s="128">
        <f ca="1">IF($C70="S",IF($Z70="CP",$X70,IF($Z70="RA",(($X70)*QCI!$AA$3),0)),SomaAgrup)</f>
        <v>0</v>
      </c>
      <c r="AB70" s="129">
        <f t="shared" ca="1" si="14"/>
        <v>0</v>
      </c>
      <c r="AC70" s="566" t="e"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IF(AND(_xlfn.SINGLE(TIPOORCAMENTO)="Licitado",$AL70=0,$AN70&gt;0),"SEM PREÇO",
IF(AND($C70="S",$P70&lt;&gt;"",$Q70&lt;&gt;"",$U70&gt;0,$V70=0),"BDI",
IF(OR(AND(TIPOORCAMENTO="Proposto",LEFT($O$8,5)&lt;&gt;"(N/D:",$AG70&lt;&gt;"",ORÇAMENTO.CustoUnitario&gt;$AG70),AND(TIPOORCAMENTO="LICITADO",ORÇAMENTO.PrecoUnitarioLicitado&gt;$AN70)),"ACIMA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#NAME?</v>
      </c>
      <c r="AD70" s="675">
        <f ca="1">IF(C70&lt;=CRONO.NivelExibicao,MAX($AD$15:OFFSET(AD70,-1,0))+IF($C70&lt;&gt;1,1,MAX(1,COUNTIF(QCI!$A$13:$A$15,OFFSET($E70,-1,0)))),"")</f>
        <v>8</v>
      </c>
      <c r="AE70" s="671" t="b">
        <f ca="1">IF(AND($C70="S",ORÇAMENTO.CodBarra&lt;&gt;""),IF(ORÇAMENTO.Fonte="",ORÇAMENTO.CodBarra,CONCATENATE(ORÇAMENTO.Fonte," ",ORÇAMENTO.CodBarra)))</f>
        <v>0</v>
      </c>
      <c r="AF70" s="674" t="str">
        <f ca="1">IF(ISERROR(INDIRECT(ORÇAMENTO.BancoRef)),"(abra o arquivo 'Referência "&amp;Excel_BuiltIn_Database&amp;".xlsm)",IF(OR($C70&lt;&gt;"S",ORÇAMENTO.CodBarra=""),"(Sem Código)",IF(ISERROR(MATCH($AE70,INDIRECT(ORÇAMENTO.BancoRef),0)),"(Código não identificado nas referências)",MATCH($AE70,INDIRECT(ORÇAMENTO.BancoRef),0))))</f>
        <v>(abra o arquivo 'Referência 09-2025.xlsm)</v>
      </c>
      <c r="AG70" s="429">
        <f ca="1">ROUND(IF(DESONERACAO="sim",REFERENCIA.Desonerado,REFERENCIA.NaoDesonerado),2)</f>
        <v>0</v>
      </c>
      <c r="AH70" s="430">
        <f t="shared" ca="1" si="15"/>
        <v>0.24740000000000001</v>
      </c>
      <c r="AJ70" s="685"/>
      <c r="AL70" s="440"/>
      <c r="AM70" s="337">
        <f t="shared" ca="1" si="0"/>
        <v>0</v>
      </c>
      <c r="AN70" s="471">
        <f t="shared" ca="1" si="16"/>
        <v>0</v>
      </c>
    </row>
    <row r="71" spans="1:40" s="675" customFormat="1" ht="38.25" x14ac:dyDescent="0.2">
      <c r="A71" s="675" t="str">
        <f t="shared" si="1"/>
        <v>S</v>
      </c>
      <c r="B71" s="675">
        <f t="shared" ca="1" si="2"/>
        <v>2</v>
      </c>
      <c r="C71" s="675" t="str">
        <f t="shared" ca="1" si="3"/>
        <v>S</v>
      </c>
      <c r="D71" s="675">
        <f t="shared" ca="1" si="4"/>
        <v>0</v>
      </c>
      <c r="E71" s="675">
        <f ca="1">IF($C71=1,OFFSET(E71,-1,0)+MAX(1,COUNTIF(QCI!$A$13:$A$15,OFFSET(ORÇAMENTO!E71,-1,0))),OFFSET(E71,-1,0))</f>
        <v>1</v>
      </c>
      <c r="F71" s="675">
        <f t="shared" ca="1" si="5"/>
        <v>7</v>
      </c>
      <c r="G71" s="675">
        <f t="shared" ca="1" si="6"/>
        <v>0</v>
      </c>
      <c r="H71" s="675">
        <f t="shared" ca="1" si="7"/>
        <v>0</v>
      </c>
      <c r="I71" s="675">
        <f t="shared" ca="1" si="8"/>
        <v>0</v>
      </c>
      <c r="J71" s="675">
        <f t="shared" ca="1" si="17"/>
        <v>0</v>
      </c>
      <c r="K71" s="675">
        <f ca="1">IF(OR($C71="S",$C71=0),0,MATCH(OFFSET($D71,0,$C71)+IF($C71&lt;&gt;1,1,COUNTIF(QCI!$A$13:$A$15,ORÇAMENTO!E71)),OFFSET($D71,1,$C71,ROW($C$231)-ROW($C71)),0))</f>
        <v>0</v>
      </c>
      <c r="L71" s="115" t="str">
        <f t="shared" ca="1" si="10"/>
        <v/>
      </c>
      <c r="M71" s="116" t="s">
        <v>706</v>
      </c>
      <c r="N71" s="117" t="str">
        <f t="shared" ca="1" si="11"/>
        <v>Serviço</v>
      </c>
      <c r="O71" s="118" t="str">
        <f t="shared" ca="1" si="12"/>
        <v>-</v>
      </c>
      <c r="P71" s="119" t="s">
        <v>968</v>
      </c>
      <c r="Q71" s="681" t="s">
        <v>990</v>
      </c>
      <c r="R71" s="121" t="str">
        <f ca="1">IF($C71="S",REFERENCIA.Descricao,"(digite a descrição aqui)")</f>
        <v>(abra o arquivo 'Referência 09-2025.xlsm)</v>
      </c>
      <c r="S71" s="122" t="str">
        <f ca="1">REFERENCIA.Unidade</f>
        <v>-</v>
      </c>
      <c r="T71" s="123">
        <f ca="1">OFFSET(CÁLCULO!H$15,ROW($T71)-ROW(T$15),0)</f>
        <v>1</v>
      </c>
      <c r="U71" s="124">
        <f ca="1">ROUND(IF(DESONERACAO="sim",REFERENCIA.Desonerado,REFERENCIA.NaoDesonerado),2)</f>
        <v>0</v>
      </c>
      <c r="V71" s="125" t="s">
        <v>664</v>
      </c>
      <c r="W71" s="123">
        <f ca="1">IF($C71="S",ROUND(IF(TIPOORCAMENTO="Proposto",ORÇAMENTO.CustoUnitario*(1+$AH71),ORÇAMENTO.PrecoUnitarioLicitado),15-13*$AF$10),0)</f>
        <v>0</v>
      </c>
      <c r="X71" s="126" cm="1">
        <f t="array" aca="1" ref="X71" ca="1">IF($C71="S",IF(OR(Import.TipoArredondamento&lt;&gt;"TransfereGOV",ACOMPANHAMENTO="BM"),VTOTAL1,SUM(OFFSET(CÁLCULO!$AA$15,ROW($X71)-ROW($X$15),1):OFFSET(CÁLCULO!$AL$15,ROW($X71)-ROW($X$15),-1))),IF($C71=0,0,ROUND(SomaAgrup,15-13*$AF$11)))</f>
        <v>0</v>
      </c>
      <c r="Y71" s="127" t="s">
        <v>752</v>
      </c>
      <c r="Z71" s="675" t="str">
        <f t="shared" ca="1" si="13"/>
        <v/>
      </c>
      <c r="AA71" s="128">
        <f ca="1">IF($C71="S",IF($Z71="CP",$X71,IF($Z71="RA",(($X71)*QCI!$AA$3),0)),SomaAgrup)</f>
        <v>0</v>
      </c>
      <c r="AB71" s="129">
        <f t="shared" ca="1" si="14"/>
        <v>0</v>
      </c>
      <c r="AC71" s="566"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IF(AND(_xlfn.SINGLE(TIPOORCAMENTO)="Licitado",$AL71=0,$AN71&gt;0),"SEM PREÇO",
IF(AND($C71="S",$P71&lt;&gt;"",$Q71&lt;&gt;"",$U71&gt;0,$V71=0),"BDI",
IF(OR(AND(TIPOORCAMENTO="Proposto",LEFT($O$8,5)&lt;&gt;"(N/D:",$AG71&lt;&gt;"",ORÇAMENTO.CustoUnitario&gt;$AG71),AND(TIPOORCAMENTO="LICITADO",ORÇAMENTO.PrecoUnitarioLicitado&gt;$AN71)),"ACIMA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SEM CUSTO</v>
      </c>
      <c r="AD71" s="675" t="str">
        <f ca="1">IF(C71&lt;=CRONO.NivelExibicao,MAX($AD$15:OFFSET(AD71,-1,0))+IF($C71&lt;&gt;1,1,MAX(1,COUNTIF(QCI!$A$13:$A$15,OFFSET($E71,-1,0)))),"")</f>
        <v/>
      </c>
      <c r="AE71" s="671" t="str">
        <f ca="1">IF(AND($C71="S",ORÇAMENTO.CodBarra&lt;&gt;""),IF(ORÇAMENTO.Fonte="",ORÇAMENTO.CodBarra,CONCATENATE(ORÇAMENTO.Fonte," ",ORÇAMENTO.CodBarra)))</f>
        <v>COPASA 65000313</v>
      </c>
      <c r="AF71" s="674" t="str">
        <f ca="1">IF(ISERROR(INDIRECT(ORÇAMENTO.BancoRef)),"(abra o arquivo 'Referência "&amp;Excel_BuiltIn_Database&amp;".xlsm)",IF(OR($C71&lt;&gt;"S",ORÇAMENTO.CodBarra=""),"(Sem Código)",IF(ISERROR(MATCH($AE71,INDIRECT(ORÇAMENTO.BancoRef),0)),"(Código não identificado nas referências)",MATCH($AE71,INDIRECT(ORÇAMENTO.BancoRef),0))))</f>
        <v>(abra o arquivo 'Referência 09-2025.xlsm)</v>
      </c>
      <c r="AG71" s="429">
        <f ca="1">ROUND(IF(DESONERACAO="sim",REFERENCIA.Desonerado,REFERENCIA.NaoDesonerado),2)</f>
        <v>0</v>
      </c>
      <c r="AH71" s="430">
        <f t="shared" ca="1" si="15"/>
        <v>0.24740000000000001</v>
      </c>
      <c r="AJ71" s="685">
        <v>1</v>
      </c>
      <c r="AL71" s="440"/>
      <c r="AM71" s="337">
        <f t="shared" ca="1" si="0"/>
        <v>0</v>
      </c>
      <c r="AN71" s="471">
        <f t="shared" ca="1" si="16"/>
        <v>0</v>
      </c>
    </row>
    <row r="72" spans="1:40" s="675" customFormat="1" ht="25.5" x14ac:dyDescent="0.2">
      <c r="A72" s="675" t="str">
        <f t="shared" si="1"/>
        <v>S</v>
      </c>
      <c r="B72" s="675">
        <f t="shared" ca="1" si="2"/>
        <v>2</v>
      </c>
      <c r="C72" s="675" t="str">
        <f t="shared" ca="1" si="3"/>
        <v>S</v>
      </c>
      <c r="D72" s="675">
        <f t="shared" ca="1" si="4"/>
        <v>0</v>
      </c>
      <c r="E72" s="675">
        <f ca="1">IF($C72=1,OFFSET(E72,-1,0)+MAX(1,COUNTIF(QCI!$A$13:$A$15,OFFSET(ORÇAMENTO!E72,-1,0))),OFFSET(E72,-1,0))</f>
        <v>1</v>
      </c>
      <c r="F72" s="675">
        <f t="shared" ca="1" si="5"/>
        <v>7</v>
      </c>
      <c r="G72" s="675">
        <f t="shared" ca="1" si="6"/>
        <v>0</v>
      </c>
      <c r="H72" s="675">
        <f t="shared" ca="1" si="7"/>
        <v>0</v>
      </c>
      <c r="I72" s="675">
        <f t="shared" ca="1" si="8"/>
        <v>0</v>
      </c>
      <c r="J72" s="675">
        <f t="shared" ca="1" si="17"/>
        <v>0</v>
      </c>
      <c r="K72" s="675">
        <f ca="1">IF(OR($C72="S",$C72=0),0,MATCH(OFFSET($D72,0,$C72)+IF($C72&lt;&gt;1,1,COUNTIF(QCI!$A$13:$A$15,ORÇAMENTO!E72)),OFFSET($D72,1,$C72,ROW($C$231)-ROW($C72)),0))</f>
        <v>0</v>
      </c>
      <c r="L72" s="115" t="str">
        <f t="shared" ca="1" si="10"/>
        <v/>
      </c>
      <c r="M72" s="116" t="s">
        <v>706</v>
      </c>
      <c r="N72" s="117" t="str">
        <f t="shared" ca="1" si="11"/>
        <v>Serviço</v>
      </c>
      <c r="O72" s="118" t="str">
        <f t="shared" ca="1" si="12"/>
        <v>-</v>
      </c>
      <c r="P72" s="119" t="s">
        <v>968</v>
      </c>
      <c r="Q72" s="681" t="s">
        <v>991</v>
      </c>
      <c r="R72" s="121" t="str">
        <f ca="1">IF($C72="S",REFERENCIA.Descricao,"(digite a descrição aqui)")</f>
        <v>(abra o arquivo 'Referência 09-2025.xlsm)</v>
      </c>
      <c r="S72" s="122" t="str">
        <f ca="1">REFERENCIA.Unidade</f>
        <v>-</v>
      </c>
      <c r="T72" s="123">
        <f ca="1">OFFSET(CÁLCULO!H$15,ROW($T72)-ROW(T$15),0)</f>
        <v>1</v>
      </c>
      <c r="U72" s="124">
        <f ca="1">ROUND(IF(DESONERACAO="sim",REFERENCIA.Desonerado,REFERENCIA.NaoDesonerado),2)</f>
        <v>0</v>
      </c>
      <c r="V72" s="125" t="s">
        <v>664</v>
      </c>
      <c r="W72" s="123">
        <f ca="1">IF($C72="S",ROUND(IF(TIPOORCAMENTO="Proposto",ORÇAMENTO.CustoUnitario*(1+$AH72),ORÇAMENTO.PrecoUnitarioLicitado),15-13*$AF$10),0)</f>
        <v>0</v>
      </c>
      <c r="X72" s="126" cm="1">
        <f t="array" aca="1" ref="X72" ca="1">IF($C72="S",IF(OR(Import.TipoArredondamento&lt;&gt;"TransfereGOV",ACOMPANHAMENTO="BM"),VTOTAL1,SUM(OFFSET(CÁLCULO!$AA$15,ROW($X72)-ROW($X$15),1):OFFSET(CÁLCULO!$AL$15,ROW($X72)-ROW($X$15),-1))),IF($C72=0,0,ROUND(SomaAgrup,15-13*$AF$11)))</f>
        <v>0</v>
      </c>
      <c r="Y72" s="127" t="s">
        <v>752</v>
      </c>
      <c r="Z72" s="675" t="str">
        <f t="shared" ca="1" si="13"/>
        <v/>
      </c>
      <c r="AA72" s="128">
        <f ca="1">IF($C72="S",IF($Z72="CP",$X72,IF($Z72="RA",(($X72)*QCI!$AA$3),0)),SomaAgrup)</f>
        <v>0</v>
      </c>
      <c r="AB72" s="129">
        <f t="shared" ca="1" si="14"/>
        <v>0</v>
      </c>
      <c r="AC72" s="566"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IF(AND(_xlfn.SINGLE(TIPOORCAMENTO)="Licitado",$AL72=0,$AN72&gt;0),"SEM PREÇO",
IF(AND($C72="S",$P72&lt;&gt;"",$Q72&lt;&gt;"",$U72&gt;0,$V72=0),"BDI",
IF(OR(AND(TIPOORCAMENTO="Proposto",LEFT($O$8,5)&lt;&gt;"(N/D:",$AG72&lt;&gt;"",ORÇAMENTO.CustoUnitario&gt;$AG72),AND(TIPOORCAMENTO="LICITADO",ORÇAMENTO.PrecoUnitarioLicitado&gt;$AN72)),"ACIMA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SEM CUSTO</v>
      </c>
      <c r="AD72" s="675" t="str">
        <f ca="1">IF(C72&lt;=CRONO.NivelExibicao,MAX($AD$15:OFFSET(AD72,-1,0))+IF($C72&lt;&gt;1,1,MAX(1,COUNTIF(QCI!$A$13:$A$15,OFFSET($E72,-1,0)))),"")</f>
        <v/>
      </c>
      <c r="AE72" s="671" t="str">
        <f ca="1">IF(AND($C72="S",ORÇAMENTO.CodBarra&lt;&gt;""),IF(ORÇAMENTO.Fonte="",ORÇAMENTO.CodBarra,CONCATENATE(ORÇAMENTO.Fonte," ",ORÇAMENTO.CodBarra)))</f>
        <v>COPASA 65002838</v>
      </c>
      <c r="AF72" s="674" t="str">
        <f ca="1">IF(ISERROR(INDIRECT(ORÇAMENTO.BancoRef)),"(abra o arquivo 'Referência "&amp;Excel_BuiltIn_Database&amp;".xlsm)",IF(OR($C72&lt;&gt;"S",ORÇAMENTO.CodBarra=""),"(Sem Código)",IF(ISERROR(MATCH($AE72,INDIRECT(ORÇAMENTO.BancoRef),0)),"(Código não identificado nas referências)",MATCH($AE72,INDIRECT(ORÇAMENTO.BancoRef),0))))</f>
        <v>(abra o arquivo 'Referência 09-2025.xlsm)</v>
      </c>
      <c r="AG72" s="429">
        <f ca="1">ROUND(IF(DESONERACAO="sim",REFERENCIA.Desonerado,REFERENCIA.NaoDesonerado),2)</f>
        <v>0</v>
      </c>
      <c r="AH72" s="430">
        <f t="shared" ca="1" si="15"/>
        <v>0.24740000000000001</v>
      </c>
      <c r="AJ72" s="685">
        <v>1</v>
      </c>
      <c r="AL72" s="440"/>
      <c r="AM72" s="337">
        <f t="shared" ca="1" si="0"/>
        <v>0</v>
      </c>
      <c r="AN72" s="471">
        <f t="shared" ca="1" si="16"/>
        <v>0</v>
      </c>
    </row>
    <row r="73" spans="1:40" s="675" customFormat="1" ht="25.5" x14ac:dyDescent="0.2">
      <c r="A73" s="675" t="str">
        <f t="shared" si="1"/>
        <v>S</v>
      </c>
      <c r="B73" s="675">
        <f t="shared" ca="1" si="2"/>
        <v>2</v>
      </c>
      <c r="C73" s="675" t="str">
        <f t="shared" ca="1" si="3"/>
        <v>S</v>
      </c>
      <c r="D73" s="675">
        <f t="shared" ca="1" si="4"/>
        <v>0</v>
      </c>
      <c r="E73" s="675">
        <f ca="1">IF($C73=1,OFFSET(E73,-1,0)+MAX(1,COUNTIF(QCI!$A$13:$A$15,OFFSET(ORÇAMENTO!E73,-1,0))),OFFSET(E73,-1,0))</f>
        <v>1</v>
      </c>
      <c r="F73" s="675">
        <f t="shared" ca="1" si="5"/>
        <v>7</v>
      </c>
      <c r="G73" s="675">
        <f t="shared" ca="1" si="6"/>
        <v>0</v>
      </c>
      <c r="H73" s="675">
        <f t="shared" ca="1" si="7"/>
        <v>0</v>
      </c>
      <c r="I73" s="675">
        <f t="shared" ca="1" si="8"/>
        <v>0</v>
      </c>
      <c r="J73" s="675">
        <f t="shared" ca="1" si="17"/>
        <v>0</v>
      </c>
      <c r="K73" s="675">
        <f ca="1">IF(OR($C73="S",$C73=0),0,MATCH(OFFSET($D73,0,$C73)+IF($C73&lt;&gt;1,1,COUNTIF(QCI!$A$13:$A$15,ORÇAMENTO!E73)),OFFSET($D73,1,$C73,ROW($C$231)-ROW($C73)),0))</f>
        <v>0</v>
      </c>
      <c r="L73" s="115" t="str">
        <f t="shared" ca="1" si="10"/>
        <v/>
      </c>
      <c r="M73" s="116" t="s">
        <v>706</v>
      </c>
      <c r="N73" s="117" t="str">
        <f t="shared" ca="1" si="11"/>
        <v>Serviço</v>
      </c>
      <c r="O73" s="118" t="str">
        <f t="shared" ca="1" si="12"/>
        <v>-</v>
      </c>
      <c r="P73" s="119" t="s">
        <v>968</v>
      </c>
      <c r="Q73" s="681" t="s">
        <v>989</v>
      </c>
      <c r="R73" s="121" t="str">
        <f ca="1">IF($C73="S",REFERENCIA.Descricao,"(digite a descrição aqui)")</f>
        <v>(abra o arquivo 'Referência 09-2025.xlsm)</v>
      </c>
      <c r="S73" s="122" t="str">
        <f ca="1">REFERENCIA.Unidade</f>
        <v>-</v>
      </c>
      <c r="T73" s="123">
        <f ca="1">OFFSET(CÁLCULO!H$15,ROW($T73)-ROW(T$15),0)</f>
        <v>1</v>
      </c>
      <c r="U73" s="124">
        <f ca="1">ROUND(IF(DESONERACAO="sim",REFERENCIA.Desonerado,REFERENCIA.NaoDesonerado),2)</f>
        <v>0</v>
      </c>
      <c r="V73" s="125" t="s">
        <v>664</v>
      </c>
      <c r="W73" s="123">
        <f ca="1">IF($C73="S",ROUND(IF(TIPOORCAMENTO="Proposto",ORÇAMENTO.CustoUnitario*(1+$AH73),ORÇAMENTO.PrecoUnitarioLicitado),15-13*$AF$10),0)</f>
        <v>0</v>
      </c>
      <c r="X73" s="126" cm="1">
        <f t="array" aca="1" ref="X73" ca="1">IF($C73="S",IF(OR(Import.TipoArredondamento&lt;&gt;"TransfereGOV",ACOMPANHAMENTO="BM"),VTOTAL1,SUM(OFFSET(CÁLCULO!$AA$15,ROW($X73)-ROW($X$15),1):OFFSET(CÁLCULO!$AL$15,ROW($X73)-ROW($X$15),-1))),IF($C73=0,0,ROUND(SomaAgrup,15-13*$AF$11)))</f>
        <v>0</v>
      </c>
      <c r="Y73" s="127" t="s">
        <v>752</v>
      </c>
      <c r="Z73" s="675" t="str">
        <f t="shared" ca="1" si="13"/>
        <v/>
      </c>
      <c r="AA73" s="128">
        <f ca="1">IF($C73="S",IF($Z73="CP",$X73,IF($Z73="RA",(($X73)*QCI!$AA$3),0)),SomaAgrup)</f>
        <v>0</v>
      </c>
      <c r="AB73" s="129">
        <f t="shared" ca="1" si="14"/>
        <v>0</v>
      </c>
      <c r="AC73" s="566"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IF(AND(_xlfn.SINGLE(TIPOORCAMENTO)="Licitado",$AL73=0,$AN73&gt;0),"SEM PREÇO",
IF(AND($C73="S",$P73&lt;&gt;"",$Q73&lt;&gt;"",$U73&gt;0,$V73=0),"BDI",
IF(OR(AND(TIPOORCAMENTO="Proposto",LEFT($O$8,5)&lt;&gt;"(N/D:",$AG73&lt;&gt;"",ORÇAMENTO.CustoUnitario&gt;$AG73),AND(TIPOORCAMENTO="LICITADO",ORÇAMENTO.PrecoUnitarioLicitado&gt;$AN73)),"ACIMA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SEM CUSTO</v>
      </c>
      <c r="AD73" s="675" t="str">
        <f ca="1">IF(C73&lt;=CRONO.NivelExibicao,MAX($AD$15:OFFSET(AD73,-1,0))+IF($C73&lt;&gt;1,1,MAX(1,COUNTIF(QCI!$A$13:$A$15,OFFSET($E73,-1,0)))),"")</f>
        <v/>
      </c>
      <c r="AE73" s="671" t="str">
        <f ca="1">IF(AND($C73="S",ORÇAMENTO.CodBarra&lt;&gt;""),IF(ORÇAMENTO.Fonte="",ORÇAMENTO.CodBarra,CONCATENATE(ORÇAMENTO.Fonte," ",ORÇAMENTO.CodBarra)))</f>
        <v>COPASA 65000329</v>
      </c>
      <c r="AF73" s="674" t="str">
        <f ca="1">IF(ISERROR(INDIRECT(ORÇAMENTO.BancoRef)),"(abra o arquivo 'Referência "&amp;Excel_BuiltIn_Database&amp;".xlsm)",IF(OR($C73&lt;&gt;"S",ORÇAMENTO.CodBarra=""),"(Sem Código)",IF(ISERROR(MATCH($AE73,INDIRECT(ORÇAMENTO.BancoRef),0)),"(Código não identificado nas referências)",MATCH($AE73,INDIRECT(ORÇAMENTO.BancoRef),0))))</f>
        <v>(abra o arquivo 'Referência 09-2025.xlsm)</v>
      </c>
      <c r="AG73" s="429">
        <f ca="1">ROUND(IF(DESONERACAO="sim",REFERENCIA.Desonerado,REFERENCIA.NaoDesonerado),2)</f>
        <v>0</v>
      </c>
      <c r="AH73" s="430">
        <f t="shared" ca="1" si="15"/>
        <v>0.24740000000000001</v>
      </c>
      <c r="AJ73" s="685">
        <v>1</v>
      </c>
      <c r="AL73" s="440"/>
      <c r="AM73" s="337">
        <f t="shared" ca="1" si="0"/>
        <v>0</v>
      </c>
      <c r="AN73" s="471">
        <f t="shared" ca="1" si="16"/>
        <v>0</v>
      </c>
    </row>
    <row r="74" spans="1:40" s="675" customFormat="1" x14ac:dyDescent="0.2">
      <c r="A74" s="675">
        <f t="shared" ref="A74:A141" si="18">CHOOSE(1+LOG(1+2*(ORÇAMENTO.Nivel="Meta")+4*(ORÇAMENTO.Nivel="Nível 2")+8*(ORÇAMENTO.Nivel="Nível 3")+16*(ORÇAMENTO.Nivel="Nível 4")+32*(ORÇAMENTO.Nivel="Serviço"),2),0,1,2,3,4,"S")</f>
        <v>2</v>
      </c>
      <c r="B74" s="675">
        <f t="shared" ref="B74:B141" ca="1" si="19">IF(OR(C74="s",C74=0),OFFSET(B74,-1,0),C74)</f>
        <v>2</v>
      </c>
      <c r="C74" s="675">
        <f t="shared" ref="C74:C141" ca="1" si="20">IF(OFFSET(C74,-1,0)="L",1,IF(OFFSET(C74,-1,0)=1,2,IF(OR(A74="s",A74=0),"S",IF(AND(OFFSET(C74,-1,0)=2,A74=4),3,IF(AND(OR(OFFSET(C74,-1,0)="s",OFFSET(C74,-1,0)=0),A74&lt;&gt;"s",A74&gt;OFFSET(B74,-1,0)),OFFSET(B74,-1,0),A74)))))</f>
        <v>2</v>
      </c>
      <c r="D74" s="675">
        <f t="shared" ref="D74:D141" ca="1" si="21">IF(OR(C74="S",C74=0),0,IF(ISERROR(K74),J74,SMALL(J74:K74,1)))</f>
        <v>18</v>
      </c>
      <c r="E74" s="675">
        <f ca="1">IF($C74=1,OFFSET(E74,-1,0)+MAX(1,COUNTIF(QCI!$A$13:$A$15,OFFSET(ORÇAMENTO!E74,-1,0))),OFFSET(E74,-1,0))</f>
        <v>1</v>
      </c>
      <c r="F74" s="675">
        <f t="shared" ref="F74:F141" ca="1" si="22">IF($C74=1,0,IF($C74=2,OFFSET(F74,-1,0)+1,OFFSET(F74,-1,0)))</f>
        <v>8</v>
      </c>
      <c r="G74" s="675">
        <f t="shared" ref="G74:G141" ca="1" si="23">IF(AND($C74&lt;=2,$C74&lt;&gt;0),0,IF($C74=3,OFFSET(G74,-1,0)+1,OFFSET(G74,-1,0)))</f>
        <v>0</v>
      </c>
      <c r="H74" s="675">
        <f t="shared" ref="H74:H141" ca="1" si="24">IF(AND($C74&lt;=3,$C74&lt;&gt;0),0,IF($C74=4,OFFSET(H74,-1,0)+1,OFFSET(H74,-1,0)))</f>
        <v>0</v>
      </c>
      <c r="I74" s="675">
        <f t="shared" ref="I74:I141" ca="1" si="25">IF(AND($C74&lt;=4,$C74&lt;&gt;0),0,IF(AND($C74="S",$X74&gt;0),OFFSET(I74,-1,0)+1,OFFSET(I74,-1,0)))</f>
        <v>0</v>
      </c>
      <c r="J74" s="675">
        <f t="shared" ca="1" si="17"/>
        <v>157</v>
      </c>
      <c r="K74" s="675">
        <f ca="1">IF(OR($C74="S",$C74=0),0,MATCH(OFFSET($D74,0,$C74)+IF($C74&lt;&gt;1,1,COUNTIF(QCI!$A$13:$A$15,ORÇAMENTO!E74)),OFFSET($D74,1,$C74,ROW($C$231)-ROW($C74)),0))</f>
        <v>18</v>
      </c>
      <c r="L74" s="115" t="str">
        <f t="shared" ref="L74:L141" ca="1" si="26">IF(OR($X74&gt;0,$C74=1,$C74=2,$C74=3,$C74=4),"F","")</f>
        <v>F</v>
      </c>
      <c r="M74" s="116" t="s">
        <v>703</v>
      </c>
      <c r="N74" s="117" t="str">
        <f t="shared" ref="N74:N141" ca="1" si="27">CHOOSE(1+LOG(1+2*(C74=1)+4*(C74=2)+8*(C74=3)+16*(C74=4)+32*(C74="S"),2),"","Meta","Nível 2","Nível 3","Nível 4","Serviço")</f>
        <v>Nível 2</v>
      </c>
      <c r="O74" s="118" t="str">
        <f t="shared" ref="O74:O141" ca="1" si="28">IF(OR($C74=0,$L74=""),"-",CONCATENATE(E74&amp;".",IF(AND($A$5&gt;=2,$C74&gt;=2),F74&amp;".",""),IF(AND($A$5&gt;=3,$C74&gt;=3),G74&amp;".",""),IF(AND($A$5&gt;=4,$C74&gt;=4),H74&amp;".",""),IF($C74="S",I74&amp;".","")))</f>
        <v>1.8.</v>
      </c>
      <c r="P74" s="119" t="s">
        <v>751</v>
      </c>
      <c r="Q74" s="120"/>
      <c r="R74" s="121" t="s">
        <v>1004</v>
      </c>
      <c r="S74" s="122" t="str">
        <f ca="1">REFERENCIA.Unidade</f>
        <v>-</v>
      </c>
      <c r="T74" s="123">
        <f ca="1">OFFSET(CÁLCULO!H$15,ROW($T74)-ROW(T$15),0)</f>
        <v>0</v>
      </c>
      <c r="U74" s="124">
        <f ca="1">ROUND(IF(DESONERACAO="sim",REFERENCIA.Desonerado,REFERENCIA.NaoDesonerado),2)</f>
        <v>0</v>
      </c>
      <c r="V74" s="125" t="s">
        <v>664</v>
      </c>
      <c r="W74" s="123">
        <f ca="1">IF($C74="S",ROUND(IF(TIPOORCAMENTO="Proposto",ORÇAMENTO.CustoUnitario*(1+$AH74),ORÇAMENTO.PrecoUnitarioLicitado),15-13*$AF$10),0)</f>
        <v>0</v>
      </c>
      <c r="X74" s="126" cm="1">
        <f t="array" aca="1" ref="X74" ca="1">IF($C74="S",IF(OR(Import.TipoArredondamento&lt;&gt;"TransfereGOV",ACOMPANHAMENTO="BM"),VTOTAL1,SUM(OFFSET(CÁLCULO!$AA$15,ROW($X74)-ROW($X$15),1):OFFSET(CÁLCULO!$AL$15,ROW($X74)-ROW($X$15),-1))),IF($C74=0,0,ROUND(SomaAgrup,15-13*$AF$11)))</f>
        <v>0</v>
      </c>
      <c r="Y74" s="127" t="s">
        <v>752</v>
      </c>
      <c r="Z74" s="675" t="str">
        <f t="shared" ref="Z74:Z141" ca="1" si="29">IF(AND($C74="S",$X74&gt;0),IF(ISBLANK($Y74),"RA",LEFT($Y74,2)),"")</f>
        <v/>
      </c>
      <c r="AA74" s="128">
        <f ca="1">IF($C74="S",IF($Z74="CP",$X74,IF($Z74="RA",(($X74)*QCI!$AA$3),0)),SomaAgrup)</f>
        <v>0</v>
      </c>
      <c r="AB74" s="129">
        <f t="shared" ref="AB74:AB141" ca="1" si="30">IF($C74="S",IF($Z74="OU",ROUND($X74,2),0),SomaAgrup)</f>
        <v>0</v>
      </c>
      <c r="AC74" s="566" t="e"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IF(AND(_xlfn.SINGLE(TIPOORCAMENTO)="Licitado",$AL74=0,$AN74&gt;0),"SEM PREÇO",
IF(AND($C74="S",$P74&lt;&gt;"",$Q74&lt;&gt;"",$U74&gt;0,$V74=0),"BDI",
IF(OR(AND(TIPOORCAMENTO="Proposto",LEFT($O$8,5)&lt;&gt;"(N/D:",$AG74&lt;&gt;"",ORÇAMENTO.CustoUnitario&gt;$AG74),AND(TIPOORCAMENTO="LICITADO",ORÇAMENTO.PrecoUnitarioLicitado&gt;$AN74)),"ACIMA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#NAME?</v>
      </c>
      <c r="AD74" s="675">
        <f ca="1">IF(C74&lt;=CRONO.NivelExibicao,MAX($AD$15:OFFSET(AD74,-1,0))+IF($C74&lt;&gt;1,1,MAX(1,COUNTIF(QCI!$A$13:$A$15,OFFSET($E74,-1,0)))),"")</f>
        <v>9</v>
      </c>
      <c r="AE74" s="671" t="b">
        <f ca="1">IF(AND($C74="S",ORÇAMENTO.CodBarra&lt;&gt;""),IF(ORÇAMENTO.Fonte="",ORÇAMENTO.CodBarra,CONCATENATE(ORÇAMENTO.Fonte," ",ORÇAMENTO.CodBarra)))</f>
        <v>0</v>
      </c>
      <c r="AF74" s="674" t="str">
        <f ca="1">IF(ISERROR(INDIRECT(ORÇAMENTO.BancoRef)),"(abra o arquivo 'Referência "&amp;Excel_BuiltIn_Database&amp;".xlsm)",IF(OR($C74&lt;&gt;"S",ORÇAMENTO.CodBarra=""),"(Sem Código)",IF(ISERROR(MATCH($AE74,INDIRECT(ORÇAMENTO.BancoRef),0)),"(Código não identificado nas referências)",MATCH($AE74,INDIRECT(ORÇAMENTO.BancoRef),0))))</f>
        <v>(abra o arquivo 'Referência 09-2025.xlsm)</v>
      </c>
      <c r="AG74" s="429">
        <f ca="1">ROUND(IF(DESONERACAO="sim",REFERENCIA.Desonerado,REFERENCIA.NaoDesonerado),2)</f>
        <v>0</v>
      </c>
      <c r="AH74" s="430">
        <f t="shared" ref="AH74:AH141" ca="1" si="31">ROUND(IF(ISNUMBER(ORÇAMENTO.OpcaoBDI),ORÇAMENTO.OpcaoBDI,IF(LEFT(ORÇAMENTO.OpcaoBDI,3)="BDI",HLOOKUP(ORÇAMENTO.OpcaoBDI,$F$4:$H$5,2,FALSE),0)),15-11*$AF$9)</f>
        <v>0.24740000000000001</v>
      </c>
      <c r="AJ74" s="685"/>
      <c r="AL74" s="440"/>
      <c r="AM74" s="337">
        <f t="shared" ca="1" si="0"/>
        <v>0</v>
      </c>
      <c r="AN74" s="471">
        <f t="shared" ref="AN74:AN141" ca="1" si="32">ROUND(ORÇAMENTO.CustoUnitario*(1+$AH74),2)</f>
        <v>0</v>
      </c>
    </row>
    <row r="75" spans="1:40" s="675" customFormat="1" x14ac:dyDescent="0.2">
      <c r="A75" s="675" t="str">
        <f t="shared" si="18"/>
        <v>S</v>
      </c>
      <c r="B75" s="675">
        <f t="shared" ca="1" si="19"/>
        <v>2</v>
      </c>
      <c r="C75" s="675" t="str">
        <f t="shared" ca="1" si="20"/>
        <v>S</v>
      </c>
      <c r="D75" s="675">
        <f t="shared" ca="1" si="21"/>
        <v>0</v>
      </c>
      <c r="E75" s="675">
        <f ca="1">IF($C75=1,OFFSET(E75,-1,0)+MAX(1,COUNTIF(QCI!$A$13:$A$15,OFFSET(ORÇAMENTO!E75,-1,0))),OFFSET(E75,-1,0))</f>
        <v>1</v>
      </c>
      <c r="F75" s="675">
        <f t="shared" ca="1" si="22"/>
        <v>8</v>
      </c>
      <c r="G75" s="675">
        <f t="shared" ca="1" si="23"/>
        <v>0</v>
      </c>
      <c r="H75" s="675">
        <f t="shared" ca="1" si="24"/>
        <v>0</v>
      </c>
      <c r="I75" s="675">
        <f t="shared" ca="1" si="25"/>
        <v>0</v>
      </c>
      <c r="J75" s="675">
        <f t="shared" ca="1" si="17"/>
        <v>0</v>
      </c>
      <c r="K75" s="675">
        <f ca="1">IF(OR($C75="S",$C75=0),0,MATCH(OFFSET($D75,0,$C75)+IF($C75&lt;&gt;1,1,COUNTIF(QCI!$A$13:$A$15,ORÇAMENTO!E75)),OFFSET($D75,1,$C75,ROW($C$231)-ROW($C75)),0))</f>
        <v>0</v>
      </c>
      <c r="L75" s="115" t="str">
        <f t="shared" ca="1" si="26"/>
        <v/>
      </c>
      <c r="M75" s="116" t="s">
        <v>706</v>
      </c>
      <c r="N75" s="117" t="str">
        <f t="shared" ca="1" si="27"/>
        <v>Serviço</v>
      </c>
      <c r="O75" s="118" t="str">
        <f t="shared" ca="1" si="28"/>
        <v>-</v>
      </c>
      <c r="P75" s="119" t="s">
        <v>993</v>
      </c>
      <c r="Q75" s="682" t="s">
        <v>1005</v>
      </c>
      <c r="R75" s="121" t="str">
        <f ca="1">IF($C75="S",REFERENCIA.Descricao,"(digite a descrição aqui)")</f>
        <v>(abra o arquivo 'Referência 09-2025.xlsm)</v>
      </c>
      <c r="S75" s="122" t="str">
        <f ca="1">REFERENCIA.Unidade</f>
        <v>-</v>
      </c>
      <c r="T75" s="123">
        <f ca="1">OFFSET(CÁLCULO!H$15,ROW($T75)-ROW(T$15),0)</f>
        <v>212</v>
      </c>
      <c r="U75" s="124">
        <f ca="1">ROUND(IF(DESONERACAO="sim",REFERENCIA.Desonerado,REFERENCIA.NaoDesonerado),2)</f>
        <v>0</v>
      </c>
      <c r="V75" s="125" t="s">
        <v>698</v>
      </c>
      <c r="W75" s="123">
        <f ca="1">IF($C75="S",ROUND(IF(TIPOORCAMENTO="Proposto",ORÇAMENTO.CustoUnitario*(1+$AH75),ORÇAMENTO.PrecoUnitarioLicitado),15-13*$AF$10),0)</f>
        <v>0</v>
      </c>
      <c r="X75" s="126" cm="1">
        <f t="array" aca="1" ref="X75" ca="1">IF($C75="S",IF(OR(Import.TipoArredondamento&lt;&gt;"TransfereGOV",ACOMPANHAMENTO="BM"),VTOTAL1,SUM(OFFSET(CÁLCULO!$AA$15,ROW($X75)-ROW($X$15),1):OFFSET(CÁLCULO!$AL$15,ROW($X75)-ROW($X$15),-1))),IF($C75=0,0,ROUND(SomaAgrup,15-13*$AF$11)))</f>
        <v>0</v>
      </c>
      <c r="Y75" s="127" t="s">
        <v>752</v>
      </c>
      <c r="Z75" s="675" t="str">
        <f t="shared" ca="1" si="29"/>
        <v/>
      </c>
      <c r="AA75" s="128">
        <f ca="1">IF($C75="S",IF($Z75="CP",$X75,IF($Z75="RA",(($X75)*QCI!$AA$3),0)),SomaAgrup)</f>
        <v>0</v>
      </c>
      <c r="AB75" s="129">
        <f t="shared" ca="1" si="30"/>
        <v>0</v>
      </c>
      <c r="AC75" s="566"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IF(AND(_xlfn.SINGLE(TIPOORCAMENTO)="Licitado",$AL75=0,$AN75&gt;0),"SEM PREÇO",
IF(AND($C75="S",$P75&lt;&gt;"",$Q75&lt;&gt;"",$U75&gt;0,$V75=0),"BDI",
IF(OR(AND(TIPOORCAMENTO="Proposto",LEFT($O$8,5)&lt;&gt;"(N/D:",$AG75&lt;&gt;"",ORÇAMENTO.CustoUnitario&gt;$AG75),AND(TIPOORCAMENTO="LICITADO",ORÇAMENTO.PrecoUnitarioLicitado&gt;$AN75)),"ACIMA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SEM CUSTO</v>
      </c>
      <c r="AD75" s="675" t="str">
        <f ca="1">IF(C75&lt;=CRONO.NivelExibicao,MAX($AD$15:OFFSET(AD75,-1,0))+IF($C75&lt;&gt;1,1,MAX(1,COUNTIF(QCI!$A$13:$A$15,OFFSET($E75,-1,0)))),"")</f>
        <v/>
      </c>
      <c r="AE75" s="671" t="str">
        <f ca="1">IF(AND($C75="S",ORÇAMENTO.CodBarra&lt;&gt;""),IF(ORÇAMENTO.Fonte="",ORÇAMENTO.CodBarra,CONCATENATE(ORÇAMENTO.Fonte," ",ORÇAMENTO.CodBarra)))</f>
        <v>Cotação COT 19</v>
      </c>
      <c r="AF75" s="674" t="str">
        <f ca="1">IF(ISERROR(INDIRECT(ORÇAMENTO.BancoRef)),"(abra o arquivo 'Referência "&amp;Excel_BuiltIn_Database&amp;".xlsm)",IF(OR($C75&lt;&gt;"S",ORÇAMENTO.CodBarra=""),"(Sem Código)",IF(ISERROR(MATCH($AE75,INDIRECT(ORÇAMENTO.BancoRef),0)),"(Código não identificado nas referências)",MATCH($AE75,INDIRECT(ORÇAMENTO.BancoRef),0))))</f>
        <v>(abra o arquivo 'Referência 09-2025.xlsm)</v>
      </c>
      <c r="AG75" s="429">
        <f ca="1">ROUND(IF(DESONERACAO="sim",REFERENCIA.Desonerado,REFERENCIA.NaoDesonerado),2)</f>
        <v>0</v>
      </c>
      <c r="AH75" s="430">
        <f t="shared" ca="1" si="31"/>
        <v>0.1573</v>
      </c>
      <c r="AJ75" s="685">
        <v>212</v>
      </c>
      <c r="AL75" s="440"/>
      <c r="AM75" s="337">
        <f t="shared" ca="1" si="0"/>
        <v>0</v>
      </c>
      <c r="AN75" s="471">
        <f t="shared" ca="1" si="32"/>
        <v>0</v>
      </c>
    </row>
    <row r="76" spans="1:40" s="675" customFormat="1" x14ac:dyDescent="0.2">
      <c r="A76" s="675" t="str">
        <f t="shared" si="18"/>
        <v>S</v>
      </c>
      <c r="B76" s="675">
        <f t="shared" ca="1" si="19"/>
        <v>2</v>
      </c>
      <c r="C76" s="675" t="str">
        <f t="shared" ca="1" si="20"/>
        <v>S</v>
      </c>
      <c r="D76" s="675">
        <f t="shared" ca="1" si="21"/>
        <v>0</v>
      </c>
      <c r="E76" s="675">
        <f ca="1">IF($C76=1,OFFSET(E76,-1,0)+MAX(1,COUNTIF(QCI!$A$13:$A$15,OFFSET(ORÇAMENTO!E76,-1,0))),OFFSET(E76,-1,0))</f>
        <v>1</v>
      </c>
      <c r="F76" s="675">
        <f t="shared" ca="1" si="22"/>
        <v>8</v>
      </c>
      <c r="G76" s="675">
        <f t="shared" ca="1" si="23"/>
        <v>0</v>
      </c>
      <c r="H76" s="675">
        <f t="shared" ca="1" si="24"/>
        <v>0</v>
      </c>
      <c r="I76" s="675">
        <f t="shared" ca="1" si="25"/>
        <v>0</v>
      </c>
      <c r="J76" s="675">
        <f t="shared" ca="1" si="17"/>
        <v>0</v>
      </c>
      <c r="K76" s="675">
        <f ca="1">IF(OR($C76="S",$C76=0),0,MATCH(OFFSET($D76,0,$C76)+IF($C76&lt;&gt;1,1,COUNTIF(QCI!$A$13:$A$15,ORÇAMENTO!E76)),OFFSET($D76,1,$C76,ROW($C$231)-ROW($C76)),0))</f>
        <v>0</v>
      </c>
      <c r="L76" s="115" t="str">
        <f t="shared" ca="1" si="26"/>
        <v/>
      </c>
      <c r="M76" s="116" t="s">
        <v>706</v>
      </c>
      <c r="N76" s="117" t="str">
        <f t="shared" ca="1" si="27"/>
        <v>Serviço</v>
      </c>
      <c r="O76" s="118" t="str">
        <f t="shared" ca="1" si="28"/>
        <v>-</v>
      </c>
      <c r="P76" s="119" t="s">
        <v>993</v>
      </c>
      <c r="Q76" s="682" t="s">
        <v>1006</v>
      </c>
      <c r="R76" s="121" t="str">
        <f ca="1">IF($C76="S",REFERENCIA.Descricao,"(digite a descrição aqui)")</f>
        <v>(abra o arquivo 'Referência 09-2025.xlsm)</v>
      </c>
      <c r="S76" s="122" t="str">
        <f ca="1">REFERENCIA.Unidade</f>
        <v>-</v>
      </c>
      <c r="T76" s="123">
        <f ca="1">OFFSET(CÁLCULO!H$15,ROW($T76)-ROW(T$15),0)</f>
        <v>6</v>
      </c>
      <c r="U76" s="124">
        <f ca="1">ROUND(IF(DESONERACAO="sim",REFERENCIA.Desonerado,REFERENCIA.NaoDesonerado),2)</f>
        <v>0</v>
      </c>
      <c r="V76" s="125" t="s">
        <v>698</v>
      </c>
      <c r="W76" s="123">
        <f ca="1">IF($C76="S",ROUND(IF(TIPOORCAMENTO="Proposto",ORÇAMENTO.CustoUnitario*(1+$AH76),ORÇAMENTO.PrecoUnitarioLicitado),15-13*$AF$10),0)</f>
        <v>0</v>
      </c>
      <c r="X76" s="126" cm="1">
        <f t="array" aca="1" ref="X76" ca="1">IF($C76="S",IF(OR(Import.TipoArredondamento&lt;&gt;"TransfereGOV",ACOMPANHAMENTO="BM"),VTOTAL1,SUM(OFFSET(CÁLCULO!$AA$15,ROW($X76)-ROW($X$15),1):OFFSET(CÁLCULO!$AL$15,ROW($X76)-ROW($X$15),-1))),IF($C76=0,0,ROUND(SomaAgrup,15-13*$AF$11)))</f>
        <v>0</v>
      </c>
      <c r="Y76" s="127" t="s">
        <v>752</v>
      </c>
      <c r="Z76" s="675" t="str">
        <f t="shared" ca="1" si="29"/>
        <v/>
      </c>
      <c r="AA76" s="128">
        <f ca="1">IF($C76="S",IF($Z76="CP",$X76,IF($Z76="RA",(($X76)*QCI!$AA$3),0)),SomaAgrup)</f>
        <v>0</v>
      </c>
      <c r="AB76" s="129">
        <f t="shared" ca="1" si="30"/>
        <v>0</v>
      </c>
      <c r="AC76" s="566"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IF(AND(_xlfn.SINGLE(TIPOORCAMENTO)="Licitado",$AL76=0,$AN76&gt;0),"SEM PREÇO",
IF(AND($C76="S",$P76&lt;&gt;"",$Q76&lt;&gt;"",$U76&gt;0,$V76=0),"BDI",
IF(OR(AND(TIPOORCAMENTO="Proposto",LEFT($O$8,5)&lt;&gt;"(N/D:",$AG76&lt;&gt;"",ORÇAMENTO.CustoUnitario&gt;$AG76),AND(TIPOORCAMENTO="LICITADO",ORÇAMENTO.PrecoUnitarioLicitado&gt;$AN76)),"ACIMA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SEM CUSTO</v>
      </c>
      <c r="AD76" s="675" t="str">
        <f ca="1">IF(C76&lt;=CRONO.NivelExibicao,MAX($AD$15:OFFSET(AD76,-1,0))+IF($C76&lt;&gt;1,1,MAX(1,COUNTIF(QCI!$A$13:$A$15,OFFSET($E76,-1,0)))),"")</f>
        <v/>
      </c>
      <c r="AE76" s="671" t="str">
        <f ca="1">IF(AND($C76="S",ORÇAMENTO.CodBarra&lt;&gt;""),IF(ORÇAMENTO.Fonte="",ORÇAMENTO.CodBarra,CONCATENATE(ORÇAMENTO.Fonte," ",ORÇAMENTO.CodBarra)))</f>
        <v>Cotação COT 20</v>
      </c>
      <c r="AF76" s="674" t="str">
        <f ca="1">IF(ISERROR(INDIRECT(ORÇAMENTO.BancoRef)),"(abra o arquivo 'Referência "&amp;Excel_BuiltIn_Database&amp;".xlsm)",IF(OR($C76&lt;&gt;"S",ORÇAMENTO.CodBarra=""),"(Sem Código)",IF(ISERROR(MATCH($AE76,INDIRECT(ORÇAMENTO.BancoRef),0)),"(Código não identificado nas referências)",MATCH($AE76,INDIRECT(ORÇAMENTO.BancoRef),0))))</f>
        <v>(abra o arquivo 'Referência 09-2025.xlsm)</v>
      </c>
      <c r="AG76" s="429">
        <f ca="1">ROUND(IF(DESONERACAO="sim",REFERENCIA.Desonerado,REFERENCIA.NaoDesonerado),2)</f>
        <v>0</v>
      </c>
      <c r="AH76" s="430">
        <f t="shared" ca="1" si="31"/>
        <v>0.1573</v>
      </c>
      <c r="AJ76" s="685">
        <v>6</v>
      </c>
      <c r="AL76" s="440"/>
      <c r="AM76" s="337">
        <f t="shared" ca="1" si="0"/>
        <v>0</v>
      </c>
      <c r="AN76" s="471">
        <f t="shared" ca="1" si="32"/>
        <v>0</v>
      </c>
    </row>
    <row r="77" spans="1:40" s="675" customFormat="1" x14ac:dyDescent="0.2">
      <c r="A77" s="675" t="str">
        <f t="shared" si="18"/>
        <v>S</v>
      </c>
      <c r="B77" s="675">
        <f t="shared" ca="1" si="19"/>
        <v>2</v>
      </c>
      <c r="C77" s="675" t="str">
        <f t="shared" ca="1" si="20"/>
        <v>S</v>
      </c>
      <c r="D77" s="675">
        <f t="shared" ca="1" si="21"/>
        <v>0</v>
      </c>
      <c r="E77" s="675">
        <f ca="1">IF($C77=1,OFFSET(E77,-1,0)+MAX(1,COUNTIF(QCI!$A$13:$A$15,OFFSET(ORÇAMENTO!E77,-1,0))),OFFSET(E77,-1,0))</f>
        <v>1</v>
      </c>
      <c r="F77" s="675">
        <f t="shared" ca="1" si="22"/>
        <v>8</v>
      </c>
      <c r="G77" s="675">
        <f t="shared" ca="1" si="23"/>
        <v>0</v>
      </c>
      <c r="H77" s="675">
        <f t="shared" ca="1" si="24"/>
        <v>0</v>
      </c>
      <c r="I77" s="675">
        <f t="shared" ca="1" si="25"/>
        <v>0</v>
      </c>
      <c r="J77" s="675">
        <f t="shared" ca="1" si="17"/>
        <v>0</v>
      </c>
      <c r="K77" s="675">
        <f ca="1">IF(OR($C77="S",$C77=0),0,MATCH(OFFSET($D77,0,$C77)+IF($C77&lt;&gt;1,1,COUNTIF(QCI!$A$13:$A$15,ORÇAMENTO!E77)),OFFSET($D77,1,$C77,ROW($C$231)-ROW($C77)),0))</f>
        <v>0</v>
      </c>
      <c r="L77" s="115" t="str">
        <f t="shared" ca="1" si="26"/>
        <v/>
      </c>
      <c r="M77" s="116" t="s">
        <v>706</v>
      </c>
      <c r="N77" s="117" t="str">
        <f t="shared" ca="1" si="27"/>
        <v>Serviço</v>
      </c>
      <c r="O77" s="118" t="str">
        <f t="shared" ca="1" si="28"/>
        <v>-</v>
      </c>
      <c r="P77" s="119" t="s">
        <v>993</v>
      </c>
      <c r="Q77" s="682" t="s">
        <v>1007</v>
      </c>
      <c r="R77" s="121" t="str">
        <f ca="1">IF($C77="S",REFERENCIA.Descricao,"(digite a descrição aqui)")</f>
        <v>(abra o arquivo 'Referência 09-2025.xlsm)</v>
      </c>
      <c r="S77" s="122" t="str">
        <f ca="1">REFERENCIA.Unidade</f>
        <v>-</v>
      </c>
      <c r="T77" s="123">
        <f ca="1">OFFSET(CÁLCULO!H$15,ROW($T77)-ROW(T$15),0)</f>
        <v>6</v>
      </c>
      <c r="U77" s="124">
        <f ca="1">ROUND(IF(DESONERACAO="sim",REFERENCIA.Desonerado,REFERENCIA.NaoDesonerado),2)</f>
        <v>0</v>
      </c>
      <c r="V77" s="125" t="s">
        <v>698</v>
      </c>
      <c r="W77" s="123">
        <f ca="1">IF($C77="S",ROUND(IF(TIPOORCAMENTO="Proposto",ORÇAMENTO.CustoUnitario*(1+$AH77),ORÇAMENTO.PrecoUnitarioLicitado),15-13*$AF$10),0)</f>
        <v>0</v>
      </c>
      <c r="X77" s="126" cm="1">
        <f t="array" aca="1" ref="X77" ca="1">IF($C77="S",IF(OR(Import.TipoArredondamento&lt;&gt;"TransfereGOV",ACOMPANHAMENTO="BM"),VTOTAL1,SUM(OFFSET(CÁLCULO!$AA$15,ROW($X77)-ROW($X$15),1):OFFSET(CÁLCULO!$AL$15,ROW($X77)-ROW($X$15),-1))),IF($C77=0,0,ROUND(SomaAgrup,15-13*$AF$11)))</f>
        <v>0</v>
      </c>
      <c r="Y77" s="127" t="s">
        <v>752</v>
      </c>
      <c r="Z77" s="675" t="str">
        <f t="shared" ca="1" si="29"/>
        <v/>
      </c>
      <c r="AA77" s="128">
        <f ca="1">IF($C77="S",IF($Z77="CP",$X77,IF($Z77="RA",(($X77)*QCI!$AA$3),0)),SomaAgrup)</f>
        <v>0</v>
      </c>
      <c r="AB77" s="129">
        <f t="shared" ca="1" si="30"/>
        <v>0</v>
      </c>
      <c r="AC77" s="566"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IF(AND(_xlfn.SINGLE(TIPOORCAMENTO)="Licitado",$AL77=0,$AN77&gt;0),"SEM PREÇO",
IF(AND($C77="S",$P77&lt;&gt;"",$Q77&lt;&gt;"",$U77&gt;0,$V77=0),"BDI",
IF(OR(AND(TIPOORCAMENTO="Proposto",LEFT($O$8,5)&lt;&gt;"(N/D:",$AG77&lt;&gt;"",ORÇAMENTO.CustoUnitario&gt;$AG77),AND(TIPOORCAMENTO="LICITADO",ORÇAMENTO.PrecoUnitarioLicitado&gt;$AN77)),"ACIMA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SEM CUSTO</v>
      </c>
      <c r="AD77" s="675" t="str">
        <f ca="1">IF(C77&lt;=CRONO.NivelExibicao,MAX($AD$15:OFFSET(AD77,-1,0))+IF($C77&lt;&gt;1,1,MAX(1,COUNTIF(QCI!$A$13:$A$15,OFFSET($E77,-1,0)))),"")</f>
        <v/>
      </c>
      <c r="AE77" s="671" t="str">
        <f ca="1">IF(AND($C77="S",ORÇAMENTO.CodBarra&lt;&gt;""),IF(ORÇAMENTO.Fonte="",ORÇAMENTO.CodBarra,CONCATENATE(ORÇAMENTO.Fonte," ",ORÇAMENTO.CodBarra)))</f>
        <v>Cotação COT 21</v>
      </c>
      <c r="AF77" s="674" t="str">
        <f ca="1">IF(ISERROR(INDIRECT(ORÇAMENTO.BancoRef)),"(abra o arquivo 'Referência "&amp;Excel_BuiltIn_Database&amp;".xlsm)",IF(OR($C77&lt;&gt;"S",ORÇAMENTO.CodBarra=""),"(Sem Código)",IF(ISERROR(MATCH($AE77,INDIRECT(ORÇAMENTO.BancoRef),0)),"(Código não identificado nas referências)",MATCH($AE77,INDIRECT(ORÇAMENTO.BancoRef),0))))</f>
        <v>(abra o arquivo 'Referência 09-2025.xlsm)</v>
      </c>
      <c r="AG77" s="429">
        <f ca="1">ROUND(IF(DESONERACAO="sim",REFERENCIA.Desonerado,REFERENCIA.NaoDesonerado),2)</f>
        <v>0</v>
      </c>
      <c r="AH77" s="430">
        <f t="shared" ca="1" si="31"/>
        <v>0.1573</v>
      </c>
      <c r="AJ77" s="685">
        <v>6</v>
      </c>
      <c r="AL77" s="440"/>
      <c r="AM77" s="337">
        <f t="shared" ca="1" si="0"/>
        <v>0</v>
      </c>
      <c r="AN77" s="471">
        <f t="shared" ca="1" si="32"/>
        <v>0</v>
      </c>
    </row>
    <row r="78" spans="1:40" s="675" customFormat="1" x14ac:dyDescent="0.2">
      <c r="A78" s="675" t="str">
        <f t="shared" si="18"/>
        <v>S</v>
      </c>
      <c r="B78" s="675">
        <f t="shared" ca="1" si="19"/>
        <v>2</v>
      </c>
      <c r="C78" s="675" t="str">
        <f t="shared" ca="1" si="20"/>
        <v>S</v>
      </c>
      <c r="D78" s="675">
        <f t="shared" ca="1" si="21"/>
        <v>0</v>
      </c>
      <c r="E78" s="675">
        <f ca="1">IF($C78=1,OFFSET(E78,-1,0)+MAX(1,COUNTIF(QCI!$A$13:$A$15,OFFSET(ORÇAMENTO!E78,-1,0))),OFFSET(E78,-1,0))</f>
        <v>1</v>
      </c>
      <c r="F78" s="675">
        <f t="shared" ca="1" si="22"/>
        <v>8</v>
      </c>
      <c r="G78" s="675">
        <f t="shared" ca="1" si="23"/>
        <v>0</v>
      </c>
      <c r="H78" s="675">
        <f t="shared" ca="1" si="24"/>
        <v>0</v>
      </c>
      <c r="I78" s="675">
        <f t="shared" ca="1" si="25"/>
        <v>0</v>
      </c>
      <c r="J78" s="675">
        <f t="shared" ca="1" si="17"/>
        <v>0</v>
      </c>
      <c r="K78" s="675">
        <f ca="1">IF(OR($C78="S",$C78=0),0,MATCH(OFFSET($D78,0,$C78)+IF($C78&lt;&gt;1,1,COUNTIF(QCI!$A$13:$A$15,ORÇAMENTO!E78)),OFFSET($D78,1,$C78,ROW($C$231)-ROW($C78)),0))</f>
        <v>0</v>
      </c>
      <c r="L78" s="115" t="str">
        <f t="shared" ca="1" si="26"/>
        <v/>
      </c>
      <c r="M78" s="116" t="s">
        <v>706</v>
      </c>
      <c r="N78" s="117" t="str">
        <f t="shared" ca="1" si="27"/>
        <v>Serviço</v>
      </c>
      <c r="O78" s="118" t="str">
        <f t="shared" ca="1" si="28"/>
        <v>-</v>
      </c>
      <c r="P78" s="119" t="s">
        <v>993</v>
      </c>
      <c r="Q78" s="682" t="s">
        <v>1008</v>
      </c>
      <c r="R78" s="121" t="str">
        <f ca="1">IF($C78="S",REFERENCIA.Descricao,"(digite a descrição aqui)")</f>
        <v>(abra o arquivo 'Referência 09-2025.xlsm)</v>
      </c>
      <c r="S78" s="122" t="str">
        <f ca="1">REFERENCIA.Unidade</f>
        <v>-</v>
      </c>
      <c r="T78" s="123">
        <f ca="1">OFFSET(CÁLCULO!H$15,ROW($T78)-ROW(T$15),0)</f>
        <v>6</v>
      </c>
      <c r="U78" s="124">
        <f ca="1">ROUND(IF(DESONERACAO="sim",REFERENCIA.Desonerado,REFERENCIA.NaoDesonerado),2)</f>
        <v>0</v>
      </c>
      <c r="V78" s="125" t="s">
        <v>698</v>
      </c>
      <c r="W78" s="123">
        <f ca="1">IF($C78="S",ROUND(IF(TIPOORCAMENTO="Proposto",ORÇAMENTO.CustoUnitario*(1+$AH78),ORÇAMENTO.PrecoUnitarioLicitado),15-13*$AF$10),0)</f>
        <v>0</v>
      </c>
      <c r="X78" s="126" cm="1">
        <f t="array" aca="1" ref="X78" ca="1">IF($C78="S",IF(OR(Import.TipoArredondamento&lt;&gt;"TransfereGOV",ACOMPANHAMENTO="BM"),VTOTAL1,SUM(OFFSET(CÁLCULO!$AA$15,ROW($X78)-ROW($X$15),1):OFFSET(CÁLCULO!$AL$15,ROW($X78)-ROW($X$15),-1))),IF($C78=0,0,ROUND(SomaAgrup,15-13*$AF$11)))</f>
        <v>0</v>
      </c>
      <c r="Y78" s="127" t="s">
        <v>752</v>
      </c>
      <c r="Z78" s="675" t="str">
        <f t="shared" ca="1" si="29"/>
        <v/>
      </c>
      <c r="AA78" s="128">
        <f ca="1">IF($C78="S",IF($Z78="CP",$X78,IF($Z78="RA",(($X78)*QCI!$AA$3),0)),SomaAgrup)</f>
        <v>0</v>
      </c>
      <c r="AB78" s="129">
        <f t="shared" ca="1" si="30"/>
        <v>0</v>
      </c>
      <c r="AC78" s="566"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IF(AND(_xlfn.SINGLE(TIPOORCAMENTO)="Licitado",$AL78=0,$AN78&gt;0),"SEM PREÇO",
IF(AND($C78="S",$P78&lt;&gt;"",$Q78&lt;&gt;"",$U78&gt;0,$V78=0),"BDI",
IF(OR(AND(TIPOORCAMENTO="Proposto",LEFT($O$8,5)&lt;&gt;"(N/D:",$AG78&lt;&gt;"",ORÇAMENTO.CustoUnitario&gt;$AG78),AND(TIPOORCAMENTO="LICITADO",ORÇAMENTO.PrecoUnitarioLicitado&gt;$AN78)),"ACIMA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SEM CUSTO</v>
      </c>
      <c r="AD78" s="675" t="str">
        <f ca="1">IF(C78&lt;=CRONO.NivelExibicao,MAX($AD$15:OFFSET(AD78,-1,0))+IF($C78&lt;&gt;1,1,MAX(1,COUNTIF(QCI!$A$13:$A$15,OFFSET($E78,-1,0)))),"")</f>
        <v/>
      </c>
      <c r="AE78" s="671" t="str">
        <f ca="1">IF(AND($C78="S",ORÇAMENTO.CodBarra&lt;&gt;""),IF(ORÇAMENTO.Fonte="",ORÇAMENTO.CodBarra,CONCATENATE(ORÇAMENTO.Fonte," ",ORÇAMENTO.CodBarra)))</f>
        <v>Cotação COT 22</v>
      </c>
      <c r="AF78" s="674" t="str">
        <f ca="1">IF(ISERROR(INDIRECT(ORÇAMENTO.BancoRef)),"(abra o arquivo 'Referência "&amp;Excel_BuiltIn_Database&amp;".xlsm)",IF(OR($C78&lt;&gt;"S",ORÇAMENTO.CodBarra=""),"(Sem Código)",IF(ISERROR(MATCH($AE78,INDIRECT(ORÇAMENTO.BancoRef),0)),"(Código não identificado nas referências)",MATCH($AE78,INDIRECT(ORÇAMENTO.BancoRef),0))))</f>
        <v>(abra o arquivo 'Referência 09-2025.xlsm)</v>
      </c>
      <c r="AG78" s="429">
        <f ca="1">ROUND(IF(DESONERACAO="sim",REFERENCIA.Desonerado,REFERENCIA.NaoDesonerado),2)</f>
        <v>0</v>
      </c>
      <c r="AH78" s="430">
        <f t="shared" ca="1" si="31"/>
        <v>0.1573</v>
      </c>
      <c r="AJ78" s="685">
        <v>6</v>
      </c>
      <c r="AL78" s="440"/>
      <c r="AM78" s="337">
        <f t="shared" ca="1" si="0"/>
        <v>0</v>
      </c>
      <c r="AN78" s="471">
        <f t="shared" ca="1" si="32"/>
        <v>0</v>
      </c>
    </row>
    <row r="79" spans="1:40" s="675" customFormat="1" x14ac:dyDescent="0.2">
      <c r="A79" s="675" t="str">
        <f t="shared" si="18"/>
        <v>S</v>
      </c>
      <c r="B79" s="675">
        <f t="shared" ca="1" si="19"/>
        <v>2</v>
      </c>
      <c r="C79" s="675" t="str">
        <f t="shared" ca="1" si="20"/>
        <v>S</v>
      </c>
      <c r="D79" s="675">
        <f t="shared" ca="1" si="21"/>
        <v>0</v>
      </c>
      <c r="E79" s="675">
        <f ca="1">IF($C79=1,OFFSET(E79,-1,0)+MAX(1,COUNTIF(QCI!$A$13:$A$15,OFFSET(ORÇAMENTO!E79,-1,0))),OFFSET(E79,-1,0))</f>
        <v>1</v>
      </c>
      <c r="F79" s="675">
        <f t="shared" ca="1" si="22"/>
        <v>8</v>
      </c>
      <c r="G79" s="675">
        <f t="shared" ca="1" si="23"/>
        <v>0</v>
      </c>
      <c r="H79" s="675">
        <f t="shared" ca="1" si="24"/>
        <v>0</v>
      </c>
      <c r="I79" s="675">
        <f t="shared" ca="1" si="25"/>
        <v>0</v>
      </c>
      <c r="J79" s="675">
        <f t="shared" ca="1" si="17"/>
        <v>0</v>
      </c>
      <c r="K79" s="675">
        <f ca="1">IF(OR($C79="S",$C79=0),0,MATCH(OFFSET($D79,0,$C79)+IF($C79&lt;&gt;1,1,COUNTIF(QCI!$A$13:$A$15,ORÇAMENTO!E79)),OFFSET($D79,1,$C79,ROW($C$231)-ROW($C79)),0))</f>
        <v>0</v>
      </c>
      <c r="L79" s="115" t="str">
        <f t="shared" ca="1" si="26"/>
        <v/>
      </c>
      <c r="M79" s="116" t="s">
        <v>706</v>
      </c>
      <c r="N79" s="117" t="str">
        <f t="shared" ca="1" si="27"/>
        <v>Serviço</v>
      </c>
      <c r="O79" s="118" t="str">
        <f t="shared" ca="1" si="28"/>
        <v>-</v>
      </c>
      <c r="P79" s="119" t="s">
        <v>993</v>
      </c>
      <c r="Q79" s="682" t="s">
        <v>1009</v>
      </c>
      <c r="R79" s="121" t="str">
        <f ca="1">IF($C79="S",REFERENCIA.Descricao,"(digite a descrição aqui)")</f>
        <v>(abra o arquivo 'Referência 09-2025.xlsm)</v>
      </c>
      <c r="S79" s="122" t="str">
        <f ca="1">REFERENCIA.Unidade</f>
        <v>-</v>
      </c>
      <c r="T79" s="123">
        <f ca="1">OFFSET(CÁLCULO!H$15,ROW($T79)-ROW(T$15),0)</f>
        <v>1</v>
      </c>
      <c r="U79" s="124">
        <f ca="1">ROUND(IF(DESONERACAO="sim",REFERENCIA.Desonerado,REFERENCIA.NaoDesonerado),2)</f>
        <v>0</v>
      </c>
      <c r="V79" s="125" t="s">
        <v>698</v>
      </c>
      <c r="W79" s="123">
        <f ca="1">IF($C79="S",ROUND(IF(TIPOORCAMENTO="Proposto",ORÇAMENTO.CustoUnitario*(1+$AH79),ORÇAMENTO.PrecoUnitarioLicitado),15-13*$AF$10),0)</f>
        <v>0</v>
      </c>
      <c r="X79" s="126" cm="1">
        <f t="array" aca="1" ref="X79" ca="1">IF($C79="S",IF(OR(Import.TipoArredondamento&lt;&gt;"TransfereGOV",ACOMPANHAMENTO="BM"),VTOTAL1,SUM(OFFSET(CÁLCULO!$AA$15,ROW($X79)-ROW($X$15),1):OFFSET(CÁLCULO!$AL$15,ROW($X79)-ROW($X$15),-1))),IF($C79=0,0,ROUND(SomaAgrup,15-13*$AF$11)))</f>
        <v>0</v>
      </c>
      <c r="Y79" s="127" t="s">
        <v>752</v>
      </c>
      <c r="Z79" s="675" t="str">
        <f t="shared" ca="1" si="29"/>
        <v/>
      </c>
      <c r="AA79" s="128">
        <f ca="1">IF($C79="S",IF($Z79="CP",$X79,IF($Z79="RA",(($X79)*QCI!$AA$3),0)),SomaAgrup)</f>
        <v>0</v>
      </c>
      <c r="AB79" s="129">
        <f t="shared" ca="1" si="30"/>
        <v>0</v>
      </c>
      <c r="AC79" s="566"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IF(AND(_xlfn.SINGLE(TIPOORCAMENTO)="Licitado",$AL79=0,$AN79&gt;0),"SEM PREÇO",
IF(AND($C79="S",$P79&lt;&gt;"",$Q79&lt;&gt;"",$U79&gt;0,$V79=0),"BDI",
IF(OR(AND(TIPOORCAMENTO="Proposto",LEFT($O$8,5)&lt;&gt;"(N/D:",$AG79&lt;&gt;"",ORÇAMENTO.CustoUnitario&gt;$AG79),AND(TIPOORCAMENTO="LICITADO",ORÇAMENTO.PrecoUnitarioLicitado&gt;$AN79)),"ACIMA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SEM CUSTO</v>
      </c>
      <c r="AD79" s="675" t="str">
        <f ca="1">IF(C79&lt;=CRONO.NivelExibicao,MAX($AD$15:OFFSET(AD79,-1,0))+IF($C79&lt;&gt;1,1,MAX(1,COUNTIF(QCI!$A$13:$A$15,OFFSET($E79,-1,0)))),"")</f>
        <v/>
      </c>
      <c r="AE79" s="671" t="str">
        <f ca="1">IF(AND($C79="S",ORÇAMENTO.CodBarra&lt;&gt;""),IF(ORÇAMENTO.Fonte="",ORÇAMENTO.CodBarra,CONCATENATE(ORÇAMENTO.Fonte," ",ORÇAMENTO.CodBarra)))</f>
        <v>Cotação COT 23</v>
      </c>
      <c r="AF79" s="674" t="str">
        <f ca="1">IF(ISERROR(INDIRECT(ORÇAMENTO.BancoRef)),"(abra o arquivo 'Referência "&amp;Excel_BuiltIn_Database&amp;".xlsm)",IF(OR($C79&lt;&gt;"S",ORÇAMENTO.CodBarra=""),"(Sem Código)",IF(ISERROR(MATCH($AE79,INDIRECT(ORÇAMENTO.BancoRef),0)),"(Código não identificado nas referências)",MATCH($AE79,INDIRECT(ORÇAMENTO.BancoRef),0))))</f>
        <v>(abra o arquivo 'Referência 09-2025.xlsm)</v>
      </c>
      <c r="AG79" s="429">
        <f ca="1">ROUND(IF(DESONERACAO="sim",REFERENCIA.Desonerado,REFERENCIA.NaoDesonerado),2)</f>
        <v>0</v>
      </c>
      <c r="AH79" s="430">
        <f t="shared" ca="1" si="31"/>
        <v>0.1573</v>
      </c>
      <c r="AJ79" s="685">
        <v>1</v>
      </c>
      <c r="AL79" s="440"/>
      <c r="AM79" s="337">
        <f t="shared" ca="1" si="0"/>
        <v>0</v>
      </c>
      <c r="AN79" s="471">
        <f t="shared" ca="1" si="32"/>
        <v>0</v>
      </c>
    </row>
    <row r="80" spans="1:40" s="675" customFormat="1" x14ac:dyDescent="0.2">
      <c r="A80" s="675" t="str">
        <f t="shared" si="18"/>
        <v>S</v>
      </c>
      <c r="B80" s="675">
        <f t="shared" ca="1" si="19"/>
        <v>2</v>
      </c>
      <c r="C80" s="675" t="str">
        <f t="shared" ca="1" si="20"/>
        <v>S</v>
      </c>
      <c r="D80" s="675">
        <f t="shared" ca="1" si="21"/>
        <v>0</v>
      </c>
      <c r="E80" s="675">
        <f ca="1">IF($C80=1,OFFSET(E80,-1,0)+MAX(1,COUNTIF(QCI!$A$13:$A$15,OFFSET(ORÇAMENTO!E80,-1,0))),OFFSET(E80,-1,0))</f>
        <v>1</v>
      </c>
      <c r="F80" s="675">
        <f t="shared" ca="1" si="22"/>
        <v>8</v>
      </c>
      <c r="G80" s="675">
        <f t="shared" ca="1" si="23"/>
        <v>0</v>
      </c>
      <c r="H80" s="675">
        <f t="shared" ca="1" si="24"/>
        <v>0</v>
      </c>
      <c r="I80" s="675">
        <f t="shared" ca="1" si="25"/>
        <v>0</v>
      </c>
      <c r="J80" s="675">
        <f t="shared" ref="J80:J97" ca="1" si="33">IF(OR($C80="S",$C80=0),0,MATCH(0,OFFSET($D80,1,$C80,ROW($C$231)-ROW($C80)),0))</f>
        <v>0</v>
      </c>
      <c r="K80" s="675">
        <f ca="1">IF(OR($C80="S",$C80=0),0,MATCH(OFFSET($D80,0,$C80)+IF($C80&lt;&gt;1,1,COUNTIF(QCI!$A$13:$A$15,ORÇAMENTO!E80)),OFFSET($D80,1,$C80,ROW($C$231)-ROW($C80)),0))</f>
        <v>0</v>
      </c>
      <c r="L80" s="115" t="str">
        <f t="shared" ca="1" si="26"/>
        <v/>
      </c>
      <c r="M80" s="116" t="s">
        <v>706</v>
      </c>
      <c r="N80" s="117" t="str">
        <f t="shared" ca="1" si="27"/>
        <v>Serviço</v>
      </c>
      <c r="O80" s="118" t="str">
        <f t="shared" ca="1" si="28"/>
        <v>-</v>
      </c>
      <c r="P80" s="119" t="s">
        <v>993</v>
      </c>
      <c r="Q80" s="682" t="s">
        <v>1010</v>
      </c>
      <c r="R80" s="121" t="str">
        <f ca="1">IF($C80="S",REFERENCIA.Descricao,"(digite a descrição aqui)")</f>
        <v>(abra o arquivo 'Referência 09-2025.xlsm)</v>
      </c>
      <c r="S80" s="122" t="str">
        <f ca="1">REFERENCIA.Unidade</f>
        <v>-</v>
      </c>
      <c r="T80" s="123">
        <f ca="1">OFFSET(CÁLCULO!H$15,ROW($T80)-ROW(T$15),0)</f>
        <v>2</v>
      </c>
      <c r="U80" s="124">
        <f ca="1">ROUND(IF(DESONERACAO="sim",REFERENCIA.Desonerado,REFERENCIA.NaoDesonerado),2)</f>
        <v>0</v>
      </c>
      <c r="V80" s="125" t="s">
        <v>698</v>
      </c>
      <c r="W80" s="123">
        <f ca="1">IF($C80="S",ROUND(IF(TIPOORCAMENTO="Proposto",ORÇAMENTO.CustoUnitario*(1+$AH80),ORÇAMENTO.PrecoUnitarioLicitado),15-13*$AF$10),0)</f>
        <v>0</v>
      </c>
      <c r="X80" s="126" cm="1">
        <f t="array" aca="1" ref="X80" ca="1">IF($C80="S",IF(OR(Import.TipoArredondamento&lt;&gt;"TransfereGOV",ACOMPANHAMENTO="BM"),VTOTAL1,SUM(OFFSET(CÁLCULO!$AA$15,ROW($X80)-ROW($X$15),1):OFFSET(CÁLCULO!$AL$15,ROW($X80)-ROW($X$15),-1))),IF($C80=0,0,ROUND(SomaAgrup,15-13*$AF$11)))</f>
        <v>0</v>
      </c>
      <c r="Y80" s="127" t="s">
        <v>752</v>
      </c>
      <c r="Z80" s="675" t="str">
        <f t="shared" ca="1" si="29"/>
        <v/>
      </c>
      <c r="AA80" s="128">
        <f ca="1">IF($C80="S",IF($Z80="CP",$X80,IF($Z80="RA",(($X80)*QCI!$AA$3),0)),SomaAgrup)</f>
        <v>0</v>
      </c>
      <c r="AB80" s="129">
        <f t="shared" ca="1" si="30"/>
        <v>0</v>
      </c>
      <c r="AC80" s="566"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IF(AND(_xlfn.SINGLE(TIPOORCAMENTO)="Licitado",$AL80=0,$AN80&gt;0),"SEM PREÇO",
IF(AND($C80="S",$P80&lt;&gt;"",$Q80&lt;&gt;"",$U80&gt;0,$V80=0),"BDI",
IF(OR(AND(TIPOORCAMENTO="Proposto",LEFT($O$8,5)&lt;&gt;"(N/D:",$AG80&lt;&gt;"",ORÇAMENTO.CustoUnitario&gt;$AG80),AND(TIPOORCAMENTO="LICITADO",ORÇAMENTO.PrecoUnitarioLicitado&gt;$AN80)),"ACIMA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SEM CUSTO</v>
      </c>
      <c r="AD80" s="675" t="str">
        <f ca="1">IF(C80&lt;=CRONO.NivelExibicao,MAX($AD$15:OFFSET(AD80,-1,0))+IF($C80&lt;&gt;1,1,MAX(1,COUNTIF(QCI!$A$13:$A$15,OFFSET($E80,-1,0)))),"")</f>
        <v/>
      </c>
      <c r="AE80" s="671" t="str">
        <f ca="1">IF(AND($C80="S",ORÇAMENTO.CodBarra&lt;&gt;""),IF(ORÇAMENTO.Fonte="",ORÇAMENTO.CodBarra,CONCATENATE(ORÇAMENTO.Fonte," ",ORÇAMENTO.CodBarra)))</f>
        <v>Cotação COT 24</v>
      </c>
      <c r="AF80" s="674" t="str">
        <f ca="1">IF(ISERROR(INDIRECT(ORÇAMENTO.BancoRef)),"(abra o arquivo 'Referência "&amp;Excel_BuiltIn_Database&amp;".xlsm)",IF(OR($C80&lt;&gt;"S",ORÇAMENTO.CodBarra=""),"(Sem Código)",IF(ISERROR(MATCH($AE80,INDIRECT(ORÇAMENTO.BancoRef),0)),"(Código não identificado nas referências)",MATCH($AE80,INDIRECT(ORÇAMENTO.BancoRef),0))))</f>
        <v>(abra o arquivo 'Referência 09-2025.xlsm)</v>
      </c>
      <c r="AG80" s="429">
        <f ca="1">ROUND(IF(DESONERACAO="sim",REFERENCIA.Desonerado,REFERENCIA.NaoDesonerado),2)</f>
        <v>0</v>
      </c>
      <c r="AH80" s="430">
        <f t="shared" ca="1" si="31"/>
        <v>0.1573</v>
      </c>
      <c r="AJ80" s="685">
        <v>2</v>
      </c>
      <c r="AL80" s="440"/>
      <c r="AM80" s="337">
        <f t="shared" ca="1" si="0"/>
        <v>0</v>
      </c>
      <c r="AN80" s="471">
        <f t="shared" ca="1" si="32"/>
        <v>0</v>
      </c>
    </row>
    <row r="81" spans="1:40" s="675" customFormat="1" x14ac:dyDescent="0.2">
      <c r="A81" s="675" t="str">
        <f t="shared" si="18"/>
        <v>S</v>
      </c>
      <c r="B81" s="675">
        <f t="shared" ca="1" si="19"/>
        <v>2</v>
      </c>
      <c r="C81" s="675" t="str">
        <f t="shared" ca="1" si="20"/>
        <v>S</v>
      </c>
      <c r="D81" s="675">
        <f t="shared" ca="1" si="21"/>
        <v>0</v>
      </c>
      <c r="E81" s="675">
        <f ca="1">IF($C81=1,OFFSET(E81,-1,0)+MAX(1,COUNTIF(QCI!$A$13:$A$15,OFFSET(ORÇAMENTO!E81,-1,0))),OFFSET(E81,-1,0))</f>
        <v>1</v>
      </c>
      <c r="F81" s="675">
        <f t="shared" ca="1" si="22"/>
        <v>8</v>
      </c>
      <c r="G81" s="675">
        <f t="shared" ca="1" si="23"/>
        <v>0</v>
      </c>
      <c r="H81" s="675">
        <f t="shared" ca="1" si="24"/>
        <v>0</v>
      </c>
      <c r="I81" s="675">
        <f t="shared" ca="1" si="25"/>
        <v>0</v>
      </c>
      <c r="J81" s="675">
        <f t="shared" ca="1" si="33"/>
        <v>0</v>
      </c>
      <c r="K81" s="675">
        <f ca="1">IF(OR($C81="S",$C81=0),0,MATCH(OFFSET($D81,0,$C81)+IF($C81&lt;&gt;1,1,COUNTIF(QCI!$A$13:$A$15,ORÇAMENTO!E81)),OFFSET($D81,1,$C81,ROW($C$231)-ROW($C81)),0))</f>
        <v>0</v>
      </c>
      <c r="L81" s="115" t="str">
        <f t="shared" ca="1" si="26"/>
        <v/>
      </c>
      <c r="M81" s="116" t="s">
        <v>706</v>
      </c>
      <c r="N81" s="117" t="str">
        <f t="shared" ca="1" si="27"/>
        <v>Serviço</v>
      </c>
      <c r="O81" s="118" t="str">
        <f t="shared" ca="1" si="28"/>
        <v>-</v>
      </c>
      <c r="P81" s="119" t="s">
        <v>993</v>
      </c>
      <c r="Q81" s="682" t="s">
        <v>1011</v>
      </c>
      <c r="R81" s="121" t="str">
        <f ca="1">IF($C81="S",REFERENCIA.Descricao,"(digite a descrição aqui)")</f>
        <v>(abra o arquivo 'Referência 09-2025.xlsm)</v>
      </c>
      <c r="S81" s="122" t="str">
        <f ca="1">REFERENCIA.Unidade</f>
        <v>-</v>
      </c>
      <c r="T81" s="123">
        <f ca="1">OFFSET(CÁLCULO!H$15,ROW($T81)-ROW(T$15),0)</f>
        <v>1</v>
      </c>
      <c r="U81" s="124">
        <f ca="1">ROUND(IF(DESONERACAO="sim",REFERENCIA.Desonerado,REFERENCIA.NaoDesonerado),2)</f>
        <v>0</v>
      </c>
      <c r="V81" s="125" t="s">
        <v>698</v>
      </c>
      <c r="W81" s="123">
        <f ca="1">IF($C81="S",ROUND(IF(TIPOORCAMENTO="Proposto",ORÇAMENTO.CustoUnitario*(1+$AH81),ORÇAMENTO.PrecoUnitarioLicitado),15-13*$AF$10),0)</f>
        <v>0</v>
      </c>
      <c r="X81" s="126" cm="1">
        <f t="array" aca="1" ref="X81" ca="1">IF($C81="S",IF(OR(Import.TipoArredondamento&lt;&gt;"TransfereGOV",ACOMPANHAMENTO="BM"),VTOTAL1,SUM(OFFSET(CÁLCULO!$AA$15,ROW($X81)-ROW($X$15),1):OFFSET(CÁLCULO!$AL$15,ROW($X81)-ROW($X$15),-1))),IF($C81=0,0,ROUND(SomaAgrup,15-13*$AF$11)))</f>
        <v>0</v>
      </c>
      <c r="Y81" s="127" t="s">
        <v>752</v>
      </c>
      <c r="Z81" s="675" t="str">
        <f t="shared" ca="1" si="29"/>
        <v/>
      </c>
      <c r="AA81" s="128">
        <f ca="1">IF($C81="S",IF($Z81="CP",$X81,IF($Z81="RA",(($X81)*QCI!$AA$3),0)),SomaAgrup)</f>
        <v>0</v>
      </c>
      <c r="AB81" s="129">
        <f t="shared" ca="1" si="30"/>
        <v>0</v>
      </c>
      <c r="AC81" s="566"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IF(AND(_xlfn.SINGLE(TIPOORCAMENTO)="Licitado",$AL81=0,$AN81&gt;0),"SEM PREÇO",
IF(AND($C81="S",$P81&lt;&gt;"",$Q81&lt;&gt;"",$U81&gt;0,$V81=0),"BDI",
IF(OR(AND(TIPOORCAMENTO="Proposto",LEFT($O$8,5)&lt;&gt;"(N/D:",$AG81&lt;&gt;"",ORÇAMENTO.CustoUnitario&gt;$AG81),AND(TIPOORCAMENTO="LICITADO",ORÇAMENTO.PrecoUnitarioLicitado&gt;$AN81)),"ACIMA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SEM CUSTO</v>
      </c>
      <c r="AD81" s="675" t="str">
        <f ca="1">IF(C81&lt;=CRONO.NivelExibicao,MAX($AD$15:OFFSET(AD81,-1,0))+IF($C81&lt;&gt;1,1,MAX(1,COUNTIF(QCI!$A$13:$A$15,OFFSET($E81,-1,0)))),"")</f>
        <v/>
      </c>
      <c r="AE81" s="671" t="str">
        <f ca="1">IF(AND($C81="S",ORÇAMENTO.CodBarra&lt;&gt;""),IF(ORÇAMENTO.Fonte="",ORÇAMENTO.CodBarra,CONCATENATE(ORÇAMENTO.Fonte," ",ORÇAMENTO.CodBarra)))</f>
        <v>Cotação COT 25</v>
      </c>
      <c r="AF81" s="674" t="str">
        <f ca="1">IF(ISERROR(INDIRECT(ORÇAMENTO.BancoRef)),"(abra o arquivo 'Referência "&amp;Excel_BuiltIn_Database&amp;".xlsm)",IF(OR($C81&lt;&gt;"S",ORÇAMENTO.CodBarra=""),"(Sem Código)",IF(ISERROR(MATCH($AE81,INDIRECT(ORÇAMENTO.BancoRef),0)),"(Código não identificado nas referências)",MATCH($AE81,INDIRECT(ORÇAMENTO.BancoRef),0))))</f>
        <v>(abra o arquivo 'Referência 09-2025.xlsm)</v>
      </c>
      <c r="AG81" s="429">
        <f ca="1">ROUND(IF(DESONERACAO="sim",REFERENCIA.Desonerado,REFERENCIA.NaoDesonerado),2)</f>
        <v>0</v>
      </c>
      <c r="AH81" s="430">
        <f t="shared" ca="1" si="31"/>
        <v>0.1573</v>
      </c>
      <c r="AJ81" s="685">
        <v>1</v>
      </c>
      <c r="AL81" s="440"/>
      <c r="AM81" s="337">
        <f t="shared" ca="1" si="0"/>
        <v>0</v>
      </c>
      <c r="AN81" s="471">
        <f t="shared" ca="1" si="32"/>
        <v>0</v>
      </c>
    </row>
    <row r="82" spans="1:40" s="720" customFormat="1" x14ac:dyDescent="0.2">
      <c r="A82" s="720" t="str">
        <f t="shared" si="18"/>
        <v>S</v>
      </c>
      <c r="B82" s="720">
        <f t="shared" ca="1" si="19"/>
        <v>2</v>
      </c>
      <c r="C82" s="720" t="str">
        <f t="shared" ca="1" si="20"/>
        <v>S</v>
      </c>
      <c r="D82" s="720">
        <f t="shared" ca="1" si="21"/>
        <v>0</v>
      </c>
      <c r="E82" s="720">
        <f ca="1">IF($C82=1,OFFSET(E82,-1,0)+MAX(1,COUNTIF(QCI!$A$13:$A$15,OFFSET(ORÇAMENTO!E82,-1,0))),OFFSET(E82,-1,0))</f>
        <v>1</v>
      </c>
      <c r="F82" s="720">
        <f t="shared" ca="1" si="22"/>
        <v>8</v>
      </c>
      <c r="G82" s="720">
        <f t="shared" ca="1" si="23"/>
        <v>0</v>
      </c>
      <c r="H82" s="720">
        <f t="shared" ca="1" si="24"/>
        <v>0</v>
      </c>
      <c r="I82" s="720">
        <f t="shared" ca="1" si="25"/>
        <v>0</v>
      </c>
      <c r="J82" s="720">
        <f t="shared" ca="1" si="33"/>
        <v>0</v>
      </c>
      <c r="K82" s="720">
        <f ca="1">IF(OR($C82="S",$C82=0),0,MATCH(OFFSET($D82,0,$C82)+IF($C82&lt;&gt;1,1,COUNTIF(QCI!$A$13:$A$15,ORÇAMENTO!E82)),OFFSET($D82,1,$C82,ROW($C$231)-ROW($C82)),0))</f>
        <v>0</v>
      </c>
      <c r="L82" s="115" t="str">
        <f t="shared" ca="1" si="26"/>
        <v/>
      </c>
      <c r="M82" s="116" t="s">
        <v>706</v>
      </c>
      <c r="N82" s="117" t="str">
        <f t="shared" ca="1" si="27"/>
        <v>Serviço</v>
      </c>
      <c r="O82" s="118" t="str">
        <f t="shared" ca="1" si="28"/>
        <v>-</v>
      </c>
      <c r="P82" s="119" t="s">
        <v>993</v>
      </c>
      <c r="Q82" s="120" t="s">
        <v>1020</v>
      </c>
      <c r="R82" s="121" t="str">
        <f ca="1">IF($C82="S",REFERENCIA.Descricao,"(digite a descrição aqui)")</f>
        <v>(abra o arquivo 'Referência 09-2025.xlsm)</v>
      </c>
      <c r="S82" s="122" t="str">
        <f ca="1">REFERENCIA.Unidade</f>
        <v>-</v>
      </c>
      <c r="T82" s="123">
        <f ca="1">OFFSET(CÁLCULO!H$15,ROW($T82)-ROW(T$15),0)</f>
        <v>8</v>
      </c>
      <c r="U82" s="124">
        <f ca="1">AG82</f>
        <v>0</v>
      </c>
      <c r="V82" s="125" t="s">
        <v>664</v>
      </c>
      <c r="W82" s="123">
        <f ca="1">IF($C82="S",ROUND(IF(TIPOORCAMENTO="Proposto",ORÇAMENTO.CustoUnitario*(1+$AH82),ORÇAMENTO.PrecoUnitarioLicitado),15-13*$AF$10),0)</f>
        <v>0</v>
      </c>
      <c r="X82" s="126" cm="1">
        <f t="array" aca="1" ref="X82" ca="1">IF($C82="S",IF(OR(Import.TipoArredondamento&lt;&gt;"TransfereGOV",ACOMPANHAMENTO="BM"),VTOTAL1,SUM(OFFSET(CÁLCULO!$AA$15,ROW($X82)-ROW($X$15),1):OFFSET(CÁLCULO!$AL$15,ROW($X82)-ROW($X$15),-1))),IF($C82=0,0,ROUND(SomaAgrup,15-13*$AF$11)))</f>
        <v>0</v>
      </c>
      <c r="Y82" s="127" t="s">
        <v>752</v>
      </c>
      <c r="Z82" s="720" t="str">
        <f t="shared" ca="1" si="29"/>
        <v/>
      </c>
      <c r="AA82" s="128">
        <f ca="1">IF($C82="S",IF($Z82="CP",$X82,IF($Z82="RA",(($X82)*QCI!$AA$3),0)),SomaAgrup)</f>
        <v>0</v>
      </c>
      <c r="AB82" s="129">
        <f t="shared" ca="1" si="30"/>
        <v>0</v>
      </c>
      <c r="AC82" s="566"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IF(AND(_xlfn.SINGLE(TIPOORCAMENTO)="Licitado",$AL82=0,$AN82&gt;0),"SEM PREÇO",
IF(AND($C82="S",$P82&lt;&gt;"",$Q82&lt;&gt;"",$U82&gt;0,$V82=0),"BDI",
IF(OR(AND(TIPOORCAMENTO="Proposto",LEFT($O$8,5)&lt;&gt;"(N/D:",$AG82&lt;&gt;"",ORÇAMENTO.CustoUnitario&gt;$AG82),AND(TIPOORCAMENTO="LICITADO",ORÇAMENTO.PrecoUnitarioLicitado&gt;$AN82)),"ACIMA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SEM CUSTO</v>
      </c>
      <c r="AD82" s="720" t="str">
        <f ca="1">IF(C82&lt;=CRONO.NivelExibicao,MAX($AD$15:OFFSET(AD82,-1,0))+IF($C82&lt;&gt;1,1,MAX(1,COUNTIF(QCI!$A$13:$A$15,OFFSET($E82,-1,0)))),"")</f>
        <v/>
      </c>
      <c r="AE82" s="718" t="str">
        <f ca="1">IF(AND($C82="S",ORÇAMENTO.CodBarra&lt;&gt;""),IF(ORÇAMENTO.Fonte="",ORÇAMENTO.CodBarra,CONCATENATE(ORÇAMENTO.Fonte," ",ORÇAMENTO.CodBarra)))</f>
        <v>Cotação COT 05</v>
      </c>
      <c r="AF82" s="719" t="str">
        <f ca="1">IF(ISERROR(INDIRECT(ORÇAMENTO.BancoRef)),"(abra o arquivo 'Referência "&amp;Excel_BuiltIn_Database&amp;".xlsm)",IF(OR($C82&lt;&gt;"S",ORÇAMENTO.CodBarra=""),"(Sem Código)",IF(ISERROR(MATCH($AE82,INDIRECT(ORÇAMENTO.BancoRef),0)),"(Código não identificado nas referências)",MATCH($AE82,INDIRECT(ORÇAMENTO.BancoRef),0))))</f>
        <v>(abra o arquivo 'Referência 09-2025.xlsm)</v>
      </c>
      <c r="AG82" s="429">
        <f ca="1">ROUND(IF(DESONERACAO="sim",REFERENCIA.Desonerado,REFERENCIA.NaoDesonerado),2)</f>
        <v>0</v>
      </c>
      <c r="AH82" s="430">
        <f t="shared" ca="1" si="31"/>
        <v>0.24740000000000001</v>
      </c>
      <c r="AJ82" s="699">
        <v>8</v>
      </c>
      <c r="AL82" s="440"/>
      <c r="AM82" s="337">
        <f t="shared" ca="1" si="0"/>
        <v>0</v>
      </c>
      <c r="AN82" s="471">
        <f t="shared" ca="1" si="32"/>
        <v>0</v>
      </c>
    </row>
    <row r="83" spans="1:40" s="720" customFormat="1" x14ac:dyDescent="0.2">
      <c r="A83" s="720" t="str">
        <f t="shared" si="18"/>
        <v>S</v>
      </c>
      <c r="B83" s="720">
        <f t="shared" ca="1" si="19"/>
        <v>2</v>
      </c>
      <c r="C83" s="720" t="str">
        <f t="shared" ca="1" si="20"/>
        <v>S</v>
      </c>
      <c r="D83" s="720">
        <f t="shared" ca="1" si="21"/>
        <v>0</v>
      </c>
      <c r="E83" s="720">
        <f ca="1">IF($C83=1,OFFSET(E83,-1,0)+MAX(1,COUNTIF(QCI!$A$13:$A$15,OFFSET(ORÇAMENTO!E83,-1,0))),OFFSET(E83,-1,0))</f>
        <v>1</v>
      </c>
      <c r="F83" s="720">
        <f t="shared" ca="1" si="22"/>
        <v>8</v>
      </c>
      <c r="G83" s="720">
        <f t="shared" ca="1" si="23"/>
        <v>0</v>
      </c>
      <c r="H83" s="720">
        <f t="shared" ca="1" si="24"/>
        <v>0</v>
      </c>
      <c r="I83" s="720">
        <f t="shared" ca="1" si="25"/>
        <v>0</v>
      </c>
      <c r="J83" s="720">
        <f t="shared" ca="1" si="33"/>
        <v>0</v>
      </c>
      <c r="K83" s="720">
        <f ca="1">IF(OR($C83="S",$C83=0),0,MATCH(OFFSET($D83,0,$C83)+IF($C83&lt;&gt;1,1,COUNTIF(QCI!$A$13:$A$15,ORÇAMENTO!E83)),OFFSET($D83,1,$C83,ROW($C$231)-ROW($C83)),0))</f>
        <v>0</v>
      </c>
      <c r="L83" s="115" t="str">
        <f t="shared" ca="1" si="26"/>
        <v/>
      </c>
      <c r="M83" s="116" t="s">
        <v>706</v>
      </c>
      <c r="N83" s="117" t="str">
        <f t="shared" ca="1" si="27"/>
        <v>Serviço</v>
      </c>
      <c r="O83" s="118" t="str">
        <f t="shared" ca="1" si="28"/>
        <v>-</v>
      </c>
      <c r="P83" s="119" t="s">
        <v>993</v>
      </c>
      <c r="Q83" s="120" t="s">
        <v>1023</v>
      </c>
      <c r="R83" s="121" t="str">
        <f ca="1">IF($C83="S",REFERENCIA.Descricao,"(digite a descrição aqui)")</f>
        <v>(abra o arquivo 'Referência 09-2025.xlsm)</v>
      </c>
      <c r="S83" s="122" t="str">
        <f ca="1">REFERENCIA.Unidade</f>
        <v>-</v>
      </c>
      <c r="T83" s="123">
        <f ca="1">OFFSET(CÁLCULO!H$15,ROW($T83)-ROW(T$15),0)</f>
        <v>2</v>
      </c>
      <c r="U83" s="124">
        <f ca="1">AG83</f>
        <v>0</v>
      </c>
      <c r="V83" s="125" t="s">
        <v>664</v>
      </c>
      <c r="W83" s="123">
        <f ca="1">IF($C83="S",ROUND(IF(TIPOORCAMENTO="Proposto",ORÇAMENTO.CustoUnitario*(1+$AH83),ORÇAMENTO.PrecoUnitarioLicitado),15-13*$AF$10),0)</f>
        <v>0</v>
      </c>
      <c r="X83" s="126" cm="1">
        <f t="array" aca="1" ref="X83" ca="1">IF($C83="S",IF(OR(Import.TipoArredondamento&lt;&gt;"TransfereGOV",ACOMPANHAMENTO="BM"),VTOTAL1,SUM(OFFSET(CÁLCULO!$AA$15,ROW($X83)-ROW($X$15),1):OFFSET(CÁLCULO!$AL$15,ROW($X83)-ROW($X$15),-1))),IF($C83=0,0,ROUND(SomaAgrup,15-13*$AF$11)))</f>
        <v>0</v>
      </c>
      <c r="Y83" s="127" t="s">
        <v>752</v>
      </c>
      <c r="Z83" s="720" t="str">
        <f t="shared" ca="1" si="29"/>
        <v/>
      </c>
      <c r="AA83" s="128">
        <f ca="1">IF($C83="S",IF($Z83="CP",$X83,IF($Z83="RA",(($X83)*QCI!$AA$3),0)),SomaAgrup)</f>
        <v>0</v>
      </c>
      <c r="AB83" s="129">
        <f t="shared" ca="1" si="30"/>
        <v>0</v>
      </c>
      <c r="AC83" s="566"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IF(AND(_xlfn.SINGLE(TIPOORCAMENTO)="Licitado",$AL83=0,$AN83&gt;0),"SEM PREÇO",
IF(AND($C83="S",$P83&lt;&gt;"",$Q83&lt;&gt;"",$U83&gt;0,$V83=0),"BDI",
IF(OR(AND(TIPOORCAMENTO="Proposto",LEFT($O$8,5)&lt;&gt;"(N/D:",$AG83&lt;&gt;"",ORÇAMENTO.CustoUnitario&gt;$AG83),AND(TIPOORCAMENTO="LICITADO",ORÇAMENTO.PrecoUnitarioLicitado&gt;$AN83)),"ACIMA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SEM CUSTO</v>
      </c>
      <c r="AD83" s="720" t="str">
        <f ca="1">IF(C83&lt;=CRONO.NivelExibicao,MAX($AD$15:OFFSET(AD83,-1,0))+IF($C83&lt;&gt;1,1,MAX(1,COUNTIF(QCI!$A$13:$A$15,OFFSET($E83,-1,0)))),"")</f>
        <v/>
      </c>
      <c r="AE83" s="718" t="str">
        <f ca="1">IF(AND($C83="S",ORÇAMENTO.CodBarra&lt;&gt;""),IF(ORÇAMENTO.Fonte="",ORÇAMENTO.CodBarra,CONCATENATE(ORÇAMENTO.Fonte," ",ORÇAMENTO.CodBarra)))</f>
        <v>Cotação COT 08</v>
      </c>
      <c r="AF83" s="719" t="str">
        <f ca="1">IF(ISERROR(INDIRECT(ORÇAMENTO.BancoRef)),"(abra o arquivo 'Referência "&amp;Excel_BuiltIn_Database&amp;".xlsm)",IF(OR($C83&lt;&gt;"S",ORÇAMENTO.CodBarra=""),"(Sem Código)",IF(ISERROR(MATCH($AE83,INDIRECT(ORÇAMENTO.BancoRef),0)),"(Código não identificado nas referências)",MATCH($AE83,INDIRECT(ORÇAMENTO.BancoRef),0))))</f>
        <v>(abra o arquivo 'Referência 09-2025.xlsm)</v>
      </c>
      <c r="AG83" s="429">
        <f ca="1">ROUND(IF(DESONERACAO="sim",REFERENCIA.Desonerado,REFERENCIA.NaoDesonerado),2)</f>
        <v>0</v>
      </c>
      <c r="AH83" s="430">
        <f t="shared" ca="1" si="31"/>
        <v>0.24740000000000001</v>
      </c>
      <c r="AJ83" s="699">
        <v>2</v>
      </c>
      <c r="AL83" s="440"/>
      <c r="AM83" s="337">
        <f t="shared" ca="1" si="0"/>
        <v>0</v>
      </c>
      <c r="AN83" s="471">
        <f t="shared" ca="1" si="32"/>
        <v>0</v>
      </c>
    </row>
    <row r="84" spans="1:40" s="675" customFormat="1" ht="13.9" customHeight="1" x14ac:dyDescent="0.2">
      <c r="A84" s="675" t="str">
        <f t="shared" si="18"/>
        <v>S</v>
      </c>
      <c r="B84" s="675">
        <f t="shared" ca="1" si="19"/>
        <v>2</v>
      </c>
      <c r="C84" s="675" t="str">
        <f t="shared" ca="1" si="20"/>
        <v>S</v>
      </c>
      <c r="D84" s="675">
        <f t="shared" ca="1" si="21"/>
        <v>0</v>
      </c>
      <c r="E84" s="675">
        <f ca="1">IF($C84=1,OFFSET(E84,-1,0)+MAX(1,COUNTIF(QCI!$A$13:$A$15,OFFSET(ORÇAMENTO!E84,-1,0))),OFFSET(E84,-1,0))</f>
        <v>1</v>
      </c>
      <c r="F84" s="675">
        <f t="shared" ca="1" si="22"/>
        <v>8</v>
      </c>
      <c r="G84" s="675">
        <f t="shared" ca="1" si="23"/>
        <v>0</v>
      </c>
      <c r="H84" s="675">
        <f t="shared" ca="1" si="24"/>
        <v>0</v>
      </c>
      <c r="I84" s="675">
        <f t="shared" ca="1" si="25"/>
        <v>0</v>
      </c>
      <c r="J84" s="675">
        <f t="shared" ca="1" si="33"/>
        <v>0</v>
      </c>
      <c r="K84" s="675">
        <f ca="1">IF(OR($C84="S",$C84=0),0,MATCH(OFFSET($D84,0,$C84)+IF($C84&lt;&gt;1,1,COUNTIF(QCI!$A$13:$A$15,ORÇAMENTO!E84)),OFFSET($D84,1,$C84,ROW($C$231)-ROW($C84)),0))</f>
        <v>0</v>
      </c>
      <c r="L84" s="115" t="str">
        <f t="shared" ca="1" si="26"/>
        <v/>
      </c>
      <c r="M84" s="116" t="s">
        <v>706</v>
      </c>
      <c r="N84" s="117" t="str">
        <f t="shared" ca="1" si="27"/>
        <v>Serviço</v>
      </c>
      <c r="O84" s="118" t="str">
        <f t="shared" ca="1" si="28"/>
        <v>-</v>
      </c>
      <c r="P84" s="119" t="s">
        <v>993</v>
      </c>
      <c r="Q84" s="682" t="s">
        <v>995</v>
      </c>
      <c r="R84" s="121" t="str">
        <f ca="1">IF($C84="S",REFERENCIA.Descricao,"(digite a descrição aqui)")</f>
        <v>(abra o arquivo 'Referência 09-2025.xlsm)</v>
      </c>
      <c r="S84" s="122" t="str">
        <f ca="1">REFERENCIA.Unidade</f>
        <v>-</v>
      </c>
      <c r="T84" s="123">
        <f ca="1">OFFSET(CÁLCULO!H$15,ROW($T84)-ROW(T$15),0)</f>
        <v>8</v>
      </c>
      <c r="U84" s="124">
        <f ca="1">ROUND(IF(DESONERACAO="sim",REFERENCIA.Desonerado,REFERENCIA.NaoDesonerado),2)</f>
        <v>0</v>
      </c>
      <c r="V84" s="125" t="s">
        <v>698</v>
      </c>
      <c r="W84" s="123">
        <f ca="1">IF($C84="S",ROUND(IF(TIPOORCAMENTO="Proposto",ORÇAMENTO.CustoUnitario*(1+$AH84),ORÇAMENTO.PrecoUnitarioLicitado),15-13*$AF$10),0)</f>
        <v>0</v>
      </c>
      <c r="X84" s="126" cm="1">
        <f t="array" aca="1" ref="X84" ca="1">IF($C84="S",IF(OR(Import.TipoArredondamento&lt;&gt;"TransfereGOV",ACOMPANHAMENTO="BM"),VTOTAL1,SUM(OFFSET(CÁLCULO!$AA$15,ROW($X84)-ROW($X$15),1):OFFSET(CÁLCULO!$AL$15,ROW($X84)-ROW($X$15),-1))),IF($C84=0,0,ROUND(SomaAgrup,15-13*$AF$11)))</f>
        <v>0</v>
      </c>
      <c r="Y84" s="127" t="s">
        <v>752</v>
      </c>
      <c r="Z84" s="675" t="str">
        <f t="shared" ca="1" si="29"/>
        <v/>
      </c>
      <c r="AA84" s="128">
        <f ca="1">IF($C84="S",IF($Z84="CP",$X84,IF($Z84="RA",(($X84)*QCI!$AA$3),0)),SomaAgrup)</f>
        <v>0</v>
      </c>
      <c r="AB84" s="129">
        <f t="shared" ca="1" si="30"/>
        <v>0</v>
      </c>
      <c r="AC84" s="566"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IF(AND(_xlfn.SINGLE(TIPOORCAMENTO)="Licitado",$AL84=0,$AN84&gt;0),"SEM PREÇO",
IF(AND($C84="S",$P84&lt;&gt;"",$Q84&lt;&gt;"",$U84&gt;0,$V84=0),"BDI",
IF(OR(AND(TIPOORCAMENTO="Proposto",LEFT($O$8,5)&lt;&gt;"(N/D:",$AG84&lt;&gt;"",ORÇAMENTO.CustoUnitario&gt;$AG84),AND(TIPOORCAMENTO="LICITADO",ORÇAMENTO.PrecoUnitarioLicitado&gt;$AN84)),"ACIMA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SEM CUSTO</v>
      </c>
      <c r="AD84" s="675" t="str">
        <f ca="1">IF(C84&lt;=CRONO.NivelExibicao,MAX($AD$15:OFFSET(AD84,-1,0))+IF($C84&lt;&gt;1,1,MAX(1,COUNTIF(QCI!$A$13:$A$15,OFFSET($E84,-1,0)))),"")</f>
        <v/>
      </c>
      <c r="AE84" s="671" t="str">
        <f ca="1">IF(AND($C84="S",ORÇAMENTO.CodBarra&lt;&gt;""),IF(ORÇAMENTO.Fonte="",ORÇAMENTO.CodBarra,CONCATENATE(ORÇAMENTO.Fonte," ",ORÇAMENTO.CodBarra)))</f>
        <v>Cotação COT 10</v>
      </c>
      <c r="AF84" s="674" t="str">
        <f ca="1">IF(ISERROR(INDIRECT(ORÇAMENTO.BancoRef)),"(abra o arquivo 'Referência "&amp;Excel_BuiltIn_Database&amp;".xlsm)",IF(OR($C84&lt;&gt;"S",ORÇAMENTO.CodBarra=""),"(Sem Código)",IF(ISERROR(MATCH($AE84,INDIRECT(ORÇAMENTO.BancoRef),0)),"(Código não identificado nas referências)",MATCH($AE84,INDIRECT(ORÇAMENTO.BancoRef),0))))</f>
        <v>(abra o arquivo 'Referência 09-2025.xlsm)</v>
      </c>
      <c r="AG84" s="429">
        <f ca="1">ROUND(IF(DESONERACAO="sim",REFERENCIA.Desonerado,REFERENCIA.NaoDesonerado),2)</f>
        <v>0</v>
      </c>
      <c r="AH84" s="430">
        <f t="shared" ca="1" si="31"/>
        <v>0.1573</v>
      </c>
      <c r="AJ84" s="685">
        <v>8</v>
      </c>
      <c r="AL84" s="440"/>
      <c r="AM84" s="337">
        <f t="shared" ca="1" si="0"/>
        <v>0</v>
      </c>
      <c r="AN84" s="471">
        <f t="shared" ca="1" si="32"/>
        <v>0</v>
      </c>
    </row>
    <row r="85" spans="1:40" s="675" customFormat="1" ht="13.9" customHeight="1" x14ac:dyDescent="0.2">
      <c r="A85" s="675" t="str">
        <f t="shared" si="18"/>
        <v>S</v>
      </c>
      <c r="B85" s="675">
        <f t="shared" ca="1" si="19"/>
        <v>2</v>
      </c>
      <c r="C85" s="675" t="str">
        <f t="shared" ca="1" si="20"/>
        <v>S</v>
      </c>
      <c r="D85" s="675">
        <f t="shared" ca="1" si="21"/>
        <v>0</v>
      </c>
      <c r="E85" s="675">
        <f ca="1">IF($C85=1,OFFSET(E85,-1,0)+MAX(1,COUNTIF(QCI!$A$13:$A$15,OFFSET(ORÇAMENTO!E85,-1,0))),OFFSET(E85,-1,0))</f>
        <v>1</v>
      </c>
      <c r="F85" s="675">
        <f t="shared" ca="1" si="22"/>
        <v>8</v>
      </c>
      <c r="G85" s="675">
        <f t="shared" ca="1" si="23"/>
        <v>0</v>
      </c>
      <c r="H85" s="675">
        <f t="shared" ca="1" si="24"/>
        <v>0</v>
      </c>
      <c r="I85" s="675">
        <f t="shared" ca="1" si="25"/>
        <v>0</v>
      </c>
      <c r="J85" s="675">
        <f t="shared" ca="1" si="33"/>
        <v>0</v>
      </c>
      <c r="K85" s="675">
        <f ca="1">IF(OR($C85="S",$C85=0),0,MATCH(OFFSET($D85,0,$C85)+IF($C85&lt;&gt;1,1,COUNTIF(QCI!$A$13:$A$15,ORÇAMENTO!E85)),OFFSET($D85,1,$C85,ROW($C$231)-ROW($C85)),0))</f>
        <v>0</v>
      </c>
      <c r="L85" s="115" t="str">
        <f t="shared" ca="1" si="26"/>
        <v/>
      </c>
      <c r="M85" s="116" t="s">
        <v>706</v>
      </c>
      <c r="N85" s="117" t="str">
        <f t="shared" ca="1" si="27"/>
        <v>Serviço</v>
      </c>
      <c r="O85" s="118" t="str">
        <f t="shared" ca="1" si="28"/>
        <v>-</v>
      </c>
      <c r="P85" s="119" t="s">
        <v>993</v>
      </c>
      <c r="Q85" s="682" t="s">
        <v>1012</v>
      </c>
      <c r="R85" s="121" t="str">
        <f ca="1">IF($C85="S",REFERENCIA.Descricao,"(digite a descrição aqui)")</f>
        <v>(abra o arquivo 'Referência 09-2025.xlsm)</v>
      </c>
      <c r="S85" s="122" t="str">
        <f ca="1">REFERENCIA.Unidade</f>
        <v>-</v>
      </c>
      <c r="T85" s="123">
        <f ca="1">OFFSET(CÁLCULO!H$15,ROW($T85)-ROW(T$15),0)</f>
        <v>2</v>
      </c>
      <c r="U85" s="124">
        <f ca="1">ROUND(IF(DESONERACAO="sim",REFERENCIA.Desonerado,REFERENCIA.NaoDesonerado),2)</f>
        <v>0</v>
      </c>
      <c r="V85" s="125" t="s">
        <v>698</v>
      </c>
      <c r="W85" s="123">
        <f ca="1">IF($C85="S",ROUND(IF(TIPOORCAMENTO="Proposto",ORÇAMENTO.CustoUnitario*(1+$AH85),ORÇAMENTO.PrecoUnitarioLicitado),15-13*$AF$10),0)</f>
        <v>0</v>
      </c>
      <c r="X85" s="126" cm="1">
        <f t="array" aca="1" ref="X85" ca="1">IF($C85="S",IF(OR(Import.TipoArredondamento&lt;&gt;"TransfereGOV",ACOMPANHAMENTO="BM"),VTOTAL1,SUM(OFFSET(CÁLCULO!$AA$15,ROW($X85)-ROW($X$15),1):OFFSET(CÁLCULO!$AL$15,ROW($X85)-ROW($X$15),-1))),IF($C85=0,0,ROUND(SomaAgrup,15-13*$AF$11)))</f>
        <v>0</v>
      </c>
      <c r="Y85" s="127" t="s">
        <v>752</v>
      </c>
      <c r="Z85" s="675" t="str">
        <f t="shared" ca="1" si="29"/>
        <v/>
      </c>
      <c r="AA85" s="128">
        <f ca="1">IF($C85="S",IF($Z85="CP",$X85,IF($Z85="RA",(($X85)*QCI!$AA$3),0)),SomaAgrup)</f>
        <v>0</v>
      </c>
      <c r="AB85" s="129">
        <f t="shared" ca="1" si="30"/>
        <v>0</v>
      </c>
      <c r="AC85" s="566"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IF(AND(_xlfn.SINGLE(TIPOORCAMENTO)="Licitado",$AL85=0,$AN85&gt;0),"SEM PREÇO",
IF(AND($C85="S",$P85&lt;&gt;"",$Q85&lt;&gt;"",$U85&gt;0,$V85=0),"BDI",
IF(OR(AND(TIPOORCAMENTO="Proposto",LEFT($O$8,5)&lt;&gt;"(N/D:",$AG85&lt;&gt;"",ORÇAMENTO.CustoUnitario&gt;$AG85),AND(TIPOORCAMENTO="LICITADO",ORÇAMENTO.PrecoUnitarioLicitado&gt;$AN85)),"ACIMA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SEM CUSTO</v>
      </c>
      <c r="AD85" s="675" t="str">
        <f ca="1">IF(C85&lt;=CRONO.NivelExibicao,MAX($AD$15:OFFSET(AD85,-1,0))+IF($C85&lt;&gt;1,1,MAX(1,COUNTIF(QCI!$A$13:$A$15,OFFSET($E85,-1,0)))),"")</f>
        <v/>
      </c>
      <c r="AE85" s="671" t="str">
        <f ca="1">IF(AND($C85="S",ORÇAMENTO.CodBarra&lt;&gt;""),IF(ORÇAMENTO.Fonte="",ORÇAMENTO.CodBarra,CONCATENATE(ORÇAMENTO.Fonte," ",ORÇAMENTO.CodBarra)))</f>
        <v>Cotação COT 27</v>
      </c>
      <c r="AF85" s="674" t="str">
        <f ca="1">IF(ISERROR(INDIRECT(ORÇAMENTO.BancoRef)),"(abra o arquivo 'Referência "&amp;Excel_BuiltIn_Database&amp;".xlsm)",IF(OR($C85&lt;&gt;"S",ORÇAMENTO.CodBarra=""),"(Sem Código)",IF(ISERROR(MATCH($AE85,INDIRECT(ORÇAMENTO.BancoRef),0)),"(Código não identificado nas referências)",MATCH($AE85,INDIRECT(ORÇAMENTO.BancoRef),0))))</f>
        <v>(abra o arquivo 'Referência 09-2025.xlsm)</v>
      </c>
      <c r="AG85" s="429">
        <f ca="1">ROUND(IF(DESONERACAO="sim",REFERENCIA.Desonerado,REFERENCIA.NaoDesonerado),2)</f>
        <v>0</v>
      </c>
      <c r="AH85" s="430">
        <f t="shared" ca="1" si="31"/>
        <v>0.1573</v>
      </c>
      <c r="AJ85" s="685">
        <v>2</v>
      </c>
      <c r="AL85" s="440"/>
      <c r="AM85" s="337">
        <f t="shared" ca="1" si="0"/>
        <v>0</v>
      </c>
      <c r="AN85" s="471">
        <f t="shared" ca="1" si="32"/>
        <v>0</v>
      </c>
    </row>
    <row r="86" spans="1:40" s="675" customFormat="1" ht="13.9" customHeight="1" x14ac:dyDescent="0.2">
      <c r="A86" s="675" t="str">
        <f t="shared" si="18"/>
        <v>S</v>
      </c>
      <c r="B86" s="675">
        <f t="shared" ca="1" si="19"/>
        <v>2</v>
      </c>
      <c r="C86" s="675" t="str">
        <f t="shared" ca="1" si="20"/>
        <v>S</v>
      </c>
      <c r="D86" s="675">
        <f t="shared" ca="1" si="21"/>
        <v>0</v>
      </c>
      <c r="E86" s="675">
        <f ca="1">IF($C86=1,OFFSET(E86,-1,0)+MAX(1,COUNTIF(QCI!$A$13:$A$15,OFFSET(ORÇAMENTO!E86,-1,0))),OFFSET(E86,-1,0))</f>
        <v>1</v>
      </c>
      <c r="F86" s="675">
        <f t="shared" ca="1" si="22"/>
        <v>8</v>
      </c>
      <c r="G86" s="675">
        <f t="shared" ca="1" si="23"/>
        <v>0</v>
      </c>
      <c r="H86" s="675">
        <f t="shared" ca="1" si="24"/>
        <v>0</v>
      </c>
      <c r="I86" s="675">
        <f t="shared" ca="1" si="25"/>
        <v>0</v>
      </c>
      <c r="J86" s="675">
        <f t="shared" ca="1" si="33"/>
        <v>0</v>
      </c>
      <c r="K86" s="675">
        <f ca="1">IF(OR($C86="S",$C86=0),0,MATCH(OFFSET($D86,0,$C86)+IF($C86&lt;&gt;1,1,COUNTIF(QCI!$A$13:$A$15,ORÇAMENTO!E86)),OFFSET($D86,1,$C86,ROW($C$231)-ROW($C86)),0))</f>
        <v>0</v>
      </c>
      <c r="L86" s="115" t="str">
        <f t="shared" ca="1" si="26"/>
        <v/>
      </c>
      <c r="M86" s="116" t="s">
        <v>706</v>
      </c>
      <c r="N86" s="117" t="str">
        <f t="shared" ca="1" si="27"/>
        <v>Serviço</v>
      </c>
      <c r="O86" s="118" t="str">
        <f t="shared" ca="1" si="28"/>
        <v>-</v>
      </c>
      <c r="P86" s="119" t="s">
        <v>993</v>
      </c>
      <c r="Q86" s="682" t="s">
        <v>1166</v>
      </c>
      <c r="R86" s="121" t="str">
        <f ca="1">IF($C86="S",REFERENCIA.Descricao,"(digite a descrição aqui)")</f>
        <v>(abra o arquivo 'Referência 09-2025.xlsm)</v>
      </c>
      <c r="S86" s="122" t="str">
        <f ca="1">REFERENCIA.Unidade</f>
        <v>-</v>
      </c>
      <c r="T86" s="123">
        <f ca="1">OFFSET(CÁLCULO!H$15,ROW($T86)-ROW(T$15),0)</f>
        <v>6</v>
      </c>
      <c r="U86" s="124">
        <f ca="1">ROUND(IF(DESONERACAO="sim",REFERENCIA.Desonerado,REFERENCIA.NaoDesonerado),2)</f>
        <v>0</v>
      </c>
      <c r="V86" s="125" t="s">
        <v>698</v>
      </c>
      <c r="W86" s="123">
        <f ca="1">IF($C86="S",ROUND(IF(TIPOORCAMENTO="Proposto",ORÇAMENTO.CustoUnitario*(1+$AH86),ORÇAMENTO.PrecoUnitarioLicitado),15-13*$AF$10),0)</f>
        <v>0</v>
      </c>
      <c r="X86" s="126" cm="1">
        <f t="array" aca="1" ref="X86" ca="1">IF($C86="S",IF(OR(Import.TipoArredondamento&lt;&gt;"TransfereGOV",ACOMPANHAMENTO="BM"),VTOTAL1,SUM(OFFSET(CÁLCULO!$AA$15,ROW($X86)-ROW($X$15),1):OFFSET(CÁLCULO!$AL$15,ROW($X86)-ROW($X$15),-1))),IF($C86=0,0,ROUND(SomaAgrup,15-13*$AF$11)))</f>
        <v>0</v>
      </c>
      <c r="Y86" s="127" t="s">
        <v>752</v>
      </c>
      <c r="Z86" s="675" t="str">
        <f t="shared" ca="1" si="29"/>
        <v/>
      </c>
      <c r="AA86" s="128">
        <f ca="1">IF($C86="S",IF($Z86="CP",$X86,IF($Z86="RA",(($X86)*QCI!$AA$3),0)),SomaAgrup)</f>
        <v>0</v>
      </c>
      <c r="AB86" s="129">
        <f t="shared" ca="1" si="30"/>
        <v>0</v>
      </c>
      <c r="AC86" s="566"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IF(AND(_xlfn.SINGLE(TIPOORCAMENTO)="Licitado",$AL86=0,$AN86&gt;0),"SEM PREÇO",
IF(AND($C86="S",$P86&lt;&gt;"",$Q86&lt;&gt;"",$U86&gt;0,$V86=0),"BDI",
IF(OR(AND(TIPOORCAMENTO="Proposto",LEFT($O$8,5)&lt;&gt;"(N/D:",$AG86&lt;&gt;"",ORÇAMENTO.CustoUnitario&gt;$AG86),AND(TIPOORCAMENTO="LICITADO",ORÇAMENTO.PrecoUnitarioLicitado&gt;$AN86)),"ACIMA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SEM CUSTO</v>
      </c>
      <c r="AD86" s="675" t="str">
        <f ca="1">IF(C86&lt;=CRONO.NivelExibicao,MAX($AD$15:OFFSET(AD86,-1,0))+IF($C86&lt;&gt;1,1,MAX(1,COUNTIF(QCI!$A$13:$A$15,OFFSET($E86,-1,0)))),"")</f>
        <v/>
      </c>
      <c r="AE86" s="671" t="str">
        <f ca="1">IF(AND($C86="S",ORÇAMENTO.CodBarra&lt;&gt;""),IF(ORÇAMENTO.Fonte="",ORÇAMENTO.CodBarra,CONCATENATE(ORÇAMENTO.Fonte," ",ORÇAMENTO.CodBarra)))</f>
        <v>Cotação COT 28</v>
      </c>
      <c r="AF86" s="674" t="str">
        <f ca="1">IF(ISERROR(INDIRECT(ORÇAMENTO.BancoRef)),"(abra o arquivo 'Referência "&amp;Excel_BuiltIn_Database&amp;".xlsm)",IF(OR($C86&lt;&gt;"S",ORÇAMENTO.CodBarra=""),"(Sem Código)",IF(ISERROR(MATCH($AE86,INDIRECT(ORÇAMENTO.BancoRef),0)),"(Código não identificado nas referências)",MATCH($AE86,INDIRECT(ORÇAMENTO.BancoRef),0))))</f>
        <v>(abra o arquivo 'Referência 09-2025.xlsm)</v>
      </c>
      <c r="AG86" s="429">
        <f ca="1">ROUND(IF(DESONERACAO="sim",REFERENCIA.Desonerado,REFERENCIA.NaoDesonerado),2)</f>
        <v>0</v>
      </c>
      <c r="AH86" s="430">
        <f t="shared" ca="1" si="31"/>
        <v>0.1573</v>
      </c>
      <c r="AJ86" s="685">
        <v>6</v>
      </c>
      <c r="AL86" s="440"/>
      <c r="AM86" s="337">
        <f t="shared" ca="1" si="0"/>
        <v>0</v>
      </c>
      <c r="AN86" s="471">
        <f t="shared" ca="1" si="32"/>
        <v>0</v>
      </c>
    </row>
    <row r="87" spans="1:40" s="675" customFormat="1" ht="13.9" customHeight="1" x14ac:dyDescent="0.2">
      <c r="A87" s="675" t="str">
        <f t="shared" si="18"/>
        <v>S</v>
      </c>
      <c r="B87" s="675">
        <f t="shared" ca="1" si="19"/>
        <v>2</v>
      </c>
      <c r="C87" s="675" t="str">
        <f t="shared" ca="1" si="20"/>
        <v>S</v>
      </c>
      <c r="D87" s="675">
        <f t="shared" ca="1" si="21"/>
        <v>0</v>
      </c>
      <c r="E87" s="675">
        <f ca="1">IF($C87=1,OFFSET(E87,-1,0)+MAX(1,COUNTIF(QCI!$A$13:$A$15,OFFSET(ORÇAMENTO!E87,-1,0))),OFFSET(E87,-1,0))</f>
        <v>1</v>
      </c>
      <c r="F87" s="675">
        <f t="shared" ca="1" si="22"/>
        <v>8</v>
      </c>
      <c r="G87" s="675">
        <f t="shared" ca="1" si="23"/>
        <v>0</v>
      </c>
      <c r="H87" s="675">
        <f t="shared" ca="1" si="24"/>
        <v>0</v>
      </c>
      <c r="I87" s="675">
        <f t="shared" ca="1" si="25"/>
        <v>0</v>
      </c>
      <c r="J87" s="675">
        <f t="shared" ca="1" si="33"/>
        <v>0</v>
      </c>
      <c r="K87" s="675">
        <f ca="1">IF(OR($C87="S",$C87=0),0,MATCH(OFFSET($D87,0,$C87)+IF($C87&lt;&gt;1,1,COUNTIF(QCI!$A$13:$A$15,ORÇAMENTO!E87)),OFFSET($D87,1,$C87,ROW($C$231)-ROW($C87)),0))</f>
        <v>0</v>
      </c>
      <c r="L87" s="115" t="str">
        <f t="shared" ca="1" si="26"/>
        <v/>
      </c>
      <c r="M87" s="116" t="s">
        <v>706</v>
      </c>
      <c r="N87" s="117" t="str">
        <f t="shared" ca="1" si="27"/>
        <v>Serviço</v>
      </c>
      <c r="O87" s="118" t="str">
        <f t="shared" ca="1" si="28"/>
        <v>-</v>
      </c>
      <c r="P87" s="119" t="s">
        <v>969</v>
      </c>
      <c r="Q87" s="682" t="s">
        <v>1013</v>
      </c>
      <c r="R87" s="121" t="str">
        <f ca="1">IF($C87="S",REFERENCIA.Descricao,"(digite a descrição aqui)")</f>
        <v>(abra o arquivo 'Referência 09-2025.xlsm)</v>
      </c>
      <c r="S87" s="122" t="str">
        <f ca="1">REFERENCIA.Unidade</f>
        <v>-</v>
      </c>
      <c r="T87" s="123">
        <f ca="1">OFFSET(CÁLCULO!H$15,ROW($T87)-ROW(T$15),0)</f>
        <v>8</v>
      </c>
      <c r="U87" s="124">
        <f ca="1">ROUND(IF(DESONERACAO="sim",REFERENCIA.Desonerado,REFERENCIA.NaoDesonerado),2)</f>
        <v>0</v>
      </c>
      <c r="V87" s="125" t="s">
        <v>698</v>
      </c>
      <c r="W87" s="123">
        <f ca="1">IF($C87="S",ROUND(IF(TIPOORCAMENTO="Proposto",ORÇAMENTO.CustoUnitario*(1+$AH87),ORÇAMENTO.PrecoUnitarioLicitado),15-13*$AF$10),0)</f>
        <v>0</v>
      </c>
      <c r="X87" s="126" cm="1">
        <f t="array" aca="1" ref="X87" ca="1">IF($C87="S",IF(OR(Import.TipoArredondamento&lt;&gt;"TransfereGOV",ACOMPANHAMENTO="BM"),VTOTAL1,SUM(OFFSET(CÁLCULO!$AA$15,ROW($X87)-ROW($X$15),1):OFFSET(CÁLCULO!$AL$15,ROW($X87)-ROW($X$15),-1))),IF($C87=0,0,ROUND(SomaAgrup,15-13*$AF$11)))</f>
        <v>0</v>
      </c>
      <c r="Y87" s="127" t="s">
        <v>752</v>
      </c>
      <c r="Z87" s="675" t="str">
        <f t="shared" ca="1" si="29"/>
        <v/>
      </c>
      <c r="AA87" s="128">
        <f ca="1">IF($C87="S",IF($Z87="CP",$X87,IF($Z87="RA",(($X87)*QCI!$AA$3),0)),SomaAgrup)</f>
        <v>0</v>
      </c>
      <c r="AB87" s="129">
        <f t="shared" ca="1" si="30"/>
        <v>0</v>
      </c>
      <c r="AC87" s="566"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IF(AND(_xlfn.SINGLE(TIPOORCAMENTO)="Licitado",$AL87=0,$AN87&gt;0),"SEM PREÇO",
IF(AND($C87="S",$P87&lt;&gt;"",$Q87&lt;&gt;"",$U87&gt;0,$V87=0),"BDI",
IF(OR(AND(TIPOORCAMENTO="Proposto",LEFT($O$8,5)&lt;&gt;"(N/D:",$AG87&lt;&gt;"",ORÇAMENTO.CustoUnitario&gt;$AG87),AND(TIPOORCAMENTO="LICITADO",ORÇAMENTO.PrecoUnitarioLicitado&gt;$AN87)),"ACIMA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SEM CUSTO</v>
      </c>
      <c r="AD87" s="675" t="str">
        <f ca="1">IF(C87&lt;=CRONO.NivelExibicao,MAX($AD$15:OFFSET(AD87,-1,0))+IF($C87&lt;&gt;1,1,MAX(1,COUNTIF(QCI!$A$13:$A$15,OFFSET($E87,-1,0)))),"")</f>
        <v/>
      </c>
      <c r="AE87" s="671" t="str">
        <f ca="1">IF(AND($C87="S",ORÇAMENTO.CodBarra&lt;&gt;""),IF(ORÇAMENTO.Fonte="",ORÇAMENTO.CodBarra,CONCATENATE(ORÇAMENTO.Fonte," ",ORÇAMENTO.CodBarra)))</f>
        <v>SINAPI-I 11301</v>
      </c>
      <c r="AF87" s="674" t="str">
        <f ca="1">IF(ISERROR(INDIRECT(ORÇAMENTO.BancoRef)),"(abra o arquivo 'Referência "&amp;Excel_BuiltIn_Database&amp;".xlsm)",IF(OR($C87&lt;&gt;"S",ORÇAMENTO.CodBarra=""),"(Sem Código)",IF(ISERROR(MATCH($AE87,INDIRECT(ORÇAMENTO.BancoRef),0)),"(Código não identificado nas referências)",MATCH($AE87,INDIRECT(ORÇAMENTO.BancoRef),0))))</f>
        <v>(abra o arquivo 'Referência 09-2025.xlsm)</v>
      </c>
      <c r="AG87" s="429">
        <f ca="1">ROUND(IF(DESONERACAO="sim",REFERENCIA.Desonerado,REFERENCIA.NaoDesonerado),2)</f>
        <v>0</v>
      </c>
      <c r="AH87" s="430">
        <f t="shared" ca="1" si="31"/>
        <v>0.1573</v>
      </c>
      <c r="AJ87" s="685">
        <v>8</v>
      </c>
      <c r="AL87" s="440"/>
      <c r="AM87" s="337">
        <f t="shared" ca="1" si="0"/>
        <v>0</v>
      </c>
      <c r="AN87" s="471">
        <f t="shared" ca="1" si="32"/>
        <v>0</v>
      </c>
    </row>
    <row r="88" spans="1:40" s="675" customFormat="1" x14ac:dyDescent="0.2">
      <c r="A88" s="675" t="str">
        <f t="shared" si="18"/>
        <v>S</v>
      </c>
      <c r="B88" s="675">
        <f t="shared" ca="1" si="19"/>
        <v>2</v>
      </c>
      <c r="C88" s="675" t="str">
        <f t="shared" ca="1" si="20"/>
        <v>S</v>
      </c>
      <c r="D88" s="675">
        <f t="shared" ca="1" si="21"/>
        <v>0</v>
      </c>
      <c r="E88" s="675">
        <f ca="1">IF($C88=1,OFFSET(E88,-1,0)+MAX(1,COUNTIF(QCI!$A$13:$A$15,OFFSET(ORÇAMENTO!E88,-1,0))),OFFSET(E88,-1,0))</f>
        <v>1</v>
      </c>
      <c r="F88" s="675">
        <f t="shared" ca="1" si="22"/>
        <v>8</v>
      </c>
      <c r="G88" s="675">
        <f t="shared" ca="1" si="23"/>
        <v>0</v>
      </c>
      <c r="H88" s="675">
        <f t="shared" ca="1" si="24"/>
        <v>0</v>
      </c>
      <c r="I88" s="675">
        <f t="shared" ca="1" si="25"/>
        <v>0</v>
      </c>
      <c r="J88" s="675">
        <f t="shared" ca="1" si="33"/>
        <v>0</v>
      </c>
      <c r="K88" s="675">
        <f ca="1">IF(OR($C88="S",$C88=0),0,MATCH(OFFSET($D88,0,$C88)+IF($C88&lt;&gt;1,1,COUNTIF(QCI!$A$13:$A$15,ORÇAMENTO!E88)),OFFSET($D88,1,$C88,ROW($C$231)-ROW($C88)),0))</f>
        <v>0</v>
      </c>
      <c r="L88" s="115" t="str">
        <f t="shared" ca="1" si="26"/>
        <v/>
      </c>
      <c r="M88" s="116" t="s">
        <v>706</v>
      </c>
      <c r="N88" s="117" t="str">
        <f t="shared" ca="1" si="27"/>
        <v>Serviço</v>
      </c>
      <c r="O88" s="118" t="str">
        <f t="shared" ca="1" si="28"/>
        <v>-</v>
      </c>
      <c r="P88" s="119" t="s">
        <v>993</v>
      </c>
      <c r="Q88" s="682" t="s">
        <v>996</v>
      </c>
      <c r="R88" s="121" t="str">
        <f ca="1">IF($C88="S",REFERENCIA.Descricao,"(digite a descrição aqui)")</f>
        <v>(abra o arquivo 'Referência 09-2025.xlsm)</v>
      </c>
      <c r="S88" s="122" t="str">
        <f ca="1">REFERENCIA.Unidade</f>
        <v>-</v>
      </c>
      <c r="T88" s="123">
        <f ca="1">OFFSET(CÁLCULO!H$15,ROW($T88)-ROW(T$15),0)</f>
        <v>16</v>
      </c>
      <c r="U88" s="124">
        <f ca="1">ROUND(IF(DESONERACAO="sim",REFERENCIA.Desonerado,REFERENCIA.NaoDesonerado),2)</f>
        <v>0</v>
      </c>
      <c r="V88" s="125" t="s">
        <v>698</v>
      </c>
      <c r="W88" s="123">
        <f ca="1">IF($C88="S",ROUND(IF(TIPOORCAMENTO="Proposto",ORÇAMENTO.CustoUnitario*(1+$AH88),ORÇAMENTO.PrecoUnitarioLicitado),15-13*$AF$10),0)</f>
        <v>0</v>
      </c>
      <c r="X88" s="126" cm="1">
        <f t="array" aca="1" ref="X88" ca="1">IF($C88="S",IF(OR(Import.TipoArredondamento&lt;&gt;"TransfereGOV",ACOMPANHAMENTO="BM"),VTOTAL1,SUM(OFFSET(CÁLCULO!$AA$15,ROW($X88)-ROW($X$15),1):OFFSET(CÁLCULO!$AL$15,ROW($X88)-ROW($X$15),-1))),IF($C88=0,0,ROUND(SomaAgrup,15-13*$AF$11)))</f>
        <v>0</v>
      </c>
      <c r="Y88" s="127" t="s">
        <v>752</v>
      </c>
      <c r="Z88" s="675" t="str">
        <f t="shared" ca="1" si="29"/>
        <v/>
      </c>
      <c r="AA88" s="128">
        <f ca="1">IF($C88="S",IF($Z88="CP",$X88,IF($Z88="RA",(($X88)*QCI!$AA$3),0)),SomaAgrup)</f>
        <v>0</v>
      </c>
      <c r="AB88" s="129">
        <f t="shared" ca="1" si="30"/>
        <v>0</v>
      </c>
      <c r="AC88" s="566"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IF(AND(_xlfn.SINGLE(TIPOORCAMENTO)="Licitado",$AL88=0,$AN88&gt;0),"SEM PREÇO",
IF(AND($C88="S",$P88&lt;&gt;"",$Q88&lt;&gt;"",$U88&gt;0,$V88=0),"BDI",
IF(OR(AND(TIPOORCAMENTO="Proposto",LEFT($O$8,5)&lt;&gt;"(N/D:",$AG88&lt;&gt;"",ORÇAMENTO.CustoUnitario&gt;$AG88),AND(TIPOORCAMENTO="LICITADO",ORÇAMENTO.PrecoUnitarioLicitado&gt;$AN88)),"ACIMA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SEM CUSTO</v>
      </c>
      <c r="AD88" s="675" t="str">
        <f ca="1">IF(C88&lt;=CRONO.NivelExibicao,MAX($AD$15:OFFSET(AD88,-1,0))+IF($C88&lt;&gt;1,1,MAX(1,COUNTIF(QCI!$A$13:$A$15,OFFSET($E88,-1,0)))),"")</f>
        <v/>
      </c>
      <c r="AE88" s="671" t="str">
        <f ca="1">IF(AND($C88="S",ORÇAMENTO.CodBarra&lt;&gt;""),IF(ORÇAMENTO.Fonte="",ORÇAMENTO.CodBarra,CONCATENATE(ORÇAMENTO.Fonte," ",ORÇAMENTO.CodBarra)))</f>
        <v>Cotação COT 11</v>
      </c>
      <c r="AF88" s="674" t="str">
        <f ca="1">IF(ISERROR(INDIRECT(ORÇAMENTO.BancoRef)),"(abra o arquivo 'Referência "&amp;Excel_BuiltIn_Database&amp;".xlsm)",IF(OR($C88&lt;&gt;"S",ORÇAMENTO.CodBarra=""),"(Sem Código)",IF(ISERROR(MATCH($AE88,INDIRECT(ORÇAMENTO.BancoRef),0)),"(Código não identificado nas referências)",MATCH($AE88,INDIRECT(ORÇAMENTO.BancoRef),0))))</f>
        <v>(abra o arquivo 'Referência 09-2025.xlsm)</v>
      </c>
      <c r="AG88" s="429">
        <f ca="1">ROUND(IF(DESONERACAO="sim",REFERENCIA.Desonerado,REFERENCIA.NaoDesonerado),2)</f>
        <v>0</v>
      </c>
      <c r="AH88" s="430">
        <f t="shared" ca="1" si="31"/>
        <v>0.1573</v>
      </c>
      <c r="AJ88" s="685">
        <v>16</v>
      </c>
      <c r="AL88" s="440"/>
      <c r="AM88" s="337">
        <f t="shared" ca="1" si="0"/>
        <v>0</v>
      </c>
      <c r="AN88" s="471">
        <f t="shared" ca="1" si="32"/>
        <v>0</v>
      </c>
    </row>
    <row r="89" spans="1:40" s="675" customFormat="1" x14ac:dyDescent="0.2">
      <c r="A89" s="675" t="str">
        <f t="shared" si="18"/>
        <v>S</v>
      </c>
      <c r="B89" s="675">
        <f t="shared" ca="1" si="19"/>
        <v>2</v>
      </c>
      <c r="C89" s="675" t="str">
        <f t="shared" ca="1" si="20"/>
        <v>S</v>
      </c>
      <c r="D89" s="675">
        <f t="shared" ca="1" si="21"/>
        <v>0</v>
      </c>
      <c r="E89" s="675">
        <f ca="1">IF($C89=1,OFFSET(E89,-1,0)+MAX(1,COUNTIF(QCI!$A$13:$A$15,OFFSET(ORÇAMENTO!E89,-1,0))),OFFSET(E89,-1,0))</f>
        <v>1</v>
      </c>
      <c r="F89" s="675">
        <f t="shared" ca="1" si="22"/>
        <v>8</v>
      </c>
      <c r="G89" s="675">
        <f t="shared" ca="1" si="23"/>
        <v>0</v>
      </c>
      <c r="H89" s="675">
        <f t="shared" ca="1" si="24"/>
        <v>0</v>
      </c>
      <c r="I89" s="675">
        <f t="shared" ca="1" si="25"/>
        <v>0</v>
      </c>
      <c r="J89" s="675">
        <f t="shared" ca="1" si="33"/>
        <v>0</v>
      </c>
      <c r="K89" s="675">
        <f ca="1">IF(OR($C89="S",$C89=0),0,MATCH(OFFSET($D89,0,$C89)+IF($C89&lt;&gt;1,1,COUNTIF(QCI!$A$13:$A$15,ORÇAMENTO!E89)),OFFSET($D89,1,$C89,ROW($C$231)-ROW($C89)),0))</f>
        <v>0</v>
      </c>
      <c r="L89" s="115" t="str">
        <f t="shared" ca="1" si="26"/>
        <v/>
      </c>
      <c r="M89" s="116" t="s">
        <v>706</v>
      </c>
      <c r="N89" s="117" t="str">
        <f t="shared" ca="1" si="27"/>
        <v>Serviço</v>
      </c>
      <c r="O89" s="118" t="str">
        <f t="shared" ca="1" si="28"/>
        <v>-</v>
      </c>
      <c r="P89" s="119" t="s">
        <v>993</v>
      </c>
      <c r="Q89" s="682" t="s">
        <v>998</v>
      </c>
      <c r="R89" s="121" t="str">
        <f ca="1">IF($C89="S",REFERENCIA.Descricao,"(digite a descrição aqui)")</f>
        <v>(abra o arquivo 'Referência 09-2025.xlsm)</v>
      </c>
      <c r="S89" s="122" t="str">
        <f ca="1">REFERENCIA.Unidade</f>
        <v>-</v>
      </c>
      <c r="T89" s="123">
        <f ca="1">OFFSET(CÁLCULO!H$15,ROW($T89)-ROW(T$15),0)</f>
        <v>6</v>
      </c>
      <c r="U89" s="124">
        <f ca="1">ROUND(IF(DESONERACAO="sim",REFERENCIA.Desonerado,REFERENCIA.NaoDesonerado),2)</f>
        <v>0</v>
      </c>
      <c r="V89" s="125" t="s">
        <v>698</v>
      </c>
      <c r="W89" s="123">
        <f ca="1">IF($C89="S",ROUND(IF(TIPOORCAMENTO="Proposto",ORÇAMENTO.CustoUnitario*(1+$AH89),ORÇAMENTO.PrecoUnitarioLicitado),15-13*$AF$10),0)</f>
        <v>0</v>
      </c>
      <c r="X89" s="126" cm="1">
        <f t="array" aca="1" ref="X89" ca="1">IF($C89="S",IF(OR(Import.TipoArredondamento&lt;&gt;"TransfereGOV",ACOMPANHAMENTO="BM"),VTOTAL1,SUM(OFFSET(CÁLCULO!$AA$15,ROW($X89)-ROW($X$15),1):OFFSET(CÁLCULO!$AL$15,ROW($X89)-ROW($X$15),-1))),IF($C89=0,0,ROUND(SomaAgrup,15-13*$AF$11)))</f>
        <v>0</v>
      </c>
      <c r="Y89" s="127" t="s">
        <v>752</v>
      </c>
      <c r="Z89" s="675" t="str">
        <f t="shared" ca="1" si="29"/>
        <v/>
      </c>
      <c r="AA89" s="128">
        <f ca="1">IF($C89="S",IF($Z89="CP",$X89,IF($Z89="RA",(($X89)*QCI!$AA$3),0)),SomaAgrup)</f>
        <v>0</v>
      </c>
      <c r="AB89" s="129">
        <f t="shared" ca="1" si="30"/>
        <v>0</v>
      </c>
      <c r="AC89" s="566"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IF(AND(_xlfn.SINGLE(TIPOORCAMENTO)="Licitado",$AL89=0,$AN89&gt;0),"SEM PREÇO",
IF(AND($C89="S",$P89&lt;&gt;"",$Q89&lt;&gt;"",$U89&gt;0,$V89=0),"BDI",
IF(OR(AND(TIPOORCAMENTO="Proposto",LEFT($O$8,5)&lt;&gt;"(N/D:",$AG89&lt;&gt;"",ORÇAMENTO.CustoUnitario&gt;$AG89),AND(TIPOORCAMENTO="LICITADO",ORÇAMENTO.PrecoUnitarioLicitado&gt;$AN89)),"ACIMA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SEM CUSTO</v>
      </c>
      <c r="AD89" s="675" t="str">
        <f ca="1">IF(C89&lt;=CRONO.NivelExibicao,MAX($AD$15:OFFSET(AD89,-1,0))+IF($C89&lt;&gt;1,1,MAX(1,COUNTIF(QCI!$A$13:$A$15,OFFSET($E89,-1,0)))),"")</f>
        <v/>
      </c>
      <c r="AE89" s="671" t="str">
        <f ca="1">IF(AND($C89="S",ORÇAMENTO.CodBarra&lt;&gt;""),IF(ORÇAMENTO.Fonte="",ORÇAMENTO.CodBarra,CONCATENATE(ORÇAMENTO.Fonte," ",ORÇAMENTO.CodBarra)))</f>
        <v>Cotação COT 13</v>
      </c>
      <c r="AF89" s="674" t="str">
        <f ca="1">IF(ISERROR(INDIRECT(ORÇAMENTO.BancoRef)),"(abra o arquivo 'Referência "&amp;Excel_BuiltIn_Database&amp;".xlsm)",IF(OR($C89&lt;&gt;"S",ORÇAMENTO.CodBarra=""),"(Sem Código)",IF(ISERROR(MATCH($AE89,INDIRECT(ORÇAMENTO.BancoRef),0)),"(Código não identificado nas referências)",MATCH($AE89,INDIRECT(ORÇAMENTO.BancoRef),0))))</f>
        <v>(abra o arquivo 'Referência 09-2025.xlsm)</v>
      </c>
      <c r="AG89" s="429">
        <f ca="1">ROUND(IF(DESONERACAO="sim",REFERENCIA.Desonerado,REFERENCIA.NaoDesonerado),2)</f>
        <v>0</v>
      </c>
      <c r="AH89" s="430">
        <f t="shared" ca="1" si="31"/>
        <v>0.1573</v>
      </c>
      <c r="AJ89" s="685">
        <v>6</v>
      </c>
      <c r="AL89" s="440"/>
      <c r="AM89" s="337">
        <f t="shared" ca="1" si="0"/>
        <v>0</v>
      </c>
      <c r="AN89" s="471">
        <f t="shared" ca="1" si="32"/>
        <v>0</v>
      </c>
    </row>
    <row r="90" spans="1:40" s="675" customFormat="1" ht="13.9" customHeight="1" x14ac:dyDescent="0.2">
      <c r="A90" s="675" t="str">
        <f t="shared" si="18"/>
        <v>S</v>
      </c>
      <c r="B90" s="675">
        <f t="shared" ca="1" si="19"/>
        <v>2</v>
      </c>
      <c r="C90" s="675" t="str">
        <f t="shared" ca="1" si="20"/>
        <v>S</v>
      </c>
      <c r="D90" s="675">
        <f t="shared" ca="1" si="21"/>
        <v>0</v>
      </c>
      <c r="E90" s="675">
        <f ca="1">IF($C90=1,OFFSET(E90,-1,0)+MAX(1,COUNTIF(QCI!$A$13:$A$15,OFFSET(ORÇAMENTO!E90,-1,0))),OFFSET(E90,-1,0))</f>
        <v>1</v>
      </c>
      <c r="F90" s="675">
        <f t="shared" ca="1" si="22"/>
        <v>8</v>
      </c>
      <c r="G90" s="675">
        <f t="shared" ca="1" si="23"/>
        <v>0</v>
      </c>
      <c r="H90" s="675">
        <f t="shared" ca="1" si="24"/>
        <v>0</v>
      </c>
      <c r="I90" s="675">
        <f t="shared" ca="1" si="25"/>
        <v>0</v>
      </c>
      <c r="J90" s="675">
        <f t="shared" ca="1" si="33"/>
        <v>0</v>
      </c>
      <c r="K90" s="675">
        <f ca="1">IF(OR($C90="S",$C90=0),0,MATCH(OFFSET($D90,0,$C90)+IF($C90&lt;&gt;1,1,COUNTIF(QCI!$A$13:$A$15,ORÇAMENTO!E90)),OFFSET($D90,1,$C90,ROW($C$231)-ROW($C90)),0))</f>
        <v>0</v>
      </c>
      <c r="L90" s="115" t="str">
        <f t="shared" ca="1" si="26"/>
        <v/>
      </c>
      <c r="M90" s="116" t="s">
        <v>706</v>
      </c>
      <c r="N90" s="117" t="str">
        <f t="shared" ca="1" si="27"/>
        <v>Serviço</v>
      </c>
      <c r="O90" s="118" t="str">
        <f t="shared" ca="1" si="28"/>
        <v>-</v>
      </c>
      <c r="P90" s="119" t="s">
        <v>993</v>
      </c>
      <c r="Q90" s="682" t="s">
        <v>1001</v>
      </c>
      <c r="R90" s="121" t="str">
        <f ca="1">IF($C90="S",REFERENCIA.Descricao,"(digite a descrição aqui)")</f>
        <v>(abra o arquivo 'Referência 09-2025.xlsm)</v>
      </c>
      <c r="S90" s="122" t="str">
        <f ca="1">REFERENCIA.Unidade</f>
        <v>-</v>
      </c>
      <c r="T90" s="123">
        <f ca="1">OFFSET(CÁLCULO!H$15,ROW($T90)-ROW(T$15),0)</f>
        <v>72</v>
      </c>
      <c r="U90" s="124">
        <f ca="1">ROUND(IF(DESONERACAO="sim",REFERENCIA.Desonerado,REFERENCIA.NaoDesonerado),2)</f>
        <v>0</v>
      </c>
      <c r="V90" s="125" t="s">
        <v>698</v>
      </c>
      <c r="W90" s="123">
        <f ca="1">IF($C90="S",ROUND(IF(TIPOORCAMENTO="Proposto",ORÇAMENTO.CustoUnitario*(1+$AH90),ORÇAMENTO.PrecoUnitarioLicitado),15-13*$AF$10),0)</f>
        <v>0</v>
      </c>
      <c r="X90" s="126" cm="1">
        <f t="array" aca="1" ref="X90" ca="1">IF($C90="S",IF(OR(Import.TipoArredondamento&lt;&gt;"TransfereGOV",ACOMPANHAMENTO="BM"),VTOTAL1,SUM(OFFSET(CÁLCULO!$AA$15,ROW($X90)-ROW($X$15),1):OFFSET(CÁLCULO!$AL$15,ROW($X90)-ROW($X$15),-1))),IF($C90=0,0,ROUND(SomaAgrup,15-13*$AF$11)))</f>
        <v>0</v>
      </c>
      <c r="Y90" s="127" t="s">
        <v>752</v>
      </c>
      <c r="Z90" s="675" t="str">
        <f t="shared" ca="1" si="29"/>
        <v/>
      </c>
      <c r="AA90" s="128">
        <f ca="1">IF($C90="S",IF($Z90="CP",$X90,IF($Z90="RA",(($X90)*QCI!$AA$3),0)),SomaAgrup)</f>
        <v>0</v>
      </c>
      <c r="AB90" s="129">
        <f t="shared" ca="1" si="30"/>
        <v>0</v>
      </c>
      <c r="AC90" s="566"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IF(AND(_xlfn.SINGLE(TIPOORCAMENTO)="Licitado",$AL90=0,$AN90&gt;0),"SEM PREÇO",
IF(AND($C90="S",$P90&lt;&gt;"",$Q90&lt;&gt;"",$U90&gt;0,$V90=0),"BDI",
IF(OR(AND(TIPOORCAMENTO="Proposto",LEFT($O$8,5)&lt;&gt;"(N/D:",$AG90&lt;&gt;"",ORÇAMENTO.CustoUnitario&gt;$AG90),AND(TIPOORCAMENTO="LICITADO",ORÇAMENTO.PrecoUnitarioLicitado&gt;$AN90)),"ACIMA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SEM CUSTO</v>
      </c>
      <c r="AD90" s="675" t="str">
        <f ca="1">IF(C90&lt;=CRONO.NivelExibicao,MAX($AD$15:OFFSET(AD90,-1,0))+IF($C90&lt;&gt;1,1,MAX(1,COUNTIF(QCI!$A$13:$A$15,OFFSET($E90,-1,0)))),"")</f>
        <v/>
      </c>
      <c r="AE90" s="671" t="str">
        <f ca="1">IF(AND($C90="S",ORÇAMENTO.CodBarra&lt;&gt;""),IF(ORÇAMENTO.Fonte="",ORÇAMENTO.CodBarra,CONCATENATE(ORÇAMENTO.Fonte," ",ORÇAMENTO.CodBarra)))</f>
        <v>Cotação COT 16</v>
      </c>
      <c r="AF90" s="674" t="str">
        <f ca="1">IF(ISERROR(INDIRECT(ORÇAMENTO.BancoRef)),"(abra o arquivo 'Referência "&amp;Excel_BuiltIn_Database&amp;".xlsm)",IF(OR($C90&lt;&gt;"S",ORÇAMENTO.CodBarra=""),"(Sem Código)",IF(ISERROR(MATCH($AE90,INDIRECT(ORÇAMENTO.BancoRef),0)),"(Código não identificado nas referências)",MATCH($AE90,INDIRECT(ORÇAMENTO.BancoRef),0))))</f>
        <v>(abra o arquivo 'Referência 09-2025.xlsm)</v>
      </c>
      <c r="AG90" s="429">
        <f ca="1">ROUND(IF(DESONERACAO="sim",REFERENCIA.Desonerado,REFERENCIA.NaoDesonerado),2)</f>
        <v>0</v>
      </c>
      <c r="AH90" s="430">
        <f t="shared" ca="1" si="31"/>
        <v>0.1573</v>
      </c>
      <c r="AJ90" s="685">
        <v>72</v>
      </c>
      <c r="AL90" s="440"/>
      <c r="AM90" s="337">
        <f t="shared" ca="1" si="0"/>
        <v>0</v>
      </c>
      <c r="AN90" s="471">
        <f t="shared" ca="1" si="32"/>
        <v>0</v>
      </c>
    </row>
    <row r="91" spans="1:40" s="675" customFormat="1" ht="13.9" customHeight="1" x14ac:dyDescent="0.2">
      <c r="A91" s="675" t="str">
        <f t="shared" si="18"/>
        <v>S</v>
      </c>
      <c r="B91" s="675">
        <f t="shared" ca="1" si="19"/>
        <v>2</v>
      </c>
      <c r="C91" s="675" t="str">
        <f t="shared" ca="1" si="20"/>
        <v>S</v>
      </c>
      <c r="D91" s="675">
        <f t="shared" ca="1" si="21"/>
        <v>0</v>
      </c>
      <c r="E91" s="675">
        <f ca="1">IF($C91=1,OFFSET(E91,-1,0)+MAX(1,COUNTIF(QCI!$A$13:$A$15,OFFSET(ORÇAMENTO!E91,-1,0))),OFFSET(E91,-1,0))</f>
        <v>1</v>
      </c>
      <c r="F91" s="675">
        <f t="shared" ca="1" si="22"/>
        <v>8</v>
      </c>
      <c r="G91" s="675">
        <f t="shared" ca="1" si="23"/>
        <v>0</v>
      </c>
      <c r="H91" s="675">
        <f t="shared" ca="1" si="24"/>
        <v>0</v>
      </c>
      <c r="I91" s="675">
        <f t="shared" ca="1" si="25"/>
        <v>0</v>
      </c>
      <c r="J91" s="675">
        <f t="shared" ca="1" si="33"/>
        <v>0</v>
      </c>
      <c r="K91" s="675">
        <f ca="1">IF(OR($C91="S",$C91=0),0,MATCH(OFFSET($D91,0,$C91)+IF($C91&lt;&gt;1,1,COUNTIF(QCI!$A$13:$A$15,ORÇAMENTO!E91)),OFFSET($D91,1,$C91,ROW($C$231)-ROW($C91)),0))</f>
        <v>0</v>
      </c>
      <c r="L91" s="115" t="str">
        <f t="shared" ca="1" si="26"/>
        <v/>
      </c>
      <c r="M91" s="116" t="s">
        <v>706</v>
      </c>
      <c r="N91" s="117" t="str">
        <f t="shared" ca="1" si="27"/>
        <v>Serviço</v>
      </c>
      <c r="O91" s="118" t="str">
        <f t="shared" ca="1" si="28"/>
        <v>-</v>
      </c>
      <c r="P91" s="119" t="s">
        <v>993</v>
      </c>
      <c r="Q91" s="682" t="s">
        <v>1000</v>
      </c>
      <c r="R91" s="121" t="str">
        <f ca="1">IF($C91="S",REFERENCIA.Descricao,"(digite a descrição aqui)")</f>
        <v>(abra o arquivo 'Referência 09-2025.xlsm)</v>
      </c>
      <c r="S91" s="122" t="str">
        <f ca="1">REFERENCIA.Unidade</f>
        <v>-</v>
      </c>
      <c r="T91" s="123">
        <f ca="1">OFFSET(CÁLCULO!H$15,ROW($T91)-ROW(T$15),0)</f>
        <v>64</v>
      </c>
      <c r="U91" s="124">
        <f ca="1">ROUND(IF(DESONERACAO="sim",REFERENCIA.Desonerado,REFERENCIA.NaoDesonerado),2)</f>
        <v>0</v>
      </c>
      <c r="V91" s="125" t="s">
        <v>698</v>
      </c>
      <c r="W91" s="123">
        <f ca="1">IF($C91="S",ROUND(IF(TIPOORCAMENTO="Proposto",ORÇAMENTO.CustoUnitario*(1+$AH91),ORÇAMENTO.PrecoUnitarioLicitado),15-13*$AF$10),0)</f>
        <v>0</v>
      </c>
      <c r="X91" s="126" cm="1">
        <f t="array" aca="1" ref="X91" ca="1">IF($C91="S",IF(OR(Import.TipoArredondamento&lt;&gt;"TransfereGOV",ACOMPANHAMENTO="BM"),VTOTAL1,SUM(OFFSET(CÁLCULO!$AA$15,ROW($X91)-ROW($X$15),1):OFFSET(CÁLCULO!$AL$15,ROW($X91)-ROW($X$15),-1))),IF($C91=0,0,ROUND(SomaAgrup,15-13*$AF$11)))</f>
        <v>0</v>
      </c>
      <c r="Y91" s="127" t="s">
        <v>752</v>
      </c>
      <c r="Z91" s="675" t="str">
        <f t="shared" ca="1" si="29"/>
        <v/>
      </c>
      <c r="AA91" s="128">
        <f ca="1">IF($C91="S",IF($Z91="CP",$X91,IF($Z91="RA",(($X91)*QCI!$AA$3),0)),SomaAgrup)</f>
        <v>0</v>
      </c>
      <c r="AB91" s="129">
        <f t="shared" ca="1" si="30"/>
        <v>0</v>
      </c>
      <c r="AC91" s="566"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IF(AND(_xlfn.SINGLE(TIPOORCAMENTO)="Licitado",$AL91=0,$AN91&gt;0),"SEM PREÇO",
IF(AND($C91="S",$P91&lt;&gt;"",$Q91&lt;&gt;"",$U91&gt;0,$V91=0),"BDI",
IF(OR(AND(TIPOORCAMENTO="Proposto",LEFT($O$8,5)&lt;&gt;"(N/D:",$AG91&lt;&gt;"",ORÇAMENTO.CustoUnitario&gt;$AG91),AND(TIPOORCAMENTO="LICITADO",ORÇAMENTO.PrecoUnitarioLicitado&gt;$AN91)),"ACIMA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SEM CUSTO</v>
      </c>
      <c r="AD91" s="675" t="str">
        <f ca="1">IF(C91&lt;=CRONO.NivelExibicao,MAX($AD$15:OFFSET(AD91,-1,0))+IF($C91&lt;&gt;1,1,MAX(1,COUNTIF(QCI!$A$13:$A$15,OFFSET($E91,-1,0)))),"")</f>
        <v/>
      </c>
      <c r="AE91" s="671" t="str">
        <f ca="1">IF(AND($C91="S",ORÇAMENTO.CodBarra&lt;&gt;""),IF(ORÇAMENTO.Fonte="",ORÇAMENTO.CodBarra,CONCATENATE(ORÇAMENTO.Fonte," ",ORÇAMENTO.CodBarra)))</f>
        <v>Cotação COT 15</v>
      </c>
      <c r="AF91" s="674" t="str">
        <f ca="1">IF(ISERROR(INDIRECT(ORÇAMENTO.BancoRef)),"(abra o arquivo 'Referência "&amp;Excel_BuiltIn_Database&amp;".xlsm)",IF(OR($C91&lt;&gt;"S",ORÇAMENTO.CodBarra=""),"(Sem Código)",IF(ISERROR(MATCH($AE91,INDIRECT(ORÇAMENTO.BancoRef),0)),"(Código não identificado nas referências)",MATCH($AE91,INDIRECT(ORÇAMENTO.BancoRef),0))))</f>
        <v>(abra o arquivo 'Referência 09-2025.xlsm)</v>
      </c>
      <c r="AG91" s="429">
        <f ca="1">ROUND(IF(DESONERACAO="sim",REFERENCIA.Desonerado,REFERENCIA.NaoDesonerado),2)</f>
        <v>0</v>
      </c>
      <c r="AH91" s="430">
        <f t="shared" ca="1" si="31"/>
        <v>0.1573</v>
      </c>
      <c r="AJ91" s="685">
        <v>64</v>
      </c>
      <c r="AL91" s="440"/>
      <c r="AM91" s="337">
        <f t="shared" ca="1" si="0"/>
        <v>0</v>
      </c>
      <c r="AN91" s="471">
        <f t="shared" ca="1" si="32"/>
        <v>0</v>
      </c>
    </row>
    <row r="92" spans="1:40" s="675" customFormat="1" x14ac:dyDescent="0.2">
      <c r="A92" s="675">
        <f t="shared" si="18"/>
        <v>2</v>
      </c>
      <c r="B92" s="675">
        <f t="shared" ca="1" si="19"/>
        <v>2</v>
      </c>
      <c r="C92" s="675">
        <f t="shared" ca="1" si="20"/>
        <v>2</v>
      </c>
      <c r="D92" s="675">
        <f t="shared" ca="1" si="21"/>
        <v>3</v>
      </c>
      <c r="E92" s="675">
        <f ca="1">IF($C92=1,OFFSET(E92,-1,0)+MAX(1,COUNTIF(QCI!$A$13:$A$15,OFFSET(ORÇAMENTO!E92,-1,0))),OFFSET(E92,-1,0))</f>
        <v>1</v>
      </c>
      <c r="F92" s="675">
        <f t="shared" ca="1" si="22"/>
        <v>9</v>
      </c>
      <c r="G92" s="675">
        <f t="shared" ca="1" si="23"/>
        <v>0</v>
      </c>
      <c r="H92" s="675">
        <f t="shared" ca="1" si="24"/>
        <v>0</v>
      </c>
      <c r="I92" s="675">
        <f t="shared" ca="1" si="25"/>
        <v>0</v>
      </c>
      <c r="J92" s="675">
        <f t="shared" ca="1" si="33"/>
        <v>139</v>
      </c>
      <c r="K92" s="675">
        <f ca="1">IF(OR($C92="S",$C92=0),0,MATCH(OFFSET($D92,0,$C92)+IF($C92&lt;&gt;1,1,COUNTIF(QCI!$A$13:$A$15,ORÇAMENTO!E92)),OFFSET($D92,1,$C92,ROW($C$231)-ROW($C92)),0))</f>
        <v>3</v>
      </c>
      <c r="L92" s="115" t="str">
        <f t="shared" ca="1" si="26"/>
        <v>F</v>
      </c>
      <c r="M92" s="116" t="s">
        <v>703</v>
      </c>
      <c r="N92" s="117" t="str">
        <f t="shared" ca="1" si="27"/>
        <v>Nível 2</v>
      </c>
      <c r="O92" s="118" t="str">
        <f t="shared" ca="1" si="28"/>
        <v>1.9.</v>
      </c>
      <c r="P92" s="119" t="s">
        <v>751</v>
      </c>
      <c r="Q92" s="120"/>
      <c r="R92" s="121" t="s">
        <v>1014</v>
      </c>
      <c r="S92" s="122" t="str">
        <f ca="1">REFERENCIA.Unidade</f>
        <v>-</v>
      </c>
      <c r="T92" s="123">
        <f ca="1">OFFSET(CÁLCULO!H$15,ROW($T92)-ROW(T$15),0)</f>
        <v>0</v>
      </c>
      <c r="U92" s="124">
        <f ca="1">ROUND(IF(DESONERACAO="sim",REFERENCIA.Desonerado,REFERENCIA.NaoDesonerado),2)</f>
        <v>0</v>
      </c>
      <c r="V92" s="125" t="s">
        <v>664</v>
      </c>
      <c r="W92" s="123">
        <f ca="1">IF($C92="S",ROUND(IF(TIPOORCAMENTO="Proposto",ORÇAMENTO.CustoUnitario*(1+$AH92),ORÇAMENTO.PrecoUnitarioLicitado),15-13*$AF$10),0)</f>
        <v>0</v>
      </c>
      <c r="X92" s="126" cm="1">
        <f t="array" aca="1" ref="X92" ca="1">IF($C92="S",IF(OR(Import.TipoArredondamento&lt;&gt;"TransfereGOV",ACOMPANHAMENTO="BM"),VTOTAL1,SUM(OFFSET(CÁLCULO!$AA$15,ROW($X92)-ROW($X$15),1):OFFSET(CÁLCULO!$AL$15,ROW($X92)-ROW($X$15),-1))),IF($C92=0,0,ROUND(SomaAgrup,15-13*$AF$11)))</f>
        <v>0</v>
      </c>
      <c r="Y92" s="127" t="s">
        <v>752</v>
      </c>
      <c r="Z92" s="675" t="str">
        <f t="shared" ca="1" si="29"/>
        <v/>
      </c>
      <c r="AA92" s="128">
        <f ca="1">IF($C92="S",IF($Z92="CP",$X92,IF($Z92="RA",(($X92)*QCI!$AA$3),0)),SomaAgrup)</f>
        <v>0</v>
      </c>
      <c r="AB92" s="129">
        <f t="shared" ca="1" si="30"/>
        <v>0</v>
      </c>
      <c r="AC92" s="566" t="e"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IF(AND(_xlfn.SINGLE(TIPOORCAMENTO)="Licitado",$AL92=0,$AN92&gt;0),"SEM PREÇO",
IF(AND($C92="S",$P92&lt;&gt;"",$Q92&lt;&gt;"",$U92&gt;0,$V92=0),"BDI",
IF(OR(AND(TIPOORCAMENTO="Proposto",LEFT($O$8,5)&lt;&gt;"(N/D:",$AG92&lt;&gt;"",ORÇAMENTO.CustoUnitario&gt;$AG92),AND(TIPOORCAMENTO="LICITADO",ORÇAMENTO.PrecoUnitarioLicitado&gt;$AN92)),"ACIMA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#NAME?</v>
      </c>
      <c r="AD92" s="675">
        <f ca="1">IF(C92&lt;=CRONO.NivelExibicao,MAX($AD$15:OFFSET(AD92,-1,0))+IF($C92&lt;&gt;1,1,MAX(1,COUNTIF(QCI!$A$13:$A$15,OFFSET($E92,-1,0)))),"")</f>
        <v>10</v>
      </c>
      <c r="AE92" s="671" t="b">
        <f ca="1">IF(AND($C92="S",ORÇAMENTO.CodBarra&lt;&gt;""),IF(ORÇAMENTO.Fonte="",ORÇAMENTO.CodBarra,CONCATENATE(ORÇAMENTO.Fonte," ",ORÇAMENTO.CodBarra)))</f>
        <v>0</v>
      </c>
      <c r="AF92" s="674" t="str">
        <f ca="1">IF(ISERROR(INDIRECT(ORÇAMENTO.BancoRef)),"(abra o arquivo 'Referência "&amp;Excel_BuiltIn_Database&amp;".xlsm)",IF(OR($C92&lt;&gt;"S",ORÇAMENTO.CodBarra=""),"(Sem Código)",IF(ISERROR(MATCH($AE92,INDIRECT(ORÇAMENTO.BancoRef),0)),"(Código não identificado nas referências)",MATCH($AE92,INDIRECT(ORÇAMENTO.BancoRef),0))))</f>
        <v>(abra o arquivo 'Referência 09-2025.xlsm)</v>
      </c>
      <c r="AG92" s="429">
        <f ca="1">ROUND(IF(DESONERACAO="sim",REFERENCIA.Desonerado,REFERENCIA.NaoDesonerado),2)</f>
        <v>0</v>
      </c>
      <c r="AH92" s="430">
        <f t="shared" ca="1" si="31"/>
        <v>0.24740000000000001</v>
      </c>
      <c r="AJ92" s="685"/>
      <c r="AL92" s="440"/>
      <c r="AM92" s="337">
        <f t="shared" ca="1" si="0"/>
        <v>0</v>
      </c>
      <c r="AN92" s="471">
        <f t="shared" ca="1" si="32"/>
        <v>0</v>
      </c>
    </row>
    <row r="93" spans="1:40" s="675" customFormat="1" ht="13.9" customHeight="1" x14ac:dyDescent="0.2">
      <c r="A93" s="675" t="str">
        <f t="shared" si="18"/>
        <v>S</v>
      </c>
      <c r="B93" s="675">
        <f t="shared" ca="1" si="19"/>
        <v>2</v>
      </c>
      <c r="C93" s="675" t="str">
        <f t="shared" ca="1" si="20"/>
        <v>S</v>
      </c>
      <c r="D93" s="675">
        <f t="shared" ca="1" si="21"/>
        <v>0</v>
      </c>
      <c r="E93" s="675">
        <f ca="1">IF($C93=1,OFFSET(E93,-1,0)+MAX(1,COUNTIF(QCI!$A$13:$A$15,OFFSET(ORÇAMENTO!E93,-1,0))),OFFSET(E93,-1,0))</f>
        <v>1</v>
      </c>
      <c r="F93" s="675">
        <f t="shared" ca="1" si="22"/>
        <v>9</v>
      </c>
      <c r="G93" s="675">
        <f t="shared" ca="1" si="23"/>
        <v>0</v>
      </c>
      <c r="H93" s="675">
        <f t="shared" ca="1" si="24"/>
        <v>0</v>
      </c>
      <c r="I93" s="675">
        <f t="shared" ca="1" si="25"/>
        <v>0</v>
      </c>
      <c r="J93" s="675">
        <f t="shared" ca="1" si="33"/>
        <v>0</v>
      </c>
      <c r="K93" s="675">
        <f ca="1">IF(OR($C93="S",$C93=0),0,MATCH(OFFSET($D93,0,$C93)+IF($C93&lt;&gt;1,1,COUNTIF(QCI!$A$13:$A$15,ORÇAMENTO!E93)),OFFSET($D93,1,$C93,ROW($C$231)-ROW($C93)),0))</f>
        <v>0</v>
      </c>
      <c r="L93" s="115" t="str">
        <f t="shared" ca="1" si="26"/>
        <v/>
      </c>
      <c r="M93" s="116" t="s">
        <v>706</v>
      </c>
      <c r="N93" s="117" t="str">
        <f t="shared" ca="1" si="27"/>
        <v>Serviço</v>
      </c>
      <c r="O93" s="118" t="str">
        <f t="shared" ca="1" si="28"/>
        <v>-</v>
      </c>
      <c r="P93" s="119" t="s">
        <v>751</v>
      </c>
      <c r="Q93" s="683" t="s">
        <v>1093</v>
      </c>
      <c r="R93" s="121" t="str">
        <f ca="1">IF($C93="S",REFERENCIA.Descricao,"(digite a descrição aqui)")</f>
        <v>(abra o arquivo 'Referência 09-2025.xlsm)</v>
      </c>
      <c r="S93" s="122" t="str">
        <f ca="1">REFERENCIA.Unidade</f>
        <v>-</v>
      </c>
      <c r="T93" s="123">
        <f ca="1">OFFSET(CÁLCULO!H$15,ROW($T93)-ROW(T$15),0)</f>
        <v>52</v>
      </c>
      <c r="U93" s="124">
        <f ca="1">ROUND(IF(DESONERACAO="sim",REFERENCIA.Desonerado,REFERENCIA.NaoDesonerado),2)</f>
        <v>0</v>
      </c>
      <c r="V93" s="125" t="s">
        <v>664</v>
      </c>
      <c r="W93" s="123">
        <f ca="1">IF($C93="S",ROUND(IF(TIPOORCAMENTO="Proposto",ORÇAMENTO.CustoUnitario*(1+$AH93),ORÇAMENTO.PrecoUnitarioLicitado),15-13*$AF$10),0)</f>
        <v>0</v>
      </c>
      <c r="X93" s="126" cm="1">
        <f t="array" aca="1" ref="X93" ca="1">IF($C93="S",IF(OR(Import.TipoArredondamento&lt;&gt;"TransfereGOV",ACOMPANHAMENTO="BM"),VTOTAL1,SUM(OFFSET(CÁLCULO!$AA$15,ROW($X93)-ROW($X$15),1):OFFSET(CÁLCULO!$AL$15,ROW($X93)-ROW($X$15),-1))),IF($C93=0,0,ROUND(SomaAgrup,15-13*$AF$11)))</f>
        <v>0</v>
      </c>
      <c r="Y93" s="127" t="s">
        <v>752</v>
      </c>
      <c r="Z93" s="675" t="str">
        <f t="shared" ca="1" si="29"/>
        <v/>
      </c>
      <c r="AA93" s="128">
        <f ca="1">IF($C93="S",IF($Z93="CP",$X93,IF($Z93="RA",(($X93)*QCI!$AA$3),0)),SomaAgrup)</f>
        <v>0</v>
      </c>
      <c r="AB93" s="129">
        <f t="shared" ca="1" si="30"/>
        <v>0</v>
      </c>
      <c r="AC93" s="566"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IF(AND(_xlfn.SINGLE(TIPOORCAMENTO)="Licitado",$AL93=0,$AN93&gt;0),"SEM PREÇO",
IF(AND($C93="S",$P93&lt;&gt;"",$Q93&lt;&gt;"",$U93&gt;0,$V93=0),"BDI",
IF(OR(AND(TIPOORCAMENTO="Proposto",LEFT($O$8,5)&lt;&gt;"(N/D:",$AG93&lt;&gt;"",ORÇAMENTO.CustoUnitario&gt;$AG93),AND(TIPOORCAMENTO="LICITADO",ORÇAMENTO.PrecoUnitarioLicitado&gt;$AN93)),"ACIMA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SEM CUSTO</v>
      </c>
      <c r="AD93" s="675" t="str">
        <f ca="1">IF(C93&lt;=CRONO.NivelExibicao,MAX($AD$15:OFFSET(AD93,-1,0))+IF($C93&lt;&gt;1,1,MAX(1,COUNTIF(QCI!$A$13:$A$15,OFFSET($E93,-1,0)))),"")</f>
        <v/>
      </c>
      <c r="AE93" s="671" t="str">
        <f ca="1">IF(AND($C93="S",ORÇAMENTO.CodBarra&lt;&gt;""),IF(ORÇAMENTO.Fonte="",ORÇAMENTO.CodBarra,CONCATENATE(ORÇAMENTO.Fonte," ",ORÇAMENTO.CodBarra)))</f>
        <v>SINAPI 103387</v>
      </c>
      <c r="AF93" s="674" t="str">
        <f ca="1">IF(ISERROR(INDIRECT(ORÇAMENTO.BancoRef)),"(abra o arquivo 'Referência "&amp;Excel_BuiltIn_Database&amp;".xlsm)",IF(OR($C93&lt;&gt;"S",ORÇAMENTO.CodBarra=""),"(Sem Código)",IF(ISERROR(MATCH($AE93,INDIRECT(ORÇAMENTO.BancoRef),0)),"(Código não identificado nas referências)",MATCH($AE93,INDIRECT(ORÇAMENTO.BancoRef),0))))</f>
        <v>(abra o arquivo 'Referência 09-2025.xlsm)</v>
      </c>
      <c r="AG93" s="429">
        <f ca="1">ROUND(IF(DESONERACAO="sim",REFERENCIA.Desonerado,REFERENCIA.NaoDesonerado),2)</f>
        <v>0</v>
      </c>
      <c r="AH93" s="430">
        <f t="shared" ca="1" si="31"/>
        <v>0.24740000000000001</v>
      </c>
      <c r="AJ93" s="685">
        <v>52</v>
      </c>
      <c r="AL93" s="440"/>
      <c r="AM93" s="337">
        <f t="shared" ca="1" si="0"/>
        <v>0</v>
      </c>
      <c r="AN93" s="471">
        <f t="shared" ca="1" si="32"/>
        <v>0</v>
      </c>
    </row>
    <row r="94" spans="1:40" s="675" customFormat="1" ht="13.9" customHeight="1" x14ac:dyDescent="0.2">
      <c r="A94" s="675" t="str">
        <f t="shared" si="18"/>
        <v>S</v>
      </c>
      <c r="B94" s="675">
        <f t="shared" ca="1" si="19"/>
        <v>2</v>
      </c>
      <c r="C94" s="675" t="str">
        <f t="shared" ca="1" si="20"/>
        <v>S</v>
      </c>
      <c r="D94" s="675">
        <f t="shared" ca="1" si="21"/>
        <v>0</v>
      </c>
      <c r="E94" s="675">
        <f ca="1">IF($C94=1,OFFSET(E94,-1,0)+MAX(1,COUNTIF(QCI!$A$13:$A$15,OFFSET(ORÇAMENTO!E94,-1,0))),OFFSET(E94,-1,0))</f>
        <v>1</v>
      </c>
      <c r="F94" s="675">
        <f t="shared" ca="1" si="22"/>
        <v>9</v>
      </c>
      <c r="G94" s="675">
        <f t="shared" ca="1" si="23"/>
        <v>0</v>
      </c>
      <c r="H94" s="675">
        <f t="shared" ca="1" si="24"/>
        <v>0</v>
      </c>
      <c r="I94" s="675">
        <f t="shared" ca="1" si="25"/>
        <v>0</v>
      </c>
      <c r="J94" s="675">
        <f t="shared" ca="1" si="33"/>
        <v>0</v>
      </c>
      <c r="K94" s="675">
        <f ca="1">IF(OR($C94="S",$C94=0),0,MATCH(OFFSET($D94,0,$C94)+IF($C94&lt;&gt;1,1,COUNTIF(QCI!$A$13:$A$15,ORÇAMENTO!E94)),OFFSET($D94,1,$C94,ROW($C$231)-ROW($C94)),0))</f>
        <v>0</v>
      </c>
      <c r="L94" s="115" t="str">
        <f t="shared" ca="1" si="26"/>
        <v/>
      </c>
      <c r="M94" s="116" t="s">
        <v>706</v>
      </c>
      <c r="N94" s="117" t="str">
        <f t="shared" ca="1" si="27"/>
        <v>Serviço</v>
      </c>
      <c r="O94" s="118" t="str">
        <f t="shared" ca="1" si="28"/>
        <v>-</v>
      </c>
      <c r="P94" s="119" t="s">
        <v>969</v>
      </c>
      <c r="Q94" s="683" t="s">
        <v>1013</v>
      </c>
      <c r="R94" s="121" t="str">
        <f ca="1">IF($C94="S",REFERENCIA.Descricao,"(digite a descrição aqui)")</f>
        <v>(abra o arquivo 'Referência 09-2025.xlsm)</v>
      </c>
      <c r="S94" s="122" t="str">
        <f ca="1">REFERENCIA.Unidade</f>
        <v>-</v>
      </c>
      <c r="T94" s="123">
        <f ca="1">OFFSET(CÁLCULO!H$15,ROW($T94)-ROW(T$15),0)</f>
        <v>2</v>
      </c>
      <c r="U94" s="124">
        <f ca="1">ROUND(IF(DESONERACAO="sim",REFERENCIA.Desonerado,REFERENCIA.NaoDesonerado),2)</f>
        <v>0</v>
      </c>
      <c r="V94" s="125" t="s">
        <v>698</v>
      </c>
      <c r="W94" s="123">
        <f ca="1">IF($C94="S",ROUND(IF(TIPOORCAMENTO="Proposto",ORÇAMENTO.CustoUnitario*(1+$AH94),ORÇAMENTO.PrecoUnitarioLicitado),15-13*$AF$10),0)</f>
        <v>0</v>
      </c>
      <c r="X94" s="126" cm="1">
        <f t="array" aca="1" ref="X94" ca="1">IF($C94="S",IF(OR(Import.TipoArredondamento&lt;&gt;"TransfereGOV",ACOMPANHAMENTO="BM"),VTOTAL1,SUM(OFFSET(CÁLCULO!$AA$15,ROW($X94)-ROW($X$15),1):OFFSET(CÁLCULO!$AL$15,ROW($X94)-ROW($X$15),-1))),IF($C94=0,0,ROUND(SomaAgrup,15-13*$AF$11)))</f>
        <v>0</v>
      </c>
      <c r="Y94" s="127" t="s">
        <v>752</v>
      </c>
      <c r="Z94" s="675" t="str">
        <f t="shared" ca="1" si="29"/>
        <v/>
      </c>
      <c r="AA94" s="128">
        <f ca="1">IF($C94="S",IF($Z94="CP",$X94,IF($Z94="RA",(($X94)*QCI!$AA$3),0)),SomaAgrup)</f>
        <v>0</v>
      </c>
      <c r="AB94" s="129">
        <f t="shared" ca="1" si="30"/>
        <v>0</v>
      </c>
      <c r="AC94" s="566"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IF(AND(_xlfn.SINGLE(TIPOORCAMENTO)="Licitado",$AL94=0,$AN94&gt;0),"SEM PREÇO",
IF(AND($C94="S",$P94&lt;&gt;"",$Q94&lt;&gt;"",$U94&gt;0,$V94=0),"BDI",
IF(OR(AND(TIPOORCAMENTO="Proposto",LEFT($O$8,5)&lt;&gt;"(N/D:",$AG94&lt;&gt;"",ORÇAMENTO.CustoUnitario&gt;$AG94),AND(TIPOORCAMENTO="LICITADO",ORÇAMENTO.PrecoUnitarioLicitado&gt;$AN94)),"ACIMA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SEM CUSTO</v>
      </c>
      <c r="AD94" s="675" t="str">
        <f ca="1">IF(C94&lt;=CRONO.NivelExibicao,MAX($AD$15:OFFSET(AD94,-1,0))+IF($C94&lt;&gt;1,1,MAX(1,COUNTIF(QCI!$A$13:$A$15,OFFSET($E94,-1,0)))),"")</f>
        <v/>
      </c>
      <c r="AE94" s="671" t="str">
        <f ca="1">IF(AND($C94="S",ORÇAMENTO.CodBarra&lt;&gt;""),IF(ORÇAMENTO.Fonte="",ORÇAMENTO.CodBarra,CONCATENATE(ORÇAMENTO.Fonte," ",ORÇAMENTO.CodBarra)))</f>
        <v>SINAPI-I 11301</v>
      </c>
      <c r="AF94" s="674" t="str">
        <f ca="1">IF(ISERROR(INDIRECT(ORÇAMENTO.BancoRef)),"(abra o arquivo 'Referência "&amp;Excel_BuiltIn_Database&amp;".xlsm)",IF(OR($C94&lt;&gt;"S",ORÇAMENTO.CodBarra=""),"(Sem Código)",IF(ISERROR(MATCH($AE94,INDIRECT(ORÇAMENTO.BancoRef),0)),"(Código não identificado nas referências)",MATCH($AE94,INDIRECT(ORÇAMENTO.BancoRef),0))))</f>
        <v>(abra o arquivo 'Referência 09-2025.xlsm)</v>
      </c>
      <c r="AG94" s="429">
        <f ca="1">ROUND(IF(DESONERACAO="sim",REFERENCIA.Desonerado,REFERENCIA.NaoDesonerado),2)</f>
        <v>0</v>
      </c>
      <c r="AH94" s="430">
        <f t="shared" ca="1" si="31"/>
        <v>0.1573</v>
      </c>
      <c r="AJ94" s="685">
        <v>2</v>
      </c>
      <c r="AL94" s="440"/>
      <c r="AM94" s="337">
        <f t="shared" ca="1" si="0"/>
        <v>0</v>
      </c>
      <c r="AN94" s="471">
        <f t="shared" ca="1" si="32"/>
        <v>0</v>
      </c>
    </row>
    <row r="95" spans="1:40" s="675" customFormat="1" x14ac:dyDescent="0.2">
      <c r="A95" s="675">
        <f t="shared" si="18"/>
        <v>2</v>
      </c>
      <c r="B95" s="675">
        <f t="shared" ca="1" si="19"/>
        <v>2</v>
      </c>
      <c r="C95" s="675">
        <f t="shared" ca="1" si="20"/>
        <v>2</v>
      </c>
      <c r="D95" s="675">
        <f t="shared" ca="1" si="21"/>
        <v>3</v>
      </c>
      <c r="E95" s="675">
        <f ca="1">IF($C95=1,OFFSET(E95,-1,0)+MAX(1,COUNTIF(QCI!$A$13:$A$15,OFFSET(ORÇAMENTO!E95,-1,0))),OFFSET(E95,-1,0))</f>
        <v>1</v>
      </c>
      <c r="F95" s="675">
        <f t="shared" ca="1" si="22"/>
        <v>10</v>
      </c>
      <c r="G95" s="675">
        <f t="shared" ca="1" si="23"/>
        <v>0</v>
      </c>
      <c r="H95" s="675">
        <f t="shared" ca="1" si="24"/>
        <v>0</v>
      </c>
      <c r="I95" s="675">
        <f t="shared" ca="1" si="25"/>
        <v>0</v>
      </c>
      <c r="J95" s="675">
        <f t="shared" ca="1" si="33"/>
        <v>136</v>
      </c>
      <c r="K95" s="675">
        <f ca="1">IF(OR($C95="S",$C95=0),0,MATCH(OFFSET($D95,0,$C95)+IF($C95&lt;&gt;1,1,COUNTIF(QCI!$A$13:$A$15,ORÇAMENTO!E95)),OFFSET($D95,1,$C95,ROW($C$231)-ROW($C95)),0))</f>
        <v>3</v>
      </c>
      <c r="L95" s="115" t="str">
        <f t="shared" ca="1" si="26"/>
        <v>F</v>
      </c>
      <c r="M95" s="116" t="s">
        <v>703</v>
      </c>
      <c r="N95" s="117" t="str">
        <f t="shared" ca="1" si="27"/>
        <v>Nível 2</v>
      </c>
      <c r="O95" s="118" t="str">
        <f t="shared" ca="1" si="28"/>
        <v>1.10.</v>
      </c>
      <c r="P95" s="119" t="s">
        <v>751</v>
      </c>
      <c r="Q95" s="120"/>
      <c r="R95" s="121" t="s">
        <v>1025</v>
      </c>
      <c r="S95" s="122" t="str">
        <f ca="1">REFERENCIA.Unidade</f>
        <v>-</v>
      </c>
      <c r="T95" s="123">
        <f ca="1">OFFSET(CÁLCULO!H$15,ROW($T95)-ROW(T$15),0)</f>
        <v>0</v>
      </c>
      <c r="U95" s="124">
        <f ca="1">ROUND(IF(DESONERACAO="sim",REFERENCIA.Desonerado,REFERENCIA.NaoDesonerado),2)</f>
        <v>0</v>
      </c>
      <c r="V95" s="125" t="s">
        <v>664</v>
      </c>
      <c r="W95" s="123">
        <f ca="1">IF($C95="S",ROUND(IF(TIPOORCAMENTO="Proposto",ORÇAMENTO.CustoUnitario*(1+$AH95),ORÇAMENTO.PrecoUnitarioLicitado),15-13*$AF$10),0)</f>
        <v>0</v>
      </c>
      <c r="X95" s="126" cm="1">
        <f t="array" aca="1" ref="X95" ca="1">IF($C95="S",IF(OR(Import.TipoArredondamento&lt;&gt;"TransfereGOV",ACOMPANHAMENTO="BM"),VTOTAL1,SUM(OFFSET(CÁLCULO!$AA$15,ROW($X95)-ROW($X$15),1):OFFSET(CÁLCULO!$AL$15,ROW($X95)-ROW($X$15),-1))),IF($C95=0,0,ROUND(SomaAgrup,15-13*$AF$11)))</f>
        <v>0</v>
      </c>
      <c r="Y95" s="127" t="s">
        <v>752</v>
      </c>
      <c r="Z95" s="675" t="str">
        <f t="shared" ca="1" si="29"/>
        <v/>
      </c>
      <c r="AA95" s="128">
        <f ca="1">IF($C95="S",IF($Z95="CP",$X95,IF($Z95="RA",(($X95)*QCI!$AA$3),0)),SomaAgrup)</f>
        <v>0</v>
      </c>
      <c r="AB95" s="129">
        <f t="shared" ca="1" si="30"/>
        <v>0</v>
      </c>
      <c r="AC95" s="566" t="e"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IF(AND(_xlfn.SINGLE(TIPOORCAMENTO)="Licitado",$AL95=0,$AN95&gt;0),"SEM PREÇO",
IF(AND($C95="S",$P95&lt;&gt;"",$Q95&lt;&gt;"",$U95&gt;0,$V95=0),"BDI",
IF(OR(AND(TIPOORCAMENTO="Proposto",LEFT($O$8,5)&lt;&gt;"(N/D:",$AG95&lt;&gt;"",ORÇAMENTO.CustoUnitario&gt;$AG95),AND(TIPOORCAMENTO="LICITADO",ORÇAMENTO.PrecoUnitarioLicitado&gt;$AN95)),"ACIMA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#NAME?</v>
      </c>
      <c r="AD95" s="675">
        <f ca="1">IF(C95&lt;=CRONO.NivelExibicao,MAX($AD$15:OFFSET(AD95,-1,0))+IF($C95&lt;&gt;1,1,MAX(1,COUNTIF(QCI!$A$13:$A$15,OFFSET($E95,-1,0)))),"")</f>
        <v>11</v>
      </c>
      <c r="AE95" s="671" t="b">
        <f ca="1">IF(AND($C95="S",ORÇAMENTO.CodBarra&lt;&gt;""),IF(ORÇAMENTO.Fonte="",ORÇAMENTO.CodBarra,CONCATENATE(ORÇAMENTO.Fonte," ",ORÇAMENTO.CodBarra)))</f>
        <v>0</v>
      </c>
      <c r="AF95" s="674" t="str">
        <f ca="1">IF(ISERROR(INDIRECT(ORÇAMENTO.BancoRef)),"(abra o arquivo 'Referência "&amp;Excel_BuiltIn_Database&amp;".xlsm)",IF(OR($C95&lt;&gt;"S",ORÇAMENTO.CodBarra=""),"(Sem Código)",IF(ISERROR(MATCH($AE95,INDIRECT(ORÇAMENTO.BancoRef),0)),"(Código não identificado nas referências)",MATCH($AE95,INDIRECT(ORÇAMENTO.BancoRef),0))))</f>
        <v>(abra o arquivo 'Referência 09-2025.xlsm)</v>
      </c>
      <c r="AG95" s="429">
        <f ca="1">ROUND(IF(DESONERACAO="sim",REFERENCIA.Desonerado,REFERENCIA.NaoDesonerado),2)</f>
        <v>0</v>
      </c>
      <c r="AH95" s="430">
        <f t="shared" ca="1" si="31"/>
        <v>0.24740000000000001</v>
      </c>
      <c r="AJ95" s="685"/>
      <c r="AL95" s="440"/>
      <c r="AM95" s="337">
        <f t="shared" ca="1" si="0"/>
        <v>0</v>
      </c>
      <c r="AN95" s="471">
        <f t="shared" ca="1" si="32"/>
        <v>0</v>
      </c>
    </row>
    <row r="96" spans="1:40" s="675" customFormat="1" x14ac:dyDescent="0.2">
      <c r="A96" s="675" t="str">
        <f t="shared" si="18"/>
        <v>S</v>
      </c>
      <c r="B96" s="675">
        <f t="shared" ca="1" si="19"/>
        <v>2</v>
      </c>
      <c r="C96" s="675" t="str">
        <f t="shared" ca="1" si="20"/>
        <v>S</v>
      </c>
      <c r="D96" s="675">
        <f t="shared" ca="1" si="21"/>
        <v>0</v>
      </c>
      <c r="E96" s="675">
        <f ca="1">IF($C96=1,OFFSET(E96,-1,0)+MAX(1,COUNTIF(QCI!$A$13:$A$15,OFFSET(ORÇAMENTO!E96,-1,0))),OFFSET(E96,-1,0))</f>
        <v>1</v>
      </c>
      <c r="F96" s="675">
        <f t="shared" ca="1" si="22"/>
        <v>10</v>
      </c>
      <c r="G96" s="675">
        <f t="shared" ca="1" si="23"/>
        <v>0</v>
      </c>
      <c r="H96" s="675">
        <f t="shared" ca="1" si="24"/>
        <v>0</v>
      </c>
      <c r="I96" s="675">
        <f t="shared" ca="1" si="25"/>
        <v>0</v>
      </c>
      <c r="J96" s="675">
        <f t="shared" ca="1" si="33"/>
        <v>0</v>
      </c>
      <c r="K96" s="675">
        <f ca="1">IF(OR($C96="S",$C96=0),0,MATCH(OFFSET($D96,0,$C96)+IF($C96&lt;&gt;1,1,COUNTIF(QCI!$A$13:$A$15,ORÇAMENTO!E96)),OFFSET($D96,1,$C96,ROW($C$231)-ROW($C96)),0))</f>
        <v>0</v>
      </c>
      <c r="L96" s="115" t="str">
        <f t="shared" ca="1" si="26"/>
        <v/>
      </c>
      <c r="M96" s="116" t="s">
        <v>706</v>
      </c>
      <c r="N96" s="117" t="str">
        <f t="shared" ca="1" si="27"/>
        <v>Serviço</v>
      </c>
      <c r="O96" s="118" t="str">
        <f t="shared" ca="1" si="28"/>
        <v>-</v>
      </c>
      <c r="P96" s="119" t="s">
        <v>969</v>
      </c>
      <c r="Q96" s="684" t="s">
        <v>1015</v>
      </c>
      <c r="R96" s="121" t="str">
        <f ca="1">IF($C96="S",REFERENCIA.Descricao,"(digite a descrição aqui)")</f>
        <v>(abra o arquivo 'Referência 09-2025.xlsm)</v>
      </c>
      <c r="S96" s="122" t="str">
        <f ca="1">REFERENCIA.Unidade</f>
        <v>-</v>
      </c>
      <c r="T96" s="123">
        <f ca="1">OFFSET(CÁLCULO!H$15,ROW($T96)-ROW(T$15),0)</f>
        <v>2</v>
      </c>
      <c r="U96" s="124">
        <f ca="1">ROUND(IF(DESONERACAO="sim",REFERENCIA.Desonerado,REFERENCIA.NaoDesonerado),2)</f>
        <v>0</v>
      </c>
      <c r="V96" s="125" t="s">
        <v>698</v>
      </c>
      <c r="W96" s="123">
        <f ca="1">IF($C96="S",ROUND(IF(TIPOORCAMENTO="Proposto",ORÇAMENTO.CustoUnitario*(1+$AH96),ORÇAMENTO.PrecoUnitarioLicitado),15-13*$AF$10),0)</f>
        <v>0</v>
      </c>
      <c r="X96" s="126" cm="1">
        <f t="array" aca="1" ref="X96" ca="1">IF($C96="S",IF(OR(Import.TipoArredondamento&lt;&gt;"TransfereGOV",ACOMPANHAMENTO="BM"),VTOTAL1,SUM(OFFSET(CÁLCULO!$AA$15,ROW($X96)-ROW($X$15),1):OFFSET(CÁLCULO!$AL$15,ROW($X96)-ROW($X$15),-1))),IF($C96=0,0,ROUND(SomaAgrup,15-13*$AF$11)))</f>
        <v>0</v>
      </c>
      <c r="Y96" s="127" t="s">
        <v>752</v>
      </c>
      <c r="Z96" s="675" t="str">
        <f t="shared" ca="1" si="29"/>
        <v/>
      </c>
      <c r="AA96" s="128">
        <f ca="1">IF($C96="S",IF($Z96="CP",$X96,IF($Z96="RA",(($X96)*QCI!$AA$3),0)),SomaAgrup)</f>
        <v>0</v>
      </c>
      <c r="AB96" s="129">
        <f t="shared" ca="1" si="30"/>
        <v>0</v>
      </c>
      <c r="AC96" s="566"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IF(AND(_xlfn.SINGLE(TIPOORCAMENTO)="Licitado",$AL96=0,$AN96&gt;0),"SEM PREÇO",
IF(AND($C96="S",$P96&lt;&gt;"",$Q96&lt;&gt;"",$U96&gt;0,$V96=0),"BDI",
IF(OR(AND(TIPOORCAMENTO="Proposto",LEFT($O$8,5)&lt;&gt;"(N/D:",$AG96&lt;&gt;"",ORÇAMENTO.CustoUnitario&gt;$AG96),AND(TIPOORCAMENTO="LICITADO",ORÇAMENTO.PrecoUnitarioLicitado&gt;$AN96)),"ACIMA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SEM CUSTO</v>
      </c>
      <c r="AD96" s="675" t="str">
        <f ca="1">IF(C96&lt;=CRONO.NivelExibicao,MAX($AD$15:OFFSET(AD96,-1,0))+IF($C96&lt;&gt;1,1,MAX(1,COUNTIF(QCI!$A$13:$A$15,OFFSET($E96,-1,0)))),"")</f>
        <v/>
      </c>
      <c r="AE96" s="671" t="str">
        <f ca="1">IF(AND($C96="S",ORÇAMENTO.CodBarra&lt;&gt;""),IF(ORÇAMENTO.Fonte="",ORÇAMENTO.CodBarra,CONCATENATE(ORÇAMENTO.Fonte," ",ORÇAMENTO.CodBarra)))</f>
        <v>SINAPI-I 41934</v>
      </c>
      <c r="AF96" s="674" t="str">
        <f ca="1">IF(ISERROR(INDIRECT(ORÇAMENTO.BancoRef)),"(abra o arquivo 'Referência "&amp;Excel_BuiltIn_Database&amp;".xlsm)",IF(OR($C96&lt;&gt;"S",ORÇAMENTO.CodBarra=""),"(Sem Código)",IF(ISERROR(MATCH($AE96,INDIRECT(ORÇAMENTO.BancoRef),0)),"(Código não identificado nas referências)",MATCH($AE96,INDIRECT(ORÇAMENTO.BancoRef),0))))</f>
        <v>(abra o arquivo 'Referência 09-2025.xlsm)</v>
      </c>
      <c r="AG96" s="429">
        <f ca="1">ROUND(IF(DESONERACAO="sim",REFERENCIA.Desonerado,REFERENCIA.NaoDesonerado),2)</f>
        <v>0</v>
      </c>
      <c r="AH96" s="430">
        <f t="shared" ca="1" si="31"/>
        <v>0.1573</v>
      </c>
      <c r="AJ96" s="685">
        <v>2</v>
      </c>
      <c r="AL96" s="440"/>
      <c r="AM96" s="337">
        <f t="shared" ca="1" si="0"/>
        <v>0</v>
      </c>
      <c r="AN96" s="471">
        <f t="shared" ca="1" si="32"/>
        <v>0</v>
      </c>
    </row>
    <row r="97" spans="1:40" s="675" customFormat="1" ht="13.9" customHeight="1" x14ac:dyDescent="0.2">
      <c r="A97" s="675" t="str">
        <f t="shared" si="18"/>
        <v>S</v>
      </c>
      <c r="B97" s="675">
        <f t="shared" ca="1" si="19"/>
        <v>2</v>
      </c>
      <c r="C97" s="675" t="str">
        <f t="shared" ca="1" si="20"/>
        <v>S</v>
      </c>
      <c r="D97" s="675">
        <f t="shared" ca="1" si="21"/>
        <v>0</v>
      </c>
      <c r="E97" s="675">
        <f ca="1">IF($C97=1,OFFSET(E97,-1,0)+MAX(1,COUNTIF(QCI!$A$13:$A$15,OFFSET(ORÇAMENTO!E97,-1,0))),OFFSET(E97,-1,0))</f>
        <v>1</v>
      </c>
      <c r="F97" s="675">
        <f t="shared" ca="1" si="22"/>
        <v>10</v>
      </c>
      <c r="G97" s="675">
        <f t="shared" ca="1" si="23"/>
        <v>0</v>
      </c>
      <c r="H97" s="675">
        <f t="shared" ca="1" si="24"/>
        <v>0</v>
      </c>
      <c r="I97" s="675">
        <f t="shared" ca="1" si="25"/>
        <v>0</v>
      </c>
      <c r="J97" s="675">
        <f t="shared" ca="1" si="33"/>
        <v>0</v>
      </c>
      <c r="K97" s="675">
        <f ca="1">IF(OR($C97="S",$C97=0),0,MATCH(OFFSET($D97,0,$C97)+IF($C97&lt;&gt;1,1,COUNTIF(QCI!$A$13:$A$15,ORÇAMENTO!E97)),OFFSET($D97,1,$C97,ROW($C$231)-ROW($C97)),0))</f>
        <v>0</v>
      </c>
      <c r="L97" s="115" t="str">
        <f t="shared" ca="1" si="26"/>
        <v/>
      </c>
      <c r="M97" s="116" t="s">
        <v>706</v>
      </c>
      <c r="N97" s="117" t="str">
        <f t="shared" ca="1" si="27"/>
        <v>Serviço</v>
      </c>
      <c r="O97" s="118" t="str">
        <f t="shared" ca="1" si="28"/>
        <v>-</v>
      </c>
      <c r="P97" s="119" t="s">
        <v>969</v>
      </c>
      <c r="Q97" s="684" t="s">
        <v>1013</v>
      </c>
      <c r="R97" s="121" t="str">
        <f ca="1">IF($C97="S",REFERENCIA.Descricao,"(digite a descrição aqui)")</f>
        <v>(abra o arquivo 'Referência 09-2025.xlsm)</v>
      </c>
      <c r="S97" s="122" t="str">
        <f ca="1">REFERENCIA.Unidade</f>
        <v>-</v>
      </c>
      <c r="T97" s="123">
        <f ca="1">OFFSET(CÁLCULO!H$15,ROW($T97)-ROW(T$15),0)</f>
        <v>1</v>
      </c>
      <c r="U97" s="124">
        <f ca="1">ROUND(IF(DESONERACAO="sim",REFERENCIA.Desonerado,REFERENCIA.NaoDesonerado),2)</f>
        <v>0</v>
      </c>
      <c r="V97" s="125" t="s">
        <v>698</v>
      </c>
      <c r="W97" s="123">
        <f ca="1">IF($C97="S",ROUND(IF(TIPOORCAMENTO="Proposto",ORÇAMENTO.CustoUnitario*(1+$AH97),ORÇAMENTO.PrecoUnitarioLicitado),15-13*$AF$10),0)</f>
        <v>0</v>
      </c>
      <c r="X97" s="126" cm="1">
        <f t="array" aca="1" ref="X97" ca="1">IF($C97="S",IF(OR(Import.TipoArredondamento&lt;&gt;"TransfereGOV",ACOMPANHAMENTO="BM"),VTOTAL1,SUM(OFFSET(CÁLCULO!$AA$15,ROW($X97)-ROW($X$15),1):OFFSET(CÁLCULO!$AL$15,ROW($X97)-ROW($X$15),-1))),IF($C97=0,0,ROUND(SomaAgrup,15-13*$AF$11)))</f>
        <v>0</v>
      </c>
      <c r="Y97" s="127" t="s">
        <v>752</v>
      </c>
      <c r="Z97" s="675" t="str">
        <f t="shared" ca="1" si="29"/>
        <v/>
      </c>
      <c r="AA97" s="128">
        <f ca="1">IF($C97="S",IF($Z97="CP",$X97,IF($Z97="RA",(($X97)*QCI!$AA$3),0)),SomaAgrup)</f>
        <v>0</v>
      </c>
      <c r="AB97" s="129">
        <f t="shared" ca="1" si="30"/>
        <v>0</v>
      </c>
      <c r="AC97" s="566"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IF(AND(_xlfn.SINGLE(TIPOORCAMENTO)="Licitado",$AL97=0,$AN97&gt;0),"SEM PREÇO",
IF(AND($C97="S",$P97&lt;&gt;"",$Q97&lt;&gt;"",$U97&gt;0,$V97=0),"BDI",
IF(OR(AND(TIPOORCAMENTO="Proposto",LEFT($O$8,5)&lt;&gt;"(N/D:",$AG97&lt;&gt;"",ORÇAMENTO.CustoUnitario&gt;$AG97),AND(TIPOORCAMENTO="LICITADO",ORÇAMENTO.PrecoUnitarioLicitado&gt;$AN97)),"ACIMA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SEM CUSTO</v>
      </c>
      <c r="AD97" s="675" t="str">
        <f ca="1">IF(C97&lt;=CRONO.NivelExibicao,MAX($AD$15:OFFSET(AD97,-1,0))+IF($C97&lt;&gt;1,1,MAX(1,COUNTIF(QCI!$A$13:$A$15,OFFSET($E97,-1,0)))),"")</f>
        <v/>
      </c>
      <c r="AE97" s="671" t="str">
        <f ca="1">IF(AND($C97="S",ORÇAMENTO.CodBarra&lt;&gt;""),IF(ORÇAMENTO.Fonte="",ORÇAMENTO.CodBarra,CONCATENATE(ORÇAMENTO.Fonte," ",ORÇAMENTO.CodBarra)))</f>
        <v>SINAPI-I 11301</v>
      </c>
      <c r="AF97" s="674" t="str">
        <f ca="1">IF(ISERROR(INDIRECT(ORÇAMENTO.BancoRef)),"(abra o arquivo 'Referência "&amp;Excel_BuiltIn_Database&amp;".xlsm)",IF(OR($C97&lt;&gt;"S",ORÇAMENTO.CodBarra=""),"(Sem Código)",IF(ISERROR(MATCH($AE97,INDIRECT(ORÇAMENTO.BancoRef),0)),"(Código não identificado nas referências)",MATCH($AE97,INDIRECT(ORÇAMENTO.BancoRef),0))))</f>
        <v>(abra o arquivo 'Referência 09-2025.xlsm)</v>
      </c>
      <c r="AG97" s="429">
        <f ca="1">ROUND(IF(DESONERACAO="sim",REFERENCIA.Desonerado,REFERENCIA.NaoDesonerado),2)</f>
        <v>0</v>
      </c>
      <c r="AH97" s="430">
        <f t="shared" ca="1" si="31"/>
        <v>0.1573</v>
      </c>
      <c r="AJ97" s="685">
        <v>1</v>
      </c>
      <c r="AL97" s="440"/>
      <c r="AM97" s="337">
        <f t="shared" ca="1" si="0"/>
        <v>0</v>
      </c>
      <c r="AN97" s="471">
        <f t="shared" ca="1" si="32"/>
        <v>0</v>
      </c>
    </row>
    <row r="98" spans="1:40" s="720" customFormat="1" x14ac:dyDescent="0.2">
      <c r="A98" s="720">
        <f t="shared" si="18"/>
        <v>2</v>
      </c>
      <c r="B98" s="720">
        <f t="shared" ca="1" si="19"/>
        <v>2</v>
      </c>
      <c r="C98" s="720">
        <f t="shared" ca="1" si="20"/>
        <v>2</v>
      </c>
      <c r="D98" s="720">
        <f t="shared" ca="1" si="21"/>
        <v>1</v>
      </c>
      <c r="E98" s="720">
        <f ca="1">IF($C98=1,OFFSET(E98,-1,0)+MAX(1,COUNTIF(QCI!$A$13:$A$15,OFFSET(ORÇAMENTO!E98,-1,0))),OFFSET(E98,-1,0))</f>
        <v>1</v>
      </c>
      <c r="F98" s="720">
        <f t="shared" ca="1" si="22"/>
        <v>11</v>
      </c>
      <c r="G98" s="720">
        <f t="shared" ca="1" si="23"/>
        <v>0</v>
      </c>
      <c r="H98" s="720">
        <f t="shared" ca="1" si="24"/>
        <v>0</v>
      </c>
      <c r="I98" s="720">
        <f t="shared" ca="1" si="25"/>
        <v>0</v>
      </c>
      <c r="J98" s="720">
        <f t="shared" ref="J98:J107" ca="1" si="34">IF(OR($C98="S",$C98=0),0,MATCH(0,OFFSET($D98,1,$C98,ROW($C$231)-ROW($C98)),0))</f>
        <v>133</v>
      </c>
      <c r="K98" s="720">
        <f ca="1">IF(OR($C98="S",$C98=0),0,MATCH(OFFSET($D98,0,$C98)+IF($C98&lt;&gt;1,1,COUNTIF(QCI!$A$13:$A$15,ORÇAMENTO!E98)),OFFSET($D98,1,$C98,ROW($C$231)-ROW($C98)),0))</f>
        <v>1</v>
      </c>
      <c r="L98" s="115" t="str">
        <f t="shared" ca="1" si="26"/>
        <v>F</v>
      </c>
      <c r="M98" s="116" t="s">
        <v>703</v>
      </c>
      <c r="N98" s="117" t="str">
        <f t="shared" ca="1" si="27"/>
        <v>Nível 2</v>
      </c>
      <c r="O98" s="118" t="str">
        <f t="shared" ca="1" si="28"/>
        <v>1.11.</v>
      </c>
      <c r="P98" s="119" t="s">
        <v>751</v>
      </c>
      <c r="Q98" s="120"/>
      <c r="R98" s="121" t="s">
        <v>1155</v>
      </c>
      <c r="S98" s="122" t="str">
        <f ca="1">REFERENCIA.Unidade</f>
        <v>-</v>
      </c>
      <c r="T98" s="123">
        <f ca="1">OFFSET(CÁLCULO!H$15,ROW($T98)-ROW(T$15),0)</f>
        <v>0</v>
      </c>
      <c r="U98" s="124"/>
      <c r="V98" s="125" t="s">
        <v>664</v>
      </c>
      <c r="W98" s="123">
        <f ca="1">IF($C98="S",ROUND(IF(TIPOORCAMENTO="Proposto",ORÇAMENTO.CustoUnitario*(1+$AH98),ORÇAMENTO.PrecoUnitarioLicitado),15-13*$AF$10),0)</f>
        <v>0</v>
      </c>
      <c r="X98" s="126" cm="1">
        <f t="array" aca="1" ref="X98" ca="1">IF($C98="S",IF(OR(Import.TipoArredondamento&lt;&gt;"TransfereGOV",ACOMPANHAMENTO="BM"),VTOTAL1,SUM(OFFSET(CÁLCULO!$AA$15,ROW($X98)-ROW($X$15),1):OFFSET(CÁLCULO!$AL$15,ROW($X98)-ROW($X$15),-1))),IF($C98=0,0,ROUND(SomaAgrup,15-13*$AF$11)))</f>
        <v>0</v>
      </c>
      <c r="Y98" s="127" t="s">
        <v>752</v>
      </c>
      <c r="Z98" s="720" t="str">
        <f t="shared" ca="1" si="29"/>
        <v/>
      </c>
      <c r="AA98" s="128">
        <f ca="1">IF($C98="S",IF($Z98="CP",$X98,IF($Z98="RA",(($X98)*QCI!$AA$3),0)),SomaAgrup)</f>
        <v>0</v>
      </c>
      <c r="AB98" s="129">
        <f t="shared" ca="1" si="30"/>
        <v>0</v>
      </c>
      <c r="AC98" s="566" t="e"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IF(AND(_xlfn.SINGLE(TIPOORCAMENTO)="Licitado",$AL98=0,$AN98&gt;0),"SEM PREÇO",
IF(AND($C98="S",$P98&lt;&gt;"",$Q98&lt;&gt;"",$U98&gt;0,$V98=0),"BDI",
IF(OR(AND(TIPOORCAMENTO="Proposto",LEFT($O$8,5)&lt;&gt;"(N/D:",$AG98&lt;&gt;"",ORÇAMENTO.CustoUnitario&gt;$AG98),AND(TIPOORCAMENTO="LICITADO",ORÇAMENTO.PrecoUnitarioLicitado&gt;$AN98)),"ACIMA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#NAME?</v>
      </c>
      <c r="AD98" s="720">
        <f ca="1">IF(C98&lt;=CRONO.NivelExibicao,MAX($AD$15:OFFSET(AD98,-1,0))+IF($C98&lt;&gt;1,1,MAX(1,COUNTIF(QCI!$A$13:$A$15,OFFSET($E98,-1,0)))),"")</f>
        <v>12</v>
      </c>
      <c r="AE98" s="718" t="b">
        <f ca="1">IF(AND($C98="S",ORÇAMENTO.CodBarra&lt;&gt;""),IF(ORÇAMENTO.Fonte="",ORÇAMENTO.CodBarra,CONCATENATE(ORÇAMENTO.Fonte," ",ORÇAMENTO.CodBarra)))</f>
        <v>0</v>
      </c>
      <c r="AF98" s="719" t="str">
        <f ca="1">IF(ISERROR(INDIRECT(ORÇAMENTO.BancoRef)),"(abra o arquivo 'Referência "&amp;Excel_BuiltIn_Database&amp;".xlsm)",IF(OR($C98&lt;&gt;"S",ORÇAMENTO.CodBarra=""),"(Sem Código)",IF(ISERROR(MATCH($AE98,INDIRECT(ORÇAMENTO.BancoRef),0)),"(Código não identificado nas referências)",MATCH($AE98,INDIRECT(ORÇAMENTO.BancoRef),0))))</f>
        <v>(abra o arquivo 'Referência 09-2025.xlsm)</v>
      </c>
      <c r="AG98" s="429">
        <f ca="1">ROUND(IF(DESONERACAO="sim",REFERENCIA.Desonerado,REFERENCIA.NaoDesonerado),2)</f>
        <v>0</v>
      </c>
      <c r="AH98" s="430">
        <f t="shared" ca="1" si="31"/>
        <v>0.24740000000000001</v>
      </c>
      <c r="AJ98" s="699"/>
      <c r="AL98" s="440"/>
      <c r="AM98" s="337">
        <f t="shared" ca="1" si="0"/>
        <v>0</v>
      </c>
      <c r="AN98" s="471">
        <f t="shared" ca="1" si="32"/>
        <v>0</v>
      </c>
    </row>
    <row r="99" spans="1:40" s="720" customFormat="1" x14ac:dyDescent="0.2">
      <c r="A99" s="720">
        <f>CHOOSE(1+LOG(1+2*(ORÇAMENTO.Nivel="Meta")+4*(ORÇAMENTO.Nivel="Nível 2")+8*(ORÇAMENTO.Nivel="Nível 3")+16*(ORÇAMENTO.Nivel="Nível 4")+32*(ORÇAMENTO.Nivel="Serviço"),2),0,1,2,3,4,"S")</f>
        <v>2</v>
      </c>
      <c r="B99" s="720">
        <f ca="1">IF(OR(C99="s",C99=0),OFFSET(B99,-1,0),C99)</f>
        <v>2</v>
      </c>
      <c r="C99" s="720">
        <f ca="1">IF(OFFSET(C99,-1,0)="L",1,IF(OFFSET(C99,-1,0)=1,2,IF(OR(A99="s",A99=0),"S",IF(AND(OFFSET(C99,-1,0)=2,A99=4),3,IF(AND(OR(OFFSET(C99,-1,0)="s",OFFSET(C99,-1,0)=0),A99&lt;&gt;"s",A99&gt;OFFSET(B99,-1,0)),OFFSET(B99,-1,0),A99)))))</f>
        <v>2</v>
      </c>
      <c r="D99" s="720">
        <f ca="1">IF(OR(C99="S",C99=0),0,IF(ISERROR(K99),J99,SMALL(J99:K99,1)))</f>
        <v>10</v>
      </c>
      <c r="E99" s="720">
        <f ca="1">IF($C99=1,OFFSET(E99,-1,0)+MAX(1,COUNTIF(QCI!$A$13:$A$15,OFFSET(ORÇAMENTO!E99,-1,0))),OFFSET(E99,-1,0))</f>
        <v>1</v>
      </c>
      <c r="F99" s="720">
        <f ca="1">IF($C99=1,0,IF($C99=2,OFFSET(F99,-1,0)+1,OFFSET(F99,-1,0)))</f>
        <v>12</v>
      </c>
      <c r="G99" s="720">
        <f ca="1">IF(AND($C99&lt;=2,$C99&lt;&gt;0),0,IF($C99=3,OFFSET(G99,-1,0)+1,OFFSET(G99,-1,0)))</f>
        <v>0</v>
      </c>
      <c r="H99" s="720">
        <f ca="1">IF(AND($C99&lt;=3,$C99&lt;&gt;0),0,IF($C99=4,OFFSET(H99,-1,0)+1,OFFSET(H99,-1,0)))</f>
        <v>0</v>
      </c>
      <c r="I99" s="720">
        <f ca="1">IF(AND($C99&lt;=4,$C99&lt;&gt;0),0,IF(AND($C99="S",$X99&gt;0),OFFSET(I99,-1,0)+1,OFFSET(I99,-1,0)))</f>
        <v>0</v>
      </c>
      <c r="J99" s="720">
        <f ca="1">IF(OR($C99="S",$C99=0),0,MATCH(0,OFFSET($D99,1,$C99,ROW($C$231)-ROW($C99)),0))</f>
        <v>132</v>
      </c>
      <c r="K99" s="720">
        <f ca="1">IF(OR($C99="S",$C99=0),0,MATCH(OFFSET($D99,0,$C99)+IF($C99&lt;&gt;1,1,COUNTIF(QCI!$A$13:$A$15,ORÇAMENTO!E99)),OFFSET($D99,1,$C99,ROW($C$231)-ROW($C99)),0))</f>
        <v>10</v>
      </c>
      <c r="L99" s="115" t="str">
        <f ca="1">IF(OR($X99&gt;0,$C99=1,$C99=2,$C99=3,$C99=4),"F","")</f>
        <v>F</v>
      </c>
      <c r="M99" s="116" t="s">
        <v>703</v>
      </c>
      <c r="N99" s="117" t="str">
        <f ca="1">CHOOSE(1+LOG(1+2*(C99=1)+4*(C99=2)+8*(C99=3)+16*(C99=4)+32*(C99="S"),2),"","Meta","Nível 2","Nível 3","Nível 4","Serviço")</f>
        <v>Nível 2</v>
      </c>
      <c r="O99" s="118" t="str">
        <f ca="1">IF(OR($C99=0,$L99=""),"-",CONCATENATE(E99&amp;".",IF(AND($A$5&gt;=2,$C99&gt;=2),F99&amp;".",""),IF(AND($A$5&gt;=3,$C99&gt;=3),G99&amp;".",""),IF(AND($A$5&gt;=4,$C99&gt;=4),H99&amp;".",""),IF($C99="S",I99&amp;".","")))</f>
        <v>1.12.</v>
      </c>
      <c r="P99" s="119" t="s">
        <v>751</v>
      </c>
      <c r="Q99" s="120"/>
      <c r="R99" s="121" t="s">
        <v>1053</v>
      </c>
      <c r="S99" s="122" t="str">
        <f ca="1">REFERENCIA.Unidade</f>
        <v>-</v>
      </c>
      <c r="T99" s="123">
        <f ca="1">OFFSET(CÁLCULO!H$15,ROW($T99)-ROW(T$15),0)</f>
        <v>0</v>
      </c>
      <c r="U99" s="124"/>
      <c r="V99" s="125" t="s">
        <v>664</v>
      </c>
      <c r="W99" s="123">
        <f ca="1">IF($C99="S",ROUND(IF(TIPOORCAMENTO="Proposto",ORÇAMENTO.CustoUnitario*(1+$AH99),ORÇAMENTO.PrecoUnitarioLicitado),15-13*$AF$10),0)</f>
        <v>0</v>
      </c>
      <c r="X99" s="126" cm="1">
        <f t="array" aca="1" ref="X99" ca="1">IF($C99="S",IF(OR(Import.TipoArredondamento&lt;&gt;"TransfereGOV",ACOMPANHAMENTO="BM"),VTOTAL1,SUM(OFFSET(CÁLCULO!$AA$15,ROW($X99)-ROW($X$15),1):OFFSET(CÁLCULO!$AL$15,ROW($X99)-ROW($X$15),-1))),IF($C99=0,0,ROUND(SomaAgrup,15-13*$AF$11)))</f>
        <v>0</v>
      </c>
      <c r="Y99" s="127" t="s">
        <v>752</v>
      </c>
      <c r="Z99" s="720" t="str">
        <f ca="1">IF(AND($C99="S",$X99&gt;0),IF(ISBLANK($Y99),"RA",LEFT($Y99,2)),"")</f>
        <v/>
      </c>
      <c r="AA99" s="128">
        <f ca="1">IF($C99="S",IF($Z99="CP",$X99,IF($Z99="RA",(($X99)*QCI!$AA$3),0)),SomaAgrup)</f>
        <v>0</v>
      </c>
      <c r="AB99" s="129">
        <f ca="1">IF($C99="S",IF($Z99="OU",ROUND($X99,2),0),SomaAgrup)</f>
        <v>0</v>
      </c>
      <c r="AC99" s="566" t="e"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IF(AND(_xlfn.SINGLE(TIPOORCAMENTO)="Licitado",$AL99=0,$AN99&gt;0),"SEM PREÇO",
IF(AND($C99="S",$P99&lt;&gt;"",$Q99&lt;&gt;"",$U99&gt;0,$V99=0),"BDI",
IF(OR(AND(TIPOORCAMENTO="Proposto",LEFT($O$8,5)&lt;&gt;"(N/D:",$AG99&lt;&gt;"",ORÇAMENTO.CustoUnitario&gt;$AG99),AND(TIPOORCAMENTO="LICITADO",ORÇAMENTO.PrecoUnitarioLicitado&gt;$AN99)),"ACIMA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#NAME?</v>
      </c>
      <c r="AD99" s="720">
        <f ca="1">IF(C99&lt;=CRONO.NivelExibicao,MAX($AD$15:OFFSET(AD99,-1,0))+IF($C99&lt;&gt;1,1,MAX(1,COUNTIF(QCI!$A$13:$A$15,OFFSET($E99,-1,0)))),"")</f>
        <v>13</v>
      </c>
      <c r="AE99" s="718" t="b">
        <f ca="1">IF(AND($C99="S",ORÇAMENTO.CodBarra&lt;&gt;""),IF(ORÇAMENTO.Fonte="",ORÇAMENTO.CodBarra,CONCATENATE(ORÇAMENTO.Fonte," ",ORÇAMENTO.CodBarra)))</f>
        <v>0</v>
      </c>
      <c r="AF99" s="719" t="str">
        <f ca="1">IF(ISERROR(INDIRECT(ORÇAMENTO.BancoRef)),"(abra o arquivo 'Referência "&amp;Excel_BuiltIn_Database&amp;".xlsm)",IF(OR($C99&lt;&gt;"S",ORÇAMENTO.CodBarra=""),"(Sem Código)",IF(ISERROR(MATCH($AE99,INDIRECT(ORÇAMENTO.BancoRef),0)),"(Código não identificado nas referências)",MATCH($AE99,INDIRECT(ORÇAMENTO.BancoRef),0))))</f>
        <v>(abra o arquivo 'Referência 09-2025.xlsm)</v>
      </c>
      <c r="AG99" s="429">
        <f ca="1">ROUND(IF(DESONERACAO="sim",REFERENCIA.Desonerado,REFERENCIA.NaoDesonerado),2)</f>
        <v>0</v>
      </c>
      <c r="AH99" s="430">
        <f ca="1">ROUND(IF(ISNUMBER(ORÇAMENTO.OpcaoBDI),ORÇAMENTO.OpcaoBDI,IF(LEFT(ORÇAMENTO.OpcaoBDI,3)="BDI",HLOOKUP(ORÇAMENTO.OpcaoBDI,$F$4:$H$5,2,FALSE),0)),15-11*$AF$9)</f>
        <v>0.24740000000000001</v>
      </c>
      <c r="AJ99" s="699"/>
      <c r="AL99" s="440"/>
      <c r="AM99" s="337">
        <f t="shared" ca="1" si="0"/>
        <v>0</v>
      </c>
      <c r="AN99" s="471">
        <f ca="1">ROUND(ORÇAMENTO.CustoUnitario*(1+$AH99),2)</f>
        <v>0</v>
      </c>
    </row>
    <row r="100" spans="1:40" s="720" customFormat="1" ht="25.5" x14ac:dyDescent="0.2">
      <c r="A100" s="720" t="str">
        <f t="shared" si="18"/>
        <v>S</v>
      </c>
      <c r="B100" s="720">
        <f t="shared" ca="1" si="19"/>
        <v>2</v>
      </c>
      <c r="C100" s="720" t="str">
        <f t="shared" ca="1" si="20"/>
        <v>S</v>
      </c>
      <c r="D100" s="720">
        <f t="shared" ca="1" si="21"/>
        <v>0</v>
      </c>
      <c r="E100" s="720">
        <f ca="1">IF($C100=1,OFFSET(E100,-1,0)+MAX(1,COUNTIF(QCI!$A$13:$A$15,OFFSET(ORÇAMENTO!E100,-1,0))),OFFSET(E100,-1,0))</f>
        <v>1</v>
      </c>
      <c r="F100" s="720">
        <f t="shared" ca="1" si="22"/>
        <v>12</v>
      </c>
      <c r="G100" s="720">
        <f t="shared" ca="1" si="23"/>
        <v>0</v>
      </c>
      <c r="H100" s="720">
        <f t="shared" ca="1" si="24"/>
        <v>0</v>
      </c>
      <c r="I100" s="720">
        <f t="shared" ca="1" si="25"/>
        <v>0</v>
      </c>
      <c r="J100" s="720">
        <f t="shared" ca="1" si="34"/>
        <v>0</v>
      </c>
      <c r="K100" s="720">
        <f ca="1">IF(OR($C100="S",$C100=0),0,MATCH(OFFSET($D100,0,$C100)+IF($C100&lt;&gt;1,1,COUNTIF(QCI!$A$13:$A$15,ORÇAMENTO!E100)),OFFSET($D100,1,$C100,ROW($C$231)-ROW($C100)),0))</f>
        <v>0</v>
      </c>
      <c r="L100" s="115" t="str">
        <f t="shared" ca="1" si="26"/>
        <v/>
      </c>
      <c r="M100" s="116" t="s">
        <v>706</v>
      </c>
      <c r="N100" s="117" t="str">
        <f t="shared" ca="1" si="27"/>
        <v>Serviço</v>
      </c>
      <c r="O100" s="118" t="str">
        <f t="shared" ca="1" si="28"/>
        <v>-</v>
      </c>
      <c r="P100" s="119" t="s">
        <v>968</v>
      </c>
      <c r="Q100" s="120" t="s">
        <v>1156</v>
      </c>
      <c r="R100" s="121" t="str">
        <f ca="1">IF($C100="S",REFERENCIA.Descricao,"(digite a descrição aqui)")</f>
        <v>(abra o arquivo 'Referência 09-2025.xlsm)</v>
      </c>
      <c r="S100" s="122" t="str">
        <f ca="1">REFERENCIA.Unidade</f>
        <v>-</v>
      </c>
      <c r="T100" s="123">
        <f ca="1">OFFSET(CÁLCULO!H$15,ROW($T100)-ROW(T$15),0)</f>
        <v>246</v>
      </c>
      <c r="U100" s="124">
        <f ca="1">ROUND(IF(DESONERACAO="sim",REFERENCIA.Desonerado,REFERENCIA.NaoDesonerado),2)</f>
        <v>0</v>
      </c>
      <c r="V100" s="125" t="s">
        <v>664</v>
      </c>
      <c r="W100" s="123">
        <f ca="1">IF($C100="S",ROUND(IF(TIPOORCAMENTO="Proposto",ORÇAMENTO.CustoUnitario*(1+$AH100),ORÇAMENTO.PrecoUnitarioLicitado),15-13*$AF$10),0)</f>
        <v>0</v>
      </c>
      <c r="X100" s="126" cm="1">
        <f t="array" aca="1" ref="X100" ca="1">IF($C100="S",IF(OR(Import.TipoArredondamento&lt;&gt;"TransfereGOV",ACOMPANHAMENTO="BM"),VTOTAL1,SUM(OFFSET(CÁLCULO!$AA$15,ROW($X100)-ROW($X$15),1):OFFSET(CÁLCULO!$AL$15,ROW($X100)-ROW($X$15),-1))),IF($C100=0,0,ROUND(SomaAgrup,15-13*$AF$11)))</f>
        <v>0</v>
      </c>
      <c r="Y100" s="127" t="s">
        <v>752</v>
      </c>
      <c r="Z100" s="720" t="str">
        <f t="shared" ca="1" si="29"/>
        <v/>
      </c>
      <c r="AA100" s="128">
        <f ca="1">IF($C100="S",IF($Z100="CP",$X100,IF($Z100="RA",(($X100)*QCI!$AA$3),0)),SomaAgrup)</f>
        <v>0</v>
      </c>
      <c r="AB100" s="129">
        <f t="shared" ca="1" si="30"/>
        <v>0</v>
      </c>
      <c r="AC100" s="566"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IF(AND(_xlfn.SINGLE(TIPOORCAMENTO)="Licitado",$AL100=0,$AN100&gt;0),"SEM PREÇO",
IF(AND($C100="S",$P100&lt;&gt;"",$Q100&lt;&gt;"",$U100&gt;0,$V100=0),"BDI",
IF(OR(AND(TIPOORCAMENTO="Proposto",LEFT($O$8,5)&lt;&gt;"(N/D:",$AG100&lt;&gt;"",ORÇAMENTO.CustoUnitario&gt;$AG100),AND(TIPOORCAMENTO="LICITADO",ORÇAMENTO.PrecoUnitarioLicitado&gt;$AN100)),"ACIMA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SEM CUSTO</v>
      </c>
      <c r="AD100" s="720" t="str">
        <f ca="1">IF(C100&lt;=CRONO.NivelExibicao,MAX($AD$15:OFFSET(AD100,-1,0))+IF($C100&lt;&gt;1,1,MAX(1,COUNTIF(QCI!$A$13:$A$15,OFFSET($E100,-1,0)))),"")</f>
        <v/>
      </c>
      <c r="AE100" s="718" t="str">
        <f ca="1">IF(AND($C100="S",ORÇAMENTO.CodBarra&lt;&gt;""),IF(ORÇAMENTO.Fonte="",ORÇAMENTO.CodBarra,CONCATENATE(ORÇAMENTO.Fonte," ",ORÇAMENTO.CodBarra)))</f>
        <v>COPASA 65000038</v>
      </c>
      <c r="AF100" s="719" t="str">
        <f ca="1">IF(ISERROR(INDIRECT(ORÇAMENTO.BancoRef)),"(abra o arquivo 'Referência "&amp;Excel_BuiltIn_Database&amp;".xlsm)",IF(OR($C100&lt;&gt;"S",ORÇAMENTO.CodBarra=""),"(Sem Código)",IF(ISERROR(MATCH($AE100,INDIRECT(ORÇAMENTO.BancoRef),0)),"(Código não identificado nas referências)",MATCH($AE100,INDIRECT(ORÇAMENTO.BancoRef),0))))</f>
        <v>(abra o arquivo 'Referência 09-2025.xlsm)</v>
      </c>
      <c r="AG100" s="429">
        <f ca="1">ROUND(IF(DESONERACAO="sim",REFERENCIA.Desonerado,REFERENCIA.NaoDesonerado),2)</f>
        <v>0</v>
      </c>
      <c r="AH100" s="430">
        <f t="shared" ca="1" si="31"/>
        <v>0.24740000000000001</v>
      </c>
      <c r="AJ100" s="699">
        <v>246</v>
      </c>
      <c r="AL100" s="440"/>
      <c r="AM100" s="337">
        <f t="shared" ca="1" si="0"/>
        <v>0</v>
      </c>
      <c r="AN100" s="471">
        <f t="shared" ca="1" si="32"/>
        <v>0</v>
      </c>
    </row>
    <row r="101" spans="1:40" s="720" customFormat="1" ht="25.5" x14ac:dyDescent="0.2">
      <c r="A101" s="720" t="str">
        <f t="shared" si="18"/>
        <v>S</v>
      </c>
      <c r="B101" s="720">
        <f t="shared" ca="1" si="19"/>
        <v>2</v>
      </c>
      <c r="C101" s="720" t="str">
        <f t="shared" ca="1" si="20"/>
        <v>S</v>
      </c>
      <c r="D101" s="720">
        <f t="shared" ca="1" si="21"/>
        <v>0</v>
      </c>
      <c r="E101" s="720">
        <f ca="1">IF($C101=1,OFFSET(E101,-1,0)+MAX(1,COUNTIF(QCI!$A$13:$A$15,OFFSET(ORÇAMENTO!E101,-1,0))),OFFSET(E101,-1,0))</f>
        <v>1</v>
      </c>
      <c r="F101" s="720">
        <f t="shared" ca="1" si="22"/>
        <v>12</v>
      </c>
      <c r="G101" s="720">
        <f t="shared" ca="1" si="23"/>
        <v>0</v>
      </c>
      <c r="H101" s="720">
        <f t="shared" ca="1" si="24"/>
        <v>0</v>
      </c>
      <c r="I101" s="720">
        <f t="shared" ca="1" si="25"/>
        <v>0</v>
      </c>
      <c r="J101" s="720">
        <f t="shared" ca="1" si="34"/>
        <v>0</v>
      </c>
      <c r="K101" s="720">
        <f ca="1">IF(OR($C101="S",$C101=0),0,MATCH(OFFSET($D101,0,$C101)+IF($C101&lt;&gt;1,1,COUNTIF(QCI!$A$13:$A$15,ORÇAMENTO!E101)),OFFSET($D101,1,$C101,ROW($C$231)-ROW($C101)),0))</f>
        <v>0</v>
      </c>
      <c r="L101" s="115" t="str">
        <f t="shared" ca="1" si="26"/>
        <v/>
      </c>
      <c r="M101" s="116" t="s">
        <v>706</v>
      </c>
      <c r="N101" s="117" t="str">
        <f t="shared" ca="1" si="27"/>
        <v>Serviço</v>
      </c>
      <c r="O101" s="118" t="str">
        <f t="shared" ca="1" si="28"/>
        <v>-</v>
      </c>
      <c r="P101" s="119" t="s">
        <v>968</v>
      </c>
      <c r="Q101" s="120" t="s">
        <v>1157</v>
      </c>
      <c r="R101" s="121" t="str">
        <f ca="1">IF($C101="S",REFERENCIA.Descricao,"(digite a descrição aqui)")</f>
        <v>(abra o arquivo 'Referência 09-2025.xlsm)</v>
      </c>
      <c r="S101" s="122" t="str">
        <f ca="1">REFERENCIA.Unidade</f>
        <v>-</v>
      </c>
      <c r="T101" s="123">
        <f ca="1">OFFSET(CÁLCULO!H$15,ROW($T101)-ROW(T$15),0)</f>
        <v>246</v>
      </c>
      <c r="U101" s="124">
        <f ca="1">ROUND(IF(DESONERACAO="sim",REFERENCIA.Desonerado,REFERENCIA.NaoDesonerado),2)</f>
        <v>0</v>
      </c>
      <c r="V101" s="125" t="s">
        <v>664</v>
      </c>
      <c r="W101" s="123">
        <f ca="1">IF($C101="S",ROUND(IF(TIPOORCAMENTO="Proposto",ORÇAMENTO.CustoUnitario*(1+$AH101),ORÇAMENTO.PrecoUnitarioLicitado),15-13*$AF$10),0)</f>
        <v>0</v>
      </c>
      <c r="X101" s="126" cm="1">
        <f t="array" aca="1" ref="X101" ca="1">IF($C101="S",IF(OR(Import.TipoArredondamento&lt;&gt;"TransfereGOV",ACOMPANHAMENTO="BM"),VTOTAL1,SUM(OFFSET(CÁLCULO!$AA$15,ROW($X101)-ROW($X$15),1):OFFSET(CÁLCULO!$AL$15,ROW($X101)-ROW($X$15),-1))),IF($C101=0,0,ROUND(SomaAgrup,15-13*$AF$11)))</f>
        <v>0</v>
      </c>
      <c r="Y101" s="127" t="s">
        <v>752</v>
      </c>
      <c r="Z101" s="720" t="str">
        <f t="shared" ca="1" si="29"/>
        <v/>
      </c>
      <c r="AA101" s="128">
        <f ca="1">IF($C101="S",IF($Z101="CP",$X101,IF($Z101="RA",(($X101)*QCI!$AA$3),0)),SomaAgrup)</f>
        <v>0</v>
      </c>
      <c r="AB101" s="129">
        <f t="shared" ca="1" si="30"/>
        <v>0</v>
      </c>
      <c r="AC101" s="566"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IF(AND(_xlfn.SINGLE(TIPOORCAMENTO)="Licitado",$AL101=0,$AN101&gt;0),"SEM PREÇO",
IF(AND($C101="S",$P101&lt;&gt;"",$Q101&lt;&gt;"",$U101&gt;0,$V101=0),"BDI",
IF(OR(AND(TIPOORCAMENTO="Proposto",LEFT($O$8,5)&lt;&gt;"(N/D:",$AG101&lt;&gt;"",ORÇAMENTO.CustoUnitario&gt;$AG101),AND(TIPOORCAMENTO="LICITADO",ORÇAMENTO.PrecoUnitarioLicitado&gt;$AN101)),"ACIMA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SEM CUSTO</v>
      </c>
      <c r="AD101" s="720" t="str">
        <f ca="1">IF(C101&lt;=CRONO.NivelExibicao,MAX($AD$15:OFFSET(AD101,-1,0))+IF($C101&lt;&gt;1,1,MAX(1,COUNTIF(QCI!$A$13:$A$15,OFFSET($E101,-1,0)))),"")</f>
        <v/>
      </c>
      <c r="AE101" s="718" t="str">
        <f ca="1">IF(AND($C101="S",ORÇAMENTO.CodBarra&lt;&gt;""),IF(ORÇAMENTO.Fonte="",ORÇAMENTO.CodBarra,CONCATENATE(ORÇAMENTO.Fonte," ",ORÇAMENTO.CodBarra)))</f>
        <v>COPASA 65000486</v>
      </c>
      <c r="AF101" s="719" t="str">
        <f ca="1">IF(ISERROR(INDIRECT(ORÇAMENTO.BancoRef)),"(abra o arquivo 'Referência "&amp;Excel_BuiltIn_Database&amp;".xlsm)",IF(OR($C101&lt;&gt;"S",ORÇAMENTO.CodBarra=""),"(Sem Código)",IF(ISERROR(MATCH($AE101,INDIRECT(ORÇAMENTO.BancoRef),0)),"(Código não identificado nas referências)",MATCH($AE101,INDIRECT(ORÇAMENTO.BancoRef),0))))</f>
        <v>(abra o arquivo 'Referência 09-2025.xlsm)</v>
      </c>
      <c r="AG101" s="429">
        <f ca="1">ROUND(IF(DESONERACAO="sim",REFERENCIA.Desonerado,REFERENCIA.NaoDesonerado),2)</f>
        <v>0</v>
      </c>
      <c r="AH101" s="430">
        <f t="shared" ca="1" si="31"/>
        <v>0.24740000000000001</v>
      </c>
      <c r="AJ101" s="699">
        <v>246</v>
      </c>
      <c r="AL101" s="440"/>
      <c r="AM101" s="337">
        <f t="shared" ca="1" si="0"/>
        <v>0</v>
      </c>
      <c r="AN101" s="471">
        <f t="shared" ca="1" si="32"/>
        <v>0</v>
      </c>
    </row>
    <row r="102" spans="1:40" s="720" customFormat="1" ht="25.5" x14ac:dyDescent="0.2">
      <c r="A102" s="720" t="str">
        <f t="shared" si="18"/>
        <v>S</v>
      </c>
      <c r="B102" s="720">
        <f t="shared" ca="1" si="19"/>
        <v>2</v>
      </c>
      <c r="C102" s="720" t="str">
        <f t="shared" ca="1" si="20"/>
        <v>S</v>
      </c>
      <c r="D102" s="720">
        <f t="shared" ca="1" si="21"/>
        <v>0</v>
      </c>
      <c r="E102" s="720">
        <f ca="1">IF($C102=1,OFFSET(E102,-1,0)+MAX(1,COUNTIF(QCI!$A$13:$A$15,OFFSET(ORÇAMENTO!E102,-1,0))),OFFSET(E102,-1,0))</f>
        <v>1</v>
      </c>
      <c r="F102" s="720">
        <f t="shared" ca="1" si="22"/>
        <v>12</v>
      </c>
      <c r="G102" s="720">
        <f t="shared" ca="1" si="23"/>
        <v>0</v>
      </c>
      <c r="H102" s="720">
        <f t="shared" ca="1" si="24"/>
        <v>0</v>
      </c>
      <c r="I102" s="720">
        <f t="shared" ca="1" si="25"/>
        <v>0</v>
      </c>
      <c r="J102" s="720">
        <f t="shared" ca="1" si="34"/>
        <v>0</v>
      </c>
      <c r="K102" s="720">
        <f ca="1">IF(OR($C102="S",$C102=0),0,MATCH(OFFSET($D102,0,$C102)+IF($C102&lt;&gt;1,1,COUNTIF(QCI!$A$13:$A$15,ORÇAMENTO!E102)),OFFSET($D102,1,$C102,ROW($C$231)-ROW($C102)),0))</f>
        <v>0</v>
      </c>
      <c r="L102" s="115" t="str">
        <f t="shared" ca="1" si="26"/>
        <v/>
      </c>
      <c r="M102" s="116" t="s">
        <v>706</v>
      </c>
      <c r="N102" s="117" t="str">
        <f t="shared" ca="1" si="27"/>
        <v>Serviço</v>
      </c>
      <c r="O102" s="118" t="str">
        <f t="shared" ca="1" si="28"/>
        <v>-</v>
      </c>
      <c r="P102" s="119" t="s">
        <v>968</v>
      </c>
      <c r="Q102" s="120" t="s">
        <v>1158</v>
      </c>
      <c r="R102" s="121" t="str">
        <f ca="1">IF($C102="S",REFERENCIA.Descricao,"(digite a descrição aqui)")</f>
        <v>(abra o arquivo 'Referência 09-2025.xlsm)</v>
      </c>
      <c r="S102" s="122" t="str">
        <f ca="1">REFERENCIA.Unidade</f>
        <v>-</v>
      </c>
      <c r="T102" s="123">
        <f ca="1">OFFSET(CÁLCULO!H$15,ROW($T102)-ROW(T$15),0)</f>
        <v>600</v>
      </c>
      <c r="U102" s="124">
        <f ca="1">ROUND(IF(DESONERACAO="sim",REFERENCIA.Desonerado,REFERENCIA.NaoDesonerado),2)</f>
        <v>0</v>
      </c>
      <c r="V102" s="125" t="s">
        <v>664</v>
      </c>
      <c r="W102" s="123">
        <f ca="1">IF($C102="S",ROUND(IF(TIPOORCAMENTO="Proposto",ORÇAMENTO.CustoUnitario*(1+$AH102),ORÇAMENTO.PrecoUnitarioLicitado),15-13*$AF$10),0)</f>
        <v>0</v>
      </c>
      <c r="X102" s="126" cm="1">
        <f t="array" aca="1" ref="X102" ca="1">IF($C102="S",IF(OR(Import.TipoArredondamento&lt;&gt;"TransfereGOV",ACOMPANHAMENTO="BM"),VTOTAL1,SUM(OFFSET(CÁLCULO!$AA$15,ROW($X102)-ROW($X$15),1):OFFSET(CÁLCULO!$AL$15,ROW($X102)-ROW($X$15),-1))),IF($C102=0,0,ROUND(SomaAgrup,15-13*$AF$11)))</f>
        <v>0</v>
      </c>
      <c r="Y102" s="127" t="s">
        <v>752</v>
      </c>
      <c r="Z102" s="720" t="str">
        <f t="shared" ca="1" si="29"/>
        <v/>
      </c>
      <c r="AA102" s="128">
        <f ca="1">IF($C102="S",IF($Z102="CP",$X102,IF($Z102="RA",(($X102)*QCI!$AA$3),0)),SomaAgrup)</f>
        <v>0</v>
      </c>
      <c r="AB102" s="129">
        <f t="shared" ca="1" si="30"/>
        <v>0</v>
      </c>
      <c r="AC102" s="566"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IF(AND(_xlfn.SINGLE(TIPOORCAMENTO)="Licitado",$AL102=0,$AN102&gt;0),"SEM PREÇO",
IF(AND($C102="S",$P102&lt;&gt;"",$Q102&lt;&gt;"",$U102&gt;0,$V102=0),"BDI",
IF(OR(AND(TIPOORCAMENTO="Proposto",LEFT($O$8,5)&lt;&gt;"(N/D:",$AG102&lt;&gt;"",ORÇAMENTO.CustoUnitario&gt;$AG102),AND(TIPOORCAMENTO="LICITADO",ORÇAMENTO.PrecoUnitarioLicitado&gt;$AN102)),"ACIMA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SEM CUSTO</v>
      </c>
      <c r="AD102" s="720" t="str">
        <f ca="1">IF(C102&lt;=CRONO.NivelExibicao,MAX($AD$15:OFFSET(AD102,-1,0))+IF($C102&lt;&gt;1,1,MAX(1,COUNTIF(QCI!$A$13:$A$15,OFFSET($E102,-1,0)))),"")</f>
        <v/>
      </c>
      <c r="AE102" s="718" t="str">
        <f ca="1">IF(AND($C102="S",ORÇAMENTO.CodBarra&lt;&gt;""),IF(ORÇAMENTO.Fonte="",ORÇAMENTO.CodBarra,CONCATENATE(ORÇAMENTO.Fonte," ",ORÇAMENTO.CodBarra)))</f>
        <v>COPASA 65000010</v>
      </c>
      <c r="AF102" s="719" t="str">
        <f ca="1">IF(ISERROR(INDIRECT(ORÇAMENTO.BancoRef)),"(abra o arquivo 'Referência "&amp;Excel_BuiltIn_Database&amp;".xlsm)",IF(OR($C102&lt;&gt;"S",ORÇAMENTO.CodBarra=""),"(Sem Código)",IF(ISERROR(MATCH($AE102,INDIRECT(ORÇAMENTO.BancoRef),0)),"(Código não identificado nas referências)",MATCH($AE102,INDIRECT(ORÇAMENTO.BancoRef),0))))</f>
        <v>(abra o arquivo 'Referência 09-2025.xlsm)</v>
      </c>
      <c r="AG102" s="429">
        <f ca="1">ROUND(IF(DESONERACAO="sim",REFERENCIA.Desonerado,REFERENCIA.NaoDesonerado),2)</f>
        <v>0</v>
      </c>
      <c r="AH102" s="430">
        <f t="shared" ca="1" si="31"/>
        <v>0.24740000000000001</v>
      </c>
      <c r="AJ102" s="699">
        <v>600</v>
      </c>
      <c r="AL102" s="440"/>
      <c r="AM102" s="337">
        <f t="shared" ca="1" si="0"/>
        <v>0</v>
      </c>
      <c r="AN102" s="471">
        <f t="shared" ca="1" si="32"/>
        <v>0</v>
      </c>
    </row>
    <row r="103" spans="1:40" s="720" customFormat="1" ht="25.5" x14ac:dyDescent="0.2">
      <c r="A103" s="720" t="str">
        <f t="shared" si="18"/>
        <v>S</v>
      </c>
      <c r="B103" s="720">
        <f t="shared" ca="1" si="19"/>
        <v>2</v>
      </c>
      <c r="C103" s="720" t="str">
        <f t="shared" ca="1" si="20"/>
        <v>S</v>
      </c>
      <c r="D103" s="720">
        <f t="shared" ca="1" si="21"/>
        <v>0</v>
      </c>
      <c r="E103" s="720">
        <f ca="1">IF($C103=1,OFFSET(E103,-1,0)+MAX(1,COUNTIF(QCI!$A$13:$A$15,OFFSET(ORÇAMENTO!E103,-1,0))),OFFSET(E103,-1,0))</f>
        <v>1</v>
      </c>
      <c r="F103" s="720">
        <f t="shared" ca="1" si="22"/>
        <v>12</v>
      </c>
      <c r="G103" s="720">
        <f t="shared" ca="1" si="23"/>
        <v>0</v>
      </c>
      <c r="H103" s="720">
        <f t="shared" ca="1" si="24"/>
        <v>0</v>
      </c>
      <c r="I103" s="720">
        <f t="shared" ca="1" si="25"/>
        <v>0</v>
      </c>
      <c r="J103" s="720">
        <f t="shared" ca="1" si="34"/>
        <v>0</v>
      </c>
      <c r="K103" s="720">
        <f ca="1">IF(OR($C103="S",$C103=0),0,MATCH(OFFSET($D103,0,$C103)+IF($C103&lt;&gt;1,1,COUNTIF(QCI!$A$13:$A$15,ORÇAMENTO!E103)),OFFSET($D103,1,$C103,ROW($C$231)-ROW($C103)),0))</f>
        <v>0</v>
      </c>
      <c r="L103" s="115" t="str">
        <f t="shared" ca="1" si="26"/>
        <v/>
      </c>
      <c r="M103" s="116" t="s">
        <v>706</v>
      </c>
      <c r="N103" s="117" t="str">
        <f t="shared" ca="1" si="27"/>
        <v>Serviço</v>
      </c>
      <c r="O103" s="118" t="str">
        <f t="shared" ca="1" si="28"/>
        <v>-</v>
      </c>
      <c r="P103" s="119" t="s">
        <v>968</v>
      </c>
      <c r="Q103" s="120" t="s">
        <v>1162</v>
      </c>
      <c r="R103" s="121" t="str">
        <f ca="1">IF($C103="S",REFERENCIA.Descricao,"(digite a descrição aqui)")</f>
        <v>(abra o arquivo 'Referência 09-2025.xlsm)</v>
      </c>
      <c r="S103" s="122" t="str">
        <f ca="1">REFERENCIA.Unidade</f>
        <v>-</v>
      </c>
      <c r="T103" s="123">
        <f ca="1">OFFSET(CÁLCULO!H$15,ROW($T103)-ROW(T$15),0)</f>
        <v>150</v>
      </c>
      <c r="U103" s="124">
        <f ca="1">ROUND(IF(DESONERACAO="sim",REFERENCIA.Desonerado,REFERENCIA.NaoDesonerado),2)</f>
        <v>0</v>
      </c>
      <c r="V103" s="125" t="s">
        <v>664</v>
      </c>
      <c r="W103" s="123">
        <f ca="1">IF($C103="S",ROUND(IF(TIPOORCAMENTO="Proposto",ORÇAMENTO.CustoUnitario*(1+$AH103),ORÇAMENTO.PrecoUnitarioLicitado),15-13*$AF$10),0)</f>
        <v>0</v>
      </c>
      <c r="X103" s="126" cm="1">
        <f t="array" aca="1" ref="X103" ca="1">IF($C103="S",IF(OR(Import.TipoArredondamento&lt;&gt;"TransfereGOV",ACOMPANHAMENTO="BM"),VTOTAL1,SUM(OFFSET(CÁLCULO!$AA$15,ROW($X103)-ROW($X$15),1):OFFSET(CÁLCULO!$AL$15,ROW($X103)-ROW($X$15),-1))),IF($C103=0,0,ROUND(SomaAgrup,15-13*$AF$11)))</f>
        <v>0</v>
      </c>
      <c r="Y103" s="127" t="s">
        <v>752</v>
      </c>
      <c r="Z103" s="720" t="str">
        <f t="shared" ca="1" si="29"/>
        <v/>
      </c>
      <c r="AA103" s="128">
        <f ca="1">IF($C103="S",IF($Z103="CP",$X103,IF($Z103="RA",(($X103)*QCI!$AA$3),0)),SomaAgrup)</f>
        <v>0</v>
      </c>
      <c r="AB103" s="129">
        <f t="shared" ca="1" si="30"/>
        <v>0</v>
      </c>
      <c r="AC103" s="566"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IF(AND(_xlfn.SINGLE(TIPOORCAMENTO)="Licitado",$AL103=0,$AN103&gt;0),"SEM PREÇO",
IF(AND($C103="S",$P103&lt;&gt;"",$Q103&lt;&gt;"",$U103&gt;0,$V103=0),"BDI",
IF(OR(AND(TIPOORCAMENTO="Proposto",LEFT($O$8,5)&lt;&gt;"(N/D:",$AG103&lt;&gt;"",ORÇAMENTO.CustoUnitario&gt;$AG103),AND(TIPOORCAMENTO="LICITADO",ORÇAMENTO.PrecoUnitarioLicitado&gt;$AN103)),"ACIMA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SEM CUSTO</v>
      </c>
      <c r="AD103" s="720" t="str">
        <f ca="1">IF(C103&lt;=CRONO.NivelExibicao,MAX($AD$15:OFFSET(AD103,-1,0))+IF($C103&lt;&gt;1,1,MAX(1,COUNTIF(QCI!$A$13:$A$15,OFFSET($E103,-1,0)))),"")</f>
        <v/>
      </c>
      <c r="AE103" s="718" t="str">
        <f ca="1">IF(AND($C103="S",ORÇAMENTO.CodBarra&lt;&gt;""),IF(ORÇAMENTO.Fonte="",ORÇAMENTO.CodBarra,CONCATENATE(ORÇAMENTO.Fonte," ",ORÇAMENTO.CodBarra)))</f>
        <v>COPASA 65000037</v>
      </c>
      <c r="AF103" s="719" t="str">
        <f ca="1">IF(ISERROR(INDIRECT(ORÇAMENTO.BancoRef)),"(abra o arquivo 'Referência "&amp;Excel_BuiltIn_Database&amp;".xlsm)",IF(OR($C103&lt;&gt;"S",ORÇAMENTO.CodBarra=""),"(Sem Código)",IF(ISERROR(MATCH($AE103,INDIRECT(ORÇAMENTO.BancoRef),0)),"(Código não identificado nas referências)",MATCH($AE103,INDIRECT(ORÇAMENTO.BancoRef),0))))</f>
        <v>(abra o arquivo 'Referência 09-2025.xlsm)</v>
      </c>
      <c r="AG103" s="429">
        <f ca="1">ROUND(IF(DESONERACAO="sim",REFERENCIA.Desonerado,REFERENCIA.NaoDesonerado),2)</f>
        <v>0</v>
      </c>
      <c r="AH103" s="430">
        <f t="shared" ca="1" si="31"/>
        <v>0.24740000000000001</v>
      </c>
      <c r="AJ103" s="699">
        <v>150</v>
      </c>
      <c r="AL103" s="440"/>
      <c r="AM103" s="337">
        <f t="shared" ca="1" si="0"/>
        <v>0</v>
      </c>
      <c r="AN103" s="471">
        <f t="shared" ca="1" si="32"/>
        <v>0</v>
      </c>
    </row>
    <row r="104" spans="1:40" s="720" customFormat="1" x14ac:dyDescent="0.2">
      <c r="A104" s="720" t="str">
        <f t="shared" si="18"/>
        <v>S</v>
      </c>
      <c r="B104" s="720">
        <f t="shared" ca="1" si="19"/>
        <v>2</v>
      </c>
      <c r="C104" s="720" t="str">
        <f t="shared" ca="1" si="20"/>
        <v>S</v>
      </c>
      <c r="D104" s="720">
        <f t="shared" ca="1" si="21"/>
        <v>0</v>
      </c>
      <c r="E104" s="720">
        <f ca="1">IF($C104=1,OFFSET(E104,-1,0)+MAX(1,COUNTIF(QCI!$A$13:$A$15,OFFSET(ORÇAMENTO!E104,-1,0))),OFFSET(E104,-1,0))</f>
        <v>1</v>
      </c>
      <c r="F104" s="720">
        <f t="shared" ca="1" si="22"/>
        <v>12</v>
      </c>
      <c r="G104" s="720">
        <f t="shared" ca="1" si="23"/>
        <v>0</v>
      </c>
      <c r="H104" s="720">
        <f t="shared" ca="1" si="24"/>
        <v>0</v>
      </c>
      <c r="I104" s="720">
        <f t="shared" ca="1" si="25"/>
        <v>0</v>
      </c>
      <c r="J104" s="720">
        <f t="shared" ca="1" si="34"/>
        <v>0</v>
      </c>
      <c r="K104" s="720">
        <f ca="1">IF(OR($C104="S",$C104=0),0,MATCH(OFFSET($D104,0,$C104)+IF($C104&lt;&gt;1,1,COUNTIF(QCI!$A$13:$A$15,ORÇAMENTO!E104)),OFFSET($D104,1,$C104,ROW($C$231)-ROW($C104)),0))</f>
        <v>0</v>
      </c>
      <c r="L104" s="115" t="str">
        <f t="shared" ca="1" si="26"/>
        <v/>
      </c>
      <c r="M104" s="116" t="s">
        <v>706</v>
      </c>
      <c r="N104" s="117" t="str">
        <f t="shared" ca="1" si="27"/>
        <v>Serviço</v>
      </c>
      <c r="O104" s="118" t="str">
        <f t="shared" ca="1" si="28"/>
        <v>-</v>
      </c>
      <c r="P104" s="119" t="s">
        <v>968</v>
      </c>
      <c r="Q104" s="120" t="s">
        <v>1163</v>
      </c>
      <c r="R104" s="121" t="str">
        <f ca="1">IF($C104="S",REFERENCIA.Descricao,"(digite a descrição aqui)")</f>
        <v>(abra o arquivo 'Referência 09-2025.xlsm)</v>
      </c>
      <c r="S104" s="122" t="str">
        <f ca="1">REFERENCIA.Unidade</f>
        <v>-</v>
      </c>
      <c r="T104" s="123">
        <f ca="1">OFFSET(CÁLCULO!H$15,ROW($T104)-ROW(T$15),0)</f>
        <v>15</v>
      </c>
      <c r="U104" s="124">
        <f ca="1">ROUND(IF(DESONERACAO="sim",REFERENCIA.Desonerado,REFERENCIA.NaoDesonerado),2)</f>
        <v>0</v>
      </c>
      <c r="V104" s="125" t="s">
        <v>664</v>
      </c>
      <c r="W104" s="123">
        <f ca="1">IF($C104="S",ROUND(IF(TIPOORCAMENTO="Proposto",ORÇAMENTO.CustoUnitario*(1+$AH104),ORÇAMENTO.PrecoUnitarioLicitado),15-13*$AF$10),0)</f>
        <v>0</v>
      </c>
      <c r="X104" s="126" cm="1">
        <f t="array" aca="1" ref="X104" ca="1">IF($C104="S",IF(OR(Import.TipoArredondamento&lt;&gt;"TransfereGOV",ACOMPANHAMENTO="BM"),VTOTAL1,SUM(OFFSET(CÁLCULO!$AA$15,ROW($X104)-ROW($X$15),1):OFFSET(CÁLCULO!$AL$15,ROW($X104)-ROW($X$15),-1))),IF($C104=0,0,ROUND(SomaAgrup,15-13*$AF$11)))</f>
        <v>0</v>
      </c>
      <c r="Y104" s="127" t="s">
        <v>752</v>
      </c>
      <c r="Z104" s="720" t="str">
        <f t="shared" ca="1" si="29"/>
        <v/>
      </c>
      <c r="AA104" s="128">
        <f ca="1">IF($C104="S",IF($Z104="CP",$X104,IF($Z104="RA",(($X104)*QCI!$AA$3),0)),SomaAgrup)</f>
        <v>0</v>
      </c>
      <c r="AB104" s="129">
        <f t="shared" ca="1" si="30"/>
        <v>0</v>
      </c>
      <c r="AC104" s="566"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IF(AND(_xlfn.SINGLE(TIPOORCAMENTO)="Licitado",$AL104=0,$AN104&gt;0),"SEM PREÇO",
IF(AND($C104="S",$P104&lt;&gt;"",$Q104&lt;&gt;"",$U104&gt;0,$V104=0),"BDI",
IF(OR(AND(TIPOORCAMENTO="Proposto",LEFT($O$8,5)&lt;&gt;"(N/D:",$AG104&lt;&gt;"",ORÇAMENTO.CustoUnitario&gt;$AG104),AND(TIPOORCAMENTO="LICITADO",ORÇAMENTO.PrecoUnitarioLicitado&gt;$AN104)),"ACIMA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SEM CUSTO</v>
      </c>
      <c r="AD104" s="720" t="str">
        <f ca="1">IF(C104&lt;=CRONO.NivelExibicao,MAX($AD$15:OFFSET(AD104,-1,0))+IF($C104&lt;&gt;1,1,MAX(1,COUNTIF(QCI!$A$13:$A$15,OFFSET($E104,-1,0)))),"")</f>
        <v/>
      </c>
      <c r="AE104" s="718" t="str">
        <f ca="1">IF(AND($C104="S",ORÇAMENTO.CodBarra&lt;&gt;""),IF(ORÇAMENTO.Fonte="",ORÇAMENTO.CodBarra,CONCATENATE(ORÇAMENTO.Fonte," ",ORÇAMENTO.CodBarra)))</f>
        <v>COPASA 65000493</v>
      </c>
      <c r="AF104" s="719" t="str">
        <f ca="1">IF(ISERROR(INDIRECT(ORÇAMENTO.BancoRef)),"(abra o arquivo 'Referência "&amp;Excel_BuiltIn_Database&amp;".xlsm)",IF(OR($C104&lt;&gt;"S",ORÇAMENTO.CodBarra=""),"(Sem Código)",IF(ISERROR(MATCH($AE104,INDIRECT(ORÇAMENTO.BancoRef),0)),"(Código não identificado nas referências)",MATCH($AE104,INDIRECT(ORÇAMENTO.BancoRef),0))))</f>
        <v>(abra o arquivo 'Referência 09-2025.xlsm)</v>
      </c>
      <c r="AG104" s="429">
        <f ca="1">ROUND(IF(DESONERACAO="sim",REFERENCIA.Desonerado,REFERENCIA.NaoDesonerado),2)</f>
        <v>0</v>
      </c>
      <c r="AH104" s="430">
        <f t="shared" ca="1" si="31"/>
        <v>0.24740000000000001</v>
      </c>
      <c r="AJ104" s="699">
        <v>15</v>
      </c>
      <c r="AL104" s="440"/>
      <c r="AM104" s="337">
        <f t="shared" ca="1" si="0"/>
        <v>0</v>
      </c>
      <c r="AN104" s="471">
        <f t="shared" ca="1" si="32"/>
        <v>0</v>
      </c>
    </row>
    <row r="105" spans="1:40" s="720" customFormat="1" ht="25.5" x14ac:dyDescent="0.2">
      <c r="A105" s="720" t="str">
        <f t="shared" si="18"/>
        <v>S</v>
      </c>
      <c r="B105" s="720">
        <f t="shared" ca="1" si="19"/>
        <v>2</v>
      </c>
      <c r="C105" s="720" t="str">
        <f t="shared" ca="1" si="20"/>
        <v>S</v>
      </c>
      <c r="D105" s="720">
        <f t="shared" ca="1" si="21"/>
        <v>0</v>
      </c>
      <c r="E105" s="720">
        <f ca="1">IF($C105=1,OFFSET(E105,-1,0)+MAX(1,COUNTIF(QCI!$A$13:$A$15,OFFSET(ORÇAMENTO!E105,-1,0))),OFFSET(E105,-1,0))</f>
        <v>1</v>
      </c>
      <c r="F105" s="720">
        <f t="shared" ca="1" si="22"/>
        <v>12</v>
      </c>
      <c r="G105" s="720">
        <f t="shared" ca="1" si="23"/>
        <v>0</v>
      </c>
      <c r="H105" s="720">
        <f t="shared" ca="1" si="24"/>
        <v>0</v>
      </c>
      <c r="I105" s="720">
        <f t="shared" ca="1" si="25"/>
        <v>0</v>
      </c>
      <c r="J105" s="720">
        <f t="shared" ca="1" si="34"/>
        <v>0</v>
      </c>
      <c r="K105" s="720">
        <f ca="1">IF(OR($C105="S",$C105=0),0,MATCH(OFFSET($D105,0,$C105)+IF($C105&lt;&gt;1,1,COUNTIF(QCI!$A$13:$A$15,ORÇAMENTO!E105)),OFFSET($D105,1,$C105,ROW($C$231)-ROW($C105)),0))</f>
        <v>0</v>
      </c>
      <c r="L105" s="115" t="str">
        <f t="shared" ca="1" si="26"/>
        <v/>
      </c>
      <c r="M105" s="116" t="s">
        <v>706</v>
      </c>
      <c r="N105" s="117" t="str">
        <f t="shared" ca="1" si="27"/>
        <v>Serviço</v>
      </c>
      <c r="O105" s="118" t="str">
        <f t="shared" ca="1" si="28"/>
        <v>-</v>
      </c>
      <c r="P105" s="119" t="s">
        <v>968</v>
      </c>
      <c r="Q105" s="120" t="s">
        <v>1164</v>
      </c>
      <c r="R105" s="121" t="str">
        <f ca="1">IF($C105="S",REFERENCIA.Descricao,"(digite a descrição aqui)")</f>
        <v>(abra o arquivo 'Referência 09-2025.xlsm)</v>
      </c>
      <c r="S105" s="122" t="str">
        <f ca="1">REFERENCIA.Unidade</f>
        <v>-</v>
      </c>
      <c r="T105" s="123">
        <f ca="1">OFFSET(CÁLCULO!H$15,ROW($T105)-ROW(T$15),0)</f>
        <v>150</v>
      </c>
      <c r="U105" s="124">
        <f ca="1">ROUND(IF(DESONERACAO="sim",REFERENCIA.Desonerado,REFERENCIA.NaoDesonerado),2)</f>
        <v>0</v>
      </c>
      <c r="V105" s="125" t="s">
        <v>664</v>
      </c>
      <c r="W105" s="123">
        <f ca="1">IF($C105="S",ROUND(IF(TIPOORCAMENTO="Proposto",ORÇAMENTO.CustoUnitario*(1+$AH105),ORÇAMENTO.PrecoUnitarioLicitado),15-13*$AF$10),0)</f>
        <v>0</v>
      </c>
      <c r="X105" s="126" cm="1">
        <f t="array" aca="1" ref="X105" ca="1">IF($C105="S",IF(OR(Import.TipoArredondamento&lt;&gt;"TransfereGOV",ACOMPANHAMENTO="BM"),VTOTAL1,SUM(OFFSET(CÁLCULO!$AA$15,ROW($X105)-ROW($X$15),1):OFFSET(CÁLCULO!$AL$15,ROW($X105)-ROW($X$15),-1))),IF($C105=0,0,ROUND(SomaAgrup,15-13*$AF$11)))</f>
        <v>0</v>
      </c>
      <c r="Y105" s="127" t="s">
        <v>752</v>
      </c>
      <c r="Z105" s="720" t="str">
        <f t="shared" ca="1" si="29"/>
        <v/>
      </c>
      <c r="AA105" s="128">
        <f ca="1">IF($C105="S",IF($Z105="CP",$X105,IF($Z105="RA",(($X105)*QCI!$AA$3),0)),SomaAgrup)</f>
        <v>0</v>
      </c>
      <c r="AB105" s="129">
        <f t="shared" ca="1" si="30"/>
        <v>0</v>
      </c>
      <c r="AC105" s="566"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IF(AND(_xlfn.SINGLE(TIPOORCAMENTO)="Licitado",$AL105=0,$AN105&gt;0),"SEM PREÇO",
IF(AND($C105="S",$P105&lt;&gt;"",$Q105&lt;&gt;"",$U105&gt;0,$V105=0),"BDI",
IF(OR(AND(TIPOORCAMENTO="Proposto",LEFT($O$8,5)&lt;&gt;"(N/D:",$AG105&lt;&gt;"",ORÇAMENTO.CustoUnitario&gt;$AG105),AND(TIPOORCAMENTO="LICITADO",ORÇAMENTO.PrecoUnitarioLicitado&gt;$AN105)),"ACIMA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SEM CUSTO</v>
      </c>
      <c r="AD105" s="720" t="str">
        <f ca="1">IF(C105&lt;=CRONO.NivelExibicao,MAX($AD$15:OFFSET(AD105,-1,0))+IF($C105&lt;&gt;1,1,MAX(1,COUNTIF(QCI!$A$13:$A$15,OFFSET($E105,-1,0)))),"")</f>
        <v/>
      </c>
      <c r="AE105" s="718" t="str">
        <f ca="1">IF(AND($C105="S",ORÇAMENTO.CodBarra&lt;&gt;""),IF(ORÇAMENTO.Fonte="",ORÇAMENTO.CodBarra,CONCATENATE(ORÇAMENTO.Fonte," ",ORÇAMENTO.CodBarra)))</f>
        <v>COPASA 65002965</v>
      </c>
      <c r="AF105" s="719" t="str">
        <f ca="1">IF(ISERROR(INDIRECT(ORÇAMENTO.BancoRef)),"(abra o arquivo 'Referência "&amp;Excel_BuiltIn_Database&amp;".xlsm)",IF(OR($C105&lt;&gt;"S",ORÇAMENTO.CodBarra=""),"(Sem Código)",IF(ISERROR(MATCH($AE105,INDIRECT(ORÇAMENTO.BancoRef),0)),"(Código não identificado nas referências)",MATCH($AE105,INDIRECT(ORÇAMENTO.BancoRef),0))))</f>
        <v>(abra o arquivo 'Referência 09-2025.xlsm)</v>
      </c>
      <c r="AG105" s="429">
        <f ca="1">ROUND(IF(DESONERACAO="sim",REFERENCIA.Desonerado,REFERENCIA.NaoDesonerado),2)</f>
        <v>0</v>
      </c>
      <c r="AH105" s="430">
        <f t="shared" ca="1" si="31"/>
        <v>0.24740000000000001</v>
      </c>
      <c r="AJ105" s="699">
        <v>150</v>
      </c>
      <c r="AL105" s="440"/>
      <c r="AM105" s="337">
        <f t="shared" ca="1" si="0"/>
        <v>0</v>
      </c>
      <c r="AN105" s="471">
        <f t="shared" ca="1" si="32"/>
        <v>0</v>
      </c>
    </row>
    <row r="106" spans="1:40" s="720" customFormat="1" ht="38.25" x14ac:dyDescent="0.2">
      <c r="A106" s="720" t="str">
        <f t="shared" si="18"/>
        <v>S</v>
      </c>
      <c r="B106" s="720">
        <f t="shared" ca="1" si="19"/>
        <v>2</v>
      </c>
      <c r="C106" s="720" t="str">
        <f t="shared" ca="1" si="20"/>
        <v>S</v>
      </c>
      <c r="D106" s="720">
        <f t="shared" ca="1" si="21"/>
        <v>0</v>
      </c>
      <c r="E106" s="720">
        <f ca="1">IF($C106=1,OFFSET(E106,-1,0)+MAX(1,COUNTIF(QCI!$A$13:$A$15,OFFSET(ORÇAMENTO!E106,-1,0))),OFFSET(E106,-1,0))</f>
        <v>1</v>
      </c>
      <c r="F106" s="720">
        <f t="shared" ca="1" si="22"/>
        <v>12</v>
      </c>
      <c r="G106" s="720">
        <f t="shared" ca="1" si="23"/>
        <v>0</v>
      </c>
      <c r="H106" s="720">
        <f t="shared" ca="1" si="24"/>
        <v>0</v>
      </c>
      <c r="I106" s="720">
        <f t="shared" ca="1" si="25"/>
        <v>0</v>
      </c>
      <c r="J106" s="720">
        <f t="shared" ca="1" si="34"/>
        <v>0</v>
      </c>
      <c r="K106" s="720">
        <f ca="1">IF(OR($C106="S",$C106=0),0,MATCH(OFFSET($D106,0,$C106)+IF($C106&lt;&gt;1,1,COUNTIF(QCI!$A$13:$A$15,ORÇAMENTO!E106)),OFFSET($D106,1,$C106,ROW($C$231)-ROW($C106)),0))</f>
        <v>0</v>
      </c>
      <c r="L106" s="115" t="str">
        <f t="shared" ca="1" si="26"/>
        <v/>
      </c>
      <c r="M106" s="116" t="s">
        <v>706</v>
      </c>
      <c r="N106" s="117" t="str">
        <f t="shared" ca="1" si="27"/>
        <v>Serviço</v>
      </c>
      <c r="O106" s="118" t="str">
        <f t="shared" ca="1" si="28"/>
        <v>-</v>
      </c>
      <c r="P106" s="119" t="s">
        <v>968</v>
      </c>
      <c r="Q106" s="120" t="s">
        <v>1159</v>
      </c>
      <c r="R106" s="121" t="str">
        <f ca="1">IF($C106="S",REFERENCIA.Descricao,"(digite a descrição aqui)")</f>
        <v>(abra o arquivo 'Referência 09-2025.xlsm)</v>
      </c>
      <c r="S106" s="122" t="str">
        <f ca="1">REFERENCIA.Unidade</f>
        <v>-</v>
      </c>
      <c r="T106" s="123">
        <f ca="1">OFFSET(CÁLCULO!H$15,ROW($T106)-ROW(T$15),0)</f>
        <v>100</v>
      </c>
      <c r="U106" s="124">
        <f ca="1">ROUND(IF(DESONERACAO="sim",REFERENCIA.Desonerado,REFERENCIA.NaoDesonerado),2)</f>
        <v>0</v>
      </c>
      <c r="V106" s="125" t="s">
        <v>664</v>
      </c>
      <c r="W106" s="123">
        <f ca="1">IF($C106="S",ROUND(IF(TIPOORCAMENTO="Proposto",ORÇAMENTO.CustoUnitario*(1+$AH106),ORÇAMENTO.PrecoUnitarioLicitado),15-13*$AF$10),0)</f>
        <v>0</v>
      </c>
      <c r="X106" s="126" cm="1">
        <f t="array" aca="1" ref="X106" ca="1">IF($C106="S",IF(OR(Import.TipoArredondamento&lt;&gt;"TransfereGOV",ACOMPANHAMENTO="BM"),VTOTAL1,SUM(OFFSET(CÁLCULO!$AA$15,ROW($X106)-ROW($X$15),1):OFFSET(CÁLCULO!$AL$15,ROW($X106)-ROW($X$15),-1))),IF($C106=0,0,ROUND(SomaAgrup,15-13*$AF$11)))</f>
        <v>0</v>
      </c>
      <c r="Y106" s="127" t="s">
        <v>752</v>
      </c>
      <c r="Z106" s="720" t="str">
        <f t="shared" ca="1" si="29"/>
        <v/>
      </c>
      <c r="AA106" s="128">
        <f ca="1">IF($C106="S",IF($Z106="CP",$X106,IF($Z106="RA",(($X106)*QCI!$AA$3),0)),SomaAgrup)</f>
        <v>0</v>
      </c>
      <c r="AB106" s="129">
        <f t="shared" ca="1" si="30"/>
        <v>0</v>
      </c>
      <c r="AC106" s="566"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IF(AND(_xlfn.SINGLE(TIPOORCAMENTO)="Licitado",$AL106=0,$AN106&gt;0),"SEM PREÇO",
IF(AND($C106="S",$P106&lt;&gt;"",$Q106&lt;&gt;"",$U106&gt;0,$V106=0),"BDI",
IF(OR(AND(TIPOORCAMENTO="Proposto",LEFT($O$8,5)&lt;&gt;"(N/D:",$AG106&lt;&gt;"",ORÇAMENTO.CustoUnitario&gt;$AG106),AND(TIPOORCAMENTO="LICITADO",ORÇAMENTO.PrecoUnitarioLicitado&gt;$AN106)),"ACIMA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SEM CUSTO</v>
      </c>
      <c r="AD106" s="720" t="str">
        <f ca="1">IF(C106&lt;=CRONO.NivelExibicao,MAX($AD$15:OFFSET(AD106,-1,0))+IF($C106&lt;&gt;1,1,MAX(1,COUNTIF(QCI!$A$13:$A$15,OFFSET($E106,-1,0)))),"")</f>
        <v/>
      </c>
      <c r="AE106" s="718" t="str">
        <f ca="1">IF(AND($C106="S",ORÇAMENTO.CodBarra&lt;&gt;""),IF(ORÇAMENTO.Fonte="",ORÇAMENTO.CodBarra,CONCATENATE(ORÇAMENTO.Fonte," ",ORÇAMENTO.CodBarra)))</f>
        <v>COPASA 65000009</v>
      </c>
      <c r="AF106" s="719" t="str">
        <f ca="1">IF(ISERROR(INDIRECT(ORÇAMENTO.BancoRef)),"(abra o arquivo 'Referência "&amp;Excel_BuiltIn_Database&amp;".xlsm)",IF(OR($C106&lt;&gt;"S",ORÇAMENTO.CodBarra=""),"(Sem Código)",IF(ISERROR(MATCH($AE106,INDIRECT(ORÇAMENTO.BancoRef),0)),"(Código não identificado nas referências)",MATCH($AE106,INDIRECT(ORÇAMENTO.BancoRef),0))))</f>
        <v>(abra o arquivo 'Referência 09-2025.xlsm)</v>
      </c>
      <c r="AG106" s="429">
        <f ca="1">ROUND(IF(DESONERACAO="sim",REFERENCIA.Desonerado,REFERENCIA.NaoDesonerado),2)</f>
        <v>0</v>
      </c>
      <c r="AH106" s="430">
        <f t="shared" ca="1" si="31"/>
        <v>0.24740000000000001</v>
      </c>
      <c r="AJ106" s="699">
        <v>100</v>
      </c>
      <c r="AL106" s="440"/>
      <c r="AM106" s="337">
        <f t="shared" ca="1" si="0"/>
        <v>0</v>
      </c>
      <c r="AN106" s="471">
        <f t="shared" ca="1" si="32"/>
        <v>0</v>
      </c>
    </row>
    <row r="107" spans="1:40" s="720" customFormat="1" x14ac:dyDescent="0.2">
      <c r="A107" s="720" t="str">
        <f t="shared" si="18"/>
        <v>S</v>
      </c>
      <c r="B107" s="720">
        <f t="shared" ca="1" si="19"/>
        <v>2</v>
      </c>
      <c r="C107" s="720" t="str">
        <f t="shared" ca="1" si="20"/>
        <v>S</v>
      </c>
      <c r="D107" s="720">
        <f t="shared" ca="1" si="21"/>
        <v>0</v>
      </c>
      <c r="E107" s="720">
        <f ca="1">IF($C107=1,OFFSET(E107,-1,0)+MAX(1,COUNTIF(QCI!$A$13:$A$15,OFFSET(ORÇAMENTO!E107,-1,0))),OFFSET(E107,-1,0))</f>
        <v>1</v>
      </c>
      <c r="F107" s="720">
        <f t="shared" ca="1" si="22"/>
        <v>12</v>
      </c>
      <c r="G107" s="720">
        <f t="shared" ca="1" si="23"/>
        <v>0</v>
      </c>
      <c r="H107" s="720">
        <f t="shared" ca="1" si="24"/>
        <v>0</v>
      </c>
      <c r="I107" s="720">
        <f t="shared" ca="1" si="25"/>
        <v>0</v>
      </c>
      <c r="J107" s="720">
        <f t="shared" ca="1" si="34"/>
        <v>0</v>
      </c>
      <c r="K107" s="720">
        <f ca="1">IF(OR($C107="S",$C107=0),0,MATCH(OFFSET($D107,0,$C107)+IF($C107&lt;&gt;1,1,COUNTIF(QCI!$A$13:$A$15,ORÇAMENTO!E107)),OFFSET($D107,1,$C107,ROW($C$231)-ROW($C107)),0))</f>
        <v>0</v>
      </c>
      <c r="L107" s="115" t="str">
        <f t="shared" ca="1" si="26"/>
        <v/>
      </c>
      <c r="M107" s="116" t="s">
        <v>706</v>
      </c>
      <c r="N107" s="117" t="str">
        <f t="shared" ca="1" si="27"/>
        <v>Serviço</v>
      </c>
      <c r="O107" s="118" t="str">
        <f t="shared" ca="1" si="28"/>
        <v>-</v>
      </c>
      <c r="P107" s="119" t="s">
        <v>968</v>
      </c>
      <c r="Q107" s="120" t="s">
        <v>1160</v>
      </c>
      <c r="R107" s="121" t="str">
        <f ca="1">IF($C107="S",REFERENCIA.Descricao,"(digite a descrição aqui)")</f>
        <v>(abra o arquivo 'Referência 09-2025.xlsm)</v>
      </c>
      <c r="S107" s="122" t="str">
        <f ca="1">REFERENCIA.Unidade</f>
        <v>-</v>
      </c>
      <c r="T107" s="123">
        <f ca="1">OFFSET(CÁLCULO!H$15,ROW($T107)-ROW(T$15),0)</f>
        <v>300</v>
      </c>
      <c r="U107" s="124">
        <f ca="1">ROUND(IF(DESONERACAO="sim",REFERENCIA.Desonerado,REFERENCIA.NaoDesonerado),2)</f>
        <v>0</v>
      </c>
      <c r="V107" s="125" t="s">
        <v>664</v>
      </c>
      <c r="W107" s="123">
        <f ca="1">IF($C107="S",ROUND(IF(TIPOORCAMENTO="Proposto",ORÇAMENTO.CustoUnitario*(1+$AH107),ORÇAMENTO.PrecoUnitarioLicitado),15-13*$AF$10),0)</f>
        <v>0</v>
      </c>
      <c r="X107" s="126" cm="1">
        <f t="array" aca="1" ref="X107" ca="1">IF($C107="S",IF(OR(Import.TipoArredondamento&lt;&gt;"TransfereGOV",ACOMPANHAMENTO="BM"),VTOTAL1,SUM(OFFSET(CÁLCULO!$AA$15,ROW($X107)-ROW($X$15),1):OFFSET(CÁLCULO!$AL$15,ROW($X107)-ROW($X$15),-1))),IF($C107=0,0,ROUND(SomaAgrup,15-13*$AF$11)))</f>
        <v>0</v>
      </c>
      <c r="Y107" s="127" t="s">
        <v>752</v>
      </c>
      <c r="Z107" s="720" t="str">
        <f t="shared" ca="1" si="29"/>
        <v/>
      </c>
      <c r="AA107" s="128">
        <f ca="1">IF($C107="S",IF($Z107="CP",$X107,IF($Z107="RA",(($X107)*QCI!$AA$3),0)),SomaAgrup)</f>
        <v>0</v>
      </c>
      <c r="AB107" s="129">
        <f t="shared" ca="1" si="30"/>
        <v>0</v>
      </c>
      <c r="AC107" s="566"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IF(AND(_xlfn.SINGLE(TIPOORCAMENTO)="Licitado",$AL107=0,$AN107&gt;0),"SEM PREÇO",
IF(AND($C107="S",$P107&lt;&gt;"",$Q107&lt;&gt;"",$U107&gt;0,$V107=0),"BDI",
IF(OR(AND(TIPOORCAMENTO="Proposto",LEFT($O$8,5)&lt;&gt;"(N/D:",$AG107&lt;&gt;"",ORÇAMENTO.CustoUnitario&gt;$AG107),AND(TIPOORCAMENTO="LICITADO",ORÇAMENTO.PrecoUnitarioLicitado&gt;$AN107)),"ACIMA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SEM CUSTO</v>
      </c>
      <c r="AD107" s="720" t="str">
        <f ca="1">IF(C107&lt;=CRONO.NivelExibicao,MAX($AD$15:OFFSET(AD107,-1,0))+IF($C107&lt;&gt;1,1,MAX(1,COUNTIF(QCI!$A$13:$A$15,OFFSET($E107,-1,0)))),"")</f>
        <v/>
      </c>
      <c r="AE107" s="718" t="str">
        <f ca="1">IF(AND($C107="S",ORÇAMENTO.CodBarra&lt;&gt;""),IF(ORÇAMENTO.Fonte="",ORÇAMENTO.CodBarra,CONCATENATE(ORÇAMENTO.Fonte," ",ORÇAMENTO.CodBarra)))</f>
        <v>COPASA 65000012</v>
      </c>
      <c r="AF107" s="719" t="str">
        <f ca="1">IF(ISERROR(INDIRECT(ORÇAMENTO.BancoRef)),"(abra o arquivo 'Referência "&amp;Excel_BuiltIn_Database&amp;".xlsm)",IF(OR($C107&lt;&gt;"S",ORÇAMENTO.CodBarra=""),"(Sem Código)",IF(ISERROR(MATCH($AE107,INDIRECT(ORÇAMENTO.BancoRef),0)),"(Código não identificado nas referências)",MATCH($AE107,INDIRECT(ORÇAMENTO.BancoRef),0))))</f>
        <v>(abra o arquivo 'Referência 09-2025.xlsm)</v>
      </c>
      <c r="AG107" s="429">
        <f ca="1">ROUND(IF(DESONERACAO="sim",REFERENCIA.Desonerado,REFERENCIA.NaoDesonerado),2)</f>
        <v>0</v>
      </c>
      <c r="AH107" s="430">
        <f t="shared" ca="1" si="31"/>
        <v>0.24740000000000001</v>
      </c>
      <c r="AJ107" s="699">
        <v>300</v>
      </c>
      <c r="AL107" s="440"/>
      <c r="AM107" s="337">
        <f t="shared" ca="1" si="0"/>
        <v>0</v>
      </c>
      <c r="AN107" s="471">
        <f t="shared" ca="1" si="32"/>
        <v>0</v>
      </c>
    </row>
    <row r="108" spans="1:40" s="720" customFormat="1" ht="25.5" x14ac:dyDescent="0.2">
      <c r="A108" s="720" t="str">
        <f>CHOOSE(1+LOG(1+2*(ORÇAMENTO.Nivel="Meta")+4*(ORÇAMENTO.Nivel="Nível 2")+8*(ORÇAMENTO.Nivel="Nível 3")+16*(ORÇAMENTO.Nivel="Nível 4")+32*(ORÇAMENTO.Nivel="Serviço"),2),0,1,2,3,4,"S")</f>
        <v>S</v>
      </c>
      <c r="B108" s="720">
        <f ca="1">IF(OR(C108="s",C108=0),OFFSET(B108,-1,0),C108)</f>
        <v>2</v>
      </c>
      <c r="C108" s="720" t="str">
        <f ca="1">IF(OFFSET(C108,-1,0)="L",1,IF(OFFSET(C108,-1,0)=1,2,IF(OR(A108="s",A108=0),"S",IF(AND(OFFSET(C108,-1,0)=2,A108=4),3,IF(AND(OR(OFFSET(C108,-1,0)="s",OFFSET(C108,-1,0)=0),A108&lt;&gt;"s",A108&gt;OFFSET(B108,-1,0)),OFFSET(B108,-1,0),A108)))))</f>
        <v>S</v>
      </c>
      <c r="D108" s="720">
        <f ca="1">IF(OR(C108="S",C108=0),0,IF(ISERROR(K108),J108,SMALL(J108:K108,1)))</f>
        <v>0</v>
      </c>
      <c r="E108" s="720">
        <f ca="1">IF($C108=1,OFFSET(E108,-1,0)+MAX(1,COUNTIF(QCI!$A$13:$A$15,OFFSET(ORÇAMENTO!E108,-1,0))),OFFSET(E108,-1,0))</f>
        <v>1</v>
      </c>
      <c r="F108" s="720">
        <f ca="1">IF($C108=1,0,IF($C108=2,OFFSET(F108,-1,0)+1,OFFSET(F108,-1,0)))</f>
        <v>12</v>
      </c>
      <c r="G108" s="720">
        <f ca="1">IF(AND($C108&lt;=2,$C108&lt;&gt;0),0,IF($C108=3,OFFSET(G108,-1,0)+1,OFFSET(G108,-1,0)))</f>
        <v>0</v>
      </c>
      <c r="H108" s="720">
        <f ca="1">IF(AND($C108&lt;=3,$C108&lt;&gt;0),0,IF($C108=4,OFFSET(H108,-1,0)+1,OFFSET(H108,-1,0)))</f>
        <v>0</v>
      </c>
      <c r="I108" s="720">
        <f ca="1">IF(AND($C108&lt;=4,$C108&lt;&gt;0),0,IF(AND($C108="S",$X108&gt;0),OFFSET(I108,-1,0)+1,OFFSET(I108,-1,0)))</f>
        <v>0</v>
      </c>
      <c r="J108" s="720">
        <f t="shared" ref="J108:J139" ca="1" si="35">IF(OR($C108="S",$C108=0),0,MATCH(0,OFFSET($D108,1,$C108,ROW($C$231)-ROW($C108)),0))</f>
        <v>0</v>
      </c>
      <c r="K108" s="720">
        <f ca="1">IF(OR($C108="S",$C108=0),0,MATCH(OFFSET($D108,0,$C108)+IF($C108&lt;&gt;1,1,COUNTIF(QCI!$A$13:$A$15,ORÇAMENTO!E108)),OFFSET($D108,1,$C108,ROW($C$231)-ROW($C108)),0))</f>
        <v>0</v>
      </c>
      <c r="L108" s="115" t="str">
        <f ca="1">IF(OR($X108&gt;0,$C108=1,$C108=2,$C108=3,$C108=4),"F","")</f>
        <v/>
      </c>
      <c r="M108" s="116" t="s">
        <v>706</v>
      </c>
      <c r="N108" s="117" t="str">
        <f ca="1">CHOOSE(1+LOG(1+2*(C108=1)+4*(C108=2)+8*(C108=3)+16*(C108=4)+32*(C108="S"),2),"","Meta","Nível 2","Nível 3","Nível 4","Serviço")</f>
        <v>Serviço</v>
      </c>
      <c r="O108" s="118" t="str">
        <f ca="1">IF(OR($C108=0,$L108=""),"-",CONCATENATE(E108&amp;".",IF(AND($A$5&gt;=2,$C108&gt;=2),F108&amp;".",""),IF(AND($A$5&gt;=3,$C108&gt;=3),G108&amp;".",""),IF(AND($A$5&gt;=4,$C108&gt;=4),H108&amp;".",""),IF($C108="S",I108&amp;".","")))</f>
        <v>-</v>
      </c>
      <c r="P108" s="119" t="s">
        <v>968</v>
      </c>
      <c r="Q108" s="120" t="s">
        <v>1161</v>
      </c>
      <c r="R108" s="121" t="str">
        <f ca="1">IF($C108="S",REFERENCIA.Descricao,"(digite a descrição aqui)")</f>
        <v>(abra o arquivo 'Referência 09-2025.xlsm)</v>
      </c>
      <c r="S108" s="122" t="str">
        <f ca="1">REFERENCIA.Unidade</f>
        <v>-</v>
      </c>
      <c r="T108" s="123">
        <f ca="1">OFFSET(CÁLCULO!H$15,ROW($T108)-ROW(T$15),0)</f>
        <v>100</v>
      </c>
      <c r="U108" s="124">
        <f ca="1">ROUND(IF(DESONERACAO="sim",REFERENCIA.Desonerado,REFERENCIA.NaoDesonerado),2)</f>
        <v>0</v>
      </c>
      <c r="V108" s="125" t="s">
        <v>664</v>
      </c>
      <c r="W108" s="123">
        <f ca="1">IF($C108="S",ROUND(IF(TIPOORCAMENTO="Proposto",ORÇAMENTO.CustoUnitario*(1+$AH108),ORÇAMENTO.PrecoUnitarioLicitado),15-13*$AF$10),0)</f>
        <v>0</v>
      </c>
      <c r="X108" s="126" cm="1">
        <f t="array" aca="1" ref="X108" ca="1">IF($C108="S",IF(OR(Import.TipoArredondamento&lt;&gt;"TransfereGOV",ACOMPANHAMENTO="BM"),VTOTAL1,SUM(OFFSET(CÁLCULO!$AA$15,ROW($X108)-ROW($X$15),1):OFFSET(CÁLCULO!$AL$15,ROW($X108)-ROW($X$15),-1))),IF($C108=0,0,ROUND(SomaAgrup,15-13*$AF$11)))</f>
        <v>0</v>
      </c>
      <c r="Y108" s="127" t="s">
        <v>752</v>
      </c>
      <c r="Z108" s="720" t="str">
        <f ca="1">IF(AND($C108="S",$X108&gt;0),IF(ISBLANK($Y108),"RA",LEFT($Y108,2)),"")</f>
        <v/>
      </c>
      <c r="AA108" s="128">
        <f ca="1">IF($C108="S",IF($Z108="CP",$X108,IF($Z108="RA",(($X108)*QCI!$AA$3),0)),SomaAgrup)</f>
        <v>0</v>
      </c>
      <c r="AB108" s="129">
        <f ca="1">IF($C108="S",IF($Z108="OU",ROUND($X108,2),0),SomaAgrup)</f>
        <v>0</v>
      </c>
      <c r="AC108" s="566"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IF(AND(_xlfn.SINGLE(TIPOORCAMENTO)="Licitado",$AL108=0,$AN108&gt;0),"SEM PREÇO",
IF(AND($C108="S",$P108&lt;&gt;"",$Q108&lt;&gt;"",$U108&gt;0,$V108=0),"BDI",
IF(OR(AND(TIPOORCAMENTO="Proposto",LEFT($O$8,5)&lt;&gt;"(N/D:",$AG108&lt;&gt;"",ORÇAMENTO.CustoUnitario&gt;$AG108),AND(TIPOORCAMENTO="LICITADO",ORÇAMENTO.PrecoUnitarioLicitado&gt;$AN108)),"ACIMA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SEM CUSTO</v>
      </c>
      <c r="AD108" s="720" t="str">
        <f ca="1">IF(C108&lt;=CRONO.NivelExibicao,MAX($AD$15:OFFSET(AD108,-1,0))+IF($C108&lt;&gt;1,1,MAX(1,COUNTIF(QCI!$A$13:$A$15,OFFSET($E108,-1,0)))),"")</f>
        <v/>
      </c>
      <c r="AE108" s="718" t="str">
        <f ca="1">IF(AND($C108="S",ORÇAMENTO.CodBarra&lt;&gt;""),IF(ORÇAMENTO.Fonte="",ORÇAMENTO.CodBarra,CONCATENATE(ORÇAMENTO.Fonte," ",ORÇAMENTO.CodBarra)))</f>
        <v>COPASA 65000008</v>
      </c>
      <c r="AF108" s="719" t="str">
        <f ca="1">IF(ISERROR(INDIRECT(ORÇAMENTO.BancoRef)),"(abra o arquivo 'Referência "&amp;Excel_BuiltIn_Database&amp;".xlsm)",IF(OR($C108&lt;&gt;"S",ORÇAMENTO.CodBarra=""),"(Sem Código)",IF(ISERROR(MATCH($AE108,INDIRECT(ORÇAMENTO.BancoRef),0)),"(Código não identificado nas referências)",MATCH($AE108,INDIRECT(ORÇAMENTO.BancoRef),0))))</f>
        <v>(abra o arquivo 'Referência 09-2025.xlsm)</v>
      </c>
      <c r="AG108" s="429">
        <f ca="1">ROUND(IF(DESONERACAO="sim",REFERENCIA.Desonerado,REFERENCIA.NaoDesonerado),2)</f>
        <v>0</v>
      </c>
      <c r="AH108" s="430">
        <f ca="1">ROUND(IF(ISNUMBER(ORÇAMENTO.OpcaoBDI),ORÇAMENTO.OpcaoBDI,IF(LEFT(ORÇAMENTO.OpcaoBDI,3)="BDI",HLOOKUP(ORÇAMENTO.OpcaoBDI,$F$4:$H$5,2,FALSE),0)),15-11*$AF$9)</f>
        <v>0.24740000000000001</v>
      </c>
      <c r="AJ108" s="699">
        <v>100</v>
      </c>
      <c r="AL108" s="440"/>
      <c r="AM108" s="337">
        <f t="shared" ca="1" si="0"/>
        <v>0</v>
      </c>
      <c r="AN108" s="471">
        <f ca="1">ROUND(ORÇAMENTO.CustoUnitario*(1+$AH108),2)</f>
        <v>0</v>
      </c>
    </row>
    <row r="109" spans="1:40" s="675" customFormat="1" x14ac:dyDescent="0.2">
      <c r="A109" s="675">
        <f t="shared" si="18"/>
        <v>2</v>
      </c>
      <c r="B109" s="675">
        <f t="shared" ca="1" si="19"/>
        <v>2</v>
      </c>
      <c r="C109" s="675">
        <f t="shared" ca="1" si="20"/>
        <v>2</v>
      </c>
      <c r="D109" s="675">
        <f t="shared" ca="1" si="21"/>
        <v>1</v>
      </c>
      <c r="E109" s="675">
        <f ca="1">IF($C109=1,OFFSET(E109,-1,0)+MAX(1,COUNTIF(QCI!$A$13:$A$15,OFFSET(ORÇAMENTO!E109,-1,0))),OFFSET(E109,-1,0))</f>
        <v>1</v>
      </c>
      <c r="F109" s="675">
        <f t="shared" ca="1" si="22"/>
        <v>13</v>
      </c>
      <c r="G109" s="675">
        <f t="shared" ca="1" si="23"/>
        <v>0</v>
      </c>
      <c r="H109" s="675">
        <f t="shared" ca="1" si="24"/>
        <v>0</v>
      </c>
      <c r="I109" s="675">
        <f t="shared" ca="1" si="25"/>
        <v>0</v>
      </c>
      <c r="J109" s="675">
        <f t="shared" ca="1" si="35"/>
        <v>122</v>
      </c>
      <c r="K109" s="675">
        <f ca="1">IF(OR($C109="S",$C109=0),0,MATCH(OFFSET($D109,0,$C109)+IF($C109&lt;&gt;1,1,COUNTIF(QCI!$A$13:$A$15,ORÇAMENTO!E109)),OFFSET($D109,1,$C109,ROW($C$231)-ROW($C109)),0))</f>
        <v>1</v>
      </c>
      <c r="L109" s="115" t="str">
        <f t="shared" ca="1" si="26"/>
        <v>F</v>
      </c>
      <c r="M109" s="116" t="s">
        <v>703</v>
      </c>
      <c r="N109" s="117" t="str">
        <f t="shared" ca="1" si="27"/>
        <v>Nível 2</v>
      </c>
      <c r="O109" s="118" t="str">
        <f t="shared" ca="1" si="28"/>
        <v>1.13.</v>
      </c>
      <c r="P109" s="119" t="s">
        <v>751</v>
      </c>
      <c r="Q109" s="120"/>
      <c r="R109" s="121" t="s">
        <v>1027</v>
      </c>
      <c r="S109" s="122" t="str">
        <f ca="1">REFERENCIA.Unidade</f>
        <v>-</v>
      </c>
      <c r="T109" s="123">
        <f ca="1">OFFSET(CÁLCULO!H$15,ROW($T109)-ROW(T$15),0)</f>
        <v>0</v>
      </c>
      <c r="U109" s="124"/>
      <c r="V109" s="125" t="s">
        <v>664</v>
      </c>
      <c r="W109" s="123">
        <f ca="1">IF($C109="S",ROUND(IF(TIPOORCAMENTO="Proposto",ORÇAMENTO.CustoUnitario*(1+$AH109),ORÇAMENTO.PrecoUnitarioLicitado),15-13*$AF$10),0)</f>
        <v>0</v>
      </c>
      <c r="X109" s="126" cm="1">
        <f t="array" aca="1" ref="X109" ca="1">IF($C109="S",IF(OR(Import.TipoArredondamento&lt;&gt;"TransfereGOV",ACOMPANHAMENTO="BM"),VTOTAL1,SUM(OFFSET(CÁLCULO!$AA$15,ROW($X109)-ROW($X$15),1):OFFSET(CÁLCULO!$AL$15,ROW($X109)-ROW($X$15),-1))),IF($C109=0,0,ROUND(SomaAgrup,15-13*$AF$11)))</f>
        <v>0</v>
      </c>
      <c r="Y109" s="127" t="s">
        <v>752</v>
      </c>
      <c r="Z109" s="675" t="str">
        <f t="shared" ca="1" si="29"/>
        <v/>
      </c>
      <c r="AA109" s="128">
        <f ca="1">IF($C109="S",IF($Z109="CP",$X109,IF($Z109="RA",(($X109)*QCI!$AA$3),0)),SomaAgrup)</f>
        <v>0</v>
      </c>
      <c r="AB109" s="129">
        <f t="shared" ca="1" si="30"/>
        <v>0</v>
      </c>
      <c r="AC109" s="566" t="e"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IF(AND(_xlfn.SINGLE(TIPOORCAMENTO)="Licitado",$AL109=0,$AN109&gt;0),"SEM PREÇO",
IF(AND($C109="S",$P109&lt;&gt;"",$Q109&lt;&gt;"",$U109&gt;0,$V109=0),"BDI",
IF(OR(AND(TIPOORCAMENTO="Proposto",LEFT($O$8,5)&lt;&gt;"(N/D:",$AG109&lt;&gt;"",ORÇAMENTO.CustoUnitario&gt;$AG109),AND(TIPOORCAMENTO="LICITADO",ORÇAMENTO.PrecoUnitarioLicitado&gt;$AN109)),"ACIMA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#NAME?</v>
      </c>
      <c r="AD109" s="675">
        <f ca="1">IF(C109&lt;=CRONO.NivelExibicao,MAX($AD$15:OFFSET(AD109,-1,0))+IF($C109&lt;&gt;1,1,MAX(1,COUNTIF(QCI!$A$13:$A$15,OFFSET($E109,-1,0)))),"")</f>
        <v>14</v>
      </c>
      <c r="AE109" s="671" t="b">
        <f ca="1">IF(AND($C109="S",ORÇAMENTO.CodBarra&lt;&gt;""),IF(ORÇAMENTO.Fonte="",ORÇAMENTO.CodBarra,CONCATENATE(ORÇAMENTO.Fonte," ",ORÇAMENTO.CodBarra)))</f>
        <v>0</v>
      </c>
      <c r="AF109" s="674" t="str">
        <f ca="1">IF(ISERROR(INDIRECT(ORÇAMENTO.BancoRef)),"(abra o arquivo 'Referência "&amp;Excel_BuiltIn_Database&amp;".xlsm)",IF(OR($C109&lt;&gt;"S",ORÇAMENTO.CodBarra=""),"(Sem Código)",IF(ISERROR(MATCH($AE109,INDIRECT(ORÇAMENTO.BancoRef),0)),"(Código não identificado nas referências)",MATCH($AE109,INDIRECT(ORÇAMENTO.BancoRef),0))))</f>
        <v>(abra o arquivo 'Referência 09-2025.xlsm)</v>
      </c>
      <c r="AG109" s="429">
        <f ca="1">ROUND(IF(DESONERACAO="sim",REFERENCIA.Desonerado,REFERENCIA.NaoDesonerado),2)</f>
        <v>0</v>
      </c>
      <c r="AH109" s="430">
        <f t="shared" ca="1" si="31"/>
        <v>0.24740000000000001</v>
      </c>
      <c r="AJ109" s="432"/>
      <c r="AL109" s="440"/>
      <c r="AM109" s="337">
        <f t="shared" ca="1" si="0"/>
        <v>0</v>
      </c>
      <c r="AN109" s="471">
        <f t="shared" ca="1" si="32"/>
        <v>0</v>
      </c>
    </row>
    <row r="110" spans="1:40" s="675" customFormat="1" x14ac:dyDescent="0.2">
      <c r="A110" s="675">
        <f t="shared" si="18"/>
        <v>2</v>
      </c>
      <c r="B110" s="675">
        <f t="shared" ca="1" si="19"/>
        <v>2</v>
      </c>
      <c r="C110" s="675">
        <f t="shared" ca="1" si="20"/>
        <v>2</v>
      </c>
      <c r="D110" s="675">
        <f t="shared" ca="1" si="21"/>
        <v>12</v>
      </c>
      <c r="E110" s="675">
        <f ca="1">IF($C110=1,OFFSET(E110,-1,0)+MAX(1,COUNTIF(QCI!$A$13:$A$15,OFFSET(ORÇAMENTO!E110,-1,0))),OFFSET(E110,-1,0))</f>
        <v>1</v>
      </c>
      <c r="F110" s="675">
        <f t="shared" ca="1" si="22"/>
        <v>14</v>
      </c>
      <c r="G110" s="675">
        <f t="shared" ca="1" si="23"/>
        <v>0</v>
      </c>
      <c r="H110" s="675">
        <f t="shared" ca="1" si="24"/>
        <v>0</v>
      </c>
      <c r="I110" s="675">
        <f t="shared" ca="1" si="25"/>
        <v>0</v>
      </c>
      <c r="J110" s="675">
        <f t="shared" ca="1" si="35"/>
        <v>121</v>
      </c>
      <c r="K110" s="675">
        <f ca="1">IF(OR($C110="S",$C110=0),0,MATCH(OFFSET($D110,0,$C110)+IF($C110&lt;&gt;1,1,COUNTIF(QCI!$A$13:$A$15,ORÇAMENTO!E110)),OFFSET($D110,1,$C110,ROW($C$231)-ROW($C110)),0))</f>
        <v>12</v>
      </c>
      <c r="L110" s="115" t="str">
        <f t="shared" ca="1" si="26"/>
        <v>F</v>
      </c>
      <c r="M110" s="116" t="s">
        <v>703</v>
      </c>
      <c r="N110" s="117" t="str">
        <f t="shared" ca="1" si="27"/>
        <v>Nível 2</v>
      </c>
      <c r="O110" s="118" t="str">
        <f t="shared" ca="1" si="28"/>
        <v>1.14.</v>
      </c>
      <c r="P110" s="119" t="s">
        <v>751</v>
      </c>
      <c r="Q110" s="120"/>
      <c r="R110" s="121" t="s">
        <v>1054</v>
      </c>
      <c r="S110" s="122" t="str">
        <f ca="1">REFERENCIA.Unidade</f>
        <v>-</v>
      </c>
      <c r="T110" s="123">
        <f ca="1">OFFSET(CÁLCULO!H$15,ROW($T110)-ROW(T$15),0)</f>
        <v>0</v>
      </c>
      <c r="U110" s="124"/>
      <c r="V110" s="125" t="s">
        <v>664</v>
      </c>
      <c r="W110" s="123">
        <f ca="1">IF($C110="S",ROUND(IF(TIPOORCAMENTO="Proposto",ORÇAMENTO.CustoUnitario*(1+$AH110),ORÇAMENTO.PrecoUnitarioLicitado),15-13*$AF$10),0)</f>
        <v>0</v>
      </c>
      <c r="X110" s="126" cm="1">
        <f t="array" aca="1" ref="X110" ca="1">IF($C110="S",IF(OR(Import.TipoArredondamento&lt;&gt;"TransfereGOV",ACOMPANHAMENTO="BM"),VTOTAL1,SUM(OFFSET(CÁLCULO!$AA$15,ROW($X110)-ROW($X$15),1):OFFSET(CÁLCULO!$AL$15,ROW($X110)-ROW($X$15),-1))),IF($C110=0,0,ROUND(SomaAgrup,15-13*$AF$11)))</f>
        <v>0</v>
      </c>
      <c r="Y110" s="127" t="s">
        <v>752</v>
      </c>
      <c r="Z110" s="675" t="str">
        <f t="shared" ca="1" si="29"/>
        <v/>
      </c>
      <c r="AA110" s="128">
        <f ca="1">IF($C110="S",IF($Z110="CP",$X110,IF($Z110="RA",(($X110)*QCI!$AA$3),0)),SomaAgrup)</f>
        <v>0</v>
      </c>
      <c r="AB110" s="129">
        <f t="shared" ca="1" si="30"/>
        <v>0</v>
      </c>
      <c r="AC110" s="566" t="e"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IF(AND(_xlfn.SINGLE(TIPOORCAMENTO)="Licitado",$AL110=0,$AN110&gt;0),"SEM PREÇO",
IF(AND($C110="S",$P110&lt;&gt;"",$Q110&lt;&gt;"",$U110&gt;0,$V110=0),"BDI",
IF(OR(AND(TIPOORCAMENTO="Proposto",LEFT($O$8,5)&lt;&gt;"(N/D:",$AG110&lt;&gt;"",ORÇAMENTO.CustoUnitario&gt;$AG110),AND(TIPOORCAMENTO="LICITADO",ORÇAMENTO.PrecoUnitarioLicitado&gt;$AN110)),"ACIMA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#NAME?</v>
      </c>
      <c r="AD110" s="675">
        <f ca="1">IF(C110&lt;=CRONO.NivelExibicao,MAX($AD$15:OFFSET(AD110,-1,0))+IF($C110&lt;&gt;1,1,MAX(1,COUNTIF(QCI!$A$13:$A$15,OFFSET($E110,-1,0)))),"")</f>
        <v>15</v>
      </c>
      <c r="AE110" s="671" t="b">
        <f ca="1">IF(AND($C110="S",ORÇAMENTO.CodBarra&lt;&gt;""),IF(ORÇAMENTO.Fonte="",ORÇAMENTO.CodBarra,CONCATENATE(ORÇAMENTO.Fonte," ",ORÇAMENTO.CodBarra)))</f>
        <v>0</v>
      </c>
      <c r="AF110" s="674" t="str">
        <f ca="1">IF(ISERROR(INDIRECT(ORÇAMENTO.BancoRef)),"(abra o arquivo 'Referência "&amp;Excel_BuiltIn_Database&amp;".xlsm)",IF(OR($C110&lt;&gt;"S",ORÇAMENTO.CodBarra=""),"(Sem Código)",IF(ISERROR(MATCH($AE110,INDIRECT(ORÇAMENTO.BancoRef),0)),"(Código não identificado nas referências)",MATCH($AE110,INDIRECT(ORÇAMENTO.BancoRef),0))))</f>
        <v>(abra o arquivo 'Referência 09-2025.xlsm)</v>
      </c>
      <c r="AG110" s="429">
        <f ca="1">ROUND(IF(DESONERACAO="sim",REFERENCIA.Desonerado,REFERENCIA.NaoDesonerado),2)</f>
        <v>0</v>
      </c>
      <c r="AH110" s="430">
        <f t="shared" ca="1" si="31"/>
        <v>0.24740000000000001</v>
      </c>
      <c r="AJ110" s="432"/>
      <c r="AL110" s="440"/>
      <c r="AM110" s="337">
        <f t="shared" ca="1" si="0"/>
        <v>0</v>
      </c>
      <c r="AN110" s="471">
        <f t="shared" ca="1" si="32"/>
        <v>0</v>
      </c>
    </row>
    <row r="111" spans="1:40" s="720" customFormat="1" ht="38.25" x14ac:dyDescent="0.2">
      <c r="A111" s="720" t="str">
        <f t="shared" si="18"/>
        <v>S</v>
      </c>
      <c r="B111" s="720">
        <f t="shared" ca="1" si="19"/>
        <v>2</v>
      </c>
      <c r="C111" s="720" t="str">
        <f t="shared" ca="1" si="20"/>
        <v>S</v>
      </c>
      <c r="D111" s="720">
        <f t="shared" ca="1" si="21"/>
        <v>0</v>
      </c>
      <c r="E111" s="720">
        <f ca="1">IF($C111=1,OFFSET(E111,-1,0)+MAX(1,COUNTIF(QCI!$A$13:$A$15,OFFSET(ORÇAMENTO!E111,-1,0))),OFFSET(E111,-1,0))</f>
        <v>1</v>
      </c>
      <c r="F111" s="720">
        <f t="shared" ca="1" si="22"/>
        <v>14</v>
      </c>
      <c r="G111" s="720">
        <f t="shared" ca="1" si="23"/>
        <v>0</v>
      </c>
      <c r="H111" s="720">
        <f t="shared" ca="1" si="24"/>
        <v>0</v>
      </c>
      <c r="I111" s="720">
        <f t="shared" ca="1" si="25"/>
        <v>0</v>
      </c>
      <c r="J111" s="720">
        <f t="shared" ca="1" si="35"/>
        <v>0</v>
      </c>
      <c r="K111" s="720">
        <f ca="1">IF(OR($C111="S",$C111=0),0,MATCH(OFFSET($D111,0,$C111)+IF($C111&lt;&gt;1,1,COUNTIF(QCI!$A$13:$A$15,ORÇAMENTO!E111)),OFFSET($D111,1,$C111,ROW($C$231)-ROW($C111)),0))</f>
        <v>0</v>
      </c>
      <c r="L111" s="115" t="str">
        <f t="shared" ca="1" si="26"/>
        <v/>
      </c>
      <c r="M111" s="116" t="s">
        <v>706</v>
      </c>
      <c r="N111" s="117" t="str">
        <f t="shared" ca="1" si="27"/>
        <v>Serviço</v>
      </c>
      <c r="O111" s="118" t="str">
        <f t="shared" ca="1" si="28"/>
        <v>-</v>
      </c>
      <c r="P111" s="119" t="s">
        <v>1066</v>
      </c>
      <c r="Q111" s="120" t="s">
        <v>1142</v>
      </c>
      <c r="R111" s="121" t="str">
        <f ca="1">IF($C111="S",REFERENCIA.Descricao,"(digite a descrição aqui)")</f>
        <v>(abra o arquivo 'Referência 09-2025.xlsm)</v>
      </c>
      <c r="S111" s="122" t="str">
        <f ca="1">REFERENCIA.Unidade</f>
        <v>-</v>
      </c>
      <c r="T111" s="123">
        <f ca="1">OFFSET(CÁLCULO!H$15,ROW($T111)-ROW(T$15),0)</f>
        <v>2</v>
      </c>
      <c r="U111" s="124">
        <f ca="1">AG111</f>
        <v>0</v>
      </c>
      <c r="V111" s="125" t="s">
        <v>664</v>
      </c>
      <c r="W111" s="123">
        <f ca="1">IF($C111="S",ROUND(IF(TIPOORCAMENTO="Proposto",ORÇAMENTO.CustoUnitario*(1+$AH111),ORÇAMENTO.PrecoUnitarioLicitado),15-13*$AF$10),0)</f>
        <v>0</v>
      </c>
      <c r="X111" s="126" cm="1">
        <f t="array" aca="1" ref="X111" ca="1">IF($C111="S",IF(OR(Import.TipoArredondamento&lt;&gt;"TransfereGOV",ACOMPANHAMENTO="BM"),VTOTAL1,SUM(OFFSET(CÁLCULO!$AA$15,ROW($X111)-ROW($X$15),1):OFFSET(CÁLCULO!$AL$15,ROW($X111)-ROW($X$15),-1))),IF($C111=0,0,ROUND(SomaAgrup,15-13*$AF$11)))</f>
        <v>0</v>
      </c>
      <c r="Y111" s="127" t="s">
        <v>752</v>
      </c>
      <c r="Z111" s="720" t="str">
        <f t="shared" ca="1" si="29"/>
        <v/>
      </c>
      <c r="AA111" s="128">
        <f ca="1">IF($C111="S",IF($Z111="CP",$X111,IF($Z111="RA",(($X111)*QCI!$AA$3),0)),SomaAgrup)</f>
        <v>0</v>
      </c>
      <c r="AB111" s="129">
        <f t="shared" ca="1" si="30"/>
        <v>0</v>
      </c>
      <c r="AC111" s="566"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IF(AND(_xlfn.SINGLE(TIPOORCAMENTO)="Licitado",$AL111=0,$AN111&gt;0),"SEM PREÇO",
IF(AND($C111="S",$P111&lt;&gt;"",$Q111&lt;&gt;"",$U111&gt;0,$V111=0),"BDI",
IF(OR(AND(TIPOORCAMENTO="Proposto",LEFT($O$8,5)&lt;&gt;"(N/D:",$AG111&lt;&gt;"",ORÇAMENTO.CustoUnitario&gt;$AG111),AND(TIPOORCAMENTO="LICITADO",ORÇAMENTO.PrecoUnitarioLicitado&gt;$AN111)),"ACIMA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SEM CUSTO</v>
      </c>
      <c r="AD111" s="720" t="str">
        <f ca="1">IF(C111&lt;=CRONO.NivelExibicao,MAX($AD$15:OFFSET(AD111,-1,0))+IF($C111&lt;&gt;1,1,MAX(1,COUNTIF(QCI!$A$13:$A$15,OFFSET($E111,-1,0)))),"")</f>
        <v/>
      </c>
      <c r="AE111" s="718" t="str">
        <f ca="1">IF(AND($C111="S",ORÇAMENTO.CodBarra&lt;&gt;""),IF(ORÇAMENTO.Fonte="",ORÇAMENTO.CodBarra,CONCATENATE(ORÇAMENTO.Fonte," ",ORÇAMENTO.CodBarra)))</f>
        <v>SEINFRA CO-28390</v>
      </c>
      <c r="AF111" s="719" t="str">
        <f ca="1">IF(ISERROR(INDIRECT(ORÇAMENTO.BancoRef)),"(abra o arquivo 'Referência "&amp;Excel_BuiltIn_Database&amp;".xlsm)",IF(OR($C111&lt;&gt;"S",ORÇAMENTO.CodBarra=""),"(Sem Código)",IF(ISERROR(MATCH($AE111,INDIRECT(ORÇAMENTO.BancoRef),0)),"(Código não identificado nas referências)",MATCH($AE111,INDIRECT(ORÇAMENTO.BancoRef),0))))</f>
        <v>(abra o arquivo 'Referência 09-2025.xlsm)</v>
      </c>
      <c r="AG111" s="429">
        <f ca="1">ROUND(IF(DESONERACAO="sim",REFERENCIA.Desonerado,REFERENCIA.NaoDesonerado),2)</f>
        <v>0</v>
      </c>
      <c r="AH111" s="430">
        <f t="shared" ca="1" si="31"/>
        <v>0.24740000000000001</v>
      </c>
      <c r="AJ111" s="699">
        <v>2</v>
      </c>
      <c r="AL111" s="440"/>
      <c r="AM111" s="337">
        <f t="shared" ca="1" si="0"/>
        <v>0</v>
      </c>
      <c r="AN111" s="471">
        <f t="shared" ca="1" si="32"/>
        <v>0</v>
      </c>
    </row>
    <row r="112" spans="1:40" s="720" customFormat="1" ht="38.25" x14ac:dyDescent="0.2">
      <c r="A112" s="720" t="str">
        <f t="shared" si="18"/>
        <v>S</v>
      </c>
      <c r="B112" s="720">
        <f t="shared" ca="1" si="19"/>
        <v>2</v>
      </c>
      <c r="C112" s="720" t="str">
        <f t="shared" ca="1" si="20"/>
        <v>S</v>
      </c>
      <c r="D112" s="720">
        <f t="shared" ca="1" si="21"/>
        <v>0</v>
      </c>
      <c r="E112" s="720">
        <f ca="1">IF($C112=1,OFFSET(E112,-1,0)+MAX(1,COUNTIF(QCI!$A$13:$A$15,OFFSET(ORÇAMENTO!E112,-1,0))),OFFSET(E112,-1,0))</f>
        <v>1</v>
      </c>
      <c r="F112" s="720">
        <f t="shared" ca="1" si="22"/>
        <v>14</v>
      </c>
      <c r="G112" s="720">
        <f t="shared" ca="1" si="23"/>
        <v>0</v>
      </c>
      <c r="H112" s="720">
        <f t="shared" ca="1" si="24"/>
        <v>0</v>
      </c>
      <c r="I112" s="720">
        <f t="shared" ca="1" si="25"/>
        <v>0</v>
      </c>
      <c r="J112" s="720">
        <f t="shared" ca="1" si="35"/>
        <v>0</v>
      </c>
      <c r="K112" s="720">
        <f ca="1">IF(OR($C112="S",$C112=0),0,MATCH(OFFSET($D112,0,$C112)+IF($C112&lt;&gt;1,1,COUNTIF(QCI!$A$13:$A$15,ORÇAMENTO!E112)),OFFSET($D112,1,$C112,ROW($C$231)-ROW($C112)),0))</f>
        <v>0</v>
      </c>
      <c r="L112" s="115" t="str">
        <f t="shared" ca="1" si="26"/>
        <v/>
      </c>
      <c r="M112" s="116" t="s">
        <v>706</v>
      </c>
      <c r="N112" s="117" t="str">
        <f t="shared" ca="1" si="27"/>
        <v>Serviço</v>
      </c>
      <c r="O112" s="118" t="str">
        <f t="shared" ca="1" si="28"/>
        <v>-</v>
      </c>
      <c r="P112" s="119" t="s">
        <v>1066</v>
      </c>
      <c r="Q112" s="120" t="s">
        <v>1143</v>
      </c>
      <c r="R112" s="121" t="str">
        <f ca="1">IF($C112="S",REFERENCIA.Descricao,"(digite a descrição aqui)")</f>
        <v>(abra o arquivo 'Referência 09-2025.xlsm)</v>
      </c>
      <c r="S112" s="122" t="str">
        <f ca="1">REFERENCIA.Unidade</f>
        <v>-</v>
      </c>
      <c r="T112" s="123">
        <f ca="1">OFFSET(CÁLCULO!H$15,ROW($T112)-ROW(T$15),0)</f>
        <v>70</v>
      </c>
      <c r="U112" s="124">
        <f ca="1">AG112</f>
        <v>0</v>
      </c>
      <c r="V112" s="125" t="s">
        <v>664</v>
      </c>
      <c r="W112" s="123">
        <f ca="1">IF($C112="S",ROUND(IF(TIPOORCAMENTO="Proposto",ORÇAMENTO.CustoUnitario*(1+$AH112),ORÇAMENTO.PrecoUnitarioLicitado),15-13*$AF$10),0)</f>
        <v>0</v>
      </c>
      <c r="X112" s="126" cm="1">
        <f t="array" aca="1" ref="X112" ca="1">IF($C112="S",IF(OR(Import.TipoArredondamento&lt;&gt;"TransfereGOV",ACOMPANHAMENTO="BM"),VTOTAL1,SUM(OFFSET(CÁLCULO!$AA$15,ROW($X112)-ROW($X$15),1):OFFSET(CÁLCULO!$AL$15,ROW($X112)-ROW($X$15),-1))),IF($C112=0,0,ROUND(SomaAgrup,15-13*$AF$11)))</f>
        <v>0</v>
      </c>
      <c r="Y112" s="127" t="s">
        <v>752</v>
      </c>
      <c r="Z112" s="720" t="str">
        <f t="shared" ca="1" si="29"/>
        <v/>
      </c>
      <c r="AA112" s="128">
        <f ca="1">IF($C112="S",IF($Z112="CP",$X112,IF($Z112="RA",(($X112)*QCI!$AA$3),0)),SomaAgrup)</f>
        <v>0</v>
      </c>
      <c r="AB112" s="129">
        <f t="shared" ca="1" si="30"/>
        <v>0</v>
      </c>
      <c r="AC112" s="566"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IF(AND(_xlfn.SINGLE(TIPOORCAMENTO)="Licitado",$AL112=0,$AN112&gt;0),"SEM PREÇO",
IF(AND($C112="S",$P112&lt;&gt;"",$Q112&lt;&gt;"",$U112&gt;0,$V112=0),"BDI",
IF(OR(AND(TIPOORCAMENTO="Proposto",LEFT($O$8,5)&lt;&gt;"(N/D:",$AG112&lt;&gt;"",ORÇAMENTO.CustoUnitario&gt;$AG112),AND(TIPOORCAMENTO="LICITADO",ORÇAMENTO.PrecoUnitarioLicitado&gt;$AN112)),"ACIMA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SEM CUSTO</v>
      </c>
      <c r="AD112" s="720" t="str">
        <f ca="1">IF(C112&lt;=CRONO.NivelExibicao,MAX($AD$15:OFFSET(AD112,-1,0))+IF($C112&lt;&gt;1,1,MAX(1,COUNTIF(QCI!$A$13:$A$15,OFFSET($E112,-1,0)))),"")</f>
        <v/>
      </c>
      <c r="AE112" s="718" t="str">
        <f ca="1">IF(AND($C112="S",ORÇAMENTO.CodBarra&lt;&gt;""),IF(ORÇAMENTO.Fonte="",ORÇAMENTO.CodBarra,CONCATENATE(ORÇAMENTO.Fonte," ",ORÇAMENTO.CodBarra)))</f>
        <v>SEINFRA CO-28388</v>
      </c>
      <c r="AF112" s="719" t="str">
        <f ca="1">IF(ISERROR(INDIRECT(ORÇAMENTO.BancoRef)),"(abra o arquivo 'Referência "&amp;Excel_BuiltIn_Database&amp;".xlsm)",IF(OR($C112&lt;&gt;"S",ORÇAMENTO.CodBarra=""),"(Sem Código)",IF(ISERROR(MATCH($AE112,INDIRECT(ORÇAMENTO.BancoRef),0)),"(Código não identificado nas referências)",MATCH($AE112,INDIRECT(ORÇAMENTO.BancoRef),0))))</f>
        <v>(abra o arquivo 'Referência 09-2025.xlsm)</v>
      </c>
      <c r="AG112" s="429">
        <f ca="1">ROUND(IF(DESONERACAO="sim",REFERENCIA.Desonerado,REFERENCIA.NaoDesonerado),2)</f>
        <v>0</v>
      </c>
      <c r="AH112" s="430">
        <f t="shared" ca="1" si="31"/>
        <v>0.24740000000000001</v>
      </c>
      <c r="AJ112" s="699">
        <v>70</v>
      </c>
      <c r="AL112" s="440"/>
      <c r="AM112" s="337">
        <f t="shared" ca="1" si="0"/>
        <v>0</v>
      </c>
      <c r="AN112" s="471">
        <f t="shared" ca="1" si="32"/>
        <v>0</v>
      </c>
    </row>
    <row r="113" spans="1:40" s="675" customFormat="1" ht="13.9" customHeight="1" x14ac:dyDescent="0.2">
      <c r="A113" s="675" t="str">
        <f t="shared" si="18"/>
        <v>S</v>
      </c>
      <c r="B113" s="675">
        <f t="shared" ca="1" si="19"/>
        <v>2</v>
      </c>
      <c r="C113" s="675" t="str">
        <f t="shared" ca="1" si="20"/>
        <v>S</v>
      </c>
      <c r="D113" s="675">
        <f t="shared" ca="1" si="21"/>
        <v>0</v>
      </c>
      <c r="E113" s="675">
        <f ca="1">IF($C113=1,OFFSET(E113,-1,0)+MAX(1,COUNTIF(QCI!$A$13:$A$15,OFFSET(ORÇAMENTO!E113,-1,0))),OFFSET(E113,-1,0))</f>
        <v>1</v>
      </c>
      <c r="F113" s="675">
        <f t="shared" ca="1" si="22"/>
        <v>14</v>
      </c>
      <c r="G113" s="675">
        <f t="shared" ca="1" si="23"/>
        <v>0</v>
      </c>
      <c r="H113" s="675">
        <f t="shared" ca="1" si="24"/>
        <v>0</v>
      </c>
      <c r="I113" s="675">
        <f t="shared" ca="1" si="25"/>
        <v>0</v>
      </c>
      <c r="J113" s="675">
        <f t="shared" ca="1" si="35"/>
        <v>0</v>
      </c>
      <c r="K113" s="675">
        <f ca="1">IF(OR($C113="S",$C113=0),0,MATCH(OFFSET($D113,0,$C113)+IF($C113&lt;&gt;1,1,COUNTIF(QCI!$A$13:$A$15,ORÇAMENTO!E113)),OFFSET($D113,1,$C113,ROW($C$231)-ROW($C113)),0))</f>
        <v>0</v>
      </c>
      <c r="L113" s="115" t="str">
        <f t="shared" ca="1" si="26"/>
        <v/>
      </c>
      <c r="M113" s="116" t="s">
        <v>706</v>
      </c>
      <c r="N113" s="117" t="str">
        <f t="shared" ca="1" si="27"/>
        <v>Serviço</v>
      </c>
      <c r="O113" s="118" t="str">
        <f t="shared" ca="1" si="28"/>
        <v>-</v>
      </c>
      <c r="P113" s="119" t="s">
        <v>968</v>
      </c>
      <c r="Q113" s="686" t="s">
        <v>974</v>
      </c>
      <c r="R113" s="121" t="str">
        <f ca="1">IF($C113="S",REFERENCIA.Descricao,"(digite a descrição aqui)")</f>
        <v>(abra o arquivo 'Referência 09-2025.xlsm)</v>
      </c>
      <c r="S113" s="122" t="str">
        <f ca="1">REFERENCIA.Unidade</f>
        <v>-</v>
      </c>
      <c r="T113" s="123">
        <f ca="1">OFFSET(CÁLCULO!H$15,ROW($T113)-ROW(T$15),0)</f>
        <v>2116.46</v>
      </c>
      <c r="U113" s="124">
        <f ca="1">ROUND(IF(DESONERACAO="sim",REFERENCIA.Desonerado,REFERENCIA.NaoDesonerado),2)</f>
        <v>0</v>
      </c>
      <c r="V113" s="125" t="s">
        <v>664</v>
      </c>
      <c r="W113" s="123">
        <f ca="1">IF($C113="S",ROUND(IF(TIPOORCAMENTO="Proposto",ORÇAMENTO.CustoUnitario*(1+$AH113),ORÇAMENTO.PrecoUnitarioLicitado),15-13*$AF$10),0)</f>
        <v>0</v>
      </c>
      <c r="X113" s="126" cm="1">
        <f t="array" aca="1" ref="X113" ca="1">IF($C113="S",IF(OR(Import.TipoArredondamento&lt;&gt;"TransfereGOV",ACOMPANHAMENTO="BM"),VTOTAL1,SUM(OFFSET(CÁLCULO!$AA$15,ROW($X113)-ROW($X$15),1):OFFSET(CÁLCULO!$AL$15,ROW($X113)-ROW($X$15),-1))),IF($C113=0,0,ROUND(SomaAgrup,15-13*$AF$11)))</f>
        <v>0</v>
      </c>
      <c r="Y113" s="127" t="s">
        <v>752</v>
      </c>
      <c r="Z113" s="675" t="str">
        <f t="shared" ca="1" si="29"/>
        <v/>
      </c>
      <c r="AA113" s="128">
        <f ca="1">IF($C113="S",IF($Z113="CP",$X113,IF($Z113="RA",(($X113)*QCI!$AA$3),0)),SomaAgrup)</f>
        <v>0</v>
      </c>
      <c r="AB113" s="129">
        <f t="shared" ca="1" si="30"/>
        <v>0</v>
      </c>
      <c r="AC113" s="566"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IF(AND(_xlfn.SINGLE(TIPOORCAMENTO)="Licitado",$AL113=0,$AN113&gt;0),"SEM PREÇO",
IF(AND($C113="S",$P113&lt;&gt;"",$Q113&lt;&gt;"",$U113&gt;0,$V113=0),"BDI",
IF(OR(AND(TIPOORCAMENTO="Proposto",LEFT($O$8,5)&lt;&gt;"(N/D:",$AG113&lt;&gt;"",ORÇAMENTO.CustoUnitario&gt;$AG113),AND(TIPOORCAMENTO="LICITADO",ORÇAMENTO.PrecoUnitarioLicitado&gt;$AN113)),"ACIMA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SEM CUSTO</v>
      </c>
      <c r="AD113" s="675" t="str">
        <f ca="1">IF(C113&lt;=CRONO.NivelExibicao,MAX($AD$15:OFFSET(AD113,-1,0))+IF($C113&lt;&gt;1,1,MAX(1,COUNTIF(QCI!$A$13:$A$15,OFFSET($E113,-1,0)))),"")</f>
        <v/>
      </c>
      <c r="AE113" s="671" t="str">
        <f ca="1">IF(AND($C113="S",ORÇAMENTO.CodBarra&lt;&gt;""),IF(ORÇAMENTO.Fonte="",ORÇAMENTO.CodBarra,CONCATENATE(ORÇAMENTO.Fonte," ",ORÇAMENTO.CodBarra)))</f>
        <v>COPASA 65000160</v>
      </c>
      <c r="AF113" s="674" t="str">
        <f ca="1">IF(ISERROR(INDIRECT(ORÇAMENTO.BancoRef)),"(abra o arquivo 'Referência "&amp;Excel_BuiltIn_Database&amp;".xlsm)",IF(OR($C113&lt;&gt;"S",ORÇAMENTO.CodBarra=""),"(Sem Código)",IF(ISERROR(MATCH($AE113,INDIRECT(ORÇAMENTO.BancoRef),0)),"(Código não identificado nas referências)",MATCH($AE113,INDIRECT(ORÇAMENTO.BancoRef),0))))</f>
        <v>(abra o arquivo 'Referência 09-2025.xlsm)</v>
      </c>
      <c r="AG113" s="429">
        <f ca="1">ROUND(IF(DESONERACAO="sim",REFERENCIA.Desonerado,REFERENCIA.NaoDesonerado),2)</f>
        <v>0</v>
      </c>
      <c r="AH113" s="430">
        <f t="shared" ca="1" si="31"/>
        <v>0.24740000000000001</v>
      </c>
      <c r="AJ113" s="699">
        <v>2116.46</v>
      </c>
      <c r="AL113" s="440"/>
      <c r="AM113" s="337">
        <f t="shared" ca="1" si="0"/>
        <v>0</v>
      </c>
      <c r="AN113" s="471">
        <f t="shared" ca="1" si="32"/>
        <v>0</v>
      </c>
    </row>
    <row r="114" spans="1:40" s="675" customFormat="1" ht="13.9" customHeight="1" x14ac:dyDescent="0.2">
      <c r="A114" s="675" t="str">
        <f t="shared" si="18"/>
        <v>S</v>
      </c>
      <c r="B114" s="675">
        <f t="shared" ca="1" si="19"/>
        <v>2</v>
      </c>
      <c r="C114" s="675" t="str">
        <f t="shared" ca="1" si="20"/>
        <v>S</v>
      </c>
      <c r="D114" s="675">
        <f t="shared" ca="1" si="21"/>
        <v>0</v>
      </c>
      <c r="E114" s="675">
        <f ca="1">IF($C114=1,OFFSET(E114,-1,0)+MAX(1,COUNTIF(QCI!$A$13:$A$15,OFFSET(ORÇAMENTO!E114,-1,0))),OFFSET(E114,-1,0))</f>
        <v>1</v>
      </c>
      <c r="F114" s="675">
        <f t="shared" ca="1" si="22"/>
        <v>14</v>
      </c>
      <c r="G114" s="675">
        <f t="shared" ca="1" si="23"/>
        <v>0</v>
      </c>
      <c r="H114" s="675">
        <f t="shared" ca="1" si="24"/>
        <v>0</v>
      </c>
      <c r="I114" s="675">
        <f t="shared" ca="1" si="25"/>
        <v>0</v>
      </c>
      <c r="J114" s="675">
        <f t="shared" ca="1" si="35"/>
        <v>0</v>
      </c>
      <c r="K114" s="675">
        <f ca="1">IF(OR($C114="S",$C114=0),0,MATCH(OFFSET($D114,0,$C114)+IF($C114&lt;&gt;1,1,COUNTIF(QCI!$A$13:$A$15,ORÇAMENTO!E114)),OFFSET($D114,1,$C114,ROW($C$231)-ROW($C114)),0))</f>
        <v>0</v>
      </c>
      <c r="L114" s="115" t="str">
        <f t="shared" ca="1" si="26"/>
        <v/>
      </c>
      <c r="M114" s="116" t="s">
        <v>706</v>
      </c>
      <c r="N114" s="117" t="str">
        <f t="shared" ca="1" si="27"/>
        <v>Serviço</v>
      </c>
      <c r="O114" s="118" t="str">
        <f t="shared" ca="1" si="28"/>
        <v>-</v>
      </c>
      <c r="P114" s="119" t="s">
        <v>968</v>
      </c>
      <c r="Q114" s="686" t="s">
        <v>1028</v>
      </c>
      <c r="R114" s="121" t="str">
        <f ca="1">IF($C114="S",REFERENCIA.Descricao,"(digite a descrição aqui)")</f>
        <v>(abra o arquivo 'Referência 09-2025.xlsm)</v>
      </c>
      <c r="S114" s="122" t="str">
        <f ca="1">REFERENCIA.Unidade</f>
        <v>-</v>
      </c>
      <c r="T114" s="123">
        <f ca="1">OFFSET(CÁLCULO!H$15,ROW($T114)-ROW(T$15),0)</f>
        <v>3511.35</v>
      </c>
      <c r="U114" s="124">
        <f ca="1">ROUND(IF(DESONERACAO="sim",REFERENCIA.Desonerado,REFERENCIA.NaoDesonerado),2)</f>
        <v>0</v>
      </c>
      <c r="V114" s="125" t="s">
        <v>664</v>
      </c>
      <c r="W114" s="123">
        <f ca="1">IF($C114="S",ROUND(IF(TIPOORCAMENTO="Proposto",ORÇAMENTO.CustoUnitario*(1+$AH114),ORÇAMENTO.PrecoUnitarioLicitado),15-13*$AF$10),0)</f>
        <v>0</v>
      </c>
      <c r="X114" s="126" cm="1">
        <f t="array" aca="1" ref="X114" ca="1">IF($C114="S",IF(OR(Import.TipoArredondamento&lt;&gt;"TransfereGOV",ACOMPANHAMENTO="BM"),VTOTAL1,SUM(OFFSET(CÁLCULO!$AA$15,ROW($X114)-ROW($X$15),1):OFFSET(CÁLCULO!$AL$15,ROW($X114)-ROW($X$15),-1))),IF($C114=0,0,ROUND(SomaAgrup,15-13*$AF$11)))</f>
        <v>0</v>
      </c>
      <c r="Y114" s="127" t="s">
        <v>752</v>
      </c>
      <c r="Z114" s="675" t="str">
        <f t="shared" ca="1" si="29"/>
        <v/>
      </c>
      <c r="AA114" s="128">
        <f ca="1">IF($C114="S",IF($Z114="CP",$X114,IF($Z114="RA",(($X114)*QCI!$AA$3),0)),SomaAgrup)</f>
        <v>0</v>
      </c>
      <c r="AB114" s="129">
        <f t="shared" ca="1" si="30"/>
        <v>0</v>
      </c>
      <c r="AC114" s="566"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IF(AND(_xlfn.SINGLE(TIPOORCAMENTO)="Licitado",$AL114=0,$AN114&gt;0),"SEM PREÇO",
IF(AND($C114="S",$P114&lt;&gt;"",$Q114&lt;&gt;"",$U114&gt;0,$V114=0),"BDI",
IF(OR(AND(TIPOORCAMENTO="Proposto",LEFT($O$8,5)&lt;&gt;"(N/D:",$AG114&lt;&gt;"",ORÇAMENTO.CustoUnitario&gt;$AG114),AND(TIPOORCAMENTO="LICITADO",ORÇAMENTO.PrecoUnitarioLicitado&gt;$AN114)),"ACIMA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SEM CUSTO</v>
      </c>
      <c r="AD114" s="675" t="str">
        <f ca="1">IF(C114&lt;=CRONO.NivelExibicao,MAX($AD$15:OFFSET(AD114,-1,0))+IF($C114&lt;&gt;1,1,MAX(1,COUNTIF(QCI!$A$13:$A$15,OFFSET($E114,-1,0)))),"")</f>
        <v/>
      </c>
      <c r="AE114" s="671" t="str">
        <f ca="1">IF(AND($C114="S",ORÇAMENTO.CodBarra&lt;&gt;""),IF(ORÇAMENTO.Fonte="",ORÇAMENTO.CodBarra,CONCATENATE(ORÇAMENTO.Fonte," ",ORÇAMENTO.CodBarra)))</f>
        <v>COPASA 65000161</v>
      </c>
      <c r="AF114" s="674" t="str">
        <f ca="1">IF(ISERROR(INDIRECT(ORÇAMENTO.BancoRef)),"(abra o arquivo 'Referência "&amp;Excel_BuiltIn_Database&amp;".xlsm)",IF(OR($C114&lt;&gt;"S",ORÇAMENTO.CodBarra=""),"(Sem Código)",IF(ISERROR(MATCH($AE114,INDIRECT(ORÇAMENTO.BancoRef),0)),"(Código não identificado nas referências)",MATCH($AE114,INDIRECT(ORÇAMENTO.BancoRef),0))))</f>
        <v>(abra o arquivo 'Referência 09-2025.xlsm)</v>
      </c>
      <c r="AG114" s="429">
        <f ca="1">ROUND(IF(DESONERACAO="sim",REFERENCIA.Desonerado,REFERENCIA.NaoDesonerado),2)</f>
        <v>0</v>
      </c>
      <c r="AH114" s="430">
        <f t="shared" ca="1" si="31"/>
        <v>0.24740000000000001</v>
      </c>
      <c r="AJ114" s="699">
        <v>3511.35</v>
      </c>
      <c r="AL114" s="440"/>
      <c r="AM114" s="337">
        <f t="shared" ca="1" si="0"/>
        <v>0</v>
      </c>
      <c r="AN114" s="471">
        <f t="shared" ca="1" si="32"/>
        <v>0</v>
      </c>
    </row>
    <row r="115" spans="1:40" s="675" customFormat="1" ht="13.9" customHeight="1" x14ac:dyDescent="0.2">
      <c r="A115" s="675" t="str">
        <f t="shared" si="18"/>
        <v>S</v>
      </c>
      <c r="B115" s="675">
        <f t="shared" ca="1" si="19"/>
        <v>2</v>
      </c>
      <c r="C115" s="675" t="str">
        <f t="shared" ca="1" si="20"/>
        <v>S</v>
      </c>
      <c r="D115" s="675">
        <f t="shared" ca="1" si="21"/>
        <v>0</v>
      </c>
      <c r="E115" s="675">
        <f ca="1">IF($C115=1,OFFSET(E115,-1,0)+MAX(1,COUNTIF(QCI!$A$13:$A$15,OFFSET(ORÇAMENTO!E115,-1,0))),OFFSET(E115,-1,0))</f>
        <v>1</v>
      </c>
      <c r="F115" s="675">
        <f t="shared" ca="1" si="22"/>
        <v>14</v>
      </c>
      <c r="G115" s="675">
        <f t="shared" ca="1" si="23"/>
        <v>0</v>
      </c>
      <c r="H115" s="675">
        <f t="shared" ca="1" si="24"/>
        <v>0</v>
      </c>
      <c r="I115" s="675">
        <f t="shared" ca="1" si="25"/>
        <v>0</v>
      </c>
      <c r="J115" s="675">
        <f t="shared" ca="1" si="35"/>
        <v>0</v>
      </c>
      <c r="K115" s="675">
        <f ca="1">IF(OR($C115="S",$C115=0),0,MATCH(OFFSET($D115,0,$C115)+IF($C115&lt;&gt;1,1,COUNTIF(QCI!$A$13:$A$15,ORÇAMENTO!E115)),OFFSET($D115,1,$C115,ROW($C$231)-ROW($C115)),0))</f>
        <v>0</v>
      </c>
      <c r="L115" s="115" t="str">
        <f t="shared" ca="1" si="26"/>
        <v/>
      </c>
      <c r="M115" s="116" t="s">
        <v>706</v>
      </c>
      <c r="N115" s="117" t="str">
        <f t="shared" ca="1" si="27"/>
        <v>Serviço</v>
      </c>
      <c r="O115" s="118" t="str">
        <f t="shared" ca="1" si="28"/>
        <v>-</v>
      </c>
      <c r="P115" s="119" t="s">
        <v>968</v>
      </c>
      <c r="Q115" s="686" t="s">
        <v>1029</v>
      </c>
      <c r="R115" s="121" t="str">
        <f ca="1">IF($C115="S",REFERENCIA.Descricao,"(digite a descrição aqui)")</f>
        <v>(abra o arquivo 'Referência 09-2025.xlsm)</v>
      </c>
      <c r="S115" s="122" t="str">
        <f ca="1">REFERENCIA.Unidade</f>
        <v>-</v>
      </c>
      <c r="T115" s="123">
        <f ca="1">OFFSET(CÁLCULO!H$15,ROW($T115)-ROW(T$15),0)</f>
        <v>2126.5300000000002</v>
      </c>
      <c r="U115" s="124">
        <f ca="1">ROUND(IF(DESONERACAO="sim",REFERENCIA.Desonerado,REFERENCIA.NaoDesonerado),2)</f>
        <v>0</v>
      </c>
      <c r="V115" s="125" t="s">
        <v>664</v>
      </c>
      <c r="W115" s="123">
        <f ca="1">IF($C115="S",ROUND(IF(TIPOORCAMENTO="Proposto",ORÇAMENTO.CustoUnitario*(1+$AH115),ORÇAMENTO.PrecoUnitarioLicitado),15-13*$AF$10),0)</f>
        <v>0</v>
      </c>
      <c r="X115" s="126" cm="1">
        <f t="array" aca="1" ref="X115" ca="1">IF($C115="S",IF(OR(Import.TipoArredondamento&lt;&gt;"TransfereGOV",ACOMPANHAMENTO="BM"),VTOTAL1,SUM(OFFSET(CÁLCULO!$AA$15,ROW($X115)-ROW($X$15),1):OFFSET(CÁLCULO!$AL$15,ROW($X115)-ROW($X$15),-1))),IF($C115=0,0,ROUND(SomaAgrup,15-13*$AF$11)))</f>
        <v>0</v>
      </c>
      <c r="Y115" s="127" t="s">
        <v>752</v>
      </c>
      <c r="Z115" s="675" t="str">
        <f t="shared" ca="1" si="29"/>
        <v/>
      </c>
      <c r="AA115" s="128">
        <f ca="1">IF($C115="S",IF($Z115="CP",$X115,IF($Z115="RA",(($X115)*QCI!$AA$3),0)),SomaAgrup)</f>
        <v>0</v>
      </c>
      <c r="AB115" s="129">
        <f t="shared" ca="1" si="30"/>
        <v>0</v>
      </c>
      <c r="AC115" s="566"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IF(AND(_xlfn.SINGLE(TIPOORCAMENTO)="Licitado",$AL115=0,$AN115&gt;0),"SEM PREÇO",
IF(AND($C115="S",$P115&lt;&gt;"",$Q115&lt;&gt;"",$U115&gt;0,$V115=0),"BDI",
IF(OR(AND(TIPOORCAMENTO="Proposto",LEFT($O$8,5)&lt;&gt;"(N/D:",$AG115&lt;&gt;"",ORÇAMENTO.CustoUnitario&gt;$AG115),AND(TIPOORCAMENTO="LICITADO",ORÇAMENTO.PrecoUnitarioLicitado&gt;$AN115)),"ACIMA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SEM CUSTO</v>
      </c>
      <c r="AD115" s="675" t="str">
        <f ca="1">IF(C115&lt;=CRONO.NivelExibicao,MAX($AD$15:OFFSET(AD115,-1,0))+IF($C115&lt;&gt;1,1,MAX(1,COUNTIF(QCI!$A$13:$A$15,OFFSET($E115,-1,0)))),"")</f>
        <v/>
      </c>
      <c r="AE115" s="671" t="str">
        <f ca="1">IF(AND($C115="S",ORÇAMENTO.CodBarra&lt;&gt;""),IF(ORÇAMENTO.Fonte="",ORÇAMENTO.CodBarra,CONCATENATE(ORÇAMENTO.Fonte," ",ORÇAMENTO.CodBarra)))</f>
        <v>COPASA 65000162</v>
      </c>
      <c r="AF115" s="674" t="str">
        <f ca="1">IF(ISERROR(INDIRECT(ORÇAMENTO.BancoRef)),"(abra o arquivo 'Referência "&amp;Excel_BuiltIn_Database&amp;".xlsm)",IF(OR($C115&lt;&gt;"S",ORÇAMENTO.CodBarra=""),"(Sem Código)",IF(ISERROR(MATCH($AE115,INDIRECT(ORÇAMENTO.BancoRef),0)),"(Código não identificado nas referências)",MATCH($AE115,INDIRECT(ORÇAMENTO.BancoRef),0))))</f>
        <v>(abra o arquivo 'Referência 09-2025.xlsm)</v>
      </c>
      <c r="AG115" s="429">
        <f ca="1">ROUND(IF(DESONERACAO="sim",REFERENCIA.Desonerado,REFERENCIA.NaoDesonerado),2)</f>
        <v>0</v>
      </c>
      <c r="AH115" s="430">
        <f t="shared" ca="1" si="31"/>
        <v>0.24740000000000001</v>
      </c>
      <c r="AJ115" s="699">
        <v>2126.5300000000002</v>
      </c>
      <c r="AL115" s="440"/>
      <c r="AM115" s="337">
        <f t="shared" ca="1" si="0"/>
        <v>0</v>
      </c>
      <c r="AN115" s="471">
        <f t="shared" ca="1" si="32"/>
        <v>0</v>
      </c>
    </row>
    <row r="116" spans="1:40" s="675" customFormat="1" x14ac:dyDescent="0.2">
      <c r="A116" s="675" t="str">
        <f t="shared" si="18"/>
        <v>S</v>
      </c>
      <c r="B116" s="675">
        <f t="shared" ca="1" si="19"/>
        <v>2</v>
      </c>
      <c r="C116" s="675" t="str">
        <f t="shared" ca="1" si="20"/>
        <v>S</v>
      </c>
      <c r="D116" s="675">
        <f t="shared" ca="1" si="21"/>
        <v>0</v>
      </c>
      <c r="E116" s="675">
        <f ca="1">IF($C116=1,OFFSET(E116,-1,0)+MAX(1,COUNTIF(QCI!$A$13:$A$15,OFFSET(ORÇAMENTO!E116,-1,0))),OFFSET(E116,-1,0))</f>
        <v>1</v>
      </c>
      <c r="F116" s="675">
        <f t="shared" ca="1" si="22"/>
        <v>14</v>
      </c>
      <c r="G116" s="675">
        <f t="shared" ca="1" si="23"/>
        <v>0</v>
      </c>
      <c r="H116" s="675">
        <f t="shared" ca="1" si="24"/>
        <v>0</v>
      </c>
      <c r="I116" s="675">
        <f t="shared" ca="1" si="25"/>
        <v>0</v>
      </c>
      <c r="J116" s="675">
        <f t="shared" ca="1" si="35"/>
        <v>0</v>
      </c>
      <c r="K116" s="675">
        <f ca="1">IF(OR($C116="S",$C116=0),0,MATCH(OFFSET($D116,0,$C116)+IF($C116&lt;&gt;1,1,COUNTIF(QCI!$A$13:$A$15,ORÇAMENTO!E116)),OFFSET($D116,1,$C116,ROW($C$231)-ROW($C116)),0))</f>
        <v>0</v>
      </c>
      <c r="L116" s="115" t="str">
        <f t="shared" ca="1" si="26"/>
        <v/>
      </c>
      <c r="M116" s="116" t="s">
        <v>706</v>
      </c>
      <c r="N116" s="117" t="str">
        <f t="shared" ca="1" si="27"/>
        <v>Serviço</v>
      </c>
      <c r="O116" s="118" t="str">
        <f t="shared" ca="1" si="28"/>
        <v>-</v>
      </c>
      <c r="P116" s="119" t="s">
        <v>968</v>
      </c>
      <c r="Q116" s="686" t="s">
        <v>976</v>
      </c>
      <c r="R116" s="121" t="str">
        <f ca="1">IF($C116="S",REFERENCIA.Descricao,"(digite a descrição aqui)")</f>
        <v>(abra o arquivo 'Referência 09-2025.xlsm)</v>
      </c>
      <c r="S116" s="122" t="str">
        <f ca="1">REFERENCIA.Unidade</f>
        <v>-</v>
      </c>
      <c r="T116" s="123">
        <f ca="1">OFFSET(CÁLCULO!H$15,ROW($T116)-ROW(T$15),0)</f>
        <v>1</v>
      </c>
      <c r="U116" s="124">
        <f ca="1">ROUND(IF(DESONERACAO="sim",REFERENCIA.Desonerado,REFERENCIA.NaoDesonerado),2)</f>
        <v>0</v>
      </c>
      <c r="V116" s="125" t="s">
        <v>664</v>
      </c>
      <c r="W116" s="123">
        <f ca="1">IF($C116="S",ROUND(IF(TIPOORCAMENTO="Proposto",ORÇAMENTO.CustoUnitario*(1+$AH116),ORÇAMENTO.PrecoUnitarioLicitado),15-13*$AF$10),0)</f>
        <v>0</v>
      </c>
      <c r="X116" s="126" cm="1">
        <f t="array" aca="1" ref="X116" ca="1">IF($C116="S",IF(OR(Import.TipoArredondamento&lt;&gt;"TransfereGOV",ACOMPANHAMENTO="BM"),VTOTAL1,SUM(OFFSET(CÁLCULO!$AA$15,ROW($X116)-ROW($X$15),1):OFFSET(CÁLCULO!$AL$15,ROW($X116)-ROW($X$15),-1))),IF($C116=0,0,ROUND(SomaAgrup,15-13*$AF$11)))</f>
        <v>0</v>
      </c>
      <c r="Y116" s="127" t="s">
        <v>752</v>
      </c>
      <c r="Z116" s="675" t="str">
        <f t="shared" ca="1" si="29"/>
        <v/>
      </c>
      <c r="AA116" s="128">
        <f ca="1">IF($C116="S",IF($Z116="CP",$X116,IF($Z116="RA",(($X116)*QCI!$AA$3),0)),SomaAgrup)</f>
        <v>0</v>
      </c>
      <c r="AB116" s="129">
        <f t="shared" ca="1" si="30"/>
        <v>0</v>
      </c>
      <c r="AC116" s="566"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IF(AND(_xlfn.SINGLE(TIPOORCAMENTO)="Licitado",$AL116=0,$AN116&gt;0),"SEM PREÇO",
IF(AND($C116="S",$P116&lt;&gt;"",$Q116&lt;&gt;"",$U116&gt;0,$V116=0),"BDI",
IF(OR(AND(TIPOORCAMENTO="Proposto",LEFT($O$8,5)&lt;&gt;"(N/D:",$AG116&lt;&gt;"",ORÇAMENTO.CustoUnitario&gt;$AG116),AND(TIPOORCAMENTO="LICITADO",ORÇAMENTO.PrecoUnitarioLicitado&gt;$AN116)),"ACIMA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SEM CUSTO</v>
      </c>
      <c r="AD116" s="675" t="str">
        <f ca="1">IF(C116&lt;=CRONO.NivelExibicao,MAX($AD$15:OFFSET(AD116,-1,0))+IF($C116&lt;&gt;1,1,MAX(1,COUNTIF(QCI!$A$13:$A$15,OFFSET($E116,-1,0)))),"")</f>
        <v/>
      </c>
      <c r="AE116" s="671" t="str">
        <f ca="1">IF(AND($C116="S",ORÇAMENTO.CodBarra&lt;&gt;""),IF(ORÇAMENTO.Fonte="",ORÇAMENTO.CodBarra,CONCATENATE(ORÇAMENTO.Fonte," ",ORÇAMENTO.CodBarra)))</f>
        <v>COPASA 65000199</v>
      </c>
      <c r="AF116" s="674" t="str">
        <f ca="1">IF(ISERROR(INDIRECT(ORÇAMENTO.BancoRef)),"(abra o arquivo 'Referência "&amp;Excel_BuiltIn_Database&amp;".xlsm)",IF(OR($C116&lt;&gt;"S",ORÇAMENTO.CodBarra=""),"(Sem Código)",IF(ISERROR(MATCH($AE116,INDIRECT(ORÇAMENTO.BancoRef),0)),"(Código não identificado nas referências)",MATCH($AE116,INDIRECT(ORÇAMENTO.BancoRef),0))))</f>
        <v>(abra o arquivo 'Referência 09-2025.xlsm)</v>
      </c>
      <c r="AG116" s="429">
        <f ca="1">ROUND(IF(DESONERACAO="sim",REFERENCIA.Desonerado,REFERENCIA.NaoDesonerado),2)</f>
        <v>0</v>
      </c>
      <c r="AH116" s="430">
        <f t="shared" ca="1" si="31"/>
        <v>0.24740000000000001</v>
      </c>
      <c r="AJ116" s="699">
        <v>1</v>
      </c>
      <c r="AL116" s="440"/>
      <c r="AM116" s="337">
        <f t="shared" ca="1" si="0"/>
        <v>0</v>
      </c>
      <c r="AN116" s="471">
        <f t="shared" ca="1" si="32"/>
        <v>0</v>
      </c>
    </row>
    <row r="117" spans="1:40" s="675" customFormat="1" x14ac:dyDescent="0.2">
      <c r="A117" s="675" t="str">
        <f t="shared" si="18"/>
        <v>S</v>
      </c>
      <c r="B117" s="675">
        <f t="shared" ca="1" si="19"/>
        <v>2</v>
      </c>
      <c r="C117" s="675" t="str">
        <f t="shared" ca="1" si="20"/>
        <v>S</v>
      </c>
      <c r="D117" s="675">
        <f t="shared" ca="1" si="21"/>
        <v>0</v>
      </c>
      <c r="E117" s="675">
        <f ca="1">IF($C117=1,OFFSET(E117,-1,0)+MAX(1,COUNTIF(QCI!$A$13:$A$15,OFFSET(ORÇAMENTO!E117,-1,0))),OFFSET(E117,-1,0))</f>
        <v>1</v>
      </c>
      <c r="F117" s="675">
        <f t="shared" ca="1" si="22"/>
        <v>14</v>
      </c>
      <c r="G117" s="675">
        <f t="shared" ca="1" si="23"/>
        <v>0</v>
      </c>
      <c r="H117" s="675">
        <f t="shared" ca="1" si="24"/>
        <v>0</v>
      </c>
      <c r="I117" s="675">
        <f t="shared" ca="1" si="25"/>
        <v>0</v>
      </c>
      <c r="J117" s="675">
        <f t="shared" ca="1" si="35"/>
        <v>0</v>
      </c>
      <c r="K117" s="675">
        <f ca="1">IF(OR($C117="S",$C117=0),0,MATCH(OFFSET($D117,0,$C117)+IF($C117&lt;&gt;1,1,COUNTIF(QCI!$A$13:$A$15,ORÇAMENTO!E117)),OFFSET($D117,1,$C117,ROW($C$231)-ROW($C117)),0))</f>
        <v>0</v>
      </c>
      <c r="L117" s="115" t="str">
        <f t="shared" ca="1" si="26"/>
        <v/>
      </c>
      <c r="M117" s="116" t="s">
        <v>706</v>
      </c>
      <c r="N117" s="117" t="str">
        <f t="shared" ca="1" si="27"/>
        <v>Serviço</v>
      </c>
      <c r="O117" s="118" t="str">
        <f t="shared" ca="1" si="28"/>
        <v>-</v>
      </c>
      <c r="P117" s="119" t="s">
        <v>968</v>
      </c>
      <c r="Q117" s="686" t="s">
        <v>977</v>
      </c>
      <c r="R117" s="121" t="str">
        <f ca="1">IF($C117="S",REFERENCIA.Descricao,"(digite a descrição aqui)")</f>
        <v>(abra o arquivo 'Referência 09-2025.xlsm)</v>
      </c>
      <c r="S117" s="122" t="str">
        <f ca="1">REFERENCIA.Unidade</f>
        <v>-</v>
      </c>
      <c r="T117" s="123">
        <f ca="1">OFFSET(CÁLCULO!H$15,ROW($T117)-ROW(T$15),0)</f>
        <v>2890</v>
      </c>
      <c r="U117" s="124">
        <f ca="1">ROUND(IF(DESONERACAO="sim",REFERENCIA.Desonerado,REFERENCIA.NaoDesonerado),2)</f>
        <v>0</v>
      </c>
      <c r="V117" s="125" t="s">
        <v>664</v>
      </c>
      <c r="W117" s="123">
        <f ca="1">IF($C117="S",ROUND(IF(TIPOORCAMENTO="Proposto",ORÇAMENTO.CustoUnitario*(1+$AH117),ORÇAMENTO.PrecoUnitarioLicitado),15-13*$AF$10),0)</f>
        <v>0</v>
      </c>
      <c r="X117" s="126" cm="1">
        <f t="array" aca="1" ref="X117" ca="1">IF($C117="S",IF(OR(Import.TipoArredondamento&lt;&gt;"TransfereGOV",ACOMPANHAMENTO="BM"),VTOTAL1,SUM(OFFSET(CÁLCULO!$AA$15,ROW($X117)-ROW($X$15),1):OFFSET(CÁLCULO!$AL$15,ROW($X117)-ROW($X$15),-1))),IF($C117=0,0,ROUND(SomaAgrup,15-13*$AF$11)))</f>
        <v>0</v>
      </c>
      <c r="Y117" s="127" t="s">
        <v>752</v>
      </c>
      <c r="Z117" s="675" t="str">
        <f t="shared" ca="1" si="29"/>
        <v/>
      </c>
      <c r="AA117" s="128">
        <f ca="1">IF($C117="S",IF($Z117="CP",$X117,IF($Z117="RA",(($X117)*QCI!$AA$3),0)),SomaAgrup)</f>
        <v>0</v>
      </c>
      <c r="AB117" s="129">
        <f t="shared" ca="1" si="30"/>
        <v>0</v>
      </c>
      <c r="AC117" s="566"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IF(AND(_xlfn.SINGLE(TIPOORCAMENTO)="Licitado",$AL117=0,$AN117&gt;0),"SEM PREÇO",
IF(AND($C117="S",$P117&lt;&gt;"",$Q117&lt;&gt;"",$U117&gt;0,$V117=0),"BDI",
IF(OR(AND(TIPOORCAMENTO="Proposto",LEFT($O$8,5)&lt;&gt;"(N/D:",$AG117&lt;&gt;"",ORÇAMENTO.CustoUnitario&gt;$AG117),AND(TIPOORCAMENTO="LICITADO",ORÇAMENTO.PrecoUnitarioLicitado&gt;$AN117)),"ACIMA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SEM CUSTO</v>
      </c>
      <c r="AD117" s="675" t="str">
        <f ca="1">IF(C117&lt;=CRONO.NivelExibicao,MAX($AD$15:OFFSET(AD117,-1,0))+IF($C117&lt;&gt;1,1,MAX(1,COUNTIF(QCI!$A$13:$A$15,OFFSET($E117,-1,0)))),"")</f>
        <v/>
      </c>
      <c r="AE117" s="671" t="str">
        <f ca="1">IF(AND($C117="S",ORÇAMENTO.CodBarra&lt;&gt;""),IF(ORÇAMENTO.Fonte="",ORÇAMENTO.CodBarra,CONCATENATE(ORÇAMENTO.Fonte," ",ORÇAMENTO.CodBarra)))</f>
        <v>COPASA 65000172</v>
      </c>
      <c r="AF117" s="674" t="str">
        <f ca="1">IF(ISERROR(INDIRECT(ORÇAMENTO.BancoRef)),"(abra o arquivo 'Referência "&amp;Excel_BuiltIn_Database&amp;".xlsm)",IF(OR($C117&lt;&gt;"S",ORÇAMENTO.CodBarra=""),"(Sem Código)",IF(ISERROR(MATCH($AE117,INDIRECT(ORÇAMENTO.BancoRef),0)),"(Código não identificado nas referências)",MATCH($AE117,INDIRECT(ORÇAMENTO.BancoRef),0))))</f>
        <v>(abra o arquivo 'Referência 09-2025.xlsm)</v>
      </c>
      <c r="AG117" s="429">
        <f ca="1">ROUND(IF(DESONERACAO="sim",REFERENCIA.Desonerado,REFERENCIA.NaoDesonerado),2)</f>
        <v>0</v>
      </c>
      <c r="AH117" s="430">
        <f t="shared" ca="1" si="31"/>
        <v>0.24740000000000001</v>
      </c>
      <c r="AJ117" s="699">
        <v>2890</v>
      </c>
      <c r="AL117" s="440"/>
      <c r="AM117" s="337">
        <f t="shared" ca="1" si="0"/>
        <v>0</v>
      </c>
      <c r="AN117" s="471">
        <f t="shared" ca="1" si="32"/>
        <v>0</v>
      </c>
    </row>
    <row r="118" spans="1:40" s="675" customFormat="1" ht="13.9" customHeight="1" x14ac:dyDescent="0.2">
      <c r="A118" s="675" t="str">
        <f t="shared" si="18"/>
        <v>S</v>
      </c>
      <c r="B118" s="675">
        <f t="shared" ca="1" si="19"/>
        <v>2</v>
      </c>
      <c r="C118" s="675" t="str">
        <f t="shared" ca="1" si="20"/>
        <v>S</v>
      </c>
      <c r="D118" s="675">
        <f t="shared" ca="1" si="21"/>
        <v>0</v>
      </c>
      <c r="E118" s="675">
        <f ca="1">IF($C118=1,OFFSET(E118,-1,0)+MAX(1,COUNTIF(QCI!$A$13:$A$15,OFFSET(ORÇAMENTO!E118,-1,0))),OFFSET(E118,-1,0))</f>
        <v>1</v>
      </c>
      <c r="F118" s="675">
        <f t="shared" ca="1" si="22"/>
        <v>14</v>
      </c>
      <c r="G118" s="675">
        <f t="shared" ca="1" si="23"/>
        <v>0</v>
      </c>
      <c r="H118" s="675">
        <f t="shared" ca="1" si="24"/>
        <v>0</v>
      </c>
      <c r="I118" s="675">
        <f t="shared" ca="1" si="25"/>
        <v>0</v>
      </c>
      <c r="J118" s="675">
        <f t="shared" ca="1" si="35"/>
        <v>0</v>
      </c>
      <c r="K118" s="675">
        <f ca="1">IF(OR($C118="S",$C118=0),0,MATCH(OFFSET($D118,0,$C118)+IF($C118&lt;&gt;1,1,COUNTIF(QCI!$A$13:$A$15,ORÇAMENTO!E118)),OFFSET($D118,1,$C118,ROW($C$231)-ROW($C118)),0))</f>
        <v>0</v>
      </c>
      <c r="L118" s="115" t="str">
        <f t="shared" ca="1" si="26"/>
        <v/>
      </c>
      <c r="M118" s="116" t="s">
        <v>706</v>
      </c>
      <c r="N118" s="117" t="str">
        <f t="shared" ca="1" si="27"/>
        <v>Serviço</v>
      </c>
      <c r="O118" s="118" t="str">
        <f t="shared" ca="1" si="28"/>
        <v>-</v>
      </c>
      <c r="P118" s="119" t="s">
        <v>968</v>
      </c>
      <c r="Q118" s="686" t="s">
        <v>978</v>
      </c>
      <c r="R118" s="121" t="str">
        <f ca="1">IF($C118="S",REFERENCIA.Descricao,"(digite a descrição aqui)")</f>
        <v>(abra o arquivo 'Referência 09-2025.xlsm)</v>
      </c>
      <c r="S118" s="122" t="str">
        <f ca="1">REFERENCIA.Unidade</f>
        <v>-</v>
      </c>
      <c r="T118" s="123">
        <f ca="1">OFFSET(CÁLCULO!H$15,ROW($T118)-ROW(T$15),0)</f>
        <v>2427.4</v>
      </c>
      <c r="U118" s="124">
        <f ca="1">ROUND(IF(DESONERACAO="sim",REFERENCIA.Desonerado,REFERENCIA.NaoDesonerado),2)</f>
        <v>0</v>
      </c>
      <c r="V118" s="125" t="s">
        <v>664</v>
      </c>
      <c r="W118" s="123">
        <f ca="1">IF($C118="S",ROUND(IF(TIPOORCAMENTO="Proposto",ORÇAMENTO.CustoUnitario*(1+$AH118),ORÇAMENTO.PrecoUnitarioLicitado),15-13*$AF$10),0)</f>
        <v>0</v>
      </c>
      <c r="X118" s="126" cm="1">
        <f t="array" aca="1" ref="X118" ca="1">IF($C118="S",IF(OR(Import.TipoArredondamento&lt;&gt;"TransfereGOV",ACOMPANHAMENTO="BM"),VTOTAL1,SUM(OFFSET(CÁLCULO!$AA$15,ROW($X118)-ROW($X$15),1):OFFSET(CÁLCULO!$AL$15,ROW($X118)-ROW($X$15),-1))),IF($C118=0,0,ROUND(SomaAgrup,15-13*$AF$11)))</f>
        <v>0</v>
      </c>
      <c r="Y118" s="127" t="s">
        <v>752</v>
      </c>
      <c r="Z118" s="675" t="str">
        <f t="shared" ca="1" si="29"/>
        <v/>
      </c>
      <c r="AA118" s="128">
        <f ca="1">IF($C118="S",IF($Z118="CP",$X118,IF($Z118="RA",(($X118)*QCI!$AA$3),0)),SomaAgrup)</f>
        <v>0</v>
      </c>
      <c r="AB118" s="129">
        <f t="shared" ca="1" si="30"/>
        <v>0</v>
      </c>
      <c r="AC118" s="566"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IF(AND(_xlfn.SINGLE(TIPOORCAMENTO)="Licitado",$AL118=0,$AN118&gt;0),"SEM PREÇO",
IF(AND($C118="S",$P118&lt;&gt;"",$Q118&lt;&gt;"",$U118&gt;0,$V118=0),"BDI",
IF(OR(AND(TIPOORCAMENTO="Proposto",LEFT($O$8,5)&lt;&gt;"(N/D:",$AG118&lt;&gt;"",ORÇAMENTO.CustoUnitario&gt;$AG118),AND(TIPOORCAMENTO="LICITADO",ORÇAMENTO.PrecoUnitarioLicitado&gt;$AN118)),"ACIMA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SEM CUSTO</v>
      </c>
      <c r="AD118" s="675" t="str">
        <f ca="1">IF(C118&lt;=CRONO.NivelExibicao,MAX($AD$15:OFFSET(AD118,-1,0))+IF($C118&lt;&gt;1,1,MAX(1,COUNTIF(QCI!$A$13:$A$15,OFFSET($E118,-1,0)))),"")</f>
        <v/>
      </c>
      <c r="AE118" s="671" t="str">
        <f ca="1">IF(AND($C118="S",ORÇAMENTO.CodBarra&lt;&gt;""),IF(ORÇAMENTO.Fonte="",ORÇAMENTO.CodBarra,CONCATENATE(ORÇAMENTO.Fonte," ",ORÇAMENTO.CodBarra)))</f>
        <v>COPASA 65000173</v>
      </c>
      <c r="AF118" s="674" t="str">
        <f ca="1">IF(ISERROR(INDIRECT(ORÇAMENTO.BancoRef)),"(abra o arquivo 'Referência "&amp;Excel_BuiltIn_Database&amp;".xlsm)",IF(OR($C118&lt;&gt;"S",ORÇAMENTO.CodBarra=""),"(Sem Código)",IF(ISERROR(MATCH($AE118,INDIRECT(ORÇAMENTO.BancoRef),0)),"(Código não identificado nas referências)",MATCH($AE118,INDIRECT(ORÇAMENTO.BancoRef),0))))</f>
        <v>(abra o arquivo 'Referência 09-2025.xlsm)</v>
      </c>
      <c r="AG118" s="429">
        <f ca="1">ROUND(IF(DESONERACAO="sim",REFERENCIA.Desonerado,REFERENCIA.NaoDesonerado),2)</f>
        <v>0</v>
      </c>
      <c r="AH118" s="430">
        <f t="shared" ca="1" si="31"/>
        <v>0.24740000000000001</v>
      </c>
      <c r="AJ118" s="699">
        <v>2427.4</v>
      </c>
      <c r="AL118" s="440"/>
      <c r="AM118" s="337">
        <f t="shared" ca="1" si="0"/>
        <v>0</v>
      </c>
      <c r="AN118" s="471">
        <f t="shared" ca="1" si="32"/>
        <v>0</v>
      </c>
    </row>
    <row r="119" spans="1:40" s="675" customFormat="1" ht="13.9" customHeight="1" x14ac:dyDescent="0.2">
      <c r="A119" s="675" t="str">
        <f t="shared" si="18"/>
        <v>S</v>
      </c>
      <c r="B119" s="675">
        <f t="shared" ca="1" si="19"/>
        <v>2</v>
      </c>
      <c r="C119" s="675" t="str">
        <f t="shared" ca="1" si="20"/>
        <v>S</v>
      </c>
      <c r="D119" s="675">
        <f t="shared" ca="1" si="21"/>
        <v>0</v>
      </c>
      <c r="E119" s="675">
        <f ca="1">IF($C119=1,OFFSET(E119,-1,0)+MAX(1,COUNTIF(QCI!$A$13:$A$15,OFFSET(ORÇAMENTO!E119,-1,0))),OFFSET(E119,-1,0))</f>
        <v>1</v>
      </c>
      <c r="F119" s="675">
        <f t="shared" ca="1" si="22"/>
        <v>14</v>
      </c>
      <c r="G119" s="675">
        <f t="shared" ca="1" si="23"/>
        <v>0</v>
      </c>
      <c r="H119" s="675">
        <f t="shared" ca="1" si="24"/>
        <v>0</v>
      </c>
      <c r="I119" s="675">
        <f t="shared" ca="1" si="25"/>
        <v>0</v>
      </c>
      <c r="J119" s="675">
        <f t="shared" ca="1" si="35"/>
        <v>0</v>
      </c>
      <c r="K119" s="675">
        <f ca="1">IF(OR($C119="S",$C119=0),0,MATCH(OFFSET($D119,0,$C119)+IF($C119&lt;&gt;1,1,COUNTIF(QCI!$A$13:$A$15,ORÇAMENTO!E119)),OFFSET($D119,1,$C119,ROW($C$231)-ROW($C119)),0))</f>
        <v>0</v>
      </c>
      <c r="L119" s="115" t="str">
        <f t="shared" ca="1" si="26"/>
        <v/>
      </c>
      <c r="M119" s="116" t="s">
        <v>706</v>
      </c>
      <c r="N119" s="117" t="str">
        <f t="shared" ca="1" si="27"/>
        <v>Serviço</v>
      </c>
      <c r="O119" s="118" t="str">
        <f t="shared" ca="1" si="28"/>
        <v>-</v>
      </c>
      <c r="P119" s="119" t="s">
        <v>968</v>
      </c>
      <c r="Q119" s="686" t="s">
        <v>1030</v>
      </c>
      <c r="R119" s="121" t="str">
        <f ca="1">IF($C119="S",REFERENCIA.Descricao,"(digite a descrição aqui)")</f>
        <v>(abra o arquivo 'Referência 09-2025.xlsm)</v>
      </c>
      <c r="S119" s="122" t="str">
        <f ca="1">REFERENCIA.Unidade</f>
        <v>-</v>
      </c>
      <c r="T119" s="123">
        <f ca="1">OFFSET(CÁLCULO!H$15,ROW($T119)-ROW(T$15),0)</f>
        <v>160.47999999999999</v>
      </c>
      <c r="U119" s="124">
        <f ca="1">ROUND(IF(DESONERACAO="sim",REFERENCIA.Desonerado,REFERENCIA.NaoDesonerado),2)</f>
        <v>0</v>
      </c>
      <c r="V119" s="125" t="s">
        <v>664</v>
      </c>
      <c r="W119" s="123">
        <f ca="1">IF($C119="S",ROUND(IF(TIPOORCAMENTO="Proposto",ORÇAMENTO.CustoUnitario*(1+$AH119),ORÇAMENTO.PrecoUnitarioLicitado),15-13*$AF$10),0)</f>
        <v>0</v>
      </c>
      <c r="X119" s="126" cm="1">
        <f t="array" aca="1" ref="X119" ca="1">IF($C119="S",IF(OR(Import.TipoArredondamento&lt;&gt;"TransfereGOV",ACOMPANHAMENTO="BM"),VTOTAL1,SUM(OFFSET(CÁLCULO!$AA$15,ROW($X119)-ROW($X$15),1):OFFSET(CÁLCULO!$AL$15,ROW($X119)-ROW($X$15),-1))),IF($C119=0,0,ROUND(SomaAgrup,15-13*$AF$11)))</f>
        <v>0</v>
      </c>
      <c r="Y119" s="127" t="s">
        <v>752</v>
      </c>
      <c r="Z119" s="675" t="str">
        <f t="shared" ca="1" si="29"/>
        <v/>
      </c>
      <c r="AA119" s="128">
        <f ca="1">IF($C119="S",IF($Z119="CP",$X119,IF($Z119="RA",(($X119)*QCI!$AA$3),0)),SomaAgrup)</f>
        <v>0</v>
      </c>
      <c r="AB119" s="129">
        <f t="shared" ca="1" si="30"/>
        <v>0</v>
      </c>
      <c r="AC119" s="566"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IF(AND(_xlfn.SINGLE(TIPOORCAMENTO)="Licitado",$AL119=0,$AN119&gt;0),"SEM PREÇO",
IF(AND($C119="S",$P119&lt;&gt;"",$Q119&lt;&gt;"",$U119&gt;0,$V119=0),"BDI",
IF(OR(AND(TIPOORCAMENTO="Proposto",LEFT($O$8,5)&lt;&gt;"(N/D:",$AG119&lt;&gt;"",ORÇAMENTO.CustoUnitario&gt;$AG119),AND(TIPOORCAMENTO="LICITADO",ORÇAMENTO.PrecoUnitarioLicitado&gt;$AN119)),"ACIMA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SEM CUSTO</v>
      </c>
      <c r="AD119" s="675" t="str">
        <f ca="1">IF(C119&lt;=CRONO.NivelExibicao,MAX($AD$15:OFFSET(AD119,-1,0))+IF($C119&lt;&gt;1,1,MAX(1,COUNTIF(QCI!$A$13:$A$15,OFFSET($E119,-1,0)))),"")</f>
        <v/>
      </c>
      <c r="AE119" s="671" t="str">
        <f ca="1">IF(AND($C119="S",ORÇAMENTO.CodBarra&lt;&gt;""),IF(ORÇAMENTO.Fonte="",ORÇAMENTO.CodBarra,CONCATENATE(ORÇAMENTO.Fonte," ",ORÇAMENTO.CodBarra)))</f>
        <v>COPASA 65000181</v>
      </c>
      <c r="AF119" s="674" t="str">
        <f ca="1">IF(ISERROR(INDIRECT(ORÇAMENTO.BancoRef)),"(abra o arquivo 'Referência "&amp;Excel_BuiltIn_Database&amp;".xlsm)",IF(OR($C119&lt;&gt;"S",ORÇAMENTO.CodBarra=""),"(Sem Código)",IF(ISERROR(MATCH($AE119,INDIRECT(ORÇAMENTO.BancoRef),0)),"(Código não identificado nas referências)",MATCH($AE119,INDIRECT(ORÇAMENTO.BancoRef),0))))</f>
        <v>(abra o arquivo 'Referência 09-2025.xlsm)</v>
      </c>
      <c r="AG119" s="429">
        <f ca="1">ROUND(IF(DESONERACAO="sim",REFERENCIA.Desonerado,REFERENCIA.NaoDesonerado),2)</f>
        <v>0</v>
      </c>
      <c r="AH119" s="430">
        <f t="shared" ca="1" si="31"/>
        <v>0.24740000000000001</v>
      </c>
      <c r="AJ119" s="699">
        <v>160.47999999999999</v>
      </c>
      <c r="AL119" s="440"/>
      <c r="AM119" s="337">
        <f t="shared" ca="1" si="0"/>
        <v>0</v>
      </c>
      <c r="AN119" s="471">
        <f t="shared" ca="1" si="32"/>
        <v>0</v>
      </c>
    </row>
    <row r="120" spans="1:40" s="675" customFormat="1" ht="13.9" customHeight="1" x14ac:dyDescent="0.2">
      <c r="A120" s="675" t="str">
        <f t="shared" si="18"/>
        <v>S</v>
      </c>
      <c r="B120" s="675">
        <f t="shared" ca="1" si="19"/>
        <v>2</v>
      </c>
      <c r="C120" s="675" t="str">
        <f t="shared" ca="1" si="20"/>
        <v>S</v>
      </c>
      <c r="D120" s="675">
        <f t="shared" ca="1" si="21"/>
        <v>0</v>
      </c>
      <c r="E120" s="675">
        <f ca="1">IF($C120=1,OFFSET(E120,-1,0)+MAX(1,COUNTIF(QCI!$A$13:$A$15,OFFSET(ORÇAMENTO!E120,-1,0))),OFFSET(E120,-1,0))</f>
        <v>1</v>
      </c>
      <c r="F120" s="675">
        <f t="shared" ca="1" si="22"/>
        <v>14</v>
      </c>
      <c r="G120" s="675">
        <f t="shared" ca="1" si="23"/>
        <v>0</v>
      </c>
      <c r="H120" s="675">
        <f t="shared" ca="1" si="24"/>
        <v>0</v>
      </c>
      <c r="I120" s="675">
        <f t="shared" ca="1" si="25"/>
        <v>0</v>
      </c>
      <c r="J120" s="675">
        <f t="shared" ca="1" si="35"/>
        <v>0</v>
      </c>
      <c r="K120" s="675">
        <f ca="1">IF(OR($C120="S",$C120=0),0,MATCH(OFFSET($D120,0,$C120)+IF($C120&lt;&gt;1,1,COUNTIF(QCI!$A$13:$A$15,ORÇAMENTO!E120)),OFFSET($D120,1,$C120,ROW($C$231)-ROW($C120)),0))</f>
        <v>0</v>
      </c>
      <c r="L120" s="115" t="str">
        <f t="shared" ca="1" si="26"/>
        <v/>
      </c>
      <c r="M120" s="116" t="s">
        <v>706</v>
      </c>
      <c r="N120" s="117" t="str">
        <f t="shared" ca="1" si="27"/>
        <v>Serviço</v>
      </c>
      <c r="O120" s="118" t="str">
        <f t="shared" ca="1" si="28"/>
        <v>-</v>
      </c>
      <c r="P120" s="119" t="s">
        <v>968</v>
      </c>
      <c r="Q120" s="686" t="s">
        <v>1031</v>
      </c>
      <c r="R120" s="121" t="str">
        <f ca="1">IF($C120="S",REFERENCIA.Descricao,"(digite a descrição aqui)")</f>
        <v>(abra o arquivo 'Referência 09-2025.xlsm)</v>
      </c>
      <c r="S120" s="122" t="str">
        <f ca="1">REFERENCIA.Unidade</f>
        <v>-</v>
      </c>
      <c r="T120" s="123">
        <f ca="1">OFFSET(CÁLCULO!H$15,ROW($T120)-ROW(T$15),0)</f>
        <v>160.47999999999999</v>
      </c>
      <c r="U120" s="124">
        <f ca="1">ROUND(IF(DESONERACAO="sim",REFERENCIA.Desonerado,REFERENCIA.NaoDesonerado),2)</f>
        <v>0</v>
      </c>
      <c r="V120" s="125" t="s">
        <v>664</v>
      </c>
      <c r="W120" s="123">
        <f ca="1">IF($C120="S",ROUND(IF(TIPOORCAMENTO="Proposto",ORÇAMENTO.CustoUnitario*(1+$AH120),ORÇAMENTO.PrecoUnitarioLicitado),15-13*$AF$10),0)</f>
        <v>0</v>
      </c>
      <c r="X120" s="126" cm="1">
        <f t="array" aca="1" ref="X120" ca="1">IF($C120="S",IF(OR(Import.TipoArredondamento&lt;&gt;"TransfereGOV",ACOMPANHAMENTO="BM"),VTOTAL1,SUM(OFFSET(CÁLCULO!$AA$15,ROW($X120)-ROW($X$15),1):OFFSET(CÁLCULO!$AL$15,ROW($X120)-ROW($X$15),-1))),IF($C120=0,0,ROUND(SomaAgrup,15-13*$AF$11)))</f>
        <v>0</v>
      </c>
      <c r="Y120" s="127" t="s">
        <v>752</v>
      </c>
      <c r="Z120" s="675" t="str">
        <f t="shared" ca="1" si="29"/>
        <v/>
      </c>
      <c r="AA120" s="128">
        <f ca="1">IF($C120="S",IF($Z120="CP",$X120,IF($Z120="RA",(($X120)*QCI!$AA$3),0)),SomaAgrup)</f>
        <v>0</v>
      </c>
      <c r="AB120" s="129">
        <f t="shared" ca="1" si="30"/>
        <v>0</v>
      </c>
      <c r="AC120" s="566"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IF(AND(_xlfn.SINGLE(TIPOORCAMENTO)="Licitado",$AL120=0,$AN120&gt;0),"SEM PREÇO",
IF(AND($C120="S",$P120&lt;&gt;"",$Q120&lt;&gt;"",$U120&gt;0,$V120=0),"BDI",
IF(OR(AND(TIPOORCAMENTO="Proposto",LEFT($O$8,5)&lt;&gt;"(N/D:",$AG120&lt;&gt;"",ORÇAMENTO.CustoUnitario&gt;$AG120),AND(TIPOORCAMENTO="LICITADO",ORÇAMENTO.PrecoUnitarioLicitado&gt;$AN120)),"ACIMA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SEM CUSTO</v>
      </c>
      <c r="AD120" s="675" t="str">
        <f ca="1">IF(C120&lt;=CRONO.NivelExibicao,MAX($AD$15:OFFSET(AD120,-1,0))+IF($C120&lt;&gt;1,1,MAX(1,COUNTIF(QCI!$A$13:$A$15,OFFSET($E120,-1,0)))),"")</f>
        <v/>
      </c>
      <c r="AE120" s="671" t="str">
        <f ca="1">IF(AND($C120="S",ORÇAMENTO.CodBarra&lt;&gt;""),IF(ORÇAMENTO.Fonte="",ORÇAMENTO.CodBarra,CONCATENATE(ORÇAMENTO.Fonte," ",ORÇAMENTO.CodBarra)))</f>
        <v>COPASA 65002545</v>
      </c>
      <c r="AF120" s="674" t="str">
        <f ca="1">IF(ISERROR(INDIRECT(ORÇAMENTO.BancoRef)),"(abra o arquivo 'Referência "&amp;Excel_BuiltIn_Database&amp;".xlsm)",IF(OR($C120&lt;&gt;"S",ORÇAMENTO.CodBarra=""),"(Sem Código)",IF(ISERROR(MATCH($AE120,INDIRECT(ORÇAMENTO.BancoRef),0)),"(Código não identificado nas referências)",MATCH($AE120,INDIRECT(ORÇAMENTO.BancoRef),0))))</f>
        <v>(abra o arquivo 'Referência 09-2025.xlsm)</v>
      </c>
      <c r="AG120" s="429">
        <f ca="1">ROUND(IF(DESONERACAO="sim",REFERENCIA.Desonerado,REFERENCIA.NaoDesonerado),2)</f>
        <v>0</v>
      </c>
      <c r="AH120" s="430">
        <f t="shared" ca="1" si="31"/>
        <v>0.24740000000000001</v>
      </c>
      <c r="AJ120" s="699">
        <v>160.47999999999999</v>
      </c>
      <c r="AL120" s="440"/>
      <c r="AM120" s="337">
        <f t="shared" ca="1" si="0"/>
        <v>0</v>
      </c>
      <c r="AN120" s="471">
        <f t="shared" ca="1" si="32"/>
        <v>0</v>
      </c>
    </row>
    <row r="121" spans="1:40" s="675" customFormat="1" x14ac:dyDescent="0.2">
      <c r="A121" s="675" t="str">
        <f t="shared" si="18"/>
        <v>S</v>
      </c>
      <c r="B121" s="675">
        <f t="shared" ca="1" si="19"/>
        <v>2</v>
      </c>
      <c r="C121" s="675" t="str">
        <f t="shared" ca="1" si="20"/>
        <v>S</v>
      </c>
      <c r="D121" s="675">
        <f t="shared" ca="1" si="21"/>
        <v>0</v>
      </c>
      <c r="E121" s="675">
        <f ca="1">IF($C121=1,OFFSET(E121,-1,0)+MAX(1,COUNTIF(QCI!$A$13:$A$15,OFFSET(ORÇAMENTO!E121,-1,0))),OFFSET(E121,-1,0))</f>
        <v>1</v>
      </c>
      <c r="F121" s="675">
        <f t="shared" ca="1" si="22"/>
        <v>14</v>
      </c>
      <c r="G121" s="675">
        <f t="shared" ca="1" si="23"/>
        <v>0</v>
      </c>
      <c r="H121" s="675">
        <f t="shared" ca="1" si="24"/>
        <v>0</v>
      </c>
      <c r="I121" s="675">
        <f t="shared" ca="1" si="25"/>
        <v>0</v>
      </c>
      <c r="J121" s="675">
        <f t="shared" ca="1" si="35"/>
        <v>0</v>
      </c>
      <c r="K121" s="675">
        <f ca="1">IF(OR($C121="S",$C121=0),0,MATCH(OFFSET($D121,0,$C121)+IF($C121&lt;&gt;1,1,COUNTIF(QCI!$A$13:$A$15,ORÇAMENTO!E121)),OFFSET($D121,1,$C121,ROW($C$231)-ROW($C121)),0))</f>
        <v>0</v>
      </c>
      <c r="L121" s="115" t="str">
        <f t="shared" ca="1" si="26"/>
        <v/>
      </c>
      <c r="M121" s="116" t="s">
        <v>706</v>
      </c>
      <c r="N121" s="117" t="str">
        <f t="shared" ca="1" si="27"/>
        <v>Serviço</v>
      </c>
      <c r="O121" s="118" t="str">
        <f t="shared" ca="1" si="28"/>
        <v>-</v>
      </c>
      <c r="P121" s="119" t="s">
        <v>968</v>
      </c>
      <c r="Q121" s="686" t="s">
        <v>1032</v>
      </c>
      <c r="R121" s="121" t="str">
        <f ca="1">IF($C121="S",REFERENCIA.Descricao,"(digite a descrição aqui)")</f>
        <v>(abra o arquivo 'Referência 09-2025.xlsm)</v>
      </c>
      <c r="S121" s="122" t="str">
        <f ca="1">REFERENCIA.Unidade</f>
        <v>-</v>
      </c>
      <c r="T121" s="123">
        <f ca="1">OFFSET(CÁLCULO!H$15,ROW($T121)-ROW(T$15),0)</f>
        <v>160.47999999999999</v>
      </c>
      <c r="U121" s="124">
        <f ca="1">ROUND(IF(DESONERACAO="sim",REFERENCIA.Desonerado,REFERENCIA.NaoDesonerado),2)</f>
        <v>0</v>
      </c>
      <c r="V121" s="125" t="s">
        <v>664</v>
      </c>
      <c r="W121" s="123">
        <f ca="1">IF($C121="S",ROUND(IF(TIPOORCAMENTO="Proposto",ORÇAMENTO.CustoUnitario*(1+$AH121),ORÇAMENTO.PrecoUnitarioLicitado),15-13*$AF$10),0)</f>
        <v>0</v>
      </c>
      <c r="X121" s="126" cm="1">
        <f t="array" aca="1" ref="X121" ca="1">IF($C121="S",IF(OR(Import.TipoArredondamento&lt;&gt;"TransfereGOV",ACOMPANHAMENTO="BM"),VTOTAL1,SUM(OFFSET(CÁLCULO!$AA$15,ROW($X121)-ROW($X$15),1):OFFSET(CÁLCULO!$AL$15,ROW($X121)-ROW($X$15),-1))),IF($C121=0,0,ROUND(SomaAgrup,15-13*$AF$11)))</f>
        <v>0</v>
      </c>
      <c r="Y121" s="127" t="s">
        <v>752</v>
      </c>
      <c r="Z121" s="675" t="str">
        <f t="shared" ca="1" si="29"/>
        <v/>
      </c>
      <c r="AA121" s="128">
        <f ca="1">IF($C121="S",IF($Z121="CP",$X121,IF($Z121="RA",(($X121)*QCI!$AA$3),0)),SomaAgrup)</f>
        <v>0</v>
      </c>
      <c r="AB121" s="129">
        <f t="shared" ca="1" si="30"/>
        <v>0</v>
      </c>
      <c r="AC121" s="566"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IF(AND(_xlfn.SINGLE(TIPOORCAMENTO)="Licitado",$AL121=0,$AN121&gt;0),"SEM PREÇO",
IF(AND($C121="S",$P121&lt;&gt;"",$Q121&lt;&gt;"",$U121&gt;0,$V121=0),"BDI",
IF(OR(AND(TIPOORCAMENTO="Proposto",LEFT($O$8,5)&lt;&gt;"(N/D:",$AG121&lt;&gt;"",ORÇAMENTO.CustoUnitario&gt;$AG121),AND(TIPOORCAMENTO="LICITADO",ORÇAMENTO.PrecoUnitarioLicitado&gt;$AN121)),"ACIMA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SEM CUSTO</v>
      </c>
      <c r="AD121" s="675" t="str">
        <f ca="1">IF(C121&lt;=CRONO.NivelExibicao,MAX($AD$15:OFFSET(AD121,-1,0))+IF($C121&lt;&gt;1,1,MAX(1,COUNTIF(QCI!$A$13:$A$15,OFFSET($E121,-1,0)))),"")</f>
        <v/>
      </c>
      <c r="AE121" s="671" t="str">
        <f ca="1">IF(AND($C121="S",ORÇAMENTO.CodBarra&lt;&gt;""),IF(ORÇAMENTO.Fonte="",ORÇAMENTO.CodBarra,CONCATENATE(ORÇAMENTO.Fonte," ",ORÇAMENTO.CodBarra)))</f>
        <v>COPASA 65000176</v>
      </c>
      <c r="AF121" s="674" t="str">
        <f ca="1">IF(ISERROR(INDIRECT(ORÇAMENTO.BancoRef)),"(abra o arquivo 'Referência "&amp;Excel_BuiltIn_Database&amp;".xlsm)",IF(OR($C121&lt;&gt;"S",ORÇAMENTO.CodBarra=""),"(Sem Código)",IF(ISERROR(MATCH($AE121,INDIRECT(ORÇAMENTO.BancoRef),0)),"(Código não identificado nas referências)",MATCH($AE121,INDIRECT(ORÇAMENTO.BancoRef),0))))</f>
        <v>(abra o arquivo 'Referência 09-2025.xlsm)</v>
      </c>
      <c r="AG121" s="429">
        <f ca="1">ROUND(IF(DESONERACAO="sim",REFERENCIA.Desonerado,REFERENCIA.NaoDesonerado),2)</f>
        <v>0</v>
      </c>
      <c r="AH121" s="430">
        <f t="shared" ca="1" si="31"/>
        <v>0.24740000000000001</v>
      </c>
      <c r="AJ121" s="699">
        <v>160.47999999999999</v>
      </c>
      <c r="AL121" s="440"/>
      <c r="AM121" s="337">
        <f t="shared" ca="1" si="0"/>
        <v>0</v>
      </c>
      <c r="AN121" s="471">
        <f t="shared" ca="1" si="32"/>
        <v>0</v>
      </c>
    </row>
    <row r="122" spans="1:40" s="675" customFormat="1" x14ac:dyDescent="0.2">
      <c r="A122" s="675">
        <f t="shared" si="18"/>
        <v>2</v>
      </c>
      <c r="B122" s="675">
        <f t="shared" ca="1" si="19"/>
        <v>2</v>
      </c>
      <c r="C122" s="675">
        <f t="shared" ca="1" si="20"/>
        <v>2</v>
      </c>
      <c r="D122" s="675">
        <f t="shared" ca="1" si="21"/>
        <v>7</v>
      </c>
      <c r="E122" s="675">
        <f ca="1">IF($C122=1,OFFSET(E122,-1,0)+MAX(1,COUNTIF(QCI!$A$13:$A$15,OFFSET(ORÇAMENTO!E122,-1,0))),OFFSET(E122,-1,0))</f>
        <v>1</v>
      </c>
      <c r="F122" s="675">
        <f t="shared" ca="1" si="22"/>
        <v>15</v>
      </c>
      <c r="G122" s="675">
        <f t="shared" ca="1" si="23"/>
        <v>0</v>
      </c>
      <c r="H122" s="675">
        <f t="shared" ca="1" si="24"/>
        <v>0</v>
      </c>
      <c r="I122" s="675">
        <f t="shared" ca="1" si="25"/>
        <v>0</v>
      </c>
      <c r="J122" s="675">
        <f t="shared" ca="1" si="35"/>
        <v>109</v>
      </c>
      <c r="K122" s="675">
        <f ca="1">IF(OR($C122="S",$C122=0),0,MATCH(OFFSET($D122,0,$C122)+IF($C122&lt;&gt;1,1,COUNTIF(QCI!$A$13:$A$15,ORÇAMENTO!E122)),OFFSET($D122,1,$C122,ROW($C$231)-ROW($C122)),0))</f>
        <v>7</v>
      </c>
      <c r="L122" s="115" t="str">
        <f t="shared" ca="1" si="26"/>
        <v>F</v>
      </c>
      <c r="M122" s="116" t="s">
        <v>703</v>
      </c>
      <c r="N122" s="117" t="str">
        <f t="shared" ca="1" si="27"/>
        <v>Nível 2</v>
      </c>
      <c r="O122" s="118" t="str">
        <f t="shared" ca="1" si="28"/>
        <v>1.15.</v>
      </c>
      <c r="P122" s="119"/>
      <c r="Q122" s="120"/>
      <c r="R122" s="121" t="s">
        <v>1033</v>
      </c>
      <c r="S122" s="122" t="str">
        <f ca="1">REFERENCIA.Unidade</f>
        <v>-</v>
      </c>
      <c r="T122" s="123">
        <f ca="1">OFFSET(CÁLCULO!H$15,ROW($T122)-ROW(T$15),0)</f>
        <v>0</v>
      </c>
      <c r="U122" s="124">
        <f ca="1">ROUND(IF(DESONERACAO="sim",REFERENCIA.Desonerado,REFERENCIA.NaoDesonerado),2)</f>
        <v>0</v>
      </c>
      <c r="V122" s="125" t="s">
        <v>664</v>
      </c>
      <c r="W122" s="123">
        <f ca="1">IF($C122="S",ROUND(IF(TIPOORCAMENTO="Proposto",ORÇAMENTO.CustoUnitario*(1+$AH122),ORÇAMENTO.PrecoUnitarioLicitado),15-13*$AF$10),0)</f>
        <v>0</v>
      </c>
      <c r="X122" s="126" cm="1">
        <f t="array" aca="1" ref="X122" ca="1">IF($C122="S",IF(OR(Import.TipoArredondamento&lt;&gt;"TransfereGOV",ACOMPANHAMENTO="BM"),VTOTAL1,SUM(OFFSET(CÁLCULO!$AA$15,ROW($X122)-ROW($X$15),1):OFFSET(CÁLCULO!$AL$15,ROW($X122)-ROW($X$15),-1))),IF($C122=0,0,ROUND(SomaAgrup,15-13*$AF$11)))</f>
        <v>0</v>
      </c>
      <c r="Y122" s="127" t="s">
        <v>752</v>
      </c>
      <c r="Z122" s="675" t="str">
        <f t="shared" ca="1" si="29"/>
        <v/>
      </c>
      <c r="AA122" s="128">
        <f ca="1">IF($C122="S",IF($Z122="CP",$X122,IF($Z122="RA",(($X122)*QCI!$AA$3),0)),SomaAgrup)</f>
        <v>0</v>
      </c>
      <c r="AB122" s="129">
        <f t="shared" ca="1" si="30"/>
        <v>0</v>
      </c>
      <c r="AC122" s="566" t="e"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IF(AND(_xlfn.SINGLE(TIPOORCAMENTO)="Licitado",$AL122=0,$AN122&gt;0),"SEM PREÇO",
IF(AND($C122="S",$P122&lt;&gt;"",$Q122&lt;&gt;"",$U122&gt;0,$V122=0),"BDI",
IF(OR(AND(TIPOORCAMENTO="Proposto",LEFT($O$8,5)&lt;&gt;"(N/D:",$AG122&lt;&gt;"",ORÇAMENTO.CustoUnitario&gt;$AG122),AND(TIPOORCAMENTO="LICITADO",ORÇAMENTO.PrecoUnitarioLicitado&gt;$AN122)),"ACIMA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#NAME?</v>
      </c>
      <c r="AD122" s="675">
        <f ca="1">IF(C122&lt;=CRONO.NivelExibicao,MAX($AD$15:OFFSET(AD122,-1,0))+IF($C122&lt;&gt;1,1,MAX(1,COUNTIF(QCI!$A$13:$A$15,OFFSET($E122,-1,0)))),"")</f>
        <v>16</v>
      </c>
      <c r="AE122" s="671" t="b">
        <f ca="1">IF(AND($C122="S",ORÇAMENTO.CodBarra&lt;&gt;""),IF(ORÇAMENTO.Fonte="",ORÇAMENTO.CodBarra,CONCATENATE(ORÇAMENTO.Fonte," ",ORÇAMENTO.CodBarra)))</f>
        <v>0</v>
      </c>
      <c r="AF122" s="674" t="str">
        <f ca="1">IF(ISERROR(INDIRECT(ORÇAMENTO.BancoRef)),"(abra o arquivo 'Referência "&amp;Excel_BuiltIn_Database&amp;".xlsm)",IF(OR($C122&lt;&gt;"S",ORÇAMENTO.CodBarra=""),"(Sem Código)",IF(ISERROR(MATCH($AE122,INDIRECT(ORÇAMENTO.BancoRef),0)),"(Código não identificado nas referências)",MATCH($AE122,INDIRECT(ORÇAMENTO.BancoRef),0))))</f>
        <v>(abra o arquivo 'Referência 09-2025.xlsm)</v>
      </c>
      <c r="AG122" s="429">
        <f ca="1">ROUND(IF(DESONERACAO="sim",REFERENCIA.Desonerado,REFERENCIA.NaoDesonerado),2)</f>
        <v>0</v>
      </c>
      <c r="AH122" s="430">
        <f t="shared" ca="1" si="31"/>
        <v>0.24740000000000001</v>
      </c>
      <c r="AJ122" s="699"/>
      <c r="AL122" s="440"/>
      <c r="AM122" s="337">
        <f t="shared" ca="1" si="0"/>
        <v>0</v>
      </c>
      <c r="AN122" s="471">
        <f t="shared" ca="1" si="32"/>
        <v>0</v>
      </c>
    </row>
    <row r="123" spans="1:40" s="675" customFormat="1" x14ac:dyDescent="0.2">
      <c r="A123" s="675" t="str">
        <f t="shared" si="18"/>
        <v>S</v>
      </c>
      <c r="B123" s="675">
        <f t="shared" ca="1" si="19"/>
        <v>2</v>
      </c>
      <c r="C123" s="675" t="str">
        <f t="shared" ca="1" si="20"/>
        <v>S</v>
      </c>
      <c r="D123" s="675">
        <f t="shared" ca="1" si="21"/>
        <v>0</v>
      </c>
      <c r="E123" s="675">
        <f ca="1">IF($C123=1,OFFSET(E123,-1,0)+MAX(1,COUNTIF(QCI!$A$13:$A$15,OFFSET(ORÇAMENTO!E123,-1,0))),OFFSET(E123,-1,0))</f>
        <v>1</v>
      </c>
      <c r="F123" s="675">
        <f t="shared" ca="1" si="22"/>
        <v>15</v>
      </c>
      <c r="G123" s="675">
        <f t="shared" ca="1" si="23"/>
        <v>0</v>
      </c>
      <c r="H123" s="675">
        <f t="shared" ca="1" si="24"/>
        <v>0</v>
      </c>
      <c r="I123" s="675">
        <f t="shared" ca="1" si="25"/>
        <v>0</v>
      </c>
      <c r="J123" s="675">
        <f t="shared" ca="1" si="35"/>
        <v>0</v>
      </c>
      <c r="K123" s="675">
        <f ca="1">IF(OR($C123="S",$C123=0),0,MATCH(OFFSET($D123,0,$C123)+IF($C123&lt;&gt;1,1,COUNTIF(QCI!$A$13:$A$15,ORÇAMENTO!E123)),OFFSET($D123,1,$C123,ROW($C$231)-ROW($C123)),0))</f>
        <v>0</v>
      </c>
      <c r="L123" s="115" t="str">
        <f t="shared" ca="1" si="26"/>
        <v/>
      </c>
      <c r="M123" s="116" t="s">
        <v>706</v>
      </c>
      <c r="N123" s="117" t="str">
        <f t="shared" ca="1" si="27"/>
        <v>Serviço</v>
      </c>
      <c r="O123" s="118" t="str">
        <f t="shared" ca="1" si="28"/>
        <v>-</v>
      </c>
      <c r="P123" s="119" t="s">
        <v>968</v>
      </c>
      <c r="Q123" s="687" t="s">
        <v>1034</v>
      </c>
      <c r="R123" s="121" t="str">
        <f ca="1">IF($C123="S",REFERENCIA.Descricao,"(digite a descrição aqui)")</f>
        <v>(abra o arquivo 'Referência 09-2025.xlsm)</v>
      </c>
      <c r="S123" s="122" t="str">
        <f ca="1">REFERENCIA.Unidade</f>
        <v>-</v>
      </c>
      <c r="T123" s="123">
        <f ca="1">OFFSET(CÁLCULO!H$15,ROW($T123)-ROW(T$15),0)</f>
        <v>3254.21</v>
      </c>
      <c r="U123" s="124">
        <f ca="1">ROUND(IF(DESONERACAO="sim",REFERENCIA.Desonerado,REFERENCIA.NaoDesonerado),2)</f>
        <v>0</v>
      </c>
      <c r="V123" s="125" t="s">
        <v>664</v>
      </c>
      <c r="W123" s="123">
        <f ca="1">IF($C123="S",ROUND(IF(TIPOORCAMENTO="Proposto",ORÇAMENTO.CustoUnitario*(1+$AH123),ORÇAMENTO.PrecoUnitarioLicitado),15-13*$AF$10),0)</f>
        <v>0</v>
      </c>
      <c r="X123" s="126" cm="1">
        <f t="array" aca="1" ref="X123" ca="1">IF($C123="S",IF(OR(Import.TipoArredondamento&lt;&gt;"TransfereGOV",ACOMPANHAMENTO="BM"),VTOTAL1,SUM(OFFSET(CÁLCULO!$AA$15,ROW($X123)-ROW($X$15),1):OFFSET(CÁLCULO!$AL$15,ROW($X123)-ROW($X$15),-1))),IF($C123=0,0,ROUND(SomaAgrup,15-13*$AF$11)))</f>
        <v>0</v>
      </c>
      <c r="Y123" s="127" t="s">
        <v>752</v>
      </c>
      <c r="Z123" s="675" t="str">
        <f t="shared" ca="1" si="29"/>
        <v/>
      </c>
      <c r="AA123" s="128">
        <f ca="1">IF($C123="S",IF($Z123="CP",$X123,IF($Z123="RA",(($X123)*QCI!$AA$3),0)),SomaAgrup)</f>
        <v>0</v>
      </c>
      <c r="AB123" s="129">
        <f t="shared" ca="1" si="30"/>
        <v>0</v>
      </c>
      <c r="AC123" s="566"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IF(AND(_xlfn.SINGLE(TIPOORCAMENTO)="Licitado",$AL123=0,$AN123&gt;0),"SEM PREÇO",
IF(AND($C123="S",$P123&lt;&gt;"",$Q123&lt;&gt;"",$U123&gt;0,$V123=0),"BDI",
IF(OR(AND(TIPOORCAMENTO="Proposto",LEFT($O$8,5)&lt;&gt;"(N/D:",$AG123&lt;&gt;"",ORÇAMENTO.CustoUnitario&gt;$AG123),AND(TIPOORCAMENTO="LICITADO",ORÇAMENTO.PrecoUnitarioLicitado&gt;$AN123)),"ACIMA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SEM CUSTO</v>
      </c>
      <c r="AD123" s="675" t="str">
        <f ca="1">IF(C123&lt;=CRONO.NivelExibicao,MAX($AD$15:OFFSET(AD123,-1,0))+IF($C123&lt;&gt;1,1,MAX(1,COUNTIF(QCI!$A$13:$A$15,OFFSET($E123,-1,0)))),"")</f>
        <v/>
      </c>
      <c r="AE123" s="671" t="str">
        <f ca="1">IF(AND($C123="S",ORÇAMENTO.CodBarra&lt;&gt;""),IF(ORÇAMENTO.Fonte="",ORÇAMENTO.CodBarra,CONCATENATE(ORÇAMENTO.Fonte," ",ORÇAMENTO.CodBarra)))</f>
        <v>COPASA 65000208</v>
      </c>
      <c r="AF123" s="674" t="str">
        <f ca="1">IF(ISERROR(INDIRECT(ORÇAMENTO.BancoRef)),"(abra o arquivo 'Referência "&amp;Excel_BuiltIn_Database&amp;".xlsm)",IF(OR($C123&lt;&gt;"S",ORÇAMENTO.CodBarra=""),"(Sem Código)",IF(ISERROR(MATCH($AE123,INDIRECT(ORÇAMENTO.BancoRef),0)),"(Código não identificado nas referências)",MATCH($AE123,INDIRECT(ORÇAMENTO.BancoRef),0))))</f>
        <v>(abra o arquivo 'Referência 09-2025.xlsm)</v>
      </c>
      <c r="AG123" s="429">
        <f ca="1">ROUND(IF(DESONERACAO="sim",REFERENCIA.Desonerado,REFERENCIA.NaoDesonerado),2)</f>
        <v>0</v>
      </c>
      <c r="AH123" s="430">
        <f t="shared" ca="1" si="31"/>
        <v>0.24740000000000001</v>
      </c>
      <c r="AJ123" s="699">
        <v>3254.21</v>
      </c>
      <c r="AL123" s="440"/>
      <c r="AM123" s="337">
        <f t="shared" ca="1" si="0"/>
        <v>0</v>
      </c>
      <c r="AN123" s="471">
        <f t="shared" ca="1" si="32"/>
        <v>0</v>
      </c>
    </row>
    <row r="124" spans="1:40" s="675" customFormat="1" x14ac:dyDescent="0.2">
      <c r="A124" s="675" t="str">
        <f t="shared" si="18"/>
        <v>S</v>
      </c>
      <c r="B124" s="675">
        <f t="shared" ca="1" si="19"/>
        <v>2</v>
      </c>
      <c r="C124" s="675" t="str">
        <f t="shared" ca="1" si="20"/>
        <v>S</v>
      </c>
      <c r="D124" s="675">
        <f t="shared" ca="1" si="21"/>
        <v>0</v>
      </c>
      <c r="E124" s="675">
        <f ca="1">IF($C124=1,OFFSET(E124,-1,0)+MAX(1,COUNTIF(QCI!$A$13:$A$15,OFFSET(ORÇAMENTO!E124,-1,0))),OFFSET(E124,-1,0))</f>
        <v>1</v>
      </c>
      <c r="F124" s="675">
        <f t="shared" ca="1" si="22"/>
        <v>15</v>
      </c>
      <c r="G124" s="675">
        <f t="shared" ca="1" si="23"/>
        <v>0</v>
      </c>
      <c r="H124" s="675">
        <f t="shared" ca="1" si="24"/>
        <v>0</v>
      </c>
      <c r="I124" s="675">
        <f t="shared" ca="1" si="25"/>
        <v>0</v>
      </c>
      <c r="J124" s="675">
        <f t="shared" ca="1" si="35"/>
        <v>0</v>
      </c>
      <c r="K124" s="675">
        <f ca="1">IF(OR($C124="S",$C124=0),0,MATCH(OFFSET($D124,0,$C124)+IF($C124&lt;&gt;1,1,COUNTIF(QCI!$A$13:$A$15,ORÇAMENTO!E124)),OFFSET($D124,1,$C124,ROW($C$231)-ROW($C124)),0))</f>
        <v>0</v>
      </c>
      <c r="L124" s="115" t="str">
        <f t="shared" ca="1" si="26"/>
        <v/>
      </c>
      <c r="M124" s="116" t="s">
        <v>706</v>
      </c>
      <c r="N124" s="117" t="str">
        <f t="shared" ca="1" si="27"/>
        <v>Serviço</v>
      </c>
      <c r="O124" s="118" t="str">
        <f t="shared" ca="1" si="28"/>
        <v>-</v>
      </c>
      <c r="P124" s="119" t="s">
        <v>968</v>
      </c>
      <c r="Q124" s="687" t="s">
        <v>984</v>
      </c>
      <c r="R124" s="121" t="str">
        <f ca="1">IF($C124="S",REFERENCIA.Descricao,"(digite a descrição aqui)")</f>
        <v>(abra o arquivo 'Referência 09-2025.xlsm)</v>
      </c>
      <c r="S124" s="122" t="str">
        <f ca="1">REFERENCIA.Unidade</f>
        <v>-</v>
      </c>
      <c r="T124" s="123">
        <f ca="1">OFFSET(CÁLCULO!H$15,ROW($T124)-ROW(T$15),0)</f>
        <v>373.45</v>
      </c>
      <c r="U124" s="124">
        <f ca="1">ROUND(IF(DESONERACAO="sim",REFERENCIA.Desonerado,REFERENCIA.NaoDesonerado),2)</f>
        <v>0</v>
      </c>
      <c r="V124" s="125" t="s">
        <v>664</v>
      </c>
      <c r="W124" s="123">
        <f ca="1">IF($C124="S",ROUND(IF(TIPOORCAMENTO="Proposto",ORÇAMENTO.CustoUnitario*(1+$AH124),ORÇAMENTO.PrecoUnitarioLicitado),15-13*$AF$10),0)</f>
        <v>0</v>
      </c>
      <c r="X124" s="126" cm="1">
        <f t="array" aca="1" ref="X124" ca="1">IF($C124="S",IF(OR(Import.TipoArredondamento&lt;&gt;"TransfereGOV",ACOMPANHAMENTO="BM"),VTOTAL1,SUM(OFFSET(CÁLCULO!$AA$15,ROW($X124)-ROW($X$15),1):OFFSET(CÁLCULO!$AL$15,ROW($X124)-ROW($X$15),-1))),IF($C124=0,0,ROUND(SomaAgrup,15-13*$AF$11)))</f>
        <v>0</v>
      </c>
      <c r="Y124" s="127" t="s">
        <v>752</v>
      </c>
      <c r="Z124" s="675" t="str">
        <f t="shared" ca="1" si="29"/>
        <v/>
      </c>
      <c r="AA124" s="128">
        <f ca="1">IF($C124="S",IF($Z124="CP",$X124,IF($Z124="RA",(($X124)*QCI!$AA$3),0)),SomaAgrup)</f>
        <v>0</v>
      </c>
      <c r="AB124" s="129">
        <f t="shared" ca="1" si="30"/>
        <v>0</v>
      </c>
      <c r="AC124" s="566"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IF(AND(_xlfn.SINGLE(TIPOORCAMENTO)="Licitado",$AL124=0,$AN124&gt;0),"SEM PREÇO",
IF(AND($C124="S",$P124&lt;&gt;"",$Q124&lt;&gt;"",$U124&gt;0,$V124=0),"BDI",
IF(OR(AND(TIPOORCAMENTO="Proposto",LEFT($O$8,5)&lt;&gt;"(N/D:",$AG124&lt;&gt;"",ORÇAMENTO.CustoUnitario&gt;$AG124),AND(TIPOORCAMENTO="LICITADO",ORÇAMENTO.PrecoUnitarioLicitado&gt;$AN124)),"ACIMA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SEM CUSTO</v>
      </c>
      <c r="AD124" s="675" t="str">
        <f ca="1">IF(C124&lt;=CRONO.NivelExibicao,MAX($AD$15:OFFSET(AD124,-1,0))+IF($C124&lt;&gt;1,1,MAX(1,COUNTIF(QCI!$A$13:$A$15,OFFSET($E124,-1,0)))),"")</f>
        <v/>
      </c>
      <c r="AE124" s="671" t="str">
        <f ca="1">IF(AND($C124="S",ORÇAMENTO.CodBarra&lt;&gt;""),IF(ORÇAMENTO.Fonte="",ORÇAMENTO.CodBarra,CONCATENATE(ORÇAMENTO.Fonte," ",ORÇAMENTO.CodBarra)))</f>
        <v>COPASA 65000207</v>
      </c>
      <c r="AF124" s="674" t="str">
        <f ca="1">IF(ISERROR(INDIRECT(ORÇAMENTO.BancoRef)),"(abra o arquivo 'Referência "&amp;Excel_BuiltIn_Database&amp;".xlsm)",IF(OR($C124&lt;&gt;"S",ORÇAMENTO.CodBarra=""),"(Sem Código)",IF(ISERROR(MATCH($AE124,INDIRECT(ORÇAMENTO.BancoRef),0)),"(Código não identificado nas referências)",MATCH($AE124,INDIRECT(ORÇAMENTO.BancoRef),0))))</f>
        <v>(abra o arquivo 'Referência 09-2025.xlsm)</v>
      </c>
      <c r="AG124" s="429">
        <f ca="1">ROUND(IF(DESONERACAO="sim",REFERENCIA.Desonerado,REFERENCIA.NaoDesonerado),2)</f>
        <v>0</v>
      </c>
      <c r="AH124" s="430">
        <f t="shared" ca="1" si="31"/>
        <v>0.24740000000000001</v>
      </c>
      <c r="AJ124" s="699">
        <v>373.45</v>
      </c>
      <c r="AL124" s="440"/>
      <c r="AM124" s="337">
        <f t="shared" ca="1" si="0"/>
        <v>0</v>
      </c>
      <c r="AN124" s="471">
        <f t="shared" ca="1" si="32"/>
        <v>0</v>
      </c>
    </row>
    <row r="125" spans="1:40" s="675" customFormat="1" ht="13.9" customHeight="1" x14ac:dyDescent="0.2">
      <c r="A125" s="675" t="str">
        <f t="shared" si="18"/>
        <v>S</v>
      </c>
      <c r="B125" s="675">
        <f t="shared" ca="1" si="19"/>
        <v>2</v>
      </c>
      <c r="C125" s="675" t="str">
        <f t="shared" ca="1" si="20"/>
        <v>S</v>
      </c>
      <c r="D125" s="675">
        <f t="shared" ca="1" si="21"/>
        <v>0</v>
      </c>
      <c r="E125" s="675">
        <f ca="1">IF($C125=1,OFFSET(E125,-1,0)+MAX(1,COUNTIF(QCI!$A$13:$A$15,OFFSET(ORÇAMENTO!E125,-1,0))),OFFSET(E125,-1,0))</f>
        <v>1</v>
      </c>
      <c r="F125" s="675">
        <f t="shared" ca="1" si="22"/>
        <v>15</v>
      </c>
      <c r="G125" s="675">
        <f t="shared" ca="1" si="23"/>
        <v>0</v>
      </c>
      <c r="H125" s="675">
        <f t="shared" ca="1" si="24"/>
        <v>0</v>
      </c>
      <c r="I125" s="675">
        <f t="shared" ca="1" si="25"/>
        <v>0</v>
      </c>
      <c r="J125" s="675">
        <f t="shared" ca="1" si="35"/>
        <v>0</v>
      </c>
      <c r="K125" s="675">
        <f ca="1">IF(OR($C125="S",$C125=0),0,MATCH(OFFSET($D125,0,$C125)+IF($C125&lt;&gt;1,1,COUNTIF(QCI!$A$13:$A$15,ORÇAMENTO!E125)),OFFSET($D125,1,$C125,ROW($C$231)-ROW($C125)),0))</f>
        <v>0</v>
      </c>
      <c r="L125" s="115" t="str">
        <f t="shared" ca="1" si="26"/>
        <v/>
      </c>
      <c r="M125" s="116" t="s">
        <v>706</v>
      </c>
      <c r="N125" s="117" t="str">
        <f t="shared" ca="1" si="27"/>
        <v>Serviço</v>
      </c>
      <c r="O125" s="118" t="str">
        <f t="shared" ca="1" si="28"/>
        <v>-</v>
      </c>
      <c r="P125" s="119" t="s">
        <v>968</v>
      </c>
      <c r="Q125" s="687" t="s">
        <v>1035</v>
      </c>
      <c r="R125" s="121" t="str">
        <f ca="1">IF($C125="S",REFERENCIA.Descricao,"(digite a descrição aqui)")</f>
        <v>(abra o arquivo 'Referência 09-2025.xlsm)</v>
      </c>
      <c r="S125" s="122" t="str">
        <f ca="1">REFERENCIA.Unidade</f>
        <v>-</v>
      </c>
      <c r="T125" s="123">
        <f ca="1">OFFSET(CÁLCULO!H$15,ROW($T125)-ROW(T$15),0)</f>
        <v>373.45</v>
      </c>
      <c r="U125" s="124">
        <f ca="1">ROUND(IF(DESONERACAO="sim",REFERENCIA.Desonerado,REFERENCIA.NaoDesonerado),2)</f>
        <v>0</v>
      </c>
      <c r="V125" s="125" t="s">
        <v>664</v>
      </c>
      <c r="W125" s="123">
        <f ca="1">IF($C125="S",ROUND(IF(TIPOORCAMENTO="Proposto",ORÇAMENTO.CustoUnitario*(1+$AH125),ORÇAMENTO.PrecoUnitarioLicitado),15-13*$AF$10),0)</f>
        <v>0</v>
      </c>
      <c r="X125" s="126" cm="1">
        <f t="array" aca="1" ref="X125" ca="1">IF($C125="S",IF(OR(Import.TipoArredondamento&lt;&gt;"TransfereGOV",ACOMPANHAMENTO="BM"),VTOTAL1,SUM(OFFSET(CÁLCULO!$AA$15,ROW($X125)-ROW($X$15),1):OFFSET(CÁLCULO!$AL$15,ROW($X125)-ROW($X$15),-1))),IF($C125=0,0,ROUND(SomaAgrup,15-13*$AF$11)))</f>
        <v>0</v>
      </c>
      <c r="Y125" s="127" t="s">
        <v>752</v>
      </c>
      <c r="Z125" s="675" t="str">
        <f t="shared" ca="1" si="29"/>
        <v/>
      </c>
      <c r="AA125" s="128">
        <f ca="1">IF($C125="S",IF($Z125="CP",$X125,IF($Z125="RA",(($X125)*QCI!$AA$3),0)),SomaAgrup)</f>
        <v>0</v>
      </c>
      <c r="AB125" s="129">
        <f t="shared" ca="1" si="30"/>
        <v>0</v>
      </c>
      <c r="AC125" s="566"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IF(AND(_xlfn.SINGLE(TIPOORCAMENTO)="Licitado",$AL125=0,$AN125&gt;0),"SEM PREÇO",
IF(AND($C125="S",$P125&lt;&gt;"",$Q125&lt;&gt;"",$U125&gt;0,$V125=0),"BDI",
IF(OR(AND(TIPOORCAMENTO="Proposto",LEFT($O$8,5)&lt;&gt;"(N/D:",$AG125&lt;&gt;"",ORÇAMENTO.CustoUnitario&gt;$AG125),AND(TIPOORCAMENTO="LICITADO",ORÇAMENTO.PrecoUnitarioLicitado&gt;$AN125)),"ACIMA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SEM CUSTO</v>
      </c>
      <c r="AD125" s="675" t="str">
        <f ca="1">IF(C125&lt;=CRONO.NivelExibicao,MAX($AD$15:OFFSET(AD125,-1,0))+IF($C125&lt;&gt;1,1,MAX(1,COUNTIF(QCI!$A$13:$A$15,OFFSET($E125,-1,0)))),"")</f>
        <v/>
      </c>
      <c r="AE125" s="671" t="str">
        <f ca="1">IF(AND($C125="S",ORÇAMENTO.CodBarra&lt;&gt;""),IF(ORÇAMENTO.Fonte="",ORÇAMENTO.CodBarra,CONCATENATE(ORÇAMENTO.Fonte," ",ORÇAMENTO.CodBarra)))</f>
        <v>COPASA 65002540</v>
      </c>
      <c r="AF125" s="674" t="str">
        <f ca="1">IF(ISERROR(INDIRECT(ORÇAMENTO.BancoRef)),"(abra o arquivo 'Referência "&amp;Excel_BuiltIn_Database&amp;".xlsm)",IF(OR($C125&lt;&gt;"S",ORÇAMENTO.CodBarra=""),"(Sem Código)",IF(ISERROR(MATCH($AE125,INDIRECT(ORÇAMENTO.BancoRef),0)),"(Código não identificado nas referências)",MATCH($AE125,INDIRECT(ORÇAMENTO.BancoRef),0))))</f>
        <v>(abra o arquivo 'Referência 09-2025.xlsm)</v>
      </c>
      <c r="AG125" s="429">
        <f ca="1">ROUND(IF(DESONERACAO="sim",REFERENCIA.Desonerado,REFERENCIA.NaoDesonerado),2)</f>
        <v>0</v>
      </c>
      <c r="AH125" s="430">
        <f t="shared" ca="1" si="31"/>
        <v>0.24740000000000001</v>
      </c>
      <c r="AJ125" s="699">
        <v>373.45</v>
      </c>
      <c r="AL125" s="440"/>
      <c r="AM125" s="337">
        <f t="shared" ca="1" si="0"/>
        <v>0</v>
      </c>
      <c r="AN125" s="471">
        <f t="shared" ca="1" si="32"/>
        <v>0</v>
      </c>
    </row>
    <row r="126" spans="1:40" s="675" customFormat="1" ht="13.9" customHeight="1" x14ac:dyDescent="0.2">
      <c r="A126" s="675" t="str">
        <f t="shared" si="18"/>
        <v>S</v>
      </c>
      <c r="B126" s="675">
        <f t="shared" ca="1" si="19"/>
        <v>2</v>
      </c>
      <c r="C126" s="675" t="str">
        <f t="shared" ca="1" si="20"/>
        <v>S</v>
      </c>
      <c r="D126" s="675">
        <f t="shared" ca="1" si="21"/>
        <v>0</v>
      </c>
      <c r="E126" s="675">
        <f ca="1">IF($C126=1,OFFSET(E126,-1,0)+MAX(1,COUNTIF(QCI!$A$13:$A$15,OFFSET(ORÇAMENTO!E126,-1,0))),OFFSET(E126,-1,0))</f>
        <v>1</v>
      </c>
      <c r="F126" s="675">
        <f t="shared" ca="1" si="22"/>
        <v>15</v>
      </c>
      <c r="G126" s="675">
        <f t="shared" ca="1" si="23"/>
        <v>0</v>
      </c>
      <c r="H126" s="675">
        <f t="shared" ca="1" si="24"/>
        <v>0</v>
      </c>
      <c r="I126" s="675">
        <f t="shared" ca="1" si="25"/>
        <v>0</v>
      </c>
      <c r="J126" s="675">
        <f t="shared" ca="1" si="35"/>
        <v>0</v>
      </c>
      <c r="K126" s="675">
        <f ca="1">IF(OR($C126="S",$C126=0),0,MATCH(OFFSET($D126,0,$C126)+IF($C126&lt;&gt;1,1,COUNTIF(QCI!$A$13:$A$15,ORÇAMENTO!E126)),OFFSET($D126,1,$C126,ROW($C$231)-ROW($C126)),0))</f>
        <v>0</v>
      </c>
      <c r="L126" s="115" t="str">
        <f t="shared" ca="1" si="26"/>
        <v/>
      </c>
      <c r="M126" s="116" t="s">
        <v>706</v>
      </c>
      <c r="N126" s="117" t="str">
        <f t="shared" ca="1" si="27"/>
        <v>Serviço</v>
      </c>
      <c r="O126" s="118" t="str">
        <f t="shared" ca="1" si="28"/>
        <v>-</v>
      </c>
      <c r="P126" s="119" t="s">
        <v>968</v>
      </c>
      <c r="Q126" s="687" t="s">
        <v>1036</v>
      </c>
      <c r="R126" s="121" t="str">
        <f ca="1">IF($C126="S",REFERENCIA.Descricao,"(digite a descrição aqui)")</f>
        <v>(abra o arquivo 'Referência 09-2025.xlsm)</v>
      </c>
      <c r="S126" s="122" t="str">
        <f ca="1">REFERENCIA.Unidade</f>
        <v>-</v>
      </c>
      <c r="T126" s="123">
        <f ca="1">OFFSET(CÁLCULO!H$15,ROW($T126)-ROW(T$15),0)</f>
        <v>1</v>
      </c>
      <c r="U126" s="124">
        <f ca="1">ROUND(IF(DESONERACAO="sim",REFERENCIA.Desonerado,REFERENCIA.NaoDesonerado),2)</f>
        <v>0</v>
      </c>
      <c r="V126" s="125" t="s">
        <v>664</v>
      </c>
      <c r="W126" s="123">
        <f ca="1">IF($C126="S",ROUND(IF(TIPOORCAMENTO="Proposto",ORÇAMENTO.CustoUnitario*(1+$AH126),ORÇAMENTO.PrecoUnitarioLicitado),15-13*$AF$10),0)</f>
        <v>0</v>
      </c>
      <c r="X126" s="126" cm="1">
        <f t="array" aca="1" ref="X126" ca="1">IF($C126="S",IF(OR(Import.TipoArredondamento&lt;&gt;"TransfereGOV",ACOMPANHAMENTO="BM"),VTOTAL1,SUM(OFFSET(CÁLCULO!$AA$15,ROW($X126)-ROW($X$15),1):OFFSET(CÁLCULO!$AL$15,ROW($X126)-ROW($X$15),-1))),IF($C126=0,0,ROUND(SomaAgrup,15-13*$AF$11)))</f>
        <v>0</v>
      </c>
      <c r="Y126" s="127" t="s">
        <v>752</v>
      </c>
      <c r="Z126" s="675" t="str">
        <f t="shared" ca="1" si="29"/>
        <v/>
      </c>
      <c r="AA126" s="128">
        <f ca="1">IF($C126="S",IF($Z126="CP",$X126,IF($Z126="RA",(($X126)*QCI!$AA$3),0)),SomaAgrup)</f>
        <v>0</v>
      </c>
      <c r="AB126" s="129">
        <f t="shared" ca="1" si="30"/>
        <v>0</v>
      </c>
      <c r="AC126" s="566"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IF(AND(_xlfn.SINGLE(TIPOORCAMENTO)="Licitado",$AL126=0,$AN126&gt;0),"SEM PREÇO",
IF(AND($C126="S",$P126&lt;&gt;"",$Q126&lt;&gt;"",$U126&gt;0,$V126=0),"BDI",
IF(OR(AND(TIPOORCAMENTO="Proposto",LEFT($O$8,5)&lt;&gt;"(N/D:",$AG126&lt;&gt;"",ORÇAMENTO.CustoUnitario&gt;$AG126),AND(TIPOORCAMENTO="LICITADO",ORÇAMENTO.PrecoUnitarioLicitado&gt;$AN126)),"ACIMA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SEM CUSTO</v>
      </c>
      <c r="AD126" s="675" t="str">
        <f ca="1">IF(C126&lt;=CRONO.NivelExibicao,MAX($AD$15:OFFSET(AD126,-1,0))+IF($C126&lt;&gt;1,1,MAX(1,COUNTIF(QCI!$A$13:$A$15,OFFSET($E126,-1,0)))),"")</f>
        <v/>
      </c>
      <c r="AE126" s="671" t="str">
        <f ca="1">IF(AND($C126="S",ORÇAMENTO.CodBarra&lt;&gt;""),IF(ORÇAMENTO.Fonte="",ORÇAMENTO.CodBarra,CONCATENATE(ORÇAMENTO.Fonte," ",ORÇAMENTO.CodBarra)))</f>
        <v>COPASA 65004183</v>
      </c>
      <c r="AF126" s="674" t="str">
        <f ca="1">IF(ISERROR(INDIRECT(ORÇAMENTO.BancoRef)),"(abra o arquivo 'Referência "&amp;Excel_BuiltIn_Database&amp;".xlsm)",IF(OR($C126&lt;&gt;"S",ORÇAMENTO.CodBarra=""),"(Sem Código)",IF(ISERROR(MATCH($AE126,INDIRECT(ORÇAMENTO.BancoRef),0)),"(Código não identificado nas referências)",MATCH($AE126,INDIRECT(ORÇAMENTO.BancoRef),0))))</f>
        <v>(abra o arquivo 'Referência 09-2025.xlsm)</v>
      </c>
      <c r="AG126" s="429">
        <f ca="1">ROUND(IF(DESONERACAO="sim",REFERENCIA.Desonerado,REFERENCIA.NaoDesonerado),2)</f>
        <v>0</v>
      </c>
      <c r="AH126" s="430">
        <f t="shared" ca="1" si="31"/>
        <v>0.24740000000000001</v>
      </c>
      <c r="AJ126" s="699">
        <v>1</v>
      </c>
      <c r="AL126" s="440"/>
      <c r="AM126" s="337">
        <f t="shared" ca="1" si="0"/>
        <v>0</v>
      </c>
      <c r="AN126" s="471">
        <f t="shared" ca="1" si="32"/>
        <v>0</v>
      </c>
    </row>
    <row r="127" spans="1:40" s="675" customFormat="1" x14ac:dyDescent="0.2">
      <c r="A127" s="675" t="str">
        <f t="shared" si="18"/>
        <v>S</v>
      </c>
      <c r="B127" s="675">
        <f t="shared" ca="1" si="19"/>
        <v>2</v>
      </c>
      <c r="C127" s="675" t="str">
        <f t="shared" ca="1" si="20"/>
        <v>S</v>
      </c>
      <c r="D127" s="675">
        <f t="shared" ca="1" si="21"/>
        <v>0</v>
      </c>
      <c r="E127" s="675">
        <f ca="1">IF($C127=1,OFFSET(E127,-1,0)+MAX(1,COUNTIF(QCI!$A$13:$A$15,OFFSET(ORÇAMENTO!E127,-1,0))),OFFSET(E127,-1,0))</f>
        <v>1</v>
      </c>
      <c r="F127" s="675">
        <f t="shared" ca="1" si="22"/>
        <v>15</v>
      </c>
      <c r="G127" s="675">
        <f t="shared" ca="1" si="23"/>
        <v>0</v>
      </c>
      <c r="H127" s="675">
        <f t="shared" ca="1" si="24"/>
        <v>0</v>
      </c>
      <c r="I127" s="675">
        <f t="shared" ca="1" si="25"/>
        <v>0</v>
      </c>
      <c r="J127" s="675">
        <f t="shared" ca="1" si="35"/>
        <v>0</v>
      </c>
      <c r="K127" s="675">
        <f ca="1">IF(OR($C127="S",$C127=0),0,MATCH(OFFSET($D127,0,$C127)+IF($C127&lt;&gt;1,1,COUNTIF(QCI!$A$13:$A$15,ORÇAMENTO!E127)),OFFSET($D127,1,$C127,ROW($C$231)-ROW($C127)),0))</f>
        <v>0</v>
      </c>
      <c r="L127" s="115" t="str">
        <f t="shared" ca="1" si="26"/>
        <v/>
      </c>
      <c r="M127" s="116" t="s">
        <v>706</v>
      </c>
      <c r="N127" s="117" t="str">
        <f t="shared" ca="1" si="27"/>
        <v>Serviço</v>
      </c>
      <c r="O127" s="118" t="str">
        <f t="shared" ca="1" si="28"/>
        <v>-</v>
      </c>
      <c r="P127" s="119" t="s">
        <v>968</v>
      </c>
      <c r="Q127" s="687" t="s">
        <v>981</v>
      </c>
      <c r="R127" s="121" t="str">
        <f ca="1">IF($C127="S",REFERENCIA.Descricao,"(digite a descrição aqui)")</f>
        <v>(abra o arquivo 'Referência 09-2025.xlsm)</v>
      </c>
      <c r="S127" s="122" t="str">
        <f ca="1">REFERENCIA.Unidade</f>
        <v>-</v>
      </c>
      <c r="T127" s="123">
        <f ca="1">OFFSET(CÁLCULO!H$15,ROW($T127)-ROW(T$15),0)</f>
        <v>0.36</v>
      </c>
      <c r="U127" s="124">
        <f ca="1">ROUND(IF(DESONERACAO="sim",REFERENCIA.Desonerado,REFERENCIA.NaoDesonerado),2)</f>
        <v>0</v>
      </c>
      <c r="V127" s="125" t="s">
        <v>664</v>
      </c>
      <c r="W127" s="123">
        <f ca="1">IF($C127="S",ROUND(IF(TIPOORCAMENTO="Proposto",ORÇAMENTO.CustoUnitario*(1+$AH127),ORÇAMENTO.PrecoUnitarioLicitado),15-13*$AF$10),0)</f>
        <v>0</v>
      </c>
      <c r="X127" s="126" cm="1">
        <f t="array" aca="1" ref="X127" ca="1">IF($C127="S",IF(OR(Import.TipoArredondamento&lt;&gt;"TransfereGOV",ACOMPANHAMENTO="BM"),VTOTAL1,SUM(OFFSET(CÁLCULO!$AA$15,ROW($X127)-ROW($X$15),1):OFFSET(CÁLCULO!$AL$15,ROW($X127)-ROW($X$15),-1))),IF($C127=0,0,ROUND(SomaAgrup,15-13*$AF$11)))</f>
        <v>0</v>
      </c>
      <c r="Y127" s="127" t="s">
        <v>752</v>
      </c>
      <c r="Z127" s="675" t="str">
        <f t="shared" ca="1" si="29"/>
        <v/>
      </c>
      <c r="AA127" s="128">
        <f ca="1">IF($C127="S",IF($Z127="CP",$X127,IF($Z127="RA",(($X127)*QCI!$AA$3),0)),SomaAgrup)</f>
        <v>0</v>
      </c>
      <c r="AB127" s="129">
        <f t="shared" ca="1" si="30"/>
        <v>0</v>
      </c>
      <c r="AC127" s="566"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IF(AND(_xlfn.SINGLE(TIPOORCAMENTO)="Licitado",$AL127=0,$AN127&gt;0),"SEM PREÇO",
IF(AND($C127="S",$P127&lt;&gt;"",$Q127&lt;&gt;"",$U127&gt;0,$V127=0),"BDI",
IF(OR(AND(TIPOORCAMENTO="Proposto",LEFT($O$8,5)&lt;&gt;"(N/D:",$AG127&lt;&gt;"",ORÇAMENTO.CustoUnitario&gt;$AG127),AND(TIPOORCAMENTO="LICITADO",ORÇAMENTO.PrecoUnitarioLicitado&gt;$AN127)),"ACIMA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SEM CUSTO</v>
      </c>
      <c r="AD127" s="675" t="str">
        <f ca="1">IF(C127&lt;=CRONO.NivelExibicao,MAX($AD$15:OFFSET(AD127,-1,0))+IF($C127&lt;&gt;1,1,MAX(1,COUNTIF(QCI!$A$13:$A$15,OFFSET($E127,-1,0)))),"")</f>
        <v/>
      </c>
      <c r="AE127" s="671" t="str">
        <f ca="1">IF(AND($C127="S",ORÇAMENTO.CodBarra&lt;&gt;""),IF(ORÇAMENTO.Fonte="",ORÇAMENTO.CodBarra,CONCATENATE(ORÇAMENTO.Fonte," ",ORÇAMENTO.CodBarra)))</f>
        <v>COPASA 65000232</v>
      </c>
      <c r="AF127" s="674" t="str">
        <f ca="1">IF(ISERROR(INDIRECT(ORÇAMENTO.BancoRef)),"(abra o arquivo 'Referência "&amp;Excel_BuiltIn_Database&amp;".xlsm)",IF(OR($C127&lt;&gt;"S",ORÇAMENTO.CodBarra=""),"(Sem Código)",IF(ISERROR(MATCH($AE127,INDIRECT(ORÇAMENTO.BancoRef),0)),"(Código não identificado nas referências)",MATCH($AE127,INDIRECT(ORÇAMENTO.BancoRef),0))))</f>
        <v>(abra o arquivo 'Referência 09-2025.xlsm)</v>
      </c>
      <c r="AG127" s="429">
        <f ca="1">ROUND(IF(DESONERACAO="sim",REFERENCIA.Desonerado,REFERENCIA.NaoDesonerado),2)</f>
        <v>0</v>
      </c>
      <c r="AH127" s="430">
        <f t="shared" ca="1" si="31"/>
        <v>0.24740000000000001</v>
      </c>
      <c r="AJ127" s="699">
        <v>0.36</v>
      </c>
      <c r="AL127" s="440"/>
      <c r="AM127" s="337">
        <f t="shared" ca="1" si="0"/>
        <v>0</v>
      </c>
      <c r="AN127" s="471">
        <f t="shared" ca="1" si="32"/>
        <v>0</v>
      </c>
    </row>
    <row r="128" spans="1:40" s="675" customFormat="1" ht="13.9" customHeight="1" x14ac:dyDescent="0.2">
      <c r="A128" s="675" t="str">
        <f t="shared" si="18"/>
        <v>S</v>
      </c>
      <c r="B128" s="675">
        <f t="shared" ca="1" si="19"/>
        <v>2</v>
      </c>
      <c r="C128" s="675" t="str">
        <f t="shared" ca="1" si="20"/>
        <v>S</v>
      </c>
      <c r="D128" s="675">
        <f t="shared" ca="1" si="21"/>
        <v>0</v>
      </c>
      <c r="E128" s="675">
        <f ca="1">IF($C128=1,OFFSET(E128,-1,0)+MAX(1,COUNTIF(QCI!$A$13:$A$15,OFFSET(ORÇAMENTO!E128,-1,0))),OFFSET(E128,-1,0))</f>
        <v>1</v>
      </c>
      <c r="F128" s="675">
        <f t="shared" ca="1" si="22"/>
        <v>15</v>
      </c>
      <c r="G128" s="675">
        <f t="shared" ca="1" si="23"/>
        <v>0</v>
      </c>
      <c r="H128" s="675">
        <f t="shared" ca="1" si="24"/>
        <v>0</v>
      </c>
      <c r="I128" s="675">
        <f t="shared" ca="1" si="25"/>
        <v>0</v>
      </c>
      <c r="J128" s="675">
        <f t="shared" ca="1" si="35"/>
        <v>0</v>
      </c>
      <c r="K128" s="675">
        <f ca="1">IF(OR($C128="S",$C128=0),0,MATCH(OFFSET($D128,0,$C128)+IF($C128&lt;&gt;1,1,COUNTIF(QCI!$A$13:$A$15,ORÇAMENTO!E128)),OFFSET($D128,1,$C128,ROW($C$231)-ROW($C128)),0))</f>
        <v>0</v>
      </c>
      <c r="L128" s="115" t="str">
        <f t="shared" ca="1" si="26"/>
        <v/>
      </c>
      <c r="M128" s="116" t="s">
        <v>706</v>
      </c>
      <c r="N128" s="117" t="str">
        <f t="shared" ca="1" si="27"/>
        <v>Serviço</v>
      </c>
      <c r="O128" s="118" t="str">
        <f t="shared" ca="1" si="28"/>
        <v>-</v>
      </c>
      <c r="P128" s="119" t="s">
        <v>968</v>
      </c>
      <c r="Q128" s="687" t="s">
        <v>980</v>
      </c>
      <c r="R128" s="121" t="str">
        <f ca="1">IF($C128="S",REFERENCIA.Descricao,"(digite a descrição aqui)")</f>
        <v>(abra o arquivo 'Referência 09-2025.xlsm)</v>
      </c>
      <c r="S128" s="122" t="str">
        <f ca="1">REFERENCIA.Unidade</f>
        <v>-</v>
      </c>
      <c r="T128" s="123">
        <f ca="1">OFFSET(CÁLCULO!H$15,ROW($T128)-ROW(T$15),0)</f>
        <v>1</v>
      </c>
      <c r="U128" s="124">
        <f ca="1">ROUND(IF(DESONERACAO="sim",REFERENCIA.Desonerado,REFERENCIA.NaoDesonerado),2)</f>
        <v>0</v>
      </c>
      <c r="V128" s="125" t="s">
        <v>664</v>
      </c>
      <c r="W128" s="123">
        <f ca="1">IF($C128="S",ROUND(IF(TIPOORCAMENTO="Proposto",ORÇAMENTO.CustoUnitario*(1+$AH128),ORÇAMENTO.PrecoUnitarioLicitado),15-13*$AF$10),0)</f>
        <v>0</v>
      </c>
      <c r="X128" s="126" cm="1">
        <f t="array" aca="1" ref="X128" ca="1">IF($C128="S",IF(OR(Import.TipoArredondamento&lt;&gt;"TransfereGOV",ACOMPANHAMENTO="BM"),VTOTAL1,SUM(OFFSET(CÁLCULO!$AA$15,ROW($X128)-ROW($X$15),1):OFFSET(CÁLCULO!$AL$15,ROW($X128)-ROW($X$15),-1))),IF($C128=0,0,ROUND(SomaAgrup,15-13*$AF$11)))</f>
        <v>0</v>
      </c>
      <c r="Y128" s="127" t="s">
        <v>752</v>
      </c>
      <c r="Z128" s="675" t="str">
        <f t="shared" ca="1" si="29"/>
        <v/>
      </c>
      <c r="AA128" s="128">
        <f ca="1">IF($C128="S",IF($Z128="CP",$X128,IF($Z128="RA",(($X128)*QCI!$AA$3),0)),SomaAgrup)</f>
        <v>0</v>
      </c>
      <c r="AB128" s="129">
        <f t="shared" ca="1" si="30"/>
        <v>0</v>
      </c>
      <c r="AC128" s="566"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IF(AND(_xlfn.SINGLE(TIPOORCAMENTO)="Licitado",$AL128=0,$AN128&gt;0),"SEM PREÇO",
IF(AND($C128="S",$P128&lt;&gt;"",$Q128&lt;&gt;"",$U128&gt;0,$V128=0),"BDI",
IF(OR(AND(TIPOORCAMENTO="Proposto",LEFT($O$8,5)&lt;&gt;"(N/D:",$AG128&lt;&gt;"",ORÇAMENTO.CustoUnitario&gt;$AG128),AND(TIPOORCAMENTO="LICITADO",ORÇAMENTO.PrecoUnitarioLicitado&gt;$AN128)),"ACIMA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SEM CUSTO</v>
      </c>
      <c r="AD128" s="675" t="str">
        <f ca="1">IF(C128&lt;=CRONO.NivelExibicao,MAX($AD$15:OFFSET(AD128,-1,0))+IF($C128&lt;&gt;1,1,MAX(1,COUNTIF(QCI!$A$13:$A$15,OFFSET($E128,-1,0)))),"")</f>
        <v/>
      </c>
      <c r="AE128" s="671" t="str">
        <f ca="1">IF(AND($C128="S",ORÇAMENTO.CodBarra&lt;&gt;""),IF(ORÇAMENTO.Fonte="",ORÇAMENTO.CodBarra,CONCATENATE(ORÇAMENTO.Fonte," ",ORÇAMENTO.CodBarra)))</f>
        <v>COPASA 65000221</v>
      </c>
      <c r="AF128" s="674" t="str">
        <f ca="1">IF(ISERROR(INDIRECT(ORÇAMENTO.BancoRef)),"(abra o arquivo 'Referência "&amp;Excel_BuiltIn_Database&amp;".xlsm)",IF(OR($C128&lt;&gt;"S",ORÇAMENTO.CodBarra=""),"(Sem Código)",IF(ISERROR(MATCH($AE128,INDIRECT(ORÇAMENTO.BancoRef),0)),"(Código não identificado nas referências)",MATCH($AE128,INDIRECT(ORÇAMENTO.BancoRef),0))))</f>
        <v>(abra o arquivo 'Referência 09-2025.xlsm)</v>
      </c>
      <c r="AG128" s="429">
        <f ca="1">ROUND(IF(DESONERACAO="sim",REFERENCIA.Desonerado,REFERENCIA.NaoDesonerado),2)</f>
        <v>0</v>
      </c>
      <c r="AH128" s="430">
        <f t="shared" ca="1" si="31"/>
        <v>0.24740000000000001</v>
      </c>
      <c r="AJ128" s="699">
        <v>1</v>
      </c>
      <c r="AL128" s="440"/>
      <c r="AM128" s="337">
        <f t="shared" ca="1" si="0"/>
        <v>0</v>
      </c>
      <c r="AN128" s="471">
        <f t="shared" ca="1" si="32"/>
        <v>0</v>
      </c>
    </row>
    <row r="129" spans="1:40" s="675" customFormat="1" x14ac:dyDescent="0.2">
      <c r="A129" s="675">
        <f t="shared" si="18"/>
        <v>2</v>
      </c>
      <c r="B129" s="675">
        <f t="shared" ca="1" si="19"/>
        <v>2</v>
      </c>
      <c r="C129" s="675">
        <f t="shared" ca="1" si="20"/>
        <v>2</v>
      </c>
      <c r="D129" s="675">
        <f t="shared" ca="1" si="21"/>
        <v>4</v>
      </c>
      <c r="E129" s="675">
        <f ca="1">IF($C129=1,OFFSET(E129,-1,0)+MAX(1,COUNTIF(QCI!$A$13:$A$15,OFFSET(ORÇAMENTO!E129,-1,0))),OFFSET(E129,-1,0))</f>
        <v>1</v>
      </c>
      <c r="F129" s="675">
        <f t="shared" ca="1" si="22"/>
        <v>16</v>
      </c>
      <c r="G129" s="675">
        <f t="shared" ca="1" si="23"/>
        <v>0</v>
      </c>
      <c r="H129" s="675">
        <f t="shared" ca="1" si="24"/>
        <v>0</v>
      </c>
      <c r="I129" s="675">
        <f t="shared" ca="1" si="25"/>
        <v>0</v>
      </c>
      <c r="J129" s="675">
        <f t="shared" ca="1" si="35"/>
        <v>102</v>
      </c>
      <c r="K129" s="675">
        <f ca="1">IF(OR($C129="S",$C129=0),0,MATCH(OFFSET($D129,0,$C129)+IF($C129&lt;&gt;1,1,COUNTIF(QCI!$A$13:$A$15,ORÇAMENTO!E129)),OFFSET($D129,1,$C129,ROW($C$231)-ROW($C129)),0))</f>
        <v>4</v>
      </c>
      <c r="L129" s="115" t="str">
        <f t="shared" ca="1" si="26"/>
        <v>F</v>
      </c>
      <c r="M129" s="116" t="s">
        <v>703</v>
      </c>
      <c r="N129" s="117" t="str">
        <f t="shared" ca="1" si="27"/>
        <v>Nível 2</v>
      </c>
      <c r="O129" s="118" t="str">
        <f t="shared" ca="1" si="28"/>
        <v>1.16.</v>
      </c>
      <c r="P129" s="119" t="s">
        <v>751</v>
      </c>
      <c r="Q129" s="120"/>
      <c r="R129" s="121" t="s">
        <v>1039</v>
      </c>
      <c r="S129" s="122" t="str">
        <f ca="1">REFERENCIA.Unidade</f>
        <v>-</v>
      </c>
      <c r="T129" s="123">
        <f ca="1">OFFSET(CÁLCULO!H$15,ROW($T129)-ROW(T$15),0)</f>
        <v>0</v>
      </c>
      <c r="U129" s="124">
        <f ca="1">ROUND(IF(DESONERACAO="sim",REFERENCIA.Desonerado,REFERENCIA.NaoDesonerado),2)</f>
        <v>0</v>
      </c>
      <c r="V129" s="125" t="s">
        <v>664</v>
      </c>
      <c r="W129" s="123">
        <f ca="1">IF($C129="S",ROUND(IF(TIPOORCAMENTO="Proposto",ORÇAMENTO.CustoUnitario*(1+$AH129),ORÇAMENTO.PrecoUnitarioLicitado),15-13*$AF$10),0)</f>
        <v>0</v>
      </c>
      <c r="X129" s="126" cm="1">
        <f t="array" aca="1" ref="X129" ca="1">IF($C129="S",IF(OR(Import.TipoArredondamento&lt;&gt;"TransfereGOV",ACOMPANHAMENTO="BM"),VTOTAL1,SUM(OFFSET(CÁLCULO!$AA$15,ROW($X129)-ROW($X$15),1):OFFSET(CÁLCULO!$AL$15,ROW($X129)-ROW($X$15),-1))),IF($C129=0,0,ROUND(SomaAgrup,15-13*$AF$11)))</f>
        <v>0</v>
      </c>
      <c r="Y129" s="127" t="s">
        <v>752</v>
      </c>
      <c r="Z129" s="675" t="str">
        <f t="shared" ca="1" si="29"/>
        <v/>
      </c>
      <c r="AA129" s="128">
        <f ca="1">IF($C129="S",IF($Z129="CP",$X129,IF($Z129="RA",(($X129)*QCI!$AA$3),0)),SomaAgrup)</f>
        <v>0</v>
      </c>
      <c r="AB129" s="129">
        <f t="shared" ca="1" si="30"/>
        <v>0</v>
      </c>
      <c r="AC129" s="566" t="e"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IF(AND(_xlfn.SINGLE(TIPOORCAMENTO)="Licitado",$AL129=0,$AN129&gt;0),"SEM PREÇO",
IF(AND($C129="S",$P129&lt;&gt;"",$Q129&lt;&gt;"",$U129&gt;0,$V129=0),"BDI",
IF(OR(AND(TIPOORCAMENTO="Proposto",LEFT($O$8,5)&lt;&gt;"(N/D:",$AG129&lt;&gt;"",ORÇAMENTO.CustoUnitario&gt;$AG129),AND(TIPOORCAMENTO="LICITADO",ORÇAMENTO.PrecoUnitarioLicitado&gt;$AN129)),"ACIMA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#NAME?</v>
      </c>
      <c r="AD129" s="675">
        <f ca="1">IF(C129&lt;=CRONO.NivelExibicao,MAX($AD$15:OFFSET(AD129,-1,0))+IF($C129&lt;&gt;1,1,MAX(1,COUNTIF(QCI!$A$13:$A$15,OFFSET($E129,-1,0)))),"")</f>
        <v>17</v>
      </c>
      <c r="AE129" s="671" t="b">
        <f ca="1">IF(AND($C129="S",ORÇAMENTO.CodBarra&lt;&gt;""),IF(ORÇAMENTO.Fonte="",ORÇAMENTO.CodBarra,CONCATENATE(ORÇAMENTO.Fonte," ",ORÇAMENTO.CodBarra)))</f>
        <v>0</v>
      </c>
      <c r="AF129" s="674" t="str">
        <f ca="1">IF(ISERROR(INDIRECT(ORÇAMENTO.BancoRef)),"(abra o arquivo 'Referência "&amp;Excel_BuiltIn_Database&amp;".xlsm)",IF(OR($C129&lt;&gt;"S",ORÇAMENTO.CodBarra=""),"(Sem Código)",IF(ISERROR(MATCH($AE129,INDIRECT(ORÇAMENTO.BancoRef),0)),"(Código não identificado nas referências)",MATCH($AE129,INDIRECT(ORÇAMENTO.BancoRef),0))))</f>
        <v>(abra o arquivo 'Referência 09-2025.xlsm)</v>
      </c>
      <c r="AG129" s="429">
        <f ca="1">ROUND(IF(DESONERACAO="sim",REFERENCIA.Desonerado,REFERENCIA.NaoDesonerado),2)</f>
        <v>0</v>
      </c>
      <c r="AH129" s="430">
        <f t="shared" ca="1" si="31"/>
        <v>0.24740000000000001</v>
      </c>
      <c r="AJ129" s="699"/>
      <c r="AL129" s="440"/>
      <c r="AM129" s="337">
        <f t="shared" ca="1" si="0"/>
        <v>0</v>
      </c>
      <c r="AN129" s="471">
        <f t="shared" ca="1" si="32"/>
        <v>0</v>
      </c>
    </row>
    <row r="130" spans="1:40" s="675" customFormat="1" ht="13.9" customHeight="1" x14ac:dyDescent="0.2">
      <c r="A130" s="675" t="str">
        <f t="shared" si="18"/>
        <v>S</v>
      </c>
      <c r="B130" s="675">
        <f t="shared" ca="1" si="19"/>
        <v>2</v>
      </c>
      <c r="C130" s="675" t="str">
        <f t="shared" ca="1" si="20"/>
        <v>S</v>
      </c>
      <c r="D130" s="675">
        <f t="shared" ca="1" si="21"/>
        <v>0</v>
      </c>
      <c r="E130" s="675">
        <f ca="1">IF($C130=1,OFFSET(E130,-1,0)+MAX(1,COUNTIF(QCI!$A$13:$A$15,OFFSET(ORÇAMENTO!E130,-1,0))),OFFSET(E130,-1,0))</f>
        <v>1</v>
      </c>
      <c r="F130" s="675">
        <f t="shared" ca="1" si="22"/>
        <v>16</v>
      </c>
      <c r="G130" s="675">
        <f t="shared" ca="1" si="23"/>
        <v>0</v>
      </c>
      <c r="H130" s="675">
        <f t="shared" ca="1" si="24"/>
        <v>0</v>
      </c>
      <c r="I130" s="675">
        <f t="shared" ca="1" si="25"/>
        <v>0</v>
      </c>
      <c r="J130" s="675">
        <f t="shared" ca="1" si="35"/>
        <v>0</v>
      </c>
      <c r="K130" s="675">
        <f ca="1">IF(OR($C130="S",$C130=0),0,MATCH(OFFSET($D130,0,$C130)+IF($C130&lt;&gt;1,1,COUNTIF(QCI!$A$13:$A$15,ORÇAMENTO!E130)),OFFSET($D130,1,$C130,ROW($C$231)-ROW($C130)),0))</f>
        <v>0</v>
      </c>
      <c r="L130" s="115" t="str">
        <f t="shared" ca="1" si="26"/>
        <v/>
      </c>
      <c r="M130" s="116" t="s">
        <v>706</v>
      </c>
      <c r="N130" s="117" t="str">
        <f t="shared" ca="1" si="27"/>
        <v>Serviço</v>
      </c>
      <c r="O130" s="118" t="str">
        <f t="shared" ca="1" si="28"/>
        <v>-</v>
      </c>
      <c r="P130" s="119" t="s">
        <v>968</v>
      </c>
      <c r="Q130" s="688" t="s">
        <v>1037</v>
      </c>
      <c r="R130" s="121" t="str">
        <f ca="1">IF($C130="S",REFERENCIA.Descricao,"(digite a descrição aqui)")</f>
        <v>(abra o arquivo 'Referência 09-2025.xlsm)</v>
      </c>
      <c r="S130" s="122" t="str">
        <f ca="1">REFERENCIA.Unidade</f>
        <v>-</v>
      </c>
      <c r="T130" s="123">
        <f ca="1">OFFSET(CÁLCULO!H$15,ROW($T130)-ROW(T$15),0)</f>
        <v>2890</v>
      </c>
      <c r="U130" s="124">
        <f ca="1">ROUND(IF(DESONERACAO="sim",REFERENCIA.Desonerado,REFERENCIA.NaoDesonerado),2)</f>
        <v>0</v>
      </c>
      <c r="V130" s="125" t="s">
        <v>664</v>
      </c>
      <c r="W130" s="123">
        <f ca="1">IF($C130="S",ROUND(IF(TIPOORCAMENTO="Proposto",ORÇAMENTO.CustoUnitario*(1+$AH130),ORÇAMENTO.PrecoUnitarioLicitado),15-13*$AF$10),0)</f>
        <v>0</v>
      </c>
      <c r="X130" s="126" cm="1">
        <f t="array" aca="1" ref="X130" ca="1">IF($C130="S",IF(OR(Import.TipoArredondamento&lt;&gt;"TransfereGOV",ACOMPANHAMENTO="BM"),VTOTAL1,SUM(OFFSET(CÁLCULO!$AA$15,ROW($X130)-ROW($X$15),1):OFFSET(CÁLCULO!$AL$15,ROW($X130)-ROW($X$15),-1))),IF($C130=0,0,ROUND(SomaAgrup,15-13*$AF$11)))</f>
        <v>0</v>
      </c>
      <c r="Y130" s="127" t="s">
        <v>752</v>
      </c>
      <c r="Z130" s="675" t="str">
        <f t="shared" ca="1" si="29"/>
        <v/>
      </c>
      <c r="AA130" s="128">
        <f ca="1">IF($C130="S",IF($Z130="CP",$X130,IF($Z130="RA",(($X130)*QCI!$AA$3),0)),SomaAgrup)</f>
        <v>0</v>
      </c>
      <c r="AB130" s="129">
        <f t="shared" ca="1" si="30"/>
        <v>0</v>
      </c>
      <c r="AC130" s="566"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IF(AND(_xlfn.SINGLE(TIPOORCAMENTO)="Licitado",$AL130=0,$AN130&gt;0),"SEM PREÇO",
IF(AND($C130="S",$P130&lt;&gt;"",$Q130&lt;&gt;"",$U130&gt;0,$V130=0),"BDI",
IF(OR(AND(TIPOORCAMENTO="Proposto",LEFT($O$8,5)&lt;&gt;"(N/D:",$AG130&lt;&gt;"",ORÇAMENTO.CustoUnitario&gt;$AG130),AND(TIPOORCAMENTO="LICITADO",ORÇAMENTO.PrecoUnitarioLicitado&gt;$AN130)),"ACIMA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SEM CUSTO</v>
      </c>
      <c r="AD130" s="675" t="str">
        <f ca="1">IF(C130&lt;=CRONO.NivelExibicao,MAX($AD$15:OFFSET(AD130,-1,0))+IF($C130&lt;&gt;1,1,MAX(1,COUNTIF(QCI!$A$13:$A$15,OFFSET($E130,-1,0)))),"")</f>
        <v/>
      </c>
      <c r="AE130" s="671" t="str">
        <f ca="1">IF(AND($C130="S",ORÇAMENTO.CodBarra&lt;&gt;""),IF(ORÇAMENTO.Fonte="",ORÇAMENTO.CodBarra,CONCATENATE(ORÇAMENTO.Fonte," ",ORÇAMENTO.CodBarra)))</f>
        <v>COPASA 65001171</v>
      </c>
      <c r="AF130" s="674" t="str">
        <f ca="1">IF(ISERROR(INDIRECT(ORÇAMENTO.BancoRef)),"(abra o arquivo 'Referência "&amp;Excel_BuiltIn_Database&amp;".xlsm)",IF(OR($C130&lt;&gt;"S",ORÇAMENTO.CodBarra=""),"(Sem Código)",IF(ISERROR(MATCH($AE130,INDIRECT(ORÇAMENTO.BancoRef),0)),"(Código não identificado nas referências)",MATCH($AE130,INDIRECT(ORÇAMENTO.BancoRef),0))))</f>
        <v>(abra o arquivo 'Referência 09-2025.xlsm)</v>
      </c>
      <c r="AG130" s="429">
        <f ca="1">ROUND(IF(DESONERACAO="sim",REFERENCIA.Desonerado,REFERENCIA.NaoDesonerado),2)</f>
        <v>0</v>
      </c>
      <c r="AH130" s="430">
        <f t="shared" ca="1" si="31"/>
        <v>0.24740000000000001</v>
      </c>
      <c r="AJ130" s="699">
        <v>2890</v>
      </c>
      <c r="AL130" s="440"/>
      <c r="AM130" s="337">
        <f t="shared" ca="1" si="0"/>
        <v>0</v>
      </c>
      <c r="AN130" s="471">
        <f t="shared" ca="1" si="32"/>
        <v>0</v>
      </c>
    </row>
    <row r="131" spans="1:40" s="675" customFormat="1" x14ac:dyDescent="0.2">
      <c r="A131" s="675" t="str">
        <f t="shared" si="18"/>
        <v>S</v>
      </c>
      <c r="B131" s="675">
        <f t="shared" ca="1" si="19"/>
        <v>2</v>
      </c>
      <c r="C131" s="675" t="str">
        <f t="shared" ca="1" si="20"/>
        <v>S</v>
      </c>
      <c r="D131" s="675">
        <f t="shared" ca="1" si="21"/>
        <v>0</v>
      </c>
      <c r="E131" s="675">
        <f ca="1">IF($C131=1,OFFSET(E131,-1,0)+MAX(1,COUNTIF(QCI!$A$13:$A$15,OFFSET(ORÇAMENTO!E131,-1,0))),OFFSET(E131,-1,0))</f>
        <v>1</v>
      </c>
      <c r="F131" s="675">
        <f t="shared" ca="1" si="22"/>
        <v>16</v>
      </c>
      <c r="G131" s="675">
        <f t="shared" ca="1" si="23"/>
        <v>0</v>
      </c>
      <c r="H131" s="675">
        <f t="shared" ca="1" si="24"/>
        <v>0</v>
      </c>
      <c r="I131" s="675">
        <f t="shared" ca="1" si="25"/>
        <v>0</v>
      </c>
      <c r="J131" s="675">
        <f t="shared" ca="1" si="35"/>
        <v>0</v>
      </c>
      <c r="K131" s="675">
        <f ca="1">IF(OR($C131="S",$C131=0),0,MATCH(OFFSET($D131,0,$C131)+IF($C131&lt;&gt;1,1,COUNTIF(QCI!$A$13:$A$15,ORÇAMENTO!E131)),OFFSET($D131,1,$C131,ROW($C$231)-ROW($C131)),0))</f>
        <v>0</v>
      </c>
      <c r="L131" s="115" t="str">
        <f t="shared" ca="1" si="26"/>
        <v/>
      </c>
      <c r="M131" s="116" t="s">
        <v>706</v>
      </c>
      <c r="N131" s="117" t="str">
        <f t="shared" ca="1" si="27"/>
        <v>Serviço</v>
      </c>
      <c r="O131" s="118" t="str">
        <f t="shared" ca="1" si="28"/>
        <v>-</v>
      </c>
      <c r="P131" s="119" t="s">
        <v>968</v>
      </c>
      <c r="Q131" s="688" t="s">
        <v>1038</v>
      </c>
      <c r="R131" s="121" t="str">
        <f ca="1">IF($C131="S",REFERENCIA.Descricao,"(digite a descrição aqui)")</f>
        <v>(abra o arquivo 'Referência 09-2025.xlsm)</v>
      </c>
      <c r="S131" s="122" t="str">
        <f ca="1">REFERENCIA.Unidade</f>
        <v>-</v>
      </c>
      <c r="T131" s="123">
        <f ca="1">OFFSET(CÁLCULO!H$15,ROW($T131)-ROW(T$15),0)</f>
        <v>1192</v>
      </c>
      <c r="U131" s="124">
        <f ca="1">ROUND(IF(DESONERACAO="sim",REFERENCIA.Desonerado,REFERENCIA.NaoDesonerado),2)</f>
        <v>0</v>
      </c>
      <c r="V131" s="125" t="s">
        <v>664</v>
      </c>
      <c r="W131" s="123">
        <f ca="1">IF($C131="S",ROUND(IF(TIPOORCAMENTO="Proposto",ORÇAMENTO.CustoUnitario*(1+$AH131),ORÇAMENTO.PrecoUnitarioLicitado),15-13*$AF$10),0)</f>
        <v>0</v>
      </c>
      <c r="X131" s="126" cm="1">
        <f t="array" aca="1" ref="X131" ca="1">IF($C131="S",IF(OR(Import.TipoArredondamento&lt;&gt;"TransfereGOV",ACOMPANHAMENTO="BM"),VTOTAL1,SUM(OFFSET(CÁLCULO!$AA$15,ROW($X131)-ROW($X$15),1):OFFSET(CÁLCULO!$AL$15,ROW($X131)-ROW($X$15),-1))),IF($C131=0,0,ROUND(SomaAgrup,15-13*$AF$11)))</f>
        <v>0</v>
      </c>
      <c r="Y131" s="127" t="s">
        <v>752</v>
      </c>
      <c r="Z131" s="675" t="str">
        <f t="shared" ca="1" si="29"/>
        <v/>
      </c>
      <c r="AA131" s="128">
        <f ca="1">IF($C131="S",IF($Z131="CP",$X131,IF($Z131="RA",(($X131)*QCI!$AA$3),0)),SomaAgrup)</f>
        <v>0</v>
      </c>
      <c r="AB131" s="129">
        <f t="shared" ca="1" si="30"/>
        <v>0</v>
      </c>
      <c r="AC131" s="566"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IF(AND(_xlfn.SINGLE(TIPOORCAMENTO)="Licitado",$AL131=0,$AN131&gt;0),"SEM PREÇO",
IF(AND($C131="S",$P131&lt;&gt;"",$Q131&lt;&gt;"",$U131&gt;0,$V131=0),"BDI",
IF(OR(AND(TIPOORCAMENTO="Proposto",LEFT($O$8,5)&lt;&gt;"(N/D:",$AG131&lt;&gt;"",ORÇAMENTO.CustoUnitario&gt;$AG131),AND(TIPOORCAMENTO="LICITADO",ORÇAMENTO.PrecoUnitarioLicitado&gt;$AN131)),"ACIMA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SEM CUSTO</v>
      </c>
      <c r="AD131" s="675" t="str">
        <f ca="1">IF(C131&lt;=CRONO.NivelExibicao,MAX($AD$15:OFFSET(AD131,-1,0))+IF($C131&lt;&gt;1,1,MAX(1,COUNTIF(QCI!$A$13:$A$15,OFFSET($E131,-1,0)))),"")</f>
        <v/>
      </c>
      <c r="AE131" s="671" t="str">
        <f ca="1">IF(AND($C131="S",ORÇAMENTO.CodBarra&lt;&gt;""),IF(ORÇAMENTO.Fonte="",ORÇAMENTO.CodBarra,CONCATENATE(ORÇAMENTO.Fonte," ",ORÇAMENTO.CodBarra)))</f>
        <v>COPASA 65000380</v>
      </c>
      <c r="AF131" s="674" t="str">
        <f ca="1">IF(ISERROR(INDIRECT(ORÇAMENTO.BancoRef)),"(abra o arquivo 'Referência "&amp;Excel_BuiltIn_Database&amp;".xlsm)",IF(OR($C131&lt;&gt;"S",ORÇAMENTO.CodBarra=""),"(Sem Código)",IF(ISERROR(MATCH($AE131,INDIRECT(ORÇAMENTO.BancoRef),0)),"(Código não identificado nas referências)",MATCH($AE131,INDIRECT(ORÇAMENTO.BancoRef),0))))</f>
        <v>(abra o arquivo 'Referência 09-2025.xlsm)</v>
      </c>
      <c r="AG131" s="429">
        <f ca="1">ROUND(IF(DESONERACAO="sim",REFERENCIA.Desonerado,REFERENCIA.NaoDesonerado),2)</f>
        <v>0</v>
      </c>
      <c r="AH131" s="430">
        <f t="shared" ca="1" si="31"/>
        <v>0.24740000000000001</v>
      </c>
      <c r="AJ131" s="699">
        <v>1192</v>
      </c>
      <c r="AL131" s="440"/>
      <c r="AM131" s="337">
        <f t="shared" ca="1" si="0"/>
        <v>0</v>
      </c>
      <c r="AN131" s="471">
        <f t="shared" ca="1" si="32"/>
        <v>0</v>
      </c>
    </row>
    <row r="132" spans="1:40" s="705" customFormat="1" x14ac:dyDescent="0.2">
      <c r="A132" s="705" t="str">
        <f>CHOOSE(1+LOG(1+2*(ORÇAMENTO.Nivel="Meta")+4*(ORÇAMENTO.Nivel="Nível 2")+8*(ORÇAMENTO.Nivel="Nível 3")+16*(ORÇAMENTO.Nivel="Nível 4")+32*(ORÇAMENTO.Nivel="Serviço"),2),0,1,2,3,4,"S")</f>
        <v>S</v>
      </c>
      <c r="B132" s="705">
        <f ca="1">IF(OR(C132="s",C132=0),OFFSET(B132,-1,0),C132)</f>
        <v>2</v>
      </c>
      <c r="C132" s="705" t="str">
        <f ca="1">IF(OFFSET(C132,-1,0)="L",1,IF(OFFSET(C132,-1,0)=1,2,IF(OR(A132="s",A132=0),"S",IF(AND(OFFSET(C132,-1,0)=2,A132=4),3,IF(AND(OR(OFFSET(C132,-1,0)="s",OFFSET(C132,-1,0)=0),A132&lt;&gt;"s",A132&gt;OFFSET(B132,-1,0)),OFFSET(B132,-1,0),A132)))))</f>
        <v>S</v>
      </c>
      <c r="D132" s="705">
        <f ca="1">IF(OR(C132="S",C132=0),0,IF(ISERROR(K132),J132,SMALL(J132:K132,1)))</f>
        <v>0</v>
      </c>
      <c r="E132" s="705">
        <f ca="1">IF($C132=1,OFFSET(E132,-1,0)+MAX(1,COUNTIF(QCI!$A$13:$A$15,OFFSET(ORÇAMENTO!E132,-1,0))),OFFSET(E132,-1,0))</f>
        <v>1</v>
      </c>
      <c r="F132" s="705">
        <f ca="1">IF($C132=1,0,IF($C132=2,OFFSET(F132,-1,0)+1,OFFSET(F132,-1,0)))</f>
        <v>16</v>
      </c>
      <c r="G132" s="705">
        <f ca="1">IF(AND($C132&lt;=2,$C132&lt;&gt;0),0,IF($C132=3,OFFSET(G132,-1,0)+1,OFFSET(G132,-1,0)))</f>
        <v>0</v>
      </c>
      <c r="H132" s="705">
        <f ca="1">IF(AND($C132&lt;=3,$C132&lt;&gt;0),0,IF($C132=4,OFFSET(H132,-1,0)+1,OFFSET(H132,-1,0)))</f>
        <v>0</v>
      </c>
      <c r="I132" s="705">
        <f ca="1">IF(AND($C132&lt;=4,$C132&lt;&gt;0),0,IF(AND($C132="S",$X132&gt;0),OFFSET(I132,-1,0)+1,OFFSET(I132,-1,0)))</f>
        <v>0</v>
      </c>
      <c r="J132" s="705">
        <f t="shared" ca="1" si="35"/>
        <v>0</v>
      </c>
      <c r="K132" s="705">
        <f ca="1">IF(OR($C132="S",$C132=0),0,MATCH(OFFSET($D132,0,$C132)+IF($C132&lt;&gt;1,1,COUNTIF(QCI!$A$13:$A$15,ORÇAMENTO!E132)),OFFSET($D132,1,$C132,ROW($C$231)-ROW($C132)),0))</f>
        <v>0</v>
      </c>
      <c r="L132" s="115" t="str">
        <f ca="1">IF(OR($X132&gt;0,$C132=1,$C132=2,$C132=3,$C132=4),"F","")</f>
        <v/>
      </c>
      <c r="M132" s="116" t="s">
        <v>706</v>
      </c>
      <c r="N132" s="117" t="str">
        <f ca="1">CHOOSE(1+LOG(1+2*(C132=1)+4*(C132=2)+8*(C132=3)+16*(C132=4)+32*(C132="S"),2),"","Meta","Nível 2","Nível 3","Nível 4","Serviço")</f>
        <v>Serviço</v>
      </c>
      <c r="O132" s="118" t="str">
        <f ca="1">IF(OR($C132=0,$L132=""),"-",CONCATENATE(E132&amp;".",IF(AND($A$5&gt;=2,$C132&gt;=2),F132&amp;".",""),IF(AND($A$5&gt;=3,$C132&gt;=3),G132&amp;".",""),IF(AND($A$5&gt;=4,$C132&gt;=4),H132&amp;".",""),IF($C132="S",I132&amp;".","")))</f>
        <v>-</v>
      </c>
      <c r="P132" s="119" t="s">
        <v>968</v>
      </c>
      <c r="Q132" s="120" t="s">
        <v>1128</v>
      </c>
      <c r="R132" s="121" t="str">
        <f ca="1">IF($C132="S",REFERENCIA.Descricao,"(digite a descrição aqui)")</f>
        <v>(abra o arquivo 'Referência 09-2025.xlsm)</v>
      </c>
      <c r="S132" s="122" t="str">
        <f ca="1">REFERENCIA.Unidade</f>
        <v>-</v>
      </c>
      <c r="T132" s="123">
        <f ca="1">OFFSET(CÁLCULO!H$15,ROW($T132)-ROW(T$15),0)</f>
        <v>1698</v>
      </c>
      <c r="U132" s="124">
        <f ca="1">ROUND(IF(DESONERACAO="sim",REFERENCIA.Desonerado,REFERENCIA.NaoDesonerado),2)</f>
        <v>0</v>
      </c>
      <c r="V132" s="125" t="s">
        <v>664</v>
      </c>
      <c r="W132" s="123">
        <f ca="1">IF($C132="S",ROUND(IF(TIPOORCAMENTO="Proposto",ORÇAMENTO.CustoUnitario*(1+$AH132),ORÇAMENTO.PrecoUnitarioLicitado),15-13*$AF$10),0)</f>
        <v>0</v>
      </c>
      <c r="X132" s="126" cm="1">
        <f t="array" aca="1" ref="X132" ca="1">IF($C132="S",IF(OR(Import.TipoArredondamento&lt;&gt;"TransfereGOV",ACOMPANHAMENTO="BM"),VTOTAL1,SUM(OFFSET(CÁLCULO!$AA$15,ROW($X132)-ROW($X$15),1):OFFSET(CÁLCULO!$AL$15,ROW($X132)-ROW($X$15),-1))),IF($C132=0,0,ROUND(SomaAgrup,15-13*$AF$11)))</f>
        <v>0</v>
      </c>
      <c r="Y132" s="127" t="s">
        <v>752</v>
      </c>
      <c r="Z132" s="705" t="str">
        <f ca="1">IF(AND($C132="S",$X132&gt;0),IF(ISBLANK($Y132),"RA",LEFT($Y132,2)),"")</f>
        <v/>
      </c>
      <c r="AA132" s="128">
        <f ca="1">IF($C132="S",IF($Z132="CP",$X132,IF($Z132="RA",(($X132)*QCI!$AA$3),0)),SomaAgrup)</f>
        <v>0</v>
      </c>
      <c r="AB132" s="129">
        <f ca="1">IF($C132="S",IF($Z132="OU",ROUND($X132,2),0),SomaAgrup)</f>
        <v>0</v>
      </c>
      <c r="AC132" s="566"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IF(AND(_xlfn.SINGLE(TIPOORCAMENTO)="Licitado",$AL132=0,$AN132&gt;0),"SEM PREÇO",
IF(AND($C132="S",$P132&lt;&gt;"",$Q132&lt;&gt;"",$U132&gt;0,$V132=0),"BDI",
IF(OR(AND(TIPOORCAMENTO="Proposto",LEFT($O$8,5)&lt;&gt;"(N/D:",$AG132&lt;&gt;"",ORÇAMENTO.CustoUnitario&gt;$AG132),AND(TIPOORCAMENTO="LICITADO",ORÇAMENTO.PrecoUnitarioLicitado&gt;$AN132)),"ACIMA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SEM CUSTO</v>
      </c>
      <c r="AD132" s="705" t="str">
        <f ca="1">IF(C132&lt;=CRONO.NivelExibicao,MAX($AD$15:OFFSET(AD132,-1,0))+IF($C132&lt;&gt;1,1,MAX(1,COUNTIF(QCI!$A$13:$A$15,OFFSET($E132,-1,0)))),"")</f>
        <v/>
      </c>
      <c r="AE132" s="703" t="str">
        <f ca="1">IF(AND($C132="S",ORÇAMENTO.CodBarra&lt;&gt;""),IF(ORÇAMENTO.Fonte="",ORÇAMENTO.CodBarra,CONCATENATE(ORÇAMENTO.Fonte," ",ORÇAMENTO.CodBarra)))</f>
        <v>COPASA 65000381</v>
      </c>
      <c r="AF132" s="704" t="str">
        <f ca="1">IF(ISERROR(INDIRECT(ORÇAMENTO.BancoRef)),"(abra o arquivo 'Referência "&amp;Excel_BuiltIn_Database&amp;".xlsm)",IF(OR($C132&lt;&gt;"S",ORÇAMENTO.CodBarra=""),"(Sem Código)",IF(ISERROR(MATCH($AE132,INDIRECT(ORÇAMENTO.BancoRef),0)),"(Código não identificado nas referências)",MATCH($AE132,INDIRECT(ORÇAMENTO.BancoRef),0))))</f>
        <v>(abra o arquivo 'Referência 09-2025.xlsm)</v>
      </c>
      <c r="AG132" s="429">
        <f ca="1">ROUND(IF(DESONERACAO="sim",REFERENCIA.Desonerado,REFERENCIA.NaoDesonerado),2)</f>
        <v>0</v>
      </c>
      <c r="AH132" s="430">
        <f ca="1">ROUND(IF(ISNUMBER(ORÇAMENTO.OpcaoBDI),ORÇAMENTO.OpcaoBDI,IF(LEFT(ORÇAMENTO.OpcaoBDI,3)="BDI",HLOOKUP(ORÇAMENTO.OpcaoBDI,$F$4:$H$5,2,FALSE),0)),15-11*$AF$9)</f>
        <v>0.24740000000000001</v>
      </c>
      <c r="AJ132" s="699">
        <v>1698</v>
      </c>
      <c r="AL132" s="440"/>
      <c r="AM132" s="337">
        <f t="shared" ca="1" si="0"/>
        <v>0</v>
      </c>
      <c r="AN132" s="471">
        <f ca="1">ROUND(ORÇAMENTO.CustoUnitario*(1+$AH132),2)</f>
        <v>0</v>
      </c>
    </row>
    <row r="133" spans="1:40" s="675" customFormat="1" x14ac:dyDescent="0.2">
      <c r="A133" s="675">
        <f t="shared" si="18"/>
        <v>2</v>
      </c>
      <c r="B133" s="675">
        <f t="shared" ca="1" si="19"/>
        <v>2</v>
      </c>
      <c r="C133" s="675">
        <f t="shared" ca="1" si="20"/>
        <v>2</v>
      </c>
      <c r="D133" s="675">
        <f t="shared" ca="1" si="21"/>
        <v>7</v>
      </c>
      <c r="E133" s="675">
        <f ca="1">IF($C133=1,OFFSET(E133,-1,0)+MAX(1,COUNTIF(QCI!$A$13:$A$15,OFFSET(ORÇAMENTO!E133,-1,0))),OFFSET(E133,-1,0))</f>
        <v>1</v>
      </c>
      <c r="F133" s="675">
        <f t="shared" ca="1" si="22"/>
        <v>17</v>
      </c>
      <c r="G133" s="675">
        <f t="shared" ca="1" si="23"/>
        <v>0</v>
      </c>
      <c r="H133" s="675">
        <f t="shared" ca="1" si="24"/>
        <v>0</v>
      </c>
      <c r="I133" s="675">
        <f t="shared" ca="1" si="25"/>
        <v>0</v>
      </c>
      <c r="J133" s="675">
        <f t="shared" ca="1" si="35"/>
        <v>98</v>
      </c>
      <c r="K133" s="675">
        <f ca="1">IF(OR($C133="S",$C133=0),0,MATCH(OFFSET($D133,0,$C133)+IF($C133&lt;&gt;1,1,COUNTIF(QCI!$A$13:$A$15,ORÇAMENTO!E133)),OFFSET($D133,1,$C133,ROW($C$231)-ROW($C133)),0))</f>
        <v>7</v>
      </c>
      <c r="L133" s="115" t="str">
        <f t="shared" ca="1" si="26"/>
        <v>F</v>
      </c>
      <c r="M133" s="116" t="s">
        <v>703</v>
      </c>
      <c r="N133" s="117" t="str">
        <f t="shared" ca="1" si="27"/>
        <v>Nível 2</v>
      </c>
      <c r="O133" s="118" t="str">
        <f t="shared" ca="1" si="28"/>
        <v>1.17.</v>
      </c>
      <c r="P133" s="119" t="s">
        <v>751</v>
      </c>
      <c r="Q133" s="120"/>
      <c r="R133" s="121" t="s">
        <v>1040</v>
      </c>
      <c r="S133" s="122" t="str">
        <f ca="1">REFERENCIA.Unidade</f>
        <v>-</v>
      </c>
      <c r="T133" s="123">
        <f ca="1">OFFSET(CÁLCULO!H$15,ROW($T133)-ROW(T$15),0)</f>
        <v>0</v>
      </c>
      <c r="U133" s="124">
        <f ca="1">ROUND(IF(DESONERACAO="sim",REFERENCIA.Desonerado,REFERENCIA.NaoDesonerado),2)</f>
        <v>0</v>
      </c>
      <c r="V133" s="125" t="s">
        <v>664</v>
      </c>
      <c r="W133" s="123">
        <f ca="1">IF($C133="S",ROUND(IF(TIPOORCAMENTO="Proposto",ORÇAMENTO.CustoUnitario*(1+$AH133),ORÇAMENTO.PrecoUnitarioLicitado),15-13*$AF$10),0)</f>
        <v>0</v>
      </c>
      <c r="X133" s="126" cm="1">
        <f t="array" aca="1" ref="X133" ca="1">IF($C133="S",IF(OR(Import.TipoArredondamento&lt;&gt;"TransfereGOV",ACOMPANHAMENTO="BM"),VTOTAL1,SUM(OFFSET(CÁLCULO!$AA$15,ROW($X133)-ROW($X$15),1):OFFSET(CÁLCULO!$AL$15,ROW($X133)-ROW($X$15),-1))),IF($C133=0,0,ROUND(SomaAgrup,15-13*$AF$11)))</f>
        <v>0</v>
      </c>
      <c r="Y133" s="127" t="s">
        <v>752</v>
      </c>
      <c r="Z133" s="675" t="str">
        <f t="shared" ca="1" si="29"/>
        <v/>
      </c>
      <c r="AA133" s="128">
        <f ca="1">IF($C133="S",IF($Z133="CP",$X133,IF($Z133="RA",(($X133)*QCI!$AA$3),0)),SomaAgrup)</f>
        <v>0</v>
      </c>
      <c r="AB133" s="129">
        <f t="shared" ca="1" si="30"/>
        <v>0</v>
      </c>
      <c r="AC133" s="566" t="e"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IF(AND(_xlfn.SINGLE(TIPOORCAMENTO)="Licitado",$AL133=0,$AN133&gt;0),"SEM PREÇO",
IF(AND($C133="S",$P133&lt;&gt;"",$Q133&lt;&gt;"",$U133&gt;0,$V133=0),"BDI",
IF(OR(AND(TIPOORCAMENTO="Proposto",LEFT($O$8,5)&lt;&gt;"(N/D:",$AG133&lt;&gt;"",ORÇAMENTO.CustoUnitario&gt;$AG133),AND(TIPOORCAMENTO="LICITADO",ORÇAMENTO.PrecoUnitarioLicitado&gt;$AN133)),"ACIMA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#NAME?</v>
      </c>
      <c r="AD133" s="675">
        <f ca="1">IF(C133&lt;=CRONO.NivelExibicao,MAX($AD$15:OFFSET(AD133,-1,0))+IF($C133&lt;&gt;1,1,MAX(1,COUNTIF(QCI!$A$13:$A$15,OFFSET($E133,-1,0)))),"")</f>
        <v>18</v>
      </c>
      <c r="AE133" s="671" t="b">
        <f ca="1">IF(AND($C133="S",ORÇAMENTO.CodBarra&lt;&gt;""),IF(ORÇAMENTO.Fonte="",ORÇAMENTO.CodBarra,CONCATENATE(ORÇAMENTO.Fonte," ",ORÇAMENTO.CodBarra)))</f>
        <v>0</v>
      </c>
      <c r="AF133" s="674" t="str">
        <f ca="1">IF(ISERROR(INDIRECT(ORÇAMENTO.BancoRef)),"(abra o arquivo 'Referência "&amp;Excel_BuiltIn_Database&amp;".xlsm)",IF(OR($C133&lt;&gt;"S",ORÇAMENTO.CodBarra=""),"(Sem Código)",IF(ISERROR(MATCH($AE133,INDIRECT(ORÇAMENTO.BancoRef),0)),"(Código não identificado nas referências)",MATCH($AE133,INDIRECT(ORÇAMENTO.BancoRef),0))))</f>
        <v>(abra o arquivo 'Referência 09-2025.xlsm)</v>
      </c>
      <c r="AG133" s="429">
        <f ca="1">ROUND(IF(DESONERACAO="sim",REFERENCIA.Desonerado,REFERENCIA.NaoDesonerado),2)</f>
        <v>0</v>
      </c>
      <c r="AH133" s="430">
        <f t="shared" ca="1" si="31"/>
        <v>0.24740000000000001</v>
      </c>
      <c r="AJ133" s="699"/>
      <c r="AL133" s="440"/>
      <c r="AM133" s="337">
        <f t="shared" ca="1" si="0"/>
        <v>0</v>
      </c>
      <c r="AN133" s="471">
        <f t="shared" ca="1" si="32"/>
        <v>0</v>
      </c>
    </row>
    <row r="134" spans="1:40" s="675" customFormat="1" ht="13.9" customHeight="1" x14ac:dyDescent="0.2">
      <c r="A134" s="675" t="str">
        <f t="shared" si="18"/>
        <v>S</v>
      </c>
      <c r="B134" s="675">
        <f t="shared" ca="1" si="19"/>
        <v>2</v>
      </c>
      <c r="C134" s="675" t="str">
        <f t="shared" ca="1" si="20"/>
        <v>S</v>
      </c>
      <c r="D134" s="675">
        <f t="shared" ca="1" si="21"/>
        <v>0</v>
      </c>
      <c r="E134" s="675">
        <f ca="1">IF($C134=1,OFFSET(E134,-1,0)+MAX(1,COUNTIF(QCI!$A$13:$A$15,OFFSET(ORÇAMENTO!E134,-1,0))),OFFSET(E134,-1,0))</f>
        <v>1</v>
      </c>
      <c r="F134" s="675">
        <f t="shared" ca="1" si="22"/>
        <v>17</v>
      </c>
      <c r="G134" s="675">
        <f t="shared" ca="1" si="23"/>
        <v>0</v>
      </c>
      <c r="H134" s="675">
        <f t="shared" ca="1" si="24"/>
        <v>0</v>
      </c>
      <c r="I134" s="675">
        <f t="shared" ca="1" si="25"/>
        <v>0</v>
      </c>
      <c r="J134" s="675">
        <f t="shared" ca="1" si="35"/>
        <v>0</v>
      </c>
      <c r="K134" s="675">
        <f ca="1">IF(OR($C134="S",$C134=0),0,MATCH(OFFSET($D134,0,$C134)+IF($C134&lt;&gt;1,1,COUNTIF(QCI!$A$13:$A$15,ORÇAMENTO!E134)),OFFSET($D134,1,$C134,ROW($C$231)-ROW($C134)),0))</f>
        <v>0</v>
      </c>
      <c r="L134" s="115" t="str">
        <f t="shared" ca="1" si="26"/>
        <v/>
      </c>
      <c r="M134" s="116" t="s">
        <v>706</v>
      </c>
      <c r="N134" s="117" t="str">
        <f t="shared" ca="1" si="27"/>
        <v>Serviço</v>
      </c>
      <c r="O134" s="118" t="str">
        <f t="shared" ca="1" si="28"/>
        <v>-</v>
      </c>
      <c r="P134" s="119" t="s">
        <v>968</v>
      </c>
      <c r="Q134" s="689" t="s">
        <v>1041</v>
      </c>
      <c r="R134" s="121" t="str">
        <f ca="1">IF($C134="S",REFERENCIA.Descricao,"(digite a descrição aqui)")</f>
        <v>(abra o arquivo 'Referência 09-2025.xlsm)</v>
      </c>
      <c r="S134" s="122" t="str">
        <f ca="1">REFERENCIA.Unidade</f>
        <v>-</v>
      </c>
      <c r="T134" s="123">
        <f ca="1">OFFSET(CÁLCULO!H$15,ROW($T134)-ROW(T$15),0)</f>
        <v>28</v>
      </c>
      <c r="U134" s="124">
        <f ca="1">ROUND(IF(DESONERACAO="sim",REFERENCIA.Desonerado,REFERENCIA.NaoDesonerado),2)</f>
        <v>0</v>
      </c>
      <c r="V134" s="125" t="s">
        <v>664</v>
      </c>
      <c r="W134" s="123">
        <f ca="1">IF($C134="S",ROUND(IF(TIPOORCAMENTO="Proposto",ORÇAMENTO.CustoUnitario*(1+$AH134),ORÇAMENTO.PrecoUnitarioLicitado),15-13*$AF$10),0)</f>
        <v>0</v>
      </c>
      <c r="X134" s="126" cm="1">
        <f t="array" aca="1" ref="X134" ca="1">IF($C134="S",IF(OR(Import.TipoArredondamento&lt;&gt;"TransfereGOV",ACOMPANHAMENTO="BM"),VTOTAL1,SUM(OFFSET(CÁLCULO!$AA$15,ROW($X134)-ROW($X$15),1):OFFSET(CÁLCULO!$AL$15,ROW($X134)-ROW($X$15),-1))),IF($C134=0,0,ROUND(SomaAgrup,15-13*$AF$11)))</f>
        <v>0</v>
      </c>
      <c r="Y134" s="127" t="s">
        <v>752</v>
      </c>
      <c r="Z134" s="675" t="str">
        <f t="shared" ca="1" si="29"/>
        <v/>
      </c>
      <c r="AA134" s="128">
        <f ca="1">IF($C134="S",IF($Z134="CP",$X134,IF($Z134="RA",(($X134)*QCI!$AA$3),0)),SomaAgrup)</f>
        <v>0</v>
      </c>
      <c r="AB134" s="129">
        <f t="shared" ca="1" si="30"/>
        <v>0</v>
      </c>
      <c r="AC134" s="566"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IF(AND(_xlfn.SINGLE(TIPOORCAMENTO)="Licitado",$AL134=0,$AN134&gt;0),"SEM PREÇO",
IF(AND($C134="S",$P134&lt;&gt;"",$Q134&lt;&gt;"",$U134&gt;0,$V134=0),"BDI",
IF(OR(AND(TIPOORCAMENTO="Proposto",LEFT($O$8,5)&lt;&gt;"(N/D:",$AG134&lt;&gt;"",ORÇAMENTO.CustoUnitario&gt;$AG134),AND(TIPOORCAMENTO="LICITADO",ORÇAMENTO.PrecoUnitarioLicitado&gt;$AN134)),"ACIMA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SEM CUSTO</v>
      </c>
      <c r="AD134" s="675" t="str">
        <f ca="1">IF(C134&lt;=CRONO.NivelExibicao,MAX($AD$15:OFFSET(AD134,-1,0))+IF($C134&lt;&gt;1,1,MAX(1,COUNTIF(QCI!$A$13:$A$15,OFFSET($E134,-1,0)))),"")</f>
        <v/>
      </c>
      <c r="AE134" s="671" t="str">
        <f ca="1">IF(AND($C134="S",ORÇAMENTO.CodBarra&lt;&gt;""),IF(ORÇAMENTO.Fonte="",ORÇAMENTO.CodBarra,CONCATENATE(ORÇAMENTO.Fonte," ",ORÇAMENTO.CodBarra)))</f>
        <v>COPASA 65003547</v>
      </c>
      <c r="AF134" s="674" t="str">
        <f ca="1">IF(ISERROR(INDIRECT(ORÇAMENTO.BancoRef)),"(abra o arquivo 'Referência "&amp;Excel_BuiltIn_Database&amp;".xlsm)",IF(OR($C134&lt;&gt;"S",ORÇAMENTO.CodBarra=""),"(Sem Código)",IF(ISERROR(MATCH($AE134,INDIRECT(ORÇAMENTO.BancoRef),0)),"(Código não identificado nas referências)",MATCH($AE134,INDIRECT(ORÇAMENTO.BancoRef),0))))</f>
        <v>(abra o arquivo 'Referência 09-2025.xlsm)</v>
      </c>
      <c r="AG134" s="429">
        <f ca="1">ROUND(IF(DESONERACAO="sim",REFERENCIA.Desonerado,REFERENCIA.NaoDesonerado),2)</f>
        <v>0</v>
      </c>
      <c r="AH134" s="430">
        <f t="shared" ca="1" si="31"/>
        <v>0.24740000000000001</v>
      </c>
      <c r="AJ134" s="699">
        <v>28</v>
      </c>
      <c r="AL134" s="440"/>
      <c r="AM134" s="337">
        <f t="shared" ca="1" si="0"/>
        <v>0</v>
      </c>
      <c r="AN134" s="471">
        <f t="shared" ca="1" si="32"/>
        <v>0</v>
      </c>
    </row>
    <row r="135" spans="1:40" s="675" customFormat="1" ht="13.9" customHeight="1" x14ac:dyDescent="0.2">
      <c r="A135" s="675" t="str">
        <f t="shared" si="18"/>
        <v>S</v>
      </c>
      <c r="B135" s="675">
        <f t="shared" ca="1" si="19"/>
        <v>2</v>
      </c>
      <c r="C135" s="675" t="str">
        <f t="shared" ca="1" si="20"/>
        <v>S</v>
      </c>
      <c r="D135" s="675">
        <f t="shared" ca="1" si="21"/>
        <v>0</v>
      </c>
      <c r="E135" s="675">
        <f ca="1">IF($C135=1,OFFSET(E135,-1,0)+MAX(1,COUNTIF(QCI!$A$13:$A$15,OFFSET(ORÇAMENTO!E135,-1,0))),OFFSET(E135,-1,0))</f>
        <v>1</v>
      </c>
      <c r="F135" s="675">
        <f t="shared" ca="1" si="22"/>
        <v>17</v>
      </c>
      <c r="G135" s="675">
        <f t="shared" ca="1" si="23"/>
        <v>0</v>
      </c>
      <c r="H135" s="675">
        <f t="shared" ca="1" si="24"/>
        <v>0</v>
      </c>
      <c r="I135" s="675">
        <f t="shared" ca="1" si="25"/>
        <v>0</v>
      </c>
      <c r="J135" s="675">
        <f t="shared" ca="1" si="35"/>
        <v>0</v>
      </c>
      <c r="K135" s="675">
        <f ca="1">IF(OR($C135="S",$C135=0),0,MATCH(OFFSET($D135,0,$C135)+IF($C135&lt;&gt;1,1,COUNTIF(QCI!$A$13:$A$15,ORÇAMENTO!E135)),OFFSET($D135,1,$C135,ROW($C$231)-ROW($C135)),0))</f>
        <v>0</v>
      </c>
      <c r="L135" s="115" t="str">
        <f t="shared" ca="1" si="26"/>
        <v/>
      </c>
      <c r="M135" s="116" t="s">
        <v>706</v>
      </c>
      <c r="N135" s="117" t="str">
        <f t="shared" ca="1" si="27"/>
        <v>Serviço</v>
      </c>
      <c r="O135" s="118" t="str">
        <f t="shared" ca="1" si="28"/>
        <v>-</v>
      </c>
      <c r="P135" s="119" t="s">
        <v>968</v>
      </c>
      <c r="Q135" s="689" t="s">
        <v>1042</v>
      </c>
      <c r="R135" s="121" t="str">
        <f ca="1">IF($C135="S",REFERENCIA.Descricao,"(digite a descrição aqui)")</f>
        <v>(abra o arquivo 'Referência 09-2025.xlsm)</v>
      </c>
      <c r="S135" s="122" t="str">
        <f ca="1">REFERENCIA.Unidade</f>
        <v>-</v>
      </c>
      <c r="T135" s="123">
        <f ca="1">OFFSET(CÁLCULO!H$15,ROW($T135)-ROW(T$15),0)</f>
        <v>7</v>
      </c>
      <c r="U135" s="124">
        <f ca="1">ROUND(IF(DESONERACAO="sim",REFERENCIA.Desonerado,REFERENCIA.NaoDesonerado),2)</f>
        <v>0</v>
      </c>
      <c r="V135" s="125" t="s">
        <v>664</v>
      </c>
      <c r="W135" s="123">
        <f ca="1">IF($C135="S",ROUND(IF(TIPOORCAMENTO="Proposto",ORÇAMENTO.CustoUnitario*(1+$AH135),ORÇAMENTO.PrecoUnitarioLicitado),15-13*$AF$10),0)</f>
        <v>0</v>
      </c>
      <c r="X135" s="126" cm="1">
        <f t="array" aca="1" ref="X135" ca="1">IF($C135="S",IF(OR(Import.TipoArredondamento&lt;&gt;"TransfereGOV",ACOMPANHAMENTO="BM"),VTOTAL1,SUM(OFFSET(CÁLCULO!$AA$15,ROW($X135)-ROW($X$15),1):OFFSET(CÁLCULO!$AL$15,ROW($X135)-ROW($X$15),-1))),IF($C135=0,0,ROUND(SomaAgrup,15-13*$AF$11)))</f>
        <v>0</v>
      </c>
      <c r="Y135" s="127" t="s">
        <v>752</v>
      </c>
      <c r="Z135" s="675" t="str">
        <f t="shared" ca="1" si="29"/>
        <v/>
      </c>
      <c r="AA135" s="128">
        <f ca="1">IF($C135="S",IF($Z135="CP",$X135,IF($Z135="RA",(($X135)*QCI!$AA$3),0)),SomaAgrup)</f>
        <v>0</v>
      </c>
      <c r="AB135" s="129">
        <f t="shared" ca="1" si="30"/>
        <v>0</v>
      </c>
      <c r="AC135" s="566"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IF(AND(_xlfn.SINGLE(TIPOORCAMENTO)="Licitado",$AL135=0,$AN135&gt;0),"SEM PREÇO",
IF(AND($C135="S",$P135&lt;&gt;"",$Q135&lt;&gt;"",$U135&gt;0,$V135=0),"BDI",
IF(OR(AND(TIPOORCAMENTO="Proposto",LEFT($O$8,5)&lt;&gt;"(N/D:",$AG135&lt;&gt;"",ORÇAMENTO.CustoUnitario&gt;$AG135),AND(TIPOORCAMENTO="LICITADO",ORÇAMENTO.PrecoUnitarioLicitado&gt;$AN135)),"ACIMA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SEM CUSTO</v>
      </c>
      <c r="AD135" s="675" t="str">
        <f ca="1">IF(C135&lt;=CRONO.NivelExibicao,MAX($AD$15:OFFSET(AD135,-1,0))+IF($C135&lt;&gt;1,1,MAX(1,COUNTIF(QCI!$A$13:$A$15,OFFSET($E135,-1,0)))),"")</f>
        <v/>
      </c>
      <c r="AE135" s="671" t="str">
        <f ca="1">IF(AND($C135="S",ORÇAMENTO.CodBarra&lt;&gt;""),IF(ORÇAMENTO.Fonte="",ORÇAMENTO.CodBarra,CONCATENATE(ORÇAMENTO.Fonte," ",ORÇAMENTO.CodBarra)))</f>
        <v>COPASA 65003548</v>
      </c>
      <c r="AF135" s="674" t="str">
        <f ca="1">IF(ISERROR(INDIRECT(ORÇAMENTO.BancoRef)),"(abra o arquivo 'Referência "&amp;Excel_BuiltIn_Database&amp;".xlsm)",IF(OR($C135&lt;&gt;"S",ORÇAMENTO.CodBarra=""),"(Sem Código)",IF(ISERROR(MATCH($AE135,INDIRECT(ORÇAMENTO.BancoRef),0)),"(Código não identificado nas referências)",MATCH($AE135,INDIRECT(ORÇAMENTO.BancoRef),0))))</f>
        <v>(abra o arquivo 'Referência 09-2025.xlsm)</v>
      </c>
      <c r="AG135" s="429">
        <f ca="1">ROUND(IF(DESONERACAO="sim",REFERENCIA.Desonerado,REFERENCIA.NaoDesonerado),2)</f>
        <v>0</v>
      </c>
      <c r="AH135" s="430">
        <f t="shared" ca="1" si="31"/>
        <v>0.24740000000000001</v>
      </c>
      <c r="AJ135" s="699">
        <v>7</v>
      </c>
      <c r="AL135" s="440"/>
      <c r="AM135" s="337">
        <f t="shared" ca="1" si="0"/>
        <v>0</v>
      </c>
      <c r="AN135" s="471">
        <f t="shared" ca="1" si="32"/>
        <v>0</v>
      </c>
    </row>
    <row r="136" spans="1:40" s="675" customFormat="1" ht="13.9" customHeight="1" x14ac:dyDescent="0.2">
      <c r="A136" s="675" t="str">
        <f t="shared" si="18"/>
        <v>S</v>
      </c>
      <c r="B136" s="675">
        <f t="shared" ca="1" si="19"/>
        <v>2</v>
      </c>
      <c r="C136" s="675" t="str">
        <f t="shared" ca="1" si="20"/>
        <v>S</v>
      </c>
      <c r="D136" s="675">
        <f t="shared" ca="1" si="21"/>
        <v>0</v>
      </c>
      <c r="E136" s="675">
        <f ca="1">IF($C136=1,OFFSET(E136,-1,0)+MAX(1,COUNTIF(QCI!$A$13:$A$15,OFFSET(ORÇAMENTO!E136,-1,0))),OFFSET(E136,-1,0))</f>
        <v>1</v>
      </c>
      <c r="F136" s="675">
        <f t="shared" ca="1" si="22"/>
        <v>17</v>
      </c>
      <c r="G136" s="675">
        <f t="shared" ca="1" si="23"/>
        <v>0</v>
      </c>
      <c r="H136" s="675">
        <f t="shared" ca="1" si="24"/>
        <v>0</v>
      </c>
      <c r="I136" s="675">
        <f t="shared" ca="1" si="25"/>
        <v>0</v>
      </c>
      <c r="J136" s="675">
        <f t="shared" ca="1" si="35"/>
        <v>0</v>
      </c>
      <c r="K136" s="675">
        <f ca="1">IF(OR($C136="S",$C136=0),0,MATCH(OFFSET($D136,0,$C136)+IF($C136&lt;&gt;1,1,COUNTIF(QCI!$A$13:$A$15,ORÇAMENTO!E136)),OFFSET($D136,1,$C136,ROW($C$231)-ROW($C136)),0))</f>
        <v>0</v>
      </c>
      <c r="L136" s="115" t="str">
        <f t="shared" ca="1" si="26"/>
        <v/>
      </c>
      <c r="M136" s="116" t="s">
        <v>706</v>
      </c>
      <c r="N136" s="117" t="str">
        <f t="shared" ca="1" si="27"/>
        <v>Serviço</v>
      </c>
      <c r="O136" s="118" t="str">
        <f t="shared" ca="1" si="28"/>
        <v>-</v>
      </c>
      <c r="P136" s="119" t="s">
        <v>968</v>
      </c>
      <c r="Q136" s="689" t="s">
        <v>1043</v>
      </c>
      <c r="R136" s="121" t="str">
        <f ca="1">IF($C136="S",REFERENCIA.Descricao,"(digite a descrição aqui)")</f>
        <v>(abra o arquivo 'Referência 09-2025.xlsm)</v>
      </c>
      <c r="S136" s="122" t="str">
        <f ca="1">REFERENCIA.Unidade</f>
        <v>-</v>
      </c>
      <c r="T136" s="123">
        <f ca="1">OFFSET(CÁLCULO!H$15,ROW($T136)-ROW(T$15),0)</f>
        <v>3</v>
      </c>
      <c r="U136" s="124">
        <f ca="1">ROUND(IF(DESONERACAO="sim",REFERENCIA.Desonerado,REFERENCIA.NaoDesonerado),2)</f>
        <v>0</v>
      </c>
      <c r="V136" s="125" t="s">
        <v>664</v>
      </c>
      <c r="W136" s="123">
        <f ca="1">IF($C136="S",ROUND(IF(TIPOORCAMENTO="Proposto",ORÇAMENTO.CustoUnitario*(1+$AH136),ORÇAMENTO.PrecoUnitarioLicitado),15-13*$AF$10),0)</f>
        <v>0</v>
      </c>
      <c r="X136" s="126" cm="1">
        <f t="array" aca="1" ref="X136" ca="1">IF($C136="S",IF(OR(Import.TipoArredondamento&lt;&gt;"TransfereGOV",ACOMPANHAMENTO="BM"),VTOTAL1,SUM(OFFSET(CÁLCULO!$AA$15,ROW($X136)-ROW($X$15),1):OFFSET(CÁLCULO!$AL$15,ROW($X136)-ROW($X$15),-1))),IF($C136=0,0,ROUND(SomaAgrup,15-13*$AF$11)))</f>
        <v>0</v>
      </c>
      <c r="Y136" s="127" t="s">
        <v>752</v>
      </c>
      <c r="Z136" s="675" t="str">
        <f t="shared" ca="1" si="29"/>
        <v/>
      </c>
      <c r="AA136" s="128">
        <f ca="1">IF($C136="S",IF($Z136="CP",$X136,IF($Z136="RA",(($X136)*QCI!$AA$3),0)),SomaAgrup)</f>
        <v>0</v>
      </c>
      <c r="AB136" s="129">
        <f t="shared" ca="1" si="30"/>
        <v>0</v>
      </c>
      <c r="AC136" s="566"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IF(AND(_xlfn.SINGLE(TIPOORCAMENTO)="Licitado",$AL136=0,$AN136&gt;0),"SEM PREÇO",
IF(AND($C136="S",$P136&lt;&gt;"",$Q136&lt;&gt;"",$U136&gt;0,$V136=0),"BDI",
IF(OR(AND(TIPOORCAMENTO="Proposto",LEFT($O$8,5)&lt;&gt;"(N/D:",$AG136&lt;&gt;"",ORÇAMENTO.CustoUnitario&gt;$AG136),AND(TIPOORCAMENTO="LICITADO",ORÇAMENTO.PrecoUnitarioLicitado&gt;$AN136)),"ACIMA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SEM CUSTO</v>
      </c>
      <c r="AD136" s="675" t="str">
        <f ca="1">IF(C136&lt;=CRONO.NivelExibicao,MAX($AD$15:OFFSET(AD136,-1,0))+IF($C136&lt;&gt;1,1,MAX(1,COUNTIF(QCI!$A$13:$A$15,OFFSET($E136,-1,0)))),"")</f>
        <v/>
      </c>
      <c r="AE136" s="671" t="str">
        <f ca="1">IF(AND($C136="S",ORÇAMENTO.CodBarra&lt;&gt;""),IF(ORÇAMENTO.Fonte="",ORÇAMENTO.CodBarra,CONCATENATE(ORÇAMENTO.Fonte," ",ORÇAMENTO.CodBarra)))</f>
        <v>COPASA 65003553</v>
      </c>
      <c r="AF136" s="674" t="str">
        <f ca="1">IF(ISERROR(INDIRECT(ORÇAMENTO.BancoRef)),"(abra o arquivo 'Referência "&amp;Excel_BuiltIn_Database&amp;".xlsm)",IF(OR($C136&lt;&gt;"S",ORÇAMENTO.CodBarra=""),"(Sem Código)",IF(ISERROR(MATCH($AE136,INDIRECT(ORÇAMENTO.BancoRef),0)),"(Código não identificado nas referências)",MATCH($AE136,INDIRECT(ORÇAMENTO.BancoRef),0))))</f>
        <v>(abra o arquivo 'Referência 09-2025.xlsm)</v>
      </c>
      <c r="AG136" s="429">
        <f ca="1">ROUND(IF(DESONERACAO="sim",REFERENCIA.Desonerado,REFERENCIA.NaoDesonerado),2)</f>
        <v>0</v>
      </c>
      <c r="AH136" s="430">
        <f t="shared" ca="1" si="31"/>
        <v>0.24740000000000001</v>
      </c>
      <c r="AJ136" s="699">
        <v>3</v>
      </c>
      <c r="AL136" s="440"/>
      <c r="AM136" s="337">
        <f t="shared" ca="1" si="0"/>
        <v>0</v>
      </c>
      <c r="AN136" s="471">
        <f t="shared" ca="1" si="32"/>
        <v>0</v>
      </c>
    </row>
    <row r="137" spans="1:40" s="675" customFormat="1" ht="13.9" customHeight="1" x14ac:dyDescent="0.2">
      <c r="A137" s="675" t="str">
        <f t="shared" si="18"/>
        <v>S</v>
      </c>
      <c r="B137" s="675">
        <f t="shared" ca="1" si="19"/>
        <v>2</v>
      </c>
      <c r="C137" s="675" t="str">
        <f t="shared" ca="1" si="20"/>
        <v>S</v>
      </c>
      <c r="D137" s="675">
        <f t="shared" ca="1" si="21"/>
        <v>0</v>
      </c>
      <c r="E137" s="675">
        <f ca="1">IF($C137=1,OFFSET(E137,-1,0)+MAX(1,COUNTIF(QCI!$A$13:$A$15,OFFSET(ORÇAMENTO!E137,-1,0))),OFFSET(E137,-1,0))</f>
        <v>1</v>
      </c>
      <c r="F137" s="675">
        <f t="shared" ca="1" si="22"/>
        <v>17</v>
      </c>
      <c r="G137" s="675">
        <f t="shared" ca="1" si="23"/>
        <v>0</v>
      </c>
      <c r="H137" s="675">
        <f t="shared" ca="1" si="24"/>
        <v>0</v>
      </c>
      <c r="I137" s="675">
        <f t="shared" ca="1" si="25"/>
        <v>0</v>
      </c>
      <c r="J137" s="675">
        <f t="shared" ca="1" si="35"/>
        <v>0</v>
      </c>
      <c r="K137" s="675">
        <f ca="1">IF(OR($C137="S",$C137=0),0,MATCH(OFFSET($D137,0,$C137)+IF($C137&lt;&gt;1,1,COUNTIF(QCI!$A$13:$A$15,ORÇAMENTO!E137)),OFFSET($D137,1,$C137,ROW($C$231)-ROW($C137)),0))</f>
        <v>0</v>
      </c>
      <c r="L137" s="115" t="str">
        <f t="shared" ca="1" si="26"/>
        <v/>
      </c>
      <c r="M137" s="116" t="s">
        <v>706</v>
      </c>
      <c r="N137" s="117" t="str">
        <f t="shared" ca="1" si="27"/>
        <v>Serviço</v>
      </c>
      <c r="O137" s="118" t="str">
        <f t="shared" ca="1" si="28"/>
        <v>-</v>
      </c>
      <c r="P137" s="119" t="s">
        <v>968</v>
      </c>
      <c r="Q137" s="689" t="s">
        <v>1044</v>
      </c>
      <c r="R137" s="121" t="str">
        <f ca="1">IF($C137="S",REFERENCIA.Descricao,"(digite a descrição aqui)")</f>
        <v>(abra o arquivo 'Referência 09-2025.xlsm)</v>
      </c>
      <c r="S137" s="122" t="str">
        <f ca="1">REFERENCIA.Unidade</f>
        <v>-</v>
      </c>
      <c r="T137" s="123">
        <f ca="1">OFFSET(CÁLCULO!H$15,ROW($T137)-ROW(T$15),0)</f>
        <v>6</v>
      </c>
      <c r="U137" s="124">
        <f ca="1">ROUND(IF(DESONERACAO="sim",REFERENCIA.Desonerado,REFERENCIA.NaoDesonerado),2)</f>
        <v>0</v>
      </c>
      <c r="V137" s="125" t="s">
        <v>664</v>
      </c>
      <c r="W137" s="123">
        <f ca="1">IF($C137="S",ROUND(IF(TIPOORCAMENTO="Proposto",ORÇAMENTO.CustoUnitario*(1+$AH137),ORÇAMENTO.PrecoUnitarioLicitado),15-13*$AF$10),0)</f>
        <v>0</v>
      </c>
      <c r="X137" s="126" cm="1">
        <f t="array" aca="1" ref="X137" ca="1">IF($C137="S",IF(OR(Import.TipoArredondamento&lt;&gt;"TransfereGOV",ACOMPANHAMENTO="BM"),VTOTAL1,SUM(OFFSET(CÁLCULO!$AA$15,ROW($X137)-ROW($X$15),1):OFFSET(CÁLCULO!$AL$15,ROW($X137)-ROW($X$15),-1))),IF($C137=0,0,ROUND(SomaAgrup,15-13*$AF$11)))</f>
        <v>0</v>
      </c>
      <c r="Y137" s="127" t="s">
        <v>752</v>
      </c>
      <c r="Z137" s="675" t="str">
        <f t="shared" ca="1" si="29"/>
        <v/>
      </c>
      <c r="AA137" s="128">
        <f ca="1">IF($C137="S",IF($Z137="CP",$X137,IF($Z137="RA",(($X137)*QCI!$AA$3),0)),SomaAgrup)</f>
        <v>0</v>
      </c>
      <c r="AB137" s="129">
        <f t="shared" ca="1" si="30"/>
        <v>0</v>
      </c>
      <c r="AC137" s="566"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IF(AND(_xlfn.SINGLE(TIPOORCAMENTO)="Licitado",$AL137=0,$AN137&gt;0),"SEM PREÇO",
IF(AND($C137="S",$P137&lt;&gt;"",$Q137&lt;&gt;"",$U137&gt;0,$V137=0),"BDI",
IF(OR(AND(TIPOORCAMENTO="Proposto",LEFT($O$8,5)&lt;&gt;"(N/D:",$AG137&lt;&gt;"",ORÇAMENTO.CustoUnitario&gt;$AG137),AND(TIPOORCAMENTO="LICITADO",ORÇAMENTO.PrecoUnitarioLicitado&gt;$AN137)),"ACIMA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SEM CUSTO</v>
      </c>
      <c r="AD137" s="675" t="str">
        <f ca="1">IF(C137&lt;=CRONO.NivelExibicao,MAX($AD$15:OFFSET(AD137,-1,0))+IF($C137&lt;&gt;1,1,MAX(1,COUNTIF(QCI!$A$13:$A$15,OFFSET($E137,-1,0)))),"")</f>
        <v/>
      </c>
      <c r="AE137" s="671" t="str">
        <f ca="1">IF(AND($C137="S",ORÇAMENTO.CodBarra&lt;&gt;""),IF(ORÇAMENTO.Fonte="",ORÇAMENTO.CodBarra,CONCATENATE(ORÇAMENTO.Fonte," ",ORÇAMENTO.CodBarra)))</f>
        <v>COPASA 65003793</v>
      </c>
      <c r="AF137" s="674" t="str">
        <f ca="1">IF(ISERROR(INDIRECT(ORÇAMENTO.BancoRef)),"(abra o arquivo 'Referência "&amp;Excel_BuiltIn_Database&amp;".xlsm)",IF(OR($C137&lt;&gt;"S",ORÇAMENTO.CodBarra=""),"(Sem Código)",IF(ISERROR(MATCH($AE137,INDIRECT(ORÇAMENTO.BancoRef),0)),"(Código não identificado nas referências)",MATCH($AE137,INDIRECT(ORÇAMENTO.BancoRef),0))))</f>
        <v>(abra o arquivo 'Referência 09-2025.xlsm)</v>
      </c>
      <c r="AG137" s="429">
        <f ca="1">ROUND(IF(DESONERACAO="sim",REFERENCIA.Desonerado,REFERENCIA.NaoDesonerado),2)</f>
        <v>0</v>
      </c>
      <c r="AH137" s="430">
        <f t="shared" ca="1" si="31"/>
        <v>0.24740000000000001</v>
      </c>
      <c r="AJ137" s="699">
        <v>6</v>
      </c>
      <c r="AL137" s="440"/>
      <c r="AM137" s="337">
        <f t="shared" ca="1" si="0"/>
        <v>0</v>
      </c>
      <c r="AN137" s="471">
        <f t="shared" ca="1" si="32"/>
        <v>0</v>
      </c>
    </row>
    <row r="138" spans="1:40" s="675" customFormat="1" ht="13.9" customHeight="1" x14ac:dyDescent="0.2">
      <c r="A138" s="675" t="str">
        <f t="shared" si="18"/>
        <v>S</v>
      </c>
      <c r="B138" s="675">
        <f t="shared" ca="1" si="19"/>
        <v>2</v>
      </c>
      <c r="C138" s="675" t="str">
        <f t="shared" ca="1" si="20"/>
        <v>S</v>
      </c>
      <c r="D138" s="675">
        <f t="shared" ca="1" si="21"/>
        <v>0</v>
      </c>
      <c r="E138" s="675">
        <f ca="1">IF($C138=1,OFFSET(E138,-1,0)+MAX(1,COUNTIF(QCI!$A$13:$A$15,OFFSET(ORÇAMENTO!E138,-1,0))),OFFSET(E138,-1,0))</f>
        <v>1</v>
      </c>
      <c r="F138" s="675">
        <f t="shared" ca="1" si="22"/>
        <v>17</v>
      </c>
      <c r="G138" s="675">
        <f t="shared" ca="1" si="23"/>
        <v>0</v>
      </c>
      <c r="H138" s="675">
        <f t="shared" ca="1" si="24"/>
        <v>0</v>
      </c>
      <c r="I138" s="675">
        <f t="shared" ca="1" si="25"/>
        <v>0</v>
      </c>
      <c r="J138" s="675">
        <f t="shared" ca="1" si="35"/>
        <v>0</v>
      </c>
      <c r="K138" s="675">
        <f ca="1">IF(OR($C138="S",$C138=0),0,MATCH(OFFSET($D138,0,$C138)+IF($C138&lt;&gt;1,1,COUNTIF(QCI!$A$13:$A$15,ORÇAMENTO!E138)),OFFSET($D138,1,$C138,ROW($C$231)-ROW($C138)),0))</f>
        <v>0</v>
      </c>
      <c r="L138" s="115" t="str">
        <f t="shared" ca="1" si="26"/>
        <v/>
      </c>
      <c r="M138" s="116" t="s">
        <v>706</v>
      </c>
      <c r="N138" s="117" t="str">
        <f t="shared" ca="1" si="27"/>
        <v>Serviço</v>
      </c>
      <c r="O138" s="118" t="str">
        <f t="shared" ca="1" si="28"/>
        <v>-</v>
      </c>
      <c r="P138" s="119" t="s">
        <v>968</v>
      </c>
      <c r="Q138" s="689" t="s">
        <v>989</v>
      </c>
      <c r="R138" s="121" t="str">
        <f ca="1">IF($C138="S",REFERENCIA.Descricao,"(digite a descrição aqui)")</f>
        <v>(abra o arquivo 'Referência 09-2025.xlsm)</v>
      </c>
      <c r="S138" s="122" t="str">
        <f ca="1">REFERENCIA.Unidade</f>
        <v>-</v>
      </c>
      <c r="T138" s="123">
        <f ca="1">OFFSET(CÁLCULO!H$15,ROW($T138)-ROW(T$15),0)</f>
        <v>35</v>
      </c>
      <c r="U138" s="124">
        <f ca="1">ROUND(IF(DESONERACAO="sim",REFERENCIA.Desonerado,REFERENCIA.NaoDesonerado),2)</f>
        <v>0</v>
      </c>
      <c r="V138" s="125" t="s">
        <v>664</v>
      </c>
      <c r="W138" s="123">
        <f ca="1">IF($C138="S",ROUND(IF(TIPOORCAMENTO="Proposto",ORÇAMENTO.CustoUnitario*(1+$AH138),ORÇAMENTO.PrecoUnitarioLicitado),15-13*$AF$10),0)</f>
        <v>0</v>
      </c>
      <c r="X138" s="126" cm="1">
        <f t="array" aca="1" ref="X138" ca="1">IF($C138="S",IF(OR(Import.TipoArredondamento&lt;&gt;"TransfereGOV",ACOMPANHAMENTO="BM"),VTOTAL1,SUM(OFFSET(CÁLCULO!$AA$15,ROW($X138)-ROW($X$15),1):OFFSET(CÁLCULO!$AL$15,ROW($X138)-ROW($X$15),-1))),IF($C138=0,0,ROUND(SomaAgrup,15-13*$AF$11)))</f>
        <v>0</v>
      </c>
      <c r="Y138" s="127" t="s">
        <v>752</v>
      </c>
      <c r="Z138" s="675" t="str">
        <f t="shared" ca="1" si="29"/>
        <v/>
      </c>
      <c r="AA138" s="128">
        <f ca="1">IF($C138="S",IF($Z138="CP",$X138,IF($Z138="RA",(($X138)*QCI!$AA$3),0)),SomaAgrup)</f>
        <v>0</v>
      </c>
      <c r="AB138" s="129">
        <f t="shared" ca="1" si="30"/>
        <v>0</v>
      </c>
      <c r="AC138" s="566"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IF(AND(_xlfn.SINGLE(TIPOORCAMENTO)="Licitado",$AL138=0,$AN138&gt;0),"SEM PREÇO",
IF(AND($C138="S",$P138&lt;&gt;"",$Q138&lt;&gt;"",$U138&gt;0,$V138=0),"BDI",
IF(OR(AND(TIPOORCAMENTO="Proposto",LEFT($O$8,5)&lt;&gt;"(N/D:",$AG138&lt;&gt;"",ORÇAMENTO.CustoUnitario&gt;$AG138),AND(TIPOORCAMENTO="LICITADO",ORÇAMENTO.PrecoUnitarioLicitado&gt;$AN138)),"ACIMA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SEM CUSTO</v>
      </c>
      <c r="AD138" s="675" t="str">
        <f ca="1">IF(C138&lt;=CRONO.NivelExibicao,MAX($AD$15:OFFSET(AD138,-1,0))+IF($C138&lt;&gt;1,1,MAX(1,COUNTIF(QCI!$A$13:$A$15,OFFSET($E138,-1,0)))),"")</f>
        <v/>
      </c>
      <c r="AE138" s="671" t="str">
        <f ca="1">IF(AND($C138="S",ORÇAMENTO.CodBarra&lt;&gt;""),IF(ORÇAMENTO.Fonte="",ORÇAMENTO.CodBarra,CONCATENATE(ORÇAMENTO.Fonte," ",ORÇAMENTO.CodBarra)))</f>
        <v>COPASA 65000329</v>
      </c>
      <c r="AF138" s="674" t="str">
        <f ca="1">IF(ISERROR(INDIRECT(ORÇAMENTO.BancoRef)),"(abra o arquivo 'Referência "&amp;Excel_BuiltIn_Database&amp;".xlsm)",IF(OR($C138&lt;&gt;"S",ORÇAMENTO.CodBarra=""),"(Sem Código)",IF(ISERROR(MATCH($AE138,INDIRECT(ORÇAMENTO.BancoRef),0)),"(Código não identificado nas referências)",MATCH($AE138,INDIRECT(ORÇAMENTO.BancoRef),0))))</f>
        <v>(abra o arquivo 'Referência 09-2025.xlsm)</v>
      </c>
      <c r="AG138" s="429">
        <f ca="1">ROUND(IF(DESONERACAO="sim",REFERENCIA.Desonerado,REFERENCIA.NaoDesonerado),2)</f>
        <v>0</v>
      </c>
      <c r="AH138" s="430">
        <f t="shared" ca="1" si="31"/>
        <v>0.24740000000000001</v>
      </c>
      <c r="AJ138" s="699">
        <v>35</v>
      </c>
      <c r="AL138" s="440"/>
      <c r="AM138" s="337">
        <f t="shared" ca="1" si="0"/>
        <v>0</v>
      </c>
      <c r="AN138" s="471">
        <f t="shared" ca="1" si="32"/>
        <v>0</v>
      </c>
    </row>
    <row r="139" spans="1:40" s="675" customFormat="1" x14ac:dyDescent="0.2">
      <c r="A139" s="675" t="str">
        <f t="shared" si="18"/>
        <v>S</v>
      </c>
      <c r="B139" s="675">
        <f t="shared" ca="1" si="19"/>
        <v>2</v>
      </c>
      <c r="C139" s="675" t="str">
        <f t="shared" ca="1" si="20"/>
        <v>S</v>
      </c>
      <c r="D139" s="675">
        <f t="shared" ca="1" si="21"/>
        <v>0</v>
      </c>
      <c r="E139" s="675">
        <f ca="1">IF($C139=1,OFFSET(E139,-1,0)+MAX(1,COUNTIF(QCI!$A$13:$A$15,OFFSET(ORÇAMENTO!E139,-1,0))),OFFSET(E139,-1,0))</f>
        <v>1</v>
      </c>
      <c r="F139" s="675">
        <f t="shared" ca="1" si="22"/>
        <v>17</v>
      </c>
      <c r="G139" s="675">
        <f t="shared" ca="1" si="23"/>
        <v>0</v>
      </c>
      <c r="H139" s="675">
        <f t="shared" ca="1" si="24"/>
        <v>0</v>
      </c>
      <c r="I139" s="675">
        <f t="shared" ca="1" si="25"/>
        <v>0</v>
      </c>
      <c r="J139" s="675">
        <f t="shared" ca="1" si="35"/>
        <v>0</v>
      </c>
      <c r="K139" s="675">
        <f ca="1">IF(OR($C139="S",$C139=0),0,MATCH(OFFSET($D139,0,$C139)+IF($C139&lt;&gt;1,1,COUNTIF(QCI!$A$13:$A$15,ORÇAMENTO!E139)),OFFSET($D139,1,$C139,ROW($C$231)-ROW($C139)),0))</f>
        <v>0</v>
      </c>
      <c r="L139" s="115" t="str">
        <f t="shared" ca="1" si="26"/>
        <v/>
      </c>
      <c r="M139" s="116" t="s">
        <v>706</v>
      </c>
      <c r="N139" s="117" t="str">
        <f t="shared" ca="1" si="27"/>
        <v>Serviço</v>
      </c>
      <c r="O139" s="118" t="str">
        <f t="shared" ca="1" si="28"/>
        <v>-</v>
      </c>
      <c r="P139" s="119" t="s">
        <v>968</v>
      </c>
      <c r="Q139" s="689" t="s">
        <v>1045</v>
      </c>
      <c r="R139" s="121" t="str">
        <f ca="1">IF($C139="S",REFERENCIA.Descricao,"(digite a descrição aqui)")</f>
        <v>(abra o arquivo 'Referência 09-2025.xlsm)</v>
      </c>
      <c r="S139" s="122" t="str">
        <f ca="1">REFERENCIA.Unidade</f>
        <v>-</v>
      </c>
      <c r="T139" s="123">
        <f ca="1">OFFSET(CÁLCULO!H$15,ROW($T139)-ROW(T$15),0)</f>
        <v>9</v>
      </c>
      <c r="U139" s="124">
        <f ca="1">ROUND(IF(DESONERACAO="sim",REFERENCIA.Desonerado,REFERENCIA.NaoDesonerado),2)</f>
        <v>0</v>
      </c>
      <c r="V139" s="125" t="s">
        <v>664</v>
      </c>
      <c r="W139" s="123">
        <f ca="1">IF($C139="S",ROUND(IF(TIPOORCAMENTO="Proposto",ORÇAMENTO.CustoUnitario*(1+$AH139),ORÇAMENTO.PrecoUnitarioLicitado),15-13*$AF$10),0)</f>
        <v>0</v>
      </c>
      <c r="X139" s="126" cm="1">
        <f t="array" aca="1" ref="X139" ca="1">IF($C139="S",IF(OR(Import.TipoArredondamento&lt;&gt;"TransfereGOV",ACOMPANHAMENTO="BM"),VTOTAL1,SUM(OFFSET(CÁLCULO!$AA$15,ROW($X139)-ROW($X$15),1):OFFSET(CÁLCULO!$AL$15,ROW($X139)-ROW($X$15),-1))),IF($C139=0,0,ROUND(SomaAgrup,15-13*$AF$11)))</f>
        <v>0</v>
      </c>
      <c r="Y139" s="127" t="s">
        <v>752</v>
      </c>
      <c r="Z139" s="675" t="str">
        <f t="shared" ca="1" si="29"/>
        <v/>
      </c>
      <c r="AA139" s="128">
        <f ca="1">IF($C139="S",IF($Z139="CP",$X139,IF($Z139="RA",(($X139)*QCI!$AA$3),0)),SomaAgrup)</f>
        <v>0</v>
      </c>
      <c r="AB139" s="129">
        <f t="shared" ca="1" si="30"/>
        <v>0</v>
      </c>
      <c r="AC139" s="566"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IF(AND(_xlfn.SINGLE(TIPOORCAMENTO)="Licitado",$AL139=0,$AN139&gt;0),"SEM PREÇO",
IF(AND($C139="S",$P139&lt;&gt;"",$Q139&lt;&gt;"",$U139&gt;0,$V139=0),"BDI",
IF(OR(AND(TIPOORCAMENTO="Proposto",LEFT($O$8,5)&lt;&gt;"(N/D:",$AG139&lt;&gt;"",ORÇAMENTO.CustoUnitario&gt;$AG139),AND(TIPOORCAMENTO="LICITADO",ORÇAMENTO.PrecoUnitarioLicitado&gt;$AN139)),"ACIMA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SEM CUSTO</v>
      </c>
      <c r="AD139" s="675" t="str">
        <f ca="1">IF(C139&lt;=CRONO.NivelExibicao,MAX($AD$15:OFFSET(AD139,-1,0))+IF($C139&lt;&gt;1,1,MAX(1,COUNTIF(QCI!$A$13:$A$15,OFFSET($E139,-1,0)))),"")</f>
        <v/>
      </c>
      <c r="AE139" s="671" t="str">
        <f ca="1">IF(AND($C139="S",ORÇAMENTO.CodBarra&lt;&gt;""),IF(ORÇAMENTO.Fonte="",ORÇAMENTO.CodBarra,CONCATENATE(ORÇAMENTO.Fonte," ",ORÇAMENTO.CodBarra)))</f>
        <v>COPASA 65004184</v>
      </c>
      <c r="AF139" s="674" t="str">
        <f ca="1">IF(ISERROR(INDIRECT(ORÇAMENTO.BancoRef)),"(abra o arquivo 'Referência "&amp;Excel_BuiltIn_Database&amp;".xlsm)",IF(OR($C139&lt;&gt;"S",ORÇAMENTO.CodBarra=""),"(Sem Código)",IF(ISERROR(MATCH($AE139,INDIRECT(ORÇAMENTO.BancoRef),0)),"(Código não identificado nas referências)",MATCH($AE139,INDIRECT(ORÇAMENTO.BancoRef),0))))</f>
        <v>(abra o arquivo 'Referência 09-2025.xlsm)</v>
      </c>
      <c r="AG139" s="429">
        <f ca="1">ROUND(IF(DESONERACAO="sim",REFERENCIA.Desonerado,REFERENCIA.NaoDesonerado),2)</f>
        <v>0</v>
      </c>
      <c r="AH139" s="430">
        <f t="shared" ca="1" si="31"/>
        <v>0.24740000000000001</v>
      </c>
      <c r="AJ139" s="699">
        <v>9</v>
      </c>
      <c r="AL139" s="440"/>
      <c r="AM139" s="337">
        <f t="shared" ca="1" si="0"/>
        <v>0</v>
      </c>
      <c r="AN139" s="471">
        <f t="shared" ca="1" si="32"/>
        <v>0</v>
      </c>
    </row>
    <row r="140" spans="1:40" s="675" customFormat="1" x14ac:dyDescent="0.2">
      <c r="A140" s="675">
        <f t="shared" si="18"/>
        <v>2</v>
      </c>
      <c r="B140" s="675">
        <f t="shared" ca="1" si="19"/>
        <v>2</v>
      </c>
      <c r="C140" s="675">
        <f t="shared" ca="1" si="20"/>
        <v>2</v>
      </c>
      <c r="D140" s="675">
        <f t="shared" ca="1" si="21"/>
        <v>5</v>
      </c>
      <c r="E140" s="675">
        <f ca="1">IF($C140=1,OFFSET(E140,-1,0)+MAX(1,COUNTIF(QCI!$A$13:$A$15,OFFSET(ORÇAMENTO!E140,-1,0))),OFFSET(E140,-1,0))</f>
        <v>1</v>
      </c>
      <c r="F140" s="675">
        <f t="shared" ca="1" si="22"/>
        <v>18</v>
      </c>
      <c r="G140" s="675">
        <f t="shared" ca="1" si="23"/>
        <v>0</v>
      </c>
      <c r="H140" s="675">
        <f t="shared" ca="1" si="24"/>
        <v>0</v>
      </c>
      <c r="I140" s="675">
        <f t="shared" ca="1" si="25"/>
        <v>0</v>
      </c>
      <c r="J140" s="675">
        <f t="shared" ref="J140:J173" ca="1" si="36">IF(OR($C140="S",$C140=0),0,MATCH(0,OFFSET($D140,1,$C140,ROW($C$231)-ROW($C140)),0))</f>
        <v>91</v>
      </c>
      <c r="K140" s="675">
        <f ca="1">IF(OR($C140="S",$C140=0),0,MATCH(OFFSET($D140,0,$C140)+IF($C140&lt;&gt;1,1,COUNTIF(QCI!$A$13:$A$15,ORÇAMENTO!E140)),OFFSET($D140,1,$C140,ROW($C$231)-ROW($C140)),0))</f>
        <v>5</v>
      </c>
      <c r="L140" s="115" t="str">
        <f t="shared" ca="1" si="26"/>
        <v>F</v>
      </c>
      <c r="M140" s="116" t="s">
        <v>703</v>
      </c>
      <c r="N140" s="117" t="str">
        <f t="shared" ca="1" si="27"/>
        <v>Nível 2</v>
      </c>
      <c r="O140" s="118" t="str">
        <f t="shared" ca="1" si="28"/>
        <v>1.18.</v>
      </c>
      <c r="P140" s="119" t="s">
        <v>751</v>
      </c>
      <c r="Q140" s="120"/>
      <c r="R140" s="121" t="s">
        <v>1051</v>
      </c>
      <c r="S140" s="122" t="str">
        <f ca="1">REFERENCIA.Unidade</f>
        <v>-</v>
      </c>
      <c r="T140" s="123">
        <f ca="1">OFFSET(CÁLCULO!H$15,ROW($T140)-ROW(T$15),0)</f>
        <v>0</v>
      </c>
      <c r="U140" s="124">
        <f ca="1">ROUND(IF(DESONERACAO="sim",REFERENCIA.Desonerado,REFERENCIA.NaoDesonerado),2)</f>
        <v>0</v>
      </c>
      <c r="V140" s="125" t="s">
        <v>664</v>
      </c>
      <c r="W140" s="123">
        <f ca="1">IF($C140="S",ROUND(IF(TIPOORCAMENTO="Proposto",ORÇAMENTO.CustoUnitario*(1+$AH140),ORÇAMENTO.PrecoUnitarioLicitado),15-13*$AF$10),0)</f>
        <v>0</v>
      </c>
      <c r="X140" s="126" cm="1">
        <f t="array" aca="1" ref="X140" ca="1">IF($C140="S",IF(OR(Import.TipoArredondamento&lt;&gt;"TransfereGOV",ACOMPANHAMENTO="BM"),VTOTAL1,SUM(OFFSET(CÁLCULO!$AA$15,ROW($X140)-ROW($X$15),1):OFFSET(CÁLCULO!$AL$15,ROW($X140)-ROW($X$15),-1))),IF($C140=0,0,ROUND(SomaAgrup,15-13*$AF$11)))</f>
        <v>0</v>
      </c>
      <c r="Y140" s="127" t="s">
        <v>752</v>
      </c>
      <c r="Z140" s="675" t="str">
        <f t="shared" ca="1" si="29"/>
        <v/>
      </c>
      <c r="AA140" s="128">
        <f ca="1">IF($C140="S",IF($Z140="CP",$X140,IF($Z140="RA",(($X140)*QCI!$AA$3),0)),SomaAgrup)</f>
        <v>0</v>
      </c>
      <c r="AB140" s="129">
        <f t="shared" ca="1" si="30"/>
        <v>0</v>
      </c>
      <c r="AC140" s="566" t="e"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IF(AND(_xlfn.SINGLE(TIPOORCAMENTO)="Licitado",$AL140=0,$AN140&gt;0),"SEM PREÇO",
IF(AND($C140="S",$P140&lt;&gt;"",$Q140&lt;&gt;"",$U140&gt;0,$V140=0),"BDI",
IF(OR(AND(TIPOORCAMENTO="Proposto",LEFT($O$8,5)&lt;&gt;"(N/D:",$AG140&lt;&gt;"",ORÇAMENTO.CustoUnitario&gt;$AG140),AND(TIPOORCAMENTO="LICITADO",ORÇAMENTO.PrecoUnitarioLicitado&gt;$AN140)),"ACIMA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#NAME?</v>
      </c>
      <c r="AD140" s="675">
        <f ca="1">IF(C140&lt;=CRONO.NivelExibicao,MAX($AD$15:OFFSET(AD140,-1,0))+IF($C140&lt;&gt;1,1,MAX(1,COUNTIF(QCI!$A$13:$A$15,OFFSET($E140,-1,0)))),"")</f>
        <v>19</v>
      </c>
      <c r="AE140" s="671" t="b">
        <f ca="1">IF(AND($C140="S",ORÇAMENTO.CodBarra&lt;&gt;""),IF(ORÇAMENTO.Fonte="",ORÇAMENTO.CodBarra,CONCATENATE(ORÇAMENTO.Fonte," ",ORÇAMENTO.CodBarra)))</f>
        <v>0</v>
      </c>
      <c r="AF140" s="674" t="str">
        <f ca="1">IF(ISERROR(INDIRECT(ORÇAMENTO.BancoRef)),"(abra o arquivo 'Referência "&amp;Excel_BuiltIn_Database&amp;".xlsm)",IF(OR($C140&lt;&gt;"S",ORÇAMENTO.CodBarra=""),"(Sem Código)",IF(ISERROR(MATCH($AE140,INDIRECT(ORÇAMENTO.BancoRef),0)),"(Código não identificado nas referências)",MATCH($AE140,INDIRECT(ORÇAMENTO.BancoRef),0))))</f>
        <v>(abra o arquivo 'Referência 09-2025.xlsm)</v>
      </c>
      <c r="AG140" s="429">
        <f ca="1">ROUND(IF(DESONERACAO="sim",REFERENCIA.Desonerado,REFERENCIA.NaoDesonerado),2)</f>
        <v>0</v>
      </c>
      <c r="AH140" s="430">
        <f t="shared" ca="1" si="31"/>
        <v>0.24740000000000001</v>
      </c>
      <c r="AJ140" s="699"/>
      <c r="AL140" s="440"/>
      <c r="AM140" s="337">
        <f t="shared" ca="1" si="0"/>
        <v>0</v>
      </c>
      <c r="AN140" s="471">
        <f t="shared" ca="1" si="32"/>
        <v>0</v>
      </c>
    </row>
    <row r="141" spans="1:40" s="675" customFormat="1" x14ac:dyDescent="0.2">
      <c r="A141" s="675" t="str">
        <f t="shared" si="18"/>
        <v>S</v>
      </c>
      <c r="B141" s="675">
        <f t="shared" ca="1" si="19"/>
        <v>2</v>
      </c>
      <c r="C141" s="675" t="str">
        <f t="shared" ca="1" si="20"/>
        <v>S</v>
      </c>
      <c r="D141" s="675">
        <f t="shared" ca="1" si="21"/>
        <v>0</v>
      </c>
      <c r="E141" s="675">
        <f ca="1">IF($C141=1,OFFSET(E141,-1,0)+MAX(1,COUNTIF(QCI!$A$13:$A$15,OFFSET(ORÇAMENTO!E141,-1,0))),OFFSET(E141,-1,0))</f>
        <v>1</v>
      </c>
      <c r="F141" s="675">
        <f t="shared" ca="1" si="22"/>
        <v>18</v>
      </c>
      <c r="G141" s="675">
        <f t="shared" ca="1" si="23"/>
        <v>0</v>
      </c>
      <c r="H141" s="675">
        <f t="shared" ca="1" si="24"/>
        <v>0</v>
      </c>
      <c r="I141" s="675">
        <f t="shared" ca="1" si="25"/>
        <v>0</v>
      </c>
      <c r="J141" s="675">
        <f t="shared" ca="1" si="36"/>
        <v>0</v>
      </c>
      <c r="K141" s="675">
        <f ca="1">IF(OR($C141="S",$C141=0),0,MATCH(OFFSET($D141,0,$C141)+IF($C141&lt;&gt;1,1,COUNTIF(QCI!$A$13:$A$15,ORÇAMENTO!E141)),OFFSET($D141,1,$C141,ROW($C$231)-ROW($C141)),0))</f>
        <v>0</v>
      </c>
      <c r="L141" s="115" t="str">
        <f t="shared" ca="1" si="26"/>
        <v/>
      </c>
      <c r="M141" s="116" t="s">
        <v>706</v>
      </c>
      <c r="N141" s="117" t="str">
        <f t="shared" ca="1" si="27"/>
        <v>Serviço</v>
      </c>
      <c r="O141" s="118" t="str">
        <f t="shared" ca="1" si="28"/>
        <v>-</v>
      </c>
      <c r="P141" s="119" t="s">
        <v>969</v>
      </c>
      <c r="Q141" s="690" t="s">
        <v>1046</v>
      </c>
      <c r="R141" s="121" t="str">
        <f ca="1">IF($C141="S",REFERENCIA.Descricao,"(digite a descrição aqui)")</f>
        <v>(abra o arquivo 'Referência 09-2025.xlsm)</v>
      </c>
      <c r="S141" s="122" t="str">
        <f ca="1">REFERENCIA.Unidade</f>
        <v>-</v>
      </c>
      <c r="T141" s="123">
        <f ca="1">OFFSET(CÁLCULO!H$15,ROW($T141)-ROW(T$15),0)</f>
        <v>1192</v>
      </c>
      <c r="U141" s="124">
        <f ca="1">ROUND(IF(DESONERACAO="sim",REFERENCIA.Desonerado,REFERENCIA.NaoDesonerado),2)</f>
        <v>0</v>
      </c>
      <c r="V141" s="125" t="s">
        <v>698</v>
      </c>
      <c r="W141" s="123">
        <f ca="1">IF($C141="S",ROUND(IF(TIPOORCAMENTO="Proposto",ORÇAMENTO.CustoUnitario*(1+$AH141),ORÇAMENTO.PrecoUnitarioLicitado),15-13*$AF$10),0)</f>
        <v>0</v>
      </c>
      <c r="X141" s="126" cm="1">
        <f t="array" aca="1" ref="X141" ca="1">IF($C141="S",IF(OR(Import.TipoArredondamento&lt;&gt;"TransfereGOV",ACOMPANHAMENTO="BM"),VTOTAL1,SUM(OFFSET(CÁLCULO!$AA$15,ROW($X141)-ROW($X$15),1):OFFSET(CÁLCULO!$AL$15,ROW($X141)-ROW($X$15),-1))),IF($C141=0,0,ROUND(SomaAgrup,15-13*$AF$11)))</f>
        <v>0</v>
      </c>
      <c r="Y141" s="127" t="s">
        <v>752</v>
      </c>
      <c r="Z141" s="675" t="str">
        <f t="shared" ca="1" si="29"/>
        <v/>
      </c>
      <c r="AA141" s="128">
        <f ca="1">IF($C141="S",IF($Z141="CP",$X141,IF($Z141="RA",(($X141)*QCI!$AA$3),0)),SomaAgrup)</f>
        <v>0</v>
      </c>
      <c r="AB141" s="129">
        <f t="shared" ca="1" si="30"/>
        <v>0</v>
      </c>
      <c r="AC141" s="566"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IF(AND(_xlfn.SINGLE(TIPOORCAMENTO)="Licitado",$AL141=0,$AN141&gt;0),"SEM PREÇO",
IF(AND($C141="S",$P141&lt;&gt;"",$Q141&lt;&gt;"",$U141&gt;0,$V141=0),"BDI",
IF(OR(AND(TIPOORCAMENTO="Proposto",LEFT($O$8,5)&lt;&gt;"(N/D:",$AG141&lt;&gt;"",ORÇAMENTO.CustoUnitario&gt;$AG141),AND(TIPOORCAMENTO="LICITADO",ORÇAMENTO.PrecoUnitarioLicitado&gt;$AN141)),"ACIMA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SEM CUSTO</v>
      </c>
      <c r="AD141" s="675" t="str">
        <f ca="1">IF(C141&lt;=CRONO.NivelExibicao,MAX($AD$15:OFFSET(AD141,-1,0))+IF($C141&lt;&gt;1,1,MAX(1,COUNTIF(QCI!$A$13:$A$15,OFFSET($E141,-1,0)))),"")</f>
        <v/>
      </c>
      <c r="AE141" s="671" t="str">
        <f ca="1">IF(AND($C141="S",ORÇAMENTO.CodBarra&lt;&gt;""),IF(ORÇAMENTO.Fonte="",ORÇAMENTO.CodBarra,CONCATENATE(ORÇAMENTO.Fonte," ",ORÇAMENTO.CodBarra)))</f>
        <v>SINAPI-I 41932</v>
      </c>
      <c r="AF141" s="674" t="str">
        <f ca="1">IF(ISERROR(INDIRECT(ORÇAMENTO.BancoRef)),"(abra o arquivo 'Referência "&amp;Excel_BuiltIn_Database&amp;".xlsm)",IF(OR($C141&lt;&gt;"S",ORÇAMENTO.CodBarra=""),"(Sem Código)",IF(ISERROR(MATCH($AE141,INDIRECT(ORÇAMENTO.BancoRef),0)),"(Código não identificado nas referências)",MATCH($AE141,INDIRECT(ORÇAMENTO.BancoRef),0))))</f>
        <v>(abra o arquivo 'Referência 09-2025.xlsm)</v>
      </c>
      <c r="AG141" s="429">
        <f ca="1">ROUND(IF(DESONERACAO="sim",REFERENCIA.Desonerado,REFERENCIA.NaoDesonerado),2)</f>
        <v>0</v>
      </c>
      <c r="AH141" s="430">
        <f t="shared" ca="1" si="31"/>
        <v>0.1573</v>
      </c>
      <c r="AJ141" s="699">
        <v>1192</v>
      </c>
      <c r="AL141" s="440"/>
      <c r="AM141" s="337">
        <f t="shared" ca="1" si="0"/>
        <v>0</v>
      </c>
      <c r="AN141" s="471">
        <f t="shared" ca="1" si="32"/>
        <v>0</v>
      </c>
    </row>
    <row r="142" spans="1:40" s="705" customFormat="1" x14ac:dyDescent="0.2">
      <c r="A142" s="705" t="str">
        <f>CHOOSE(1+LOG(1+2*(ORÇAMENTO.Nivel="Meta")+4*(ORÇAMENTO.Nivel="Nível 2")+8*(ORÇAMENTO.Nivel="Nível 3")+16*(ORÇAMENTO.Nivel="Nível 4")+32*(ORÇAMENTO.Nivel="Serviço"),2),0,1,2,3,4,"S")</f>
        <v>S</v>
      </c>
      <c r="B142" s="705">
        <f ca="1">IF(OR(C142="s",C142=0),OFFSET(B142,-1,0),C142)</f>
        <v>2</v>
      </c>
      <c r="C142" s="705" t="str">
        <f ca="1">IF(OFFSET(C142,-1,0)="L",1,IF(OFFSET(C142,-1,0)=1,2,IF(OR(A142="s",A142=0),"S",IF(AND(OFFSET(C142,-1,0)=2,A142=4),3,IF(AND(OR(OFFSET(C142,-1,0)="s",OFFSET(C142,-1,0)=0),A142&lt;&gt;"s",A142&gt;OFFSET(B142,-1,0)),OFFSET(B142,-1,0),A142)))))</f>
        <v>S</v>
      </c>
      <c r="D142" s="705">
        <f ca="1">IF(OR(C142="S",C142=0),0,IF(ISERROR(K142),J142,SMALL(J142:K142,1)))</f>
        <v>0</v>
      </c>
      <c r="E142" s="705">
        <f ca="1">IF($C142=1,OFFSET(E142,-1,0)+MAX(1,COUNTIF(QCI!$A$13:$A$15,OFFSET(ORÇAMENTO!E142,-1,0))),OFFSET(E142,-1,0))</f>
        <v>1</v>
      </c>
      <c r="F142" s="705">
        <f ca="1">IF($C142=1,0,IF($C142=2,OFFSET(F142,-1,0)+1,OFFSET(F142,-1,0)))</f>
        <v>18</v>
      </c>
      <c r="G142" s="705">
        <f ca="1">IF(AND($C142&lt;=2,$C142&lt;&gt;0),0,IF($C142=3,OFFSET(G142,-1,0)+1,OFFSET(G142,-1,0)))</f>
        <v>0</v>
      </c>
      <c r="H142" s="705">
        <f ca="1">IF(AND($C142&lt;=3,$C142&lt;&gt;0),0,IF($C142=4,OFFSET(H142,-1,0)+1,OFFSET(H142,-1,0)))</f>
        <v>0</v>
      </c>
      <c r="I142" s="705">
        <f ca="1">IF(AND($C142&lt;=4,$C142&lt;&gt;0),0,IF(AND($C142="S",$X142&gt;0),OFFSET(I142,-1,0)+1,OFFSET(I142,-1,0)))</f>
        <v>0</v>
      </c>
      <c r="J142" s="705">
        <f t="shared" ca="1" si="36"/>
        <v>0</v>
      </c>
      <c r="K142" s="705">
        <f ca="1">IF(OR($C142="S",$C142=0),0,MATCH(OFFSET($D142,0,$C142)+IF($C142&lt;&gt;1,1,COUNTIF(QCI!$A$13:$A$15,ORÇAMENTO!E142)),OFFSET($D142,1,$C142,ROW($C$231)-ROW($C142)),0))</f>
        <v>0</v>
      </c>
      <c r="L142" s="115" t="str">
        <f ca="1">IF(OR($X142&gt;0,$C142=1,$C142=2,$C142=3,$C142=4),"F","")</f>
        <v/>
      </c>
      <c r="M142" s="116" t="s">
        <v>706</v>
      </c>
      <c r="N142" s="117" t="str">
        <f ca="1">CHOOSE(1+LOG(1+2*(C142=1)+4*(C142=2)+8*(C142=3)+16*(C142=4)+32*(C142="S"),2),"","Meta","Nível 2","Nível 3","Nível 4","Serviço")</f>
        <v>Serviço</v>
      </c>
      <c r="O142" s="118" t="str">
        <f ca="1">IF(OR($C142=0,$L142=""),"-",CONCATENATE(E142&amp;".",IF(AND($A$5&gt;=2,$C142&gt;=2),F142&amp;".",""),IF(AND($A$5&gt;=3,$C142&gt;=3),G142&amp;".",""),IF(AND($A$5&gt;=4,$C142&gt;=4),H142&amp;".",""),IF($C142="S",I142&amp;".","")))</f>
        <v>-</v>
      </c>
      <c r="P142" s="119" t="s">
        <v>969</v>
      </c>
      <c r="Q142" s="120" t="s">
        <v>1015</v>
      </c>
      <c r="R142" s="121" t="str">
        <f ca="1">IF($C142="S",REFERENCIA.Descricao,"(digite a descrição aqui)")</f>
        <v>(abra o arquivo 'Referência 09-2025.xlsm)</v>
      </c>
      <c r="S142" s="122" t="str">
        <f ca="1">REFERENCIA.Unidade</f>
        <v>-</v>
      </c>
      <c r="T142" s="123">
        <f ca="1">OFFSET(CÁLCULO!H$15,ROW($T142)-ROW(T$15),0)</f>
        <v>1698</v>
      </c>
      <c r="U142" s="124">
        <f ca="1">ROUND(IF(DESONERACAO="sim",REFERENCIA.Desonerado,REFERENCIA.NaoDesonerado),2)</f>
        <v>0</v>
      </c>
      <c r="V142" s="125" t="s">
        <v>664</v>
      </c>
      <c r="W142" s="123">
        <f ca="1">IF($C142="S",ROUND(IF(TIPOORCAMENTO="Proposto",ORÇAMENTO.CustoUnitario*(1+$AH142),ORÇAMENTO.PrecoUnitarioLicitado),15-13*$AF$10),0)</f>
        <v>0</v>
      </c>
      <c r="X142" s="126" cm="1">
        <f t="array" aca="1" ref="X142" ca="1">IF($C142="S",IF(OR(Import.TipoArredondamento&lt;&gt;"TransfereGOV",ACOMPANHAMENTO="BM"),VTOTAL1,SUM(OFFSET(CÁLCULO!$AA$15,ROW($X142)-ROW($X$15),1):OFFSET(CÁLCULO!$AL$15,ROW($X142)-ROW($X$15),-1))),IF($C142=0,0,ROUND(SomaAgrup,15-13*$AF$11)))</f>
        <v>0</v>
      </c>
      <c r="Y142" s="127" t="s">
        <v>752</v>
      </c>
      <c r="Z142" s="705" t="str">
        <f ca="1">IF(AND($C142="S",$X142&gt;0),IF(ISBLANK($Y142),"RA",LEFT($Y142,2)),"")</f>
        <v/>
      </c>
      <c r="AA142" s="128">
        <f ca="1">IF($C142="S",IF($Z142="CP",$X142,IF($Z142="RA",(($X142)*QCI!$AA$3),0)),SomaAgrup)</f>
        <v>0</v>
      </c>
      <c r="AB142" s="129">
        <f ca="1">IF($C142="S",IF($Z142="OU",ROUND($X142,2),0),SomaAgrup)</f>
        <v>0</v>
      </c>
      <c r="AC142" s="566"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IF(AND(_xlfn.SINGLE(TIPOORCAMENTO)="Licitado",$AL142=0,$AN142&gt;0),"SEM PREÇO",
IF(AND($C142="S",$P142&lt;&gt;"",$Q142&lt;&gt;"",$U142&gt;0,$V142=0),"BDI",
IF(OR(AND(TIPOORCAMENTO="Proposto",LEFT($O$8,5)&lt;&gt;"(N/D:",$AG142&lt;&gt;"",ORÇAMENTO.CustoUnitario&gt;$AG142),AND(TIPOORCAMENTO="LICITADO",ORÇAMENTO.PrecoUnitarioLicitado&gt;$AN142)),"ACIMA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SEM CUSTO</v>
      </c>
      <c r="AD142" s="705" t="str">
        <f ca="1">IF(C142&lt;=CRONO.NivelExibicao,MAX($AD$15:OFFSET(AD142,-1,0))+IF($C142&lt;&gt;1,1,MAX(1,COUNTIF(QCI!$A$13:$A$15,OFFSET($E142,-1,0)))),"")</f>
        <v/>
      </c>
      <c r="AE142" s="703" t="str">
        <f ca="1">IF(AND($C142="S",ORÇAMENTO.CodBarra&lt;&gt;""),IF(ORÇAMENTO.Fonte="",ORÇAMENTO.CodBarra,CONCATENATE(ORÇAMENTO.Fonte," ",ORÇAMENTO.CodBarra)))</f>
        <v>SINAPI-I 41934</v>
      </c>
      <c r="AF142" s="704" t="str">
        <f ca="1">IF(ISERROR(INDIRECT(ORÇAMENTO.BancoRef)),"(abra o arquivo 'Referência "&amp;Excel_BuiltIn_Database&amp;".xlsm)",IF(OR($C142&lt;&gt;"S",ORÇAMENTO.CodBarra=""),"(Sem Código)",IF(ISERROR(MATCH($AE142,INDIRECT(ORÇAMENTO.BancoRef),0)),"(Código não identificado nas referências)",MATCH($AE142,INDIRECT(ORÇAMENTO.BancoRef),0))))</f>
        <v>(abra o arquivo 'Referência 09-2025.xlsm)</v>
      </c>
      <c r="AG142" s="429">
        <f ca="1">ROUND(IF(DESONERACAO="sim",REFERENCIA.Desonerado,REFERENCIA.NaoDesonerado),2)</f>
        <v>0</v>
      </c>
      <c r="AH142" s="430">
        <f ca="1">ROUND(IF(ISNUMBER(ORÇAMENTO.OpcaoBDI),ORÇAMENTO.OpcaoBDI,IF(LEFT(ORÇAMENTO.OpcaoBDI,3)="BDI",HLOOKUP(ORÇAMENTO.OpcaoBDI,$F$4:$H$5,2,FALSE),0)),15-11*$AF$9)</f>
        <v>0.24740000000000001</v>
      </c>
      <c r="AJ142" s="699">
        <v>1698</v>
      </c>
      <c r="AL142" s="440"/>
      <c r="AM142" s="337">
        <f t="shared" ca="1" si="0"/>
        <v>0</v>
      </c>
      <c r="AN142" s="471">
        <f ca="1">ROUND(ORÇAMENTO.CustoUnitario*(1+$AH142),2)</f>
        <v>0</v>
      </c>
    </row>
    <row r="143" spans="1:40" s="675" customFormat="1" ht="13.9" customHeight="1" x14ac:dyDescent="0.2">
      <c r="A143" s="675" t="str">
        <f t="shared" ref="A143:A230" si="37">CHOOSE(1+LOG(1+2*(ORÇAMENTO.Nivel="Meta")+4*(ORÇAMENTO.Nivel="Nível 2")+8*(ORÇAMENTO.Nivel="Nível 3")+16*(ORÇAMENTO.Nivel="Nível 4")+32*(ORÇAMENTO.Nivel="Serviço"),2),0,1,2,3,4,"S")</f>
        <v>S</v>
      </c>
      <c r="B143" s="675">
        <f t="shared" ref="B143:B230" ca="1" si="38">IF(OR(C143="s",C143=0),OFFSET(B143,-1,0),C143)</f>
        <v>2</v>
      </c>
      <c r="C143" s="675" t="str">
        <f t="shared" ref="C143:C230" ca="1" si="39">IF(OFFSET(C143,-1,0)="L",1,IF(OFFSET(C143,-1,0)=1,2,IF(OR(A143="s",A143=0),"S",IF(AND(OFFSET(C143,-1,0)=2,A143=4),3,IF(AND(OR(OFFSET(C143,-1,0)="s",OFFSET(C143,-1,0)=0),A143&lt;&gt;"s",A143&gt;OFFSET(B143,-1,0)),OFFSET(B143,-1,0),A143)))))</f>
        <v>S</v>
      </c>
      <c r="D143" s="675">
        <f t="shared" ref="D143:D230" ca="1" si="40">IF(OR(C143="S",C143=0),0,IF(ISERROR(K143),J143,SMALL(J143:K143,1)))</f>
        <v>0</v>
      </c>
      <c r="E143" s="675">
        <f ca="1">IF($C143=1,OFFSET(E143,-1,0)+MAX(1,COUNTIF(QCI!$A$13:$A$15,OFFSET(ORÇAMENTO!E143,-1,0))),OFFSET(E143,-1,0))</f>
        <v>1</v>
      </c>
      <c r="F143" s="675">
        <f t="shared" ref="F143:F230" ca="1" si="41">IF($C143=1,0,IF($C143=2,OFFSET(F143,-1,0)+1,OFFSET(F143,-1,0)))</f>
        <v>18</v>
      </c>
      <c r="G143" s="675">
        <f t="shared" ref="G143:G230" ca="1" si="42">IF(AND($C143&lt;=2,$C143&lt;&gt;0),0,IF($C143=3,OFFSET(G143,-1,0)+1,OFFSET(G143,-1,0)))</f>
        <v>0</v>
      </c>
      <c r="H143" s="675">
        <f t="shared" ref="H143:H230" ca="1" si="43">IF(AND($C143&lt;=3,$C143&lt;&gt;0),0,IF($C143=4,OFFSET(H143,-1,0)+1,OFFSET(H143,-1,0)))</f>
        <v>0</v>
      </c>
      <c r="I143" s="675">
        <f t="shared" ref="I143:I230" ca="1" si="44">IF(AND($C143&lt;=4,$C143&lt;&gt;0),0,IF(AND($C143="S",$X143&gt;0),OFFSET(I143,-1,0)+1,OFFSET(I143,-1,0)))</f>
        <v>0</v>
      </c>
      <c r="J143" s="675">
        <f t="shared" ca="1" si="36"/>
        <v>0</v>
      </c>
      <c r="K143" s="675">
        <f ca="1">IF(OR($C143="S",$C143=0),0,MATCH(OFFSET($D143,0,$C143)+IF($C143&lt;&gt;1,1,COUNTIF(QCI!$A$13:$A$15,ORÇAMENTO!E143)),OFFSET($D143,1,$C143,ROW($C$231)-ROW($C143)),0))</f>
        <v>0</v>
      </c>
      <c r="L143" s="115" t="str">
        <f t="shared" ref="L143:L230" ca="1" si="45">IF(OR($X143&gt;0,$C143=1,$C143=2,$C143=3,$C143=4),"F","")</f>
        <v/>
      </c>
      <c r="M143" s="116" t="s">
        <v>706</v>
      </c>
      <c r="N143" s="117" t="str">
        <f t="shared" ref="N143:N230" ca="1" si="46">CHOOSE(1+LOG(1+2*(C143=1)+4*(C143=2)+8*(C143=3)+16*(C143=4)+32*(C143="S"),2),"","Meta","Nível 2","Nível 3","Nível 4","Serviço")</f>
        <v>Serviço</v>
      </c>
      <c r="O143" s="118" t="str">
        <f t="shared" ref="O143:O230" ca="1" si="47">IF(OR($C143=0,$L143=""),"-",CONCATENATE(E143&amp;".",IF(AND($A$5&gt;=2,$C143&gt;=2),F143&amp;".",""),IF(AND($A$5&gt;=3,$C143&gt;=3),G143&amp;".",""),IF(AND($A$5&gt;=4,$C143&gt;=4),H143&amp;".",""),IF($C143="S",I143&amp;".","")))</f>
        <v>-</v>
      </c>
      <c r="P143" s="119" t="s">
        <v>969</v>
      </c>
      <c r="Q143" s="690" t="s">
        <v>1013</v>
      </c>
      <c r="R143" s="121" t="str">
        <f ca="1">IF($C143="S",REFERENCIA.Descricao,"(digite a descrição aqui)")</f>
        <v>(abra o arquivo 'Referência 09-2025.xlsm)</v>
      </c>
      <c r="S143" s="122" t="str">
        <f ca="1">REFERENCIA.Unidade</f>
        <v>-</v>
      </c>
      <c r="T143" s="123">
        <f ca="1">OFFSET(CÁLCULO!H$15,ROW($T143)-ROW(T$15),0)</f>
        <v>35</v>
      </c>
      <c r="U143" s="124">
        <f ca="1">ROUND(IF(DESONERACAO="sim",REFERENCIA.Desonerado,REFERENCIA.NaoDesonerado),2)</f>
        <v>0</v>
      </c>
      <c r="V143" s="125" t="s">
        <v>698</v>
      </c>
      <c r="W143" s="123">
        <f ca="1">IF($C143="S",ROUND(IF(TIPOORCAMENTO="Proposto",ORÇAMENTO.CustoUnitario*(1+$AH143),ORÇAMENTO.PrecoUnitarioLicitado),15-13*$AF$10),0)</f>
        <v>0</v>
      </c>
      <c r="X143" s="126" cm="1">
        <f t="array" aca="1" ref="X143" ca="1">IF($C143="S",IF(OR(Import.TipoArredondamento&lt;&gt;"TransfereGOV",ACOMPANHAMENTO="BM"),VTOTAL1,SUM(OFFSET(CÁLCULO!$AA$15,ROW($X143)-ROW($X$15),1):OFFSET(CÁLCULO!$AL$15,ROW($X143)-ROW($X$15),-1))),IF($C143=0,0,ROUND(SomaAgrup,15-13*$AF$11)))</f>
        <v>0</v>
      </c>
      <c r="Y143" s="127" t="s">
        <v>752</v>
      </c>
      <c r="Z143" s="675" t="str">
        <f t="shared" ref="Z143:Z230" ca="1" si="48">IF(AND($C143="S",$X143&gt;0),IF(ISBLANK($Y143),"RA",LEFT($Y143,2)),"")</f>
        <v/>
      </c>
      <c r="AA143" s="128">
        <f ca="1">IF($C143="S",IF($Z143="CP",$X143,IF($Z143="RA",(($X143)*QCI!$AA$3),0)),SomaAgrup)</f>
        <v>0</v>
      </c>
      <c r="AB143" s="129">
        <f t="shared" ref="AB143:AB230" ca="1" si="49">IF($C143="S",IF($Z143="OU",ROUND($X143,2),0),SomaAgrup)</f>
        <v>0</v>
      </c>
      <c r="AC143" s="566"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IF(AND(_xlfn.SINGLE(TIPOORCAMENTO)="Licitado",$AL143=0,$AN143&gt;0),"SEM PREÇO",
IF(AND($C143="S",$P143&lt;&gt;"",$Q143&lt;&gt;"",$U143&gt;0,$V143=0),"BDI",
IF(OR(AND(TIPOORCAMENTO="Proposto",LEFT($O$8,5)&lt;&gt;"(N/D:",$AG143&lt;&gt;"",ORÇAMENTO.CustoUnitario&gt;$AG143),AND(TIPOORCAMENTO="LICITADO",ORÇAMENTO.PrecoUnitarioLicitado&gt;$AN143)),"ACIMA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SEM CUSTO</v>
      </c>
      <c r="AD143" s="675" t="str">
        <f ca="1">IF(C143&lt;=CRONO.NivelExibicao,MAX($AD$15:OFFSET(AD143,-1,0))+IF($C143&lt;&gt;1,1,MAX(1,COUNTIF(QCI!$A$13:$A$15,OFFSET($E143,-1,0)))),"")</f>
        <v/>
      </c>
      <c r="AE143" s="671" t="str">
        <f ca="1">IF(AND($C143="S",ORÇAMENTO.CodBarra&lt;&gt;""),IF(ORÇAMENTO.Fonte="",ORÇAMENTO.CodBarra,CONCATENATE(ORÇAMENTO.Fonte," ",ORÇAMENTO.CodBarra)))</f>
        <v>SINAPI-I 11301</v>
      </c>
      <c r="AF143" s="674" t="str">
        <f ca="1">IF(ISERROR(INDIRECT(ORÇAMENTO.BancoRef)),"(abra o arquivo 'Referência "&amp;Excel_BuiltIn_Database&amp;".xlsm)",IF(OR($C143&lt;&gt;"S",ORÇAMENTO.CodBarra=""),"(Sem Código)",IF(ISERROR(MATCH($AE143,INDIRECT(ORÇAMENTO.BancoRef),0)),"(Código não identificado nas referências)",MATCH($AE143,INDIRECT(ORÇAMENTO.BancoRef),0))))</f>
        <v>(abra o arquivo 'Referência 09-2025.xlsm)</v>
      </c>
      <c r="AG143" s="429">
        <f ca="1">ROUND(IF(DESONERACAO="sim",REFERENCIA.Desonerado,REFERENCIA.NaoDesonerado),2)</f>
        <v>0</v>
      </c>
      <c r="AH143" s="430">
        <f t="shared" ref="AH143:AH230" ca="1" si="50">ROUND(IF(ISNUMBER(ORÇAMENTO.OpcaoBDI),ORÇAMENTO.OpcaoBDI,IF(LEFT(ORÇAMENTO.OpcaoBDI,3)="BDI",HLOOKUP(ORÇAMENTO.OpcaoBDI,$F$4:$H$5,2,FALSE),0)),15-11*$AF$9)</f>
        <v>0.1573</v>
      </c>
      <c r="AJ143" s="699">
        <v>35</v>
      </c>
      <c r="AL143" s="440"/>
      <c r="AM143" s="337">
        <f t="shared" ca="1" si="0"/>
        <v>0</v>
      </c>
      <c r="AN143" s="471">
        <f t="shared" ref="AN143:AN230" ca="1" si="51">ROUND(ORÇAMENTO.CustoUnitario*(1+$AH143),2)</f>
        <v>0</v>
      </c>
    </row>
    <row r="144" spans="1:40" s="675" customFormat="1" ht="13.9" customHeight="1" x14ac:dyDescent="0.2">
      <c r="A144" s="675" t="str">
        <f t="shared" si="37"/>
        <v>S</v>
      </c>
      <c r="B144" s="675">
        <f t="shared" ca="1" si="38"/>
        <v>2</v>
      </c>
      <c r="C144" s="675" t="str">
        <f t="shared" ca="1" si="39"/>
        <v>S</v>
      </c>
      <c r="D144" s="675">
        <f t="shared" ca="1" si="40"/>
        <v>0</v>
      </c>
      <c r="E144" s="675">
        <f ca="1">IF($C144=1,OFFSET(E144,-1,0)+MAX(1,COUNTIF(QCI!$A$13:$A$15,OFFSET(ORÇAMENTO!E144,-1,0))),OFFSET(E144,-1,0))</f>
        <v>1</v>
      </c>
      <c r="F144" s="675">
        <f t="shared" ca="1" si="41"/>
        <v>18</v>
      </c>
      <c r="G144" s="675">
        <f t="shared" ca="1" si="42"/>
        <v>0</v>
      </c>
      <c r="H144" s="675">
        <f t="shared" ca="1" si="43"/>
        <v>0</v>
      </c>
      <c r="I144" s="675">
        <f t="shared" ca="1" si="44"/>
        <v>0</v>
      </c>
      <c r="J144" s="675">
        <f t="shared" ca="1" si="36"/>
        <v>0</v>
      </c>
      <c r="K144" s="675">
        <f ca="1">IF(OR($C144="S",$C144=0),0,MATCH(OFFSET($D144,0,$C144)+IF($C144&lt;&gt;1,1,COUNTIF(QCI!$A$13:$A$15,ORÇAMENTO!E144)),OFFSET($D144,1,$C144,ROW($C$231)-ROW($C144)),0))</f>
        <v>0</v>
      </c>
      <c r="L144" s="115" t="str">
        <f t="shared" ca="1" si="45"/>
        <v/>
      </c>
      <c r="M144" s="116" t="s">
        <v>706</v>
      </c>
      <c r="N144" s="117" t="str">
        <f t="shared" ca="1" si="46"/>
        <v>Serviço</v>
      </c>
      <c r="O144" s="118" t="str">
        <f t="shared" ca="1" si="47"/>
        <v>-</v>
      </c>
      <c r="P144" s="119" t="s">
        <v>969</v>
      </c>
      <c r="Q144" s="690" t="s">
        <v>1047</v>
      </c>
      <c r="R144" s="121" t="str">
        <f ca="1">IF($C144="S",REFERENCIA.Descricao,"(digite a descrição aqui)")</f>
        <v>(abra o arquivo 'Referência 09-2025.xlsm)</v>
      </c>
      <c r="S144" s="122" t="str">
        <f ca="1">REFERENCIA.Unidade</f>
        <v>-</v>
      </c>
      <c r="T144" s="123">
        <f ca="1">OFFSET(CÁLCULO!H$15,ROW($T144)-ROW(T$15),0)</f>
        <v>9</v>
      </c>
      <c r="U144" s="124">
        <f ca="1">ROUND(IF(DESONERACAO="sim",REFERENCIA.Desonerado,REFERENCIA.NaoDesonerado),2)</f>
        <v>0</v>
      </c>
      <c r="V144" s="125" t="s">
        <v>698</v>
      </c>
      <c r="W144" s="123">
        <f ca="1">IF($C144="S",ROUND(IF(TIPOORCAMENTO="Proposto",ORÇAMENTO.CustoUnitario*(1+$AH144),ORÇAMENTO.PrecoUnitarioLicitado),15-13*$AF$10),0)</f>
        <v>0</v>
      </c>
      <c r="X144" s="126" cm="1">
        <f t="array" aca="1" ref="X144" ca="1">IF($C144="S",IF(OR(Import.TipoArredondamento&lt;&gt;"TransfereGOV",ACOMPANHAMENTO="BM"),VTOTAL1,SUM(OFFSET(CÁLCULO!$AA$15,ROW($X144)-ROW($X$15),1):OFFSET(CÁLCULO!$AL$15,ROW($X144)-ROW($X$15),-1))),IF($C144=0,0,ROUND(SomaAgrup,15-13*$AF$11)))</f>
        <v>0</v>
      </c>
      <c r="Y144" s="127" t="s">
        <v>752</v>
      </c>
      <c r="Z144" s="675" t="str">
        <f t="shared" ca="1" si="48"/>
        <v/>
      </c>
      <c r="AA144" s="128">
        <f ca="1">IF($C144="S",IF($Z144="CP",$X144,IF($Z144="RA",(($X144)*QCI!$AA$3),0)),SomaAgrup)</f>
        <v>0</v>
      </c>
      <c r="AB144" s="129">
        <f t="shared" ca="1" si="49"/>
        <v>0</v>
      </c>
      <c r="AC144" s="566"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IF(AND(_xlfn.SINGLE(TIPOORCAMENTO)="Licitado",$AL144=0,$AN144&gt;0),"SEM PREÇO",
IF(AND($C144="S",$P144&lt;&gt;"",$Q144&lt;&gt;"",$U144&gt;0,$V144=0),"BDI",
IF(OR(AND(TIPOORCAMENTO="Proposto",LEFT($O$8,5)&lt;&gt;"(N/D:",$AG144&lt;&gt;"",ORÇAMENTO.CustoUnitario&gt;$AG144),AND(TIPOORCAMENTO="LICITADO",ORÇAMENTO.PrecoUnitarioLicitado&gt;$AN144)),"ACIMA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SEM CUSTO</v>
      </c>
      <c r="AD144" s="675" t="str">
        <f ca="1">IF(C144&lt;=CRONO.NivelExibicao,MAX($AD$15:OFFSET(AD144,-1,0))+IF($C144&lt;&gt;1,1,MAX(1,COUNTIF(QCI!$A$13:$A$15,OFFSET($E144,-1,0)))),"")</f>
        <v/>
      </c>
      <c r="AE144" s="671" t="str">
        <f ca="1">IF(AND($C144="S",ORÇAMENTO.CodBarra&lt;&gt;""),IF(ORÇAMENTO.Fonte="",ORÇAMENTO.CodBarra,CONCATENATE(ORÇAMENTO.Fonte," ",ORÇAMENTO.CodBarra)))</f>
        <v>SINAPI-I 11299</v>
      </c>
      <c r="AF144" s="674" t="str">
        <f ca="1">IF(ISERROR(INDIRECT(ORÇAMENTO.BancoRef)),"(abra o arquivo 'Referência "&amp;Excel_BuiltIn_Database&amp;".xlsm)",IF(OR($C144&lt;&gt;"S",ORÇAMENTO.CodBarra=""),"(Sem Código)",IF(ISERROR(MATCH($AE144,INDIRECT(ORÇAMENTO.BancoRef),0)),"(Código não identificado nas referências)",MATCH($AE144,INDIRECT(ORÇAMENTO.BancoRef),0))))</f>
        <v>(abra o arquivo 'Referência 09-2025.xlsm)</v>
      </c>
      <c r="AG144" s="429">
        <f ca="1">ROUND(IF(DESONERACAO="sim",REFERENCIA.Desonerado,REFERENCIA.NaoDesonerado),2)</f>
        <v>0</v>
      </c>
      <c r="AH144" s="430">
        <f t="shared" ca="1" si="50"/>
        <v>0.1573</v>
      </c>
      <c r="AJ144" s="699">
        <v>9</v>
      </c>
      <c r="AL144" s="440"/>
      <c r="AM144" s="337">
        <f t="shared" ca="1" si="0"/>
        <v>0</v>
      </c>
      <c r="AN144" s="471">
        <f t="shared" ca="1" si="51"/>
        <v>0</v>
      </c>
    </row>
    <row r="145" spans="1:40" s="675" customFormat="1" x14ac:dyDescent="0.2">
      <c r="A145" s="675">
        <f t="shared" si="37"/>
        <v>2</v>
      </c>
      <c r="B145" s="675">
        <f t="shared" ca="1" si="38"/>
        <v>2</v>
      </c>
      <c r="C145" s="675">
        <f t="shared" ca="1" si="39"/>
        <v>2</v>
      </c>
      <c r="D145" s="675">
        <f t="shared" ca="1" si="40"/>
        <v>1</v>
      </c>
      <c r="E145" s="675">
        <f ca="1">IF($C145=1,OFFSET(E145,-1,0)+MAX(1,COUNTIF(QCI!$A$13:$A$15,OFFSET(ORÇAMENTO!E145,-1,0))),OFFSET(E145,-1,0))</f>
        <v>1</v>
      </c>
      <c r="F145" s="675">
        <f t="shared" ca="1" si="41"/>
        <v>19</v>
      </c>
      <c r="G145" s="675">
        <f t="shared" ca="1" si="42"/>
        <v>0</v>
      </c>
      <c r="H145" s="675">
        <f t="shared" ca="1" si="43"/>
        <v>0</v>
      </c>
      <c r="I145" s="675">
        <f t="shared" ca="1" si="44"/>
        <v>0</v>
      </c>
      <c r="J145" s="675">
        <f t="shared" ca="1" si="36"/>
        <v>86</v>
      </c>
      <c r="K145" s="675">
        <f ca="1">IF(OR($C145="S",$C145=0),0,MATCH(OFFSET($D145,0,$C145)+IF($C145&lt;&gt;1,1,COUNTIF(QCI!$A$13:$A$15,ORÇAMENTO!E145)),OFFSET($D145,1,$C145,ROW($C$231)-ROW($C145)),0))</f>
        <v>1</v>
      </c>
      <c r="L145" s="115" t="str">
        <f t="shared" ca="1" si="45"/>
        <v>F</v>
      </c>
      <c r="M145" s="116" t="s">
        <v>703</v>
      </c>
      <c r="N145" s="117" t="str">
        <f t="shared" ca="1" si="46"/>
        <v>Nível 2</v>
      </c>
      <c r="O145" s="118" t="str">
        <f t="shared" ca="1" si="47"/>
        <v>1.19.</v>
      </c>
      <c r="P145" s="119" t="s">
        <v>751</v>
      </c>
      <c r="Q145" s="120"/>
      <c r="R145" s="121" t="s">
        <v>1052</v>
      </c>
      <c r="S145" s="122" t="str">
        <f ca="1">REFERENCIA.Unidade</f>
        <v>-</v>
      </c>
      <c r="T145" s="123">
        <f ca="1">OFFSET(CÁLCULO!H$15,ROW($T145)-ROW(T$15),0)</f>
        <v>0</v>
      </c>
      <c r="U145" s="124">
        <f ca="1">ROUND(IF(DESONERACAO="sim",REFERENCIA.Desonerado,REFERENCIA.NaoDesonerado),2)</f>
        <v>0</v>
      </c>
      <c r="V145" s="125" t="s">
        <v>664</v>
      </c>
      <c r="W145" s="123">
        <f ca="1">IF($C145="S",ROUND(IF(TIPOORCAMENTO="Proposto",ORÇAMENTO.CustoUnitario*(1+$AH145),ORÇAMENTO.PrecoUnitarioLicitado),15-13*$AF$10),0)</f>
        <v>0</v>
      </c>
      <c r="X145" s="126" cm="1">
        <f t="array" aca="1" ref="X145" ca="1">IF($C145="S",IF(OR(Import.TipoArredondamento&lt;&gt;"TransfereGOV",ACOMPANHAMENTO="BM"),VTOTAL1,SUM(OFFSET(CÁLCULO!$AA$15,ROW($X145)-ROW($X$15),1):OFFSET(CÁLCULO!$AL$15,ROW($X145)-ROW($X$15),-1))),IF($C145=0,0,ROUND(SomaAgrup,15-13*$AF$11)))</f>
        <v>0</v>
      </c>
      <c r="Y145" s="127" t="s">
        <v>752</v>
      </c>
      <c r="Z145" s="675" t="str">
        <f t="shared" ca="1" si="48"/>
        <v/>
      </c>
      <c r="AA145" s="128">
        <f ca="1">IF($C145="S",IF($Z145="CP",$X145,IF($Z145="RA",(($X145)*QCI!$AA$3),0)),SomaAgrup)</f>
        <v>0</v>
      </c>
      <c r="AB145" s="129">
        <f t="shared" ca="1" si="49"/>
        <v>0</v>
      </c>
      <c r="AC145" s="566" t="e"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IF(AND(_xlfn.SINGLE(TIPOORCAMENTO)="Licitado",$AL145=0,$AN145&gt;0),"SEM PREÇO",
IF(AND($C145="S",$P145&lt;&gt;"",$Q145&lt;&gt;"",$U145&gt;0,$V145=0),"BDI",
IF(OR(AND(TIPOORCAMENTO="Proposto",LEFT($O$8,5)&lt;&gt;"(N/D:",$AG145&lt;&gt;"",ORÇAMENTO.CustoUnitario&gt;$AG145),AND(TIPOORCAMENTO="LICITADO",ORÇAMENTO.PrecoUnitarioLicitado&gt;$AN145)),"ACIMA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#NAME?</v>
      </c>
      <c r="AD145" s="675">
        <f ca="1">IF(C145&lt;=CRONO.NivelExibicao,MAX($AD$15:OFFSET(AD145,-1,0))+IF($C145&lt;&gt;1,1,MAX(1,COUNTIF(QCI!$A$13:$A$15,OFFSET($E145,-1,0)))),"")</f>
        <v>20</v>
      </c>
      <c r="AE145" s="671" t="b">
        <f ca="1">IF(AND($C145="S",ORÇAMENTO.CodBarra&lt;&gt;""),IF(ORÇAMENTO.Fonte="",ORÇAMENTO.CodBarra,CONCATENATE(ORÇAMENTO.Fonte," ",ORÇAMENTO.CodBarra)))</f>
        <v>0</v>
      </c>
      <c r="AF145" s="674" t="str">
        <f ca="1">IF(ISERROR(INDIRECT(ORÇAMENTO.BancoRef)),"(abra o arquivo 'Referência "&amp;Excel_BuiltIn_Database&amp;".xlsm)",IF(OR($C145&lt;&gt;"S",ORÇAMENTO.CodBarra=""),"(Sem Código)",IF(ISERROR(MATCH($AE145,INDIRECT(ORÇAMENTO.BancoRef),0)),"(Código não identificado nas referências)",MATCH($AE145,INDIRECT(ORÇAMENTO.BancoRef),0))))</f>
        <v>(abra o arquivo 'Referência 09-2025.xlsm)</v>
      </c>
      <c r="AG145" s="429">
        <f ca="1">ROUND(IF(DESONERACAO="sim",REFERENCIA.Desonerado,REFERENCIA.NaoDesonerado),2)</f>
        <v>0</v>
      </c>
      <c r="AH145" s="430">
        <f t="shared" ca="1" si="50"/>
        <v>0.24740000000000001</v>
      </c>
      <c r="AJ145" s="699"/>
      <c r="AL145" s="440"/>
      <c r="AM145" s="337">
        <f t="shared" ca="1" si="0"/>
        <v>0</v>
      </c>
      <c r="AN145" s="471">
        <f t="shared" ca="1" si="51"/>
        <v>0</v>
      </c>
    </row>
    <row r="146" spans="1:40" s="702" customFormat="1" x14ac:dyDescent="0.2">
      <c r="A146" s="702">
        <f t="shared" si="37"/>
        <v>2</v>
      </c>
      <c r="B146" s="702">
        <f t="shared" ca="1" si="38"/>
        <v>2</v>
      </c>
      <c r="C146" s="702">
        <f t="shared" ca="1" si="39"/>
        <v>2</v>
      </c>
      <c r="D146" s="702">
        <f t="shared" ca="1" si="40"/>
        <v>18</v>
      </c>
      <c r="E146" s="702">
        <f ca="1">IF($C146=1,OFFSET(E146,-1,0)+MAX(1,COUNTIF(QCI!$A$13:$A$15,OFFSET(ORÇAMENTO!E146,-1,0))),OFFSET(E146,-1,0))</f>
        <v>1</v>
      </c>
      <c r="F146" s="702">
        <f t="shared" ca="1" si="41"/>
        <v>20</v>
      </c>
      <c r="G146" s="702">
        <f t="shared" ca="1" si="42"/>
        <v>0</v>
      </c>
      <c r="H146" s="702">
        <f t="shared" ca="1" si="43"/>
        <v>0</v>
      </c>
      <c r="I146" s="702">
        <f t="shared" ca="1" si="44"/>
        <v>0</v>
      </c>
      <c r="J146" s="702">
        <f t="shared" ca="1" si="36"/>
        <v>85</v>
      </c>
      <c r="K146" s="702">
        <f ca="1">IF(OR($C146="S",$C146=0),0,MATCH(OFFSET($D146,0,$C146)+IF($C146&lt;&gt;1,1,COUNTIF(QCI!$A$13:$A$15,ORÇAMENTO!E146)),OFFSET($D146,1,$C146,ROW($C$231)-ROW($C146)),0))</f>
        <v>18</v>
      </c>
      <c r="L146" s="115" t="str">
        <f t="shared" ca="1" si="45"/>
        <v>F</v>
      </c>
      <c r="M146" s="116" t="s">
        <v>703</v>
      </c>
      <c r="N146" s="117" t="str">
        <f t="shared" ca="1" si="46"/>
        <v>Nível 2</v>
      </c>
      <c r="O146" s="118" t="str">
        <f t="shared" ca="1" si="47"/>
        <v>1.20.</v>
      </c>
      <c r="P146" s="119" t="s">
        <v>751</v>
      </c>
      <c r="Q146" s="120"/>
      <c r="R146" s="121" t="s">
        <v>1123</v>
      </c>
      <c r="S146" s="122" t="str">
        <f ca="1">REFERENCIA.Unidade</f>
        <v>-</v>
      </c>
      <c r="T146" s="123">
        <f ca="1">OFFSET(CÁLCULO!H$15,ROW($T146)-ROW(T$15),0)</f>
        <v>0</v>
      </c>
      <c r="U146" s="124"/>
      <c r="V146" s="125" t="s">
        <v>664</v>
      </c>
      <c r="W146" s="123">
        <f ca="1">IF($C146="S",ROUND(IF(TIPOORCAMENTO="Proposto",ORÇAMENTO.CustoUnitario*(1+$AH146),ORÇAMENTO.PrecoUnitarioLicitado),15-13*$AF$10),0)</f>
        <v>0</v>
      </c>
      <c r="X146" s="126" cm="1">
        <f t="array" aca="1" ref="X146" ca="1">IF($C146="S",IF(OR(Import.TipoArredondamento&lt;&gt;"TransfereGOV",ACOMPANHAMENTO="BM"),VTOTAL1,SUM(OFFSET(CÁLCULO!$AA$15,ROW($X146)-ROW($X$15),1):OFFSET(CÁLCULO!$AL$15,ROW($X146)-ROW($X$15),-1))),IF($C146=0,0,ROUND(SomaAgrup,15-13*$AF$11)))</f>
        <v>0</v>
      </c>
      <c r="Y146" s="127" t="s">
        <v>752</v>
      </c>
      <c r="Z146" s="702" t="str">
        <f t="shared" ca="1" si="48"/>
        <v/>
      </c>
      <c r="AA146" s="128">
        <f ca="1">IF($C146="S",IF($Z146="CP",$X146,IF($Z146="RA",(($X146)*QCI!$AA$3),0)),SomaAgrup)</f>
        <v>0</v>
      </c>
      <c r="AB146" s="129">
        <f t="shared" ca="1" si="49"/>
        <v>0</v>
      </c>
      <c r="AC146" s="566" t="e"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IF(AND(_xlfn.SINGLE(TIPOORCAMENTO)="Licitado",$AL146=0,$AN146&gt;0),"SEM PREÇO",
IF(AND($C146="S",$P146&lt;&gt;"",$Q146&lt;&gt;"",$U146&gt;0,$V146=0),"BDI",
IF(OR(AND(TIPOORCAMENTO="Proposto",LEFT($O$8,5)&lt;&gt;"(N/D:",$AG146&lt;&gt;"",ORÇAMENTO.CustoUnitario&gt;$AG146),AND(TIPOORCAMENTO="LICITADO",ORÇAMENTO.PrecoUnitarioLicitado&gt;$AN146)),"ACIMA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#NAME?</v>
      </c>
      <c r="AD146" s="702">
        <f ca="1">IF(C146&lt;=CRONO.NivelExibicao,MAX($AD$15:OFFSET(AD146,-1,0))+IF($C146&lt;&gt;1,1,MAX(1,COUNTIF(QCI!$A$13:$A$15,OFFSET($E146,-1,0)))),"")</f>
        <v>21</v>
      </c>
      <c r="AE146" s="700" t="b">
        <f ca="1">IF(AND($C146="S",ORÇAMENTO.CodBarra&lt;&gt;""),IF(ORÇAMENTO.Fonte="",ORÇAMENTO.CodBarra,CONCATENATE(ORÇAMENTO.Fonte," ",ORÇAMENTO.CodBarra)))</f>
        <v>0</v>
      </c>
      <c r="AF146" s="701" t="str">
        <f ca="1">IF(ISERROR(INDIRECT(ORÇAMENTO.BancoRef)),"(abra o arquivo 'Referência "&amp;Excel_BuiltIn_Database&amp;".xlsm)",IF(OR($C146&lt;&gt;"S",ORÇAMENTO.CodBarra=""),"(Sem Código)",IF(ISERROR(MATCH($AE146,INDIRECT(ORÇAMENTO.BancoRef),0)),"(Código não identificado nas referências)",MATCH($AE146,INDIRECT(ORÇAMENTO.BancoRef),0))))</f>
        <v>(abra o arquivo 'Referência 09-2025.xlsm)</v>
      </c>
      <c r="AG146" s="429">
        <f ca="1">ROUND(IF(DESONERACAO="sim",REFERENCIA.Desonerado,REFERENCIA.NaoDesonerado),2)</f>
        <v>0</v>
      </c>
      <c r="AH146" s="430">
        <f t="shared" ca="1" si="50"/>
        <v>0.24740000000000001</v>
      </c>
      <c r="AJ146" s="699"/>
      <c r="AL146" s="440"/>
      <c r="AM146" s="337">
        <f t="shared" ca="1" si="0"/>
        <v>0</v>
      </c>
      <c r="AN146" s="471">
        <f t="shared" ca="1" si="51"/>
        <v>0</v>
      </c>
    </row>
    <row r="147" spans="1:40" s="702" customFormat="1" x14ac:dyDescent="0.2">
      <c r="A147" s="702" t="str">
        <f t="shared" si="37"/>
        <v>S</v>
      </c>
      <c r="B147" s="702">
        <f t="shared" ca="1" si="38"/>
        <v>2</v>
      </c>
      <c r="C147" s="702" t="str">
        <f t="shared" ca="1" si="39"/>
        <v>S</v>
      </c>
      <c r="D147" s="702">
        <f t="shared" ca="1" si="40"/>
        <v>0</v>
      </c>
      <c r="E147" s="702">
        <f ca="1">IF($C147=1,OFFSET(E147,-1,0)+MAX(1,COUNTIF(QCI!$A$13:$A$15,OFFSET(ORÇAMENTO!E147,-1,0))),OFFSET(E147,-1,0))</f>
        <v>1</v>
      </c>
      <c r="F147" s="702">
        <f t="shared" ca="1" si="41"/>
        <v>20</v>
      </c>
      <c r="G147" s="702">
        <f t="shared" ca="1" si="42"/>
        <v>0</v>
      </c>
      <c r="H147" s="702">
        <f t="shared" ca="1" si="43"/>
        <v>0</v>
      </c>
      <c r="I147" s="702">
        <f t="shared" ca="1" si="44"/>
        <v>0</v>
      </c>
      <c r="J147" s="702">
        <f t="shared" ca="1" si="36"/>
        <v>0</v>
      </c>
      <c r="K147" s="702">
        <f ca="1">IF(OR($C147="S",$C147=0),0,MATCH(OFFSET($D147,0,$C147)+IF($C147&lt;&gt;1,1,COUNTIF(QCI!$A$13:$A$15,ORÇAMENTO!E147)),OFFSET($D147,1,$C147,ROW($C$231)-ROW($C147)),0))</f>
        <v>0</v>
      </c>
      <c r="L147" s="115" t="str">
        <f t="shared" ca="1" si="45"/>
        <v/>
      </c>
      <c r="M147" s="116" t="s">
        <v>706</v>
      </c>
      <c r="N147" s="117" t="str">
        <f t="shared" ca="1" si="46"/>
        <v>Serviço</v>
      </c>
      <c r="O147" s="118" t="str">
        <f t="shared" ca="1" si="47"/>
        <v>-</v>
      </c>
      <c r="P147" s="119" t="s">
        <v>993</v>
      </c>
      <c r="Q147" s="120" t="s">
        <v>1018</v>
      </c>
      <c r="R147" s="121" t="str">
        <f ca="1">IF($C147="S",REFERENCIA.Descricao,"(digite a descrição aqui)")</f>
        <v>(abra o arquivo 'Referência 09-2025.xlsm)</v>
      </c>
      <c r="S147" s="122" t="str">
        <f ca="1">REFERENCIA.Unidade</f>
        <v>-</v>
      </c>
      <c r="T147" s="123">
        <f ca="1">OFFSET(CÁLCULO!H$15,ROW($T147)-ROW(T$15),0)</f>
        <v>1</v>
      </c>
      <c r="U147" s="124">
        <f ca="1">ROUND(IF(DESONERACAO="sim",REFERENCIA.Desonerado,REFERENCIA.NaoDesonerado),2)</f>
        <v>0</v>
      </c>
      <c r="V147" s="125" t="s">
        <v>664</v>
      </c>
      <c r="W147" s="123">
        <f ca="1">IF($C147="S",ROUND(IF(TIPOORCAMENTO="Proposto",ORÇAMENTO.CustoUnitario*(1+$AH147),ORÇAMENTO.PrecoUnitarioLicitado),15-13*$AF$10),0)</f>
        <v>0</v>
      </c>
      <c r="X147" s="126" cm="1">
        <f t="array" aca="1" ref="X147" ca="1">IF($C147="S",IF(OR(Import.TipoArredondamento&lt;&gt;"TransfereGOV",ACOMPANHAMENTO="BM"),VTOTAL1,SUM(OFFSET(CÁLCULO!$AA$15,ROW($X147)-ROW($X$15),1):OFFSET(CÁLCULO!$AL$15,ROW($X147)-ROW($X$15),-1))),IF($C147=0,0,ROUND(SomaAgrup,15-13*$AF$11)))</f>
        <v>0</v>
      </c>
      <c r="Y147" s="127" t="s">
        <v>752</v>
      </c>
      <c r="Z147" s="702" t="str">
        <f t="shared" ca="1" si="48"/>
        <v/>
      </c>
      <c r="AA147" s="128">
        <f ca="1">IF($C147="S",IF($Z147="CP",$X147,IF($Z147="RA",(($X147)*QCI!$AA$3),0)),SomaAgrup)</f>
        <v>0</v>
      </c>
      <c r="AB147" s="129">
        <f t="shared" ca="1" si="49"/>
        <v>0</v>
      </c>
      <c r="AC147" s="566"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IF(AND(_xlfn.SINGLE(TIPOORCAMENTO)="Licitado",$AL147=0,$AN147&gt;0),"SEM PREÇO",
IF(AND($C147="S",$P147&lt;&gt;"",$Q147&lt;&gt;"",$U147&gt;0,$V147=0),"BDI",
IF(OR(AND(TIPOORCAMENTO="Proposto",LEFT($O$8,5)&lt;&gt;"(N/D:",$AG147&lt;&gt;"",ORÇAMENTO.CustoUnitario&gt;$AG147),AND(TIPOORCAMENTO="LICITADO",ORÇAMENTO.PrecoUnitarioLicitado&gt;$AN147)),"ACIMA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SEM CUSTO</v>
      </c>
      <c r="AD147" s="702" t="str">
        <f ca="1">IF(C147&lt;=CRONO.NivelExibicao,MAX($AD$15:OFFSET(AD147,-1,0))+IF($C147&lt;&gt;1,1,MAX(1,COUNTIF(QCI!$A$13:$A$15,OFFSET($E147,-1,0)))),"")</f>
        <v/>
      </c>
      <c r="AE147" s="700" t="str">
        <f ca="1">IF(AND($C147="S",ORÇAMENTO.CodBarra&lt;&gt;""),IF(ORÇAMENTO.Fonte="",ORÇAMENTO.CodBarra,CONCATENATE(ORÇAMENTO.Fonte," ",ORÇAMENTO.CodBarra)))</f>
        <v>Cotação COT 03</v>
      </c>
      <c r="AF147" s="701" t="str">
        <f ca="1">IF(ISERROR(INDIRECT(ORÇAMENTO.BancoRef)),"(abra o arquivo 'Referência "&amp;Excel_BuiltIn_Database&amp;".xlsm)",IF(OR($C147&lt;&gt;"S",ORÇAMENTO.CodBarra=""),"(Sem Código)",IF(ISERROR(MATCH($AE147,INDIRECT(ORÇAMENTO.BancoRef),0)),"(Código não identificado nas referências)",MATCH($AE147,INDIRECT(ORÇAMENTO.BancoRef),0))))</f>
        <v>(abra o arquivo 'Referência 09-2025.xlsm)</v>
      </c>
      <c r="AG147" s="429">
        <f ca="1">ROUND(IF(DESONERACAO="sim",REFERENCIA.Desonerado,REFERENCIA.NaoDesonerado),2)</f>
        <v>0</v>
      </c>
      <c r="AH147" s="430">
        <f t="shared" ca="1" si="50"/>
        <v>0.24740000000000001</v>
      </c>
      <c r="AJ147" s="699">
        <v>1</v>
      </c>
      <c r="AL147" s="440"/>
      <c r="AM147" s="337">
        <f t="shared" ca="1" si="0"/>
        <v>0</v>
      </c>
      <c r="AN147" s="471">
        <f t="shared" ca="1" si="51"/>
        <v>0</v>
      </c>
    </row>
    <row r="148" spans="1:40" s="702" customFormat="1" x14ac:dyDescent="0.2">
      <c r="A148" s="702" t="str">
        <f t="shared" si="37"/>
        <v>S</v>
      </c>
      <c r="B148" s="702">
        <f t="shared" ca="1" si="38"/>
        <v>2</v>
      </c>
      <c r="C148" s="702" t="str">
        <f t="shared" ca="1" si="39"/>
        <v>S</v>
      </c>
      <c r="D148" s="702">
        <f t="shared" ca="1" si="40"/>
        <v>0</v>
      </c>
      <c r="E148" s="702">
        <f ca="1">IF($C148=1,OFFSET(E148,-1,0)+MAX(1,COUNTIF(QCI!$A$13:$A$15,OFFSET(ORÇAMENTO!E148,-1,0))),OFFSET(E148,-1,0))</f>
        <v>1</v>
      </c>
      <c r="F148" s="702">
        <f t="shared" ca="1" si="41"/>
        <v>20</v>
      </c>
      <c r="G148" s="702">
        <f t="shared" ca="1" si="42"/>
        <v>0</v>
      </c>
      <c r="H148" s="702">
        <f t="shared" ca="1" si="43"/>
        <v>0</v>
      </c>
      <c r="I148" s="702">
        <f t="shared" ca="1" si="44"/>
        <v>0</v>
      </c>
      <c r="J148" s="702">
        <f t="shared" ca="1" si="36"/>
        <v>0</v>
      </c>
      <c r="K148" s="702">
        <f ca="1">IF(OR($C148="S",$C148=0),0,MATCH(OFFSET($D148,0,$C148)+IF($C148&lt;&gt;1,1,COUNTIF(QCI!$A$13:$A$15,ORÇAMENTO!E148)),OFFSET($D148,1,$C148,ROW($C$231)-ROW($C148)),0))</f>
        <v>0</v>
      </c>
      <c r="L148" s="115" t="str">
        <f t="shared" ca="1" si="45"/>
        <v/>
      </c>
      <c r="M148" s="116" t="s">
        <v>706</v>
      </c>
      <c r="N148" s="117" t="str">
        <f t="shared" ca="1" si="46"/>
        <v>Serviço</v>
      </c>
      <c r="O148" s="118" t="str">
        <f t="shared" ca="1" si="47"/>
        <v>-</v>
      </c>
      <c r="P148" s="119" t="s">
        <v>993</v>
      </c>
      <c r="Q148" s="120" t="s">
        <v>1019</v>
      </c>
      <c r="R148" s="121" t="str">
        <f ca="1">IF($C148="S",REFERENCIA.Descricao,"(digite a descrição aqui)")</f>
        <v>(abra o arquivo 'Referência 09-2025.xlsm)</v>
      </c>
      <c r="S148" s="122" t="str">
        <f ca="1">REFERENCIA.Unidade</f>
        <v>-</v>
      </c>
      <c r="T148" s="123">
        <f ca="1">OFFSET(CÁLCULO!H$15,ROW($T148)-ROW(T$15),0)</f>
        <v>1</v>
      </c>
      <c r="U148" s="124">
        <f ca="1">ROUND(IF(DESONERACAO="sim",REFERENCIA.Desonerado,REFERENCIA.NaoDesonerado),2)</f>
        <v>0</v>
      </c>
      <c r="V148" s="125" t="s">
        <v>664</v>
      </c>
      <c r="W148" s="123">
        <f ca="1">IF($C148="S",ROUND(IF(TIPOORCAMENTO="Proposto",ORÇAMENTO.CustoUnitario*(1+$AH148),ORÇAMENTO.PrecoUnitarioLicitado),15-13*$AF$10),0)</f>
        <v>0</v>
      </c>
      <c r="X148" s="126" cm="1">
        <f t="array" aca="1" ref="X148" ca="1">IF($C148="S",IF(OR(Import.TipoArredondamento&lt;&gt;"TransfereGOV",ACOMPANHAMENTO="BM"),VTOTAL1,SUM(OFFSET(CÁLCULO!$AA$15,ROW($X148)-ROW($X$15),1):OFFSET(CÁLCULO!$AL$15,ROW($X148)-ROW($X$15),-1))),IF($C148=0,0,ROUND(SomaAgrup,15-13*$AF$11)))</f>
        <v>0</v>
      </c>
      <c r="Y148" s="127" t="s">
        <v>752</v>
      </c>
      <c r="Z148" s="702" t="str">
        <f t="shared" ca="1" si="48"/>
        <v/>
      </c>
      <c r="AA148" s="128">
        <f ca="1">IF($C148="S",IF($Z148="CP",$X148,IF($Z148="RA",(($X148)*QCI!$AA$3),0)),SomaAgrup)</f>
        <v>0</v>
      </c>
      <c r="AB148" s="129">
        <f t="shared" ca="1" si="49"/>
        <v>0</v>
      </c>
      <c r="AC148" s="566"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IF(AND(_xlfn.SINGLE(TIPOORCAMENTO)="Licitado",$AL148=0,$AN148&gt;0),"SEM PREÇO",
IF(AND($C148="S",$P148&lt;&gt;"",$Q148&lt;&gt;"",$U148&gt;0,$V148=0),"BDI",
IF(OR(AND(TIPOORCAMENTO="Proposto",LEFT($O$8,5)&lt;&gt;"(N/D:",$AG148&lt;&gt;"",ORÇAMENTO.CustoUnitario&gt;$AG148),AND(TIPOORCAMENTO="LICITADO",ORÇAMENTO.PrecoUnitarioLicitado&gt;$AN148)),"ACIMA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SEM CUSTO</v>
      </c>
      <c r="AD148" s="702" t="str">
        <f ca="1">IF(C148&lt;=CRONO.NivelExibicao,MAX($AD$15:OFFSET(AD148,-1,0))+IF($C148&lt;&gt;1,1,MAX(1,COUNTIF(QCI!$A$13:$A$15,OFFSET($E148,-1,0)))),"")</f>
        <v/>
      </c>
      <c r="AE148" s="700" t="str">
        <f ca="1">IF(AND($C148="S",ORÇAMENTO.CodBarra&lt;&gt;""),IF(ORÇAMENTO.Fonte="",ORÇAMENTO.CodBarra,CONCATENATE(ORÇAMENTO.Fonte," ",ORÇAMENTO.CodBarra)))</f>
        <v>Cotação COT 04</v>
      </c>
      <c r="AF148" s="701" t="str">
        <f ca="1">IF(ISERROR(INDIRECT(ORÇAMENTO.BancoRef)),"(abra o arquivo 'Referência "&amp;Excel_BuiltIn_Database&amp;".xlsm)",IF(OR($C148&lt;&gt;"S",ORÇAMENTO.CodBarra=""),"(Sem Código)",IF(ISERROR(MATCH($AE148,INDIRECT(ORÇAMENTO.BancoRef),0)),"(Código não identificado nas referências)",MATCH($AE148,INDIRECT(ORÇAMENTO.BancoRef),0))))</f>
        <v>(abra o arquivo 'Referência 09-2025.xlsm)</v>
      </c>
      <c r="AG148" s="429">
        <f ca="1">ROUND(IF(DESONERACAO="sim",REFERENCIA.Desonerado,REFERENCIA.NaoDesonerado),2)</f>
        <v>0</v>
      </c>
      <c r="AH148" s="430">
        <f t="shared" ca="1" si="50"/>
        <v>0.24740000000000001</v>
      </c>
      <c r="AJ148" s="699">
        <v>1</v>
      </c>
      <c r="AL148" s="440"/>
      <c r="AM148" s="337">
        <f t="shared" ca="1" si="0"/>
        <v>0</v>
      </c>
      <c r="AN148" s="471">
        <f t="shared" ca="1" si="51"/>
        <v>0</v>
      </c>
    </row>
    <row r="149" spans="1:40" s="702" customFormat="1" x14ac:dyDescent="0.2">
      <c r="A149" s="702" t="str">
        <f t="shared" si="37"/>
        <v>S</v>
      </c>
      <c r="B149" s="702">
        <f t="shared" ca="1" si="38"/>
        <v>2</v>
      </c>
      <c r="C149" s="702" t="str">
        <f t="shared" ca="1" si="39"/>
        <v>S</v>
      </c>
      <c r="D149" s="702">
        <f t="shared" ca="1" si="40"/>
        <v>0</v>
      </c>
      <c r="E149" s="702">
        <f ca="1">IF($C149=1,OFFSET(E149,-1,0)+MAX(1,COUNTIF(QCI!$A$13:$A$15,OFFSET(ORÇAMENTO!E149,-1,0))),OFFSET(E149,-1,0))</f>
        <v>1</v>
      </c>
      <c r="F149" s="702">
        <f t="shared" ca="1" si="41"/>
        <v>20</v>
      </c>
      <c r="G149" s="702">
        <f t="shared" ca="1" si="42"/>
        <v>0</v>
      </c>
      <c r="H149" s="702">
        <f t="shared" ca="1" si="43"/>
        <v>0</v>
      </c>
      <c r="I149" s="702">
        <f t="shared" ca="1" si="44"/>
        <v>0</v>
      </c>
      <c r="J149" s="702">
        <f t="shared" ca="1" si="36"/>
        <v>0</v>
      </c>
      <c r="K149" s="702">
        <f ca="1">IF(OR($C149="S",$C149=0),0,MATCH(OFFSET($D149,0,$C149)+IF($C149&lt;&gt;1,1,COUNTIF(QCI!$A$13:$A$15,ORÇAMENTO!E149)),OFFSET($D149,1,$C149,ROW($C$231)-ROW($C149)),0))</f>
        <v>0</v>
      </c>
      <c r="L149" s="115" t="str">
        <f t="shared" ca="1" si="45"/>
        <v/>
      </c>
      <c r="M149" s="116" t="s">
        <v>706</v>
      </c>
      <c r="N149" s="117" t="str">
        <f t="shared" ca="1" si="46"/>
        <v>Serviço</v>
      </c>
      <c r="O149" s="118" t="str">
        <f t="shared" ca="1" si="47"/>
        <v>-</v>
      </c>
      <c r="P149" s="119" t="s">
        <v>993</v>
      </c>
      <c r="Q149" s="120" t="s">
        <v>1020</v>
      </c>
      <c r="R149" s="121" t="str">
        <f ca="1">IF($C149="S",REFERENCIA.Descricao,"(digite a descrição aqui)")</f>
        <v>(abra o arquivo 'Referência 09-2025.xlsm)</v>
      </c>
      <c r="S149" s="122" t="str">
        <f ca="1">REFERENCIA.Unidade</f>
        <v>-</v>
      </c>
      <c r="T149" s="123">
        <f ca="1">OFFSET(CÁLCULO!H$15,ROW($T149)-ROW(T$15),0)</f>
        <v>1</v>
      </c>
      <c r="U149" s="124">
        <f ca="1">ROUND(IF(DESONERACAO="sim",REFERENCIA.Desonerado,REFERENCIA.NaoDesonerado),2)</f>
        <v>0</v>
      </c>
      <c r="V149" s="125" t="s">
        <v>664</v>
      </c>
      <c r="W149" s="123">
        <f ca="1">IF($C149="S",ROUND(IF(TIPOORCAMENTO="Proposto",ORÇAMENTO.CustoUnitario*(1+$AH149),ORÇAMENTO.PrecoUnitarioLicitado),15-13*$AF$10),0)</f>
        <v>0</v>
      </c>
      <c r="X149" s="126" cm="1">
        <f t="array" aca="1" ref="X149" ca="1">IF($C149="S",IF(OR(Import.TipoArredondamento&lt;&gt;"TransfereGOV",ACOMPANHAMENTO="BM"),VTOTAL1,SUM(OFFSET(CÁLCULO!$AA$15,ROW($X149)-ROW($X$15),1):OFFSET(CÁLCULO!$AL$15,ROW($X149)-ROW($X$15),-1))),IF($C149=0,0,ROUND(SomaAgrup,15-13*$AF$11)))</f>
        <v>0</v>
      </c>
      <c r="Y149" s="127" t="s">
        <v>752</v>
      </c>
      <c r="Z149" s="702" t="str">
        <f t="shared" ca="1" si="48"/>
        <v/>
      </c>
      <c r="AA149" s="128">
        <f ca="1">IF($C149="S",IF($Z149="CP",$X149,IF($Z149="RA",(($X149)*QCI!$AA$3),0)),SomaAgrup)</f>
        <v>0</v>
      </c>
      <c r="AB149" s="129">
        <f t="shared" ca="1" si="49"/>
        <v>0</v>
      </c>
      <c r="AC149" s="566"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IF(AND(_xlfn.SINGLE(TIPOORCAMENTO)="Licitado",$AL149=0,$AN149&gt;0),"SEM PREÇO",
IF(AND($C149="S",$P149&lt;&gt;"",$Q149&lt;&gt;"",$U149&gt;0,$V149=0),"BDI",
IF(OR(AND(TIPOORCAMENTO="Proposto",LEFT($O$8,5)&lt;&gt;"(N/D:",$AG149&lt;&gt;"",ORÇAMENTO.CustoUnitario&gt;$AG149),AND(TIPOORCAMENTO="LICITADO",ORÇAMENTO.PrecoUnitarioLicitado&gt;$AN149)),"ACIMA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SEM CUSTO</v>
      </c>
      <c r="AD149" s="702" t="str">
        <f ca="1">IF(C149&lt;=CRONO.NivelExibicao,MAX($AD$15:OFFSET(AD149,-1,0))+IF($C149&lt;&gt;1,1,MAX(1,COUNTIF(QCI!$A$13:$A$15,OFFSET($E149,-1,0)))),"")</f>
        <v/>
      </c>
      <c r="AE149" s="700" t="str">
        <f ca="1">IF(AND($C149="S",ORÇAMENTO.CodBarra&lt;&gt;""),IF(ORÇAMENTO.Fonte="",ORÇAMENTO.CodBarra,CONCATENATE(ORÇAMENTO.Fonte," ",ORÇAMENTO.CodBarra)))</f>
        <v>Cotação COT 05</v>
      </c>
      <c r="AF149" s="701" t="str">
        <f ca="1">IF(ISERROR(INDIRECT(ORÇAMENTO.BancoRef)),"(abra o arquivo 'Referência "&amp;Excel_BuiltIn_Database&amp;".xlsm)",IF(OR($C149&lt;&gt;"S",ORÇAMENTO.CodBarra=""),"(Sem Código)",IF(ISERROR(MATCH($AE149,INDIRECT(ORÇAMENTO.BancoRef),0)),"(Código não identificado nas referências)",MATCH($AE149,INDIRECT(ORÇAMENTO.BancoRef),0))))</f>
        <v>(abra o arquivo 'Referência 09-2025.xlsm)</v>
      </c>
      <c r="AG149" s="429">
        <f ca="1">ROUND(IF(DESONERACAO="sim",REFERENCIA.Desonerado,REFERENCIA.NaoDesonerado),2)</f>
        <v>0</v>
      </c>
      <c r="AH149" s="430">
        <f t="shared" ca="1" si="50"/>
        <v>0.24740000000000001</v>
      </c>
      <c r="AJ149" s="699">
        <v>1</v>
      </c>
      <c r="AL149" s="440"/>
      <c r="AM149" s="337">
        <f t="shared" ca="1" si="0"/>
        <v>0</v>
      </c>
      <c r="AN149" s="471">
        <f t="shared" ca="1" si="51"/>
        <v>0</v>
      </c>
    </row>
    <row r="150" spans="1:40" s="702" customFormat="1" x14ac:dyDescent="0.2">
      <c r="A150" s="702" t="str">
        <f t="shared" si="37"/>
        <v>S</v>
      </c>
      <c r="B150" s="702">
        <f t="shared" ca="1" si="38"/>
        <v>2</v>
      </c>
      <c r="C150" s="702" t="str">
        <f t="shared" ca="1" si="39"/>
        <v>S</v>
      </c>
      <c r="D150" s="702">
        <f t="shared" ca="1" si="40"/>
        <v>0</v>
      </c>
      <c r="E150" s="702">
        <f ca="1">IF($C150=1,OFFSET(E150,-1,0)+MAX(1,COUNTIF(QCI!$A$13:$A$15,OFFSET(ORÇAMENTO!E150,-1,0))),OFFSET(E150,-1,0))</f>
        <v>1</v>
      </c>
      <c r="F150" s="702">
        <f t="shared" ca="1" si="41"/>
        <v>20</v>
      </c>
      <c r="G150" s="702">
        <f t="shared" ca="1" si="42"/>
        <v>0</v>
      </c>
      <c r="H150" s="702">
        <f t="shared" ca="1" si="43"/>
        <v>0</v>
      </c>
      <c r="I150" s="702">
        <f t="shared" ca="1" si="44"/>
        <v>0</v>
      </c>
      <c r="J150" s="702">
        <f t="shared" ca="1" si="36"/>
        <v>0</v>
      </c>
      <c r="K150" s="702">
        <f ca="1">IF(OR($C150="S",$C150=0),0,MATCH(OFFSET($D150,0,$C150)+IF($C150&lt;&gt;1,1,COUNTIF(QCI!$A$13:$A$15,ORÇAMENTO!E150)),OFFSET($D150,1,$C150,ROW($C$231)-ROW($C150)),0))</f>
        <v>0</v>
      </c>
      <c r="L150" s="115" t="str">
        <f t="shared" ca="1" si="45"/>
        <v/>
      </c>
      <c r="M150" s="116" t="s">
        <v>706</v>
      </c>
      <c r="N150" s="117" t="str">
        <f t="shared" ca="1" si="46"/>
        <v>Serviço</v>
      </c>
      <c r="O150" s="118" t="str">
        <f t="shared" ca="1" si="47"/>
        <v>-</v>
      </c>
      <c r="P150" s="119" t="s">
        <v>993</v>
      </c>
      <c r="Q150" s="120" t="s">
        <v>1021</v>
      </c>
      <c r="R150" s="121" t="str">
        <f ca="1">IF($C150="S",REFERENCIA.Descricao,"(digite a descrição aqui)")</f>
        <v>(abra o arquivo 'Referência 09-2025.xlsm)</v>
      </c>
      <c r="S150" s="122" t="str">
        <f ca="1">REFERENCIA.Unidade</f>
        <v>-</v>
      </c>
      <c r="T150" s="123">
        <f ca="1">OFFSET(CÁLCULO!H$15,ROW($T150)-ROW(T$15),0)</f>
        <v>2</v>
      </c>
      <c r="U150" s="124">
        <f ca="1">ROUND(IF(DESONERACAO="sim",REFERENCIA.Desonerado,REFERENCIA.NaoDesonerado),2)</f>
        <v>0</v>
      </c>
      <c r="V150" s="125" t="s">
        <v>664</v>
      </c>
      <c r="W150" s="123">
        <f ca="1">IF($C150="S",ROUND(IF(TIPOORCAMENTO="Proposto",ORÇAMENTO.CustoUnitario*(1+$AH150),ORÇAMENTO.PrecoUnitarioLicitado),15-13*$AF$10),0)</f>
        <v>0</v>
      </c>
      <c r="X150" s="126" cm="1">
        <f t="array" aca="1" ref="X150" ca="1">IF($C150="S",IF(OR(Import.TipoArredondamento&lt;&gt;"TransfereGOV",ACOMPANHAMENTO="BM"),VTOTAL1,SUM(OFFSET(CÁLCULO!$AA$15,ROW($X150)-ROW($X$15),1):OFFSET(CÁLCULO!$AL$15,ROW($X150)-ROW($X$15),-1))),IF($C150=0,0,ROUND(SomaAgrup,15-13*$AF$11)))</f>
        <v>0</v>
      </c>
      <c r="Y150" s="127" t="s">
        <v>752</v>
      </c>
      <c r="Z150" s="702" t="str">
        <f t="shared" ca="1" si="48"/>
        <v/>
      </c>
      <c r="AA150" s="128">
        <f ca="1">IF($C150="S",IF($Z150="CP",$X150,IF($Z150="RA",(($X150)*QCI!$AA$3),0)),SomaAgrup)</f>
        <v>0</v>
      </c>
      <c r="AB150" s="129">
        <f t="shared" ca="1" si="49"/>
        <v>0</v>
      </c>
      <c r="AC150" s="566"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IF(AND(_xlfn.SINGLE(TIPOORCAMENTO)="Licitado",$AL150=0,$AN150&gt;0),"SEM PREÇO",
IF(AND($C150="S",$P150&lt;&gt;"",$Q150&lt;&gt;"",$U150&gt;0,$V150=0),"BDI",
IF(OR(AND(TIPOORCAMENTO="Proposto",LEFT($O$8,5)&lt;&gt;"(N/D:",$AG150&lt;&gt;"",ORÇAMENTO.CustoUnitario&gt;$AG150),AND(TIPOORCAMENTO="LICITADO",ORÇAMENTO.PrecoUnitarioLicitado&gt;$AN150)),"ACIMA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SEM CUSTO</v>
      </c>
      <c r="AD150" s="702" t="str">
        <f ca="1">IF(C150&lt;=CRONO.NivelExibicao,MAX($AD$15:OFFSET(AD150,-1,0))+IF($C150&lt;&gt;1,1,MAX(1,COUNTIF(QCI!$A$13:$A$15,OFFSET($E150,-1,0)))),"")</f>
        <v/>
      </c>
      <c r="AE150" s="700" t="str">
        <f ca="1">IF(AND($C150="S",ORÇAMENTO.CodBarra&lt;&gt;""),IF(ORÇAMENTO.Fonte="",ORÇAMENTO.CodBarra,CONCATENATE(ORÇAMENTO.Fonte," ",ORÇAMENTO.CodBarra)))</f>
        <v>Cotação COT 06</v>
      </c>
      <c r="AF150" s="701" t="str">
        <f ca="1">IF(ISERROR(INDIRECT(ORÇAMENTO.BancoRef)),"(abra o arquivo 'Referência "&amp;Excel_BuiltIn_Database&amp;".xlsm)",IF(OR($C150&lt;&gt;"S",ORÇAMENTO.CodBarra=""),"(Sem Código)",IF(ISERROR(MATCH($AE150,INDIRECT(ORÇAMENTO.BancoRef),0)),"(Código não identificado nas referências)",MATCH($AE150,INDIRECT(ORÇAMENTO.BancoRef),0))))</f>
        <v>(abra o arquivo 'Referência 09-2025.xlsm)</v>
      </c>
      <c r="AG150" s="429">
        <f ca="1">ROUND(IF(DESONERACAO="sim",REFERENCIA.Desonerado,REFERENCIA.NaoDesonerado),2)</f>
        <v>0</v>
      </c>
      <c r="AH150" s="430">
        <f t="shared" ca="1" si="50"/>
        <v>0.24740000000000001</v>
      </c>
      <c r="AJ150" s="699">
        <v>2</v>
      </c>
      <c r="AL150" s="440"/>
      <c r="AM150" s="337">
        <f t="shared" ca="1" si="0"/>
        <v>0</v>
      </c>
      <c r="AN150" s="471">
        <f t="shared" ca="1" si="51"/>
        <v>0</v>
      </c>
    </row>
    <row r="151" spans="1:40" s="702" customFormat="1" x14ac:dyDescent="0.2">
      <c r="A151" s="702" t="str">
        <f t="shared" si="37"/>
        <v>S</v>
      </c>
      <c r="B151" s="702">
        <f t="shared" ca="1" si="38"/>
        <v>2</v>
      </c>
      <c r="C151" s="702" t="str">
        <f t="shared" ca="1" si="39"/>
        <v>S</v>
      </c>
      <c r="D151" s="702">
        <f t="shared" ca="1" si="40"/>
        <v>0</v>
      </c>
      <c r="E151" s="702">
        <f ca="1">IF($C151=1,OFFSET(E151,-1,0)+MAX(1,COUNTIF(QCI!$A$13:$A$15,OFFSET(ORÇAMENTO!E151,-1,0))),OFFSET(E151,-1,0))</f>
        <v>1</v>
      </c>
      <c r="F151" s="702">
        <f t="shared" ca="1" si="41"/>
        <v>20</v>
      </c>
      <c r="G151" s="702">
        <f t="shared" ca="1" si="42"/>
        <v>0</v>
      </c>
      <c r="H151" s="702">
        <f t="shared" ca="1" si="43"/>
        <v>0</v>
      </c>
      <c r="I151" s="702">
        <f t="shared" ca="1" si="44"/>
        <v>0</v>
      </c>
      <c r="J151" s="702">
        <f t="shared" ca="1" si="36"/>
        <v>0</v>
      </c>
      <c r="K151" s="702">
        <f ca="1">IF(OR($C151="S",$C151=0),0,MATCH(OFFSET($D151,0,$C151)+IF($C151&lt;&gt;1,1,COUNTIF(QCI!$A$13:$A$15,ORÇAMENTO!E151)),OFFSET($D151,1,$C151,ROW($C$231)-ROW($C151)),0))</f>
        <v>0</v>
      </c>
      <c r="L151" s="115" t="str">
        <f t="shared" ca="1" si="45"/>
        <v/>
      </c>
      <c r="M151" s="116" t="s">
        <v>706</v>
      </c>
      <c r="N151" s="117" t="str">
        <f t="shared" ca="1" si="46"/>
        <v>Serviço</v>
      </c>
      <c r="O151" s="118" t="str">
        <f t="shared" ca="1" si="47"/>
        <v>-</v>
      </c>
      <c r="P151" s="119" t="s">
        <v>993</v>
      </c>
      <c r="Q151" s="120" t="s">
        <v>1022</v>
      </c>
      <c r="R151" s="121" t="str">
        <f ca="1">IF($C151="S",REFERENCIA.Descricao,"(digite a descrição aqui)")</f>
        <v>(abra o arquivo 'Referência 09-2025.xlsm)</v>
      </c>
      <c r="S151" s="122" t="str">
        <f ca="1">REFERENCIA.Unidade</f>
        <v>-</v>
      </c>
      <c r="T151" s="123">
        <f ca="1">OFFSET(CÁLCULO!H$15,ROW($T151)-ROW(T$15),0)</f>
        <v>1</v>
      </c>
      <c r="U151" s="124">
        <f ca="1">ROUND(IF(DESONERACAO="sim",REFERENCIA.Desonerado,REFERENCIA.NaoDesonerado),2)</f>
        <v>0</v>
      </c>
      <c r="V151" s="125" t="s">
        <v>664</v>
      </c>
      <c r="W151" s="123">
        <f ca="1">IF($C151="S",ROUND(IF(TIPOORCAMENTO="Proposto",ORÇAMENTO.CustoUnitario*(1+$AH151),ORÇAMENTO.PrecoUnitarioLicitado),15-13*$AF$10),0)</f>
        <v>0</v>
      </c>
      <c r="X151" s="126" cm="1">
        <f t="array" aca="1" ref="X151" ca="1">IF($C151="S",IF(OR(Import.TipoArredondamento&lt;&gt;"TransfereGOV",ACOMPANHAMENTO="BM"),VTOTAL1,SUM(OFFSET(CÁLCULO!$AA$15,ROW($X151)-ROW($X$15),1):OFFSET(CÁLCULO!$AL$15,ROW($X151)-ROW($X$15),-1))),IF($C151=0,0,ROUND(SomaAgrup,15-13*$AF$11)))</f>
        <v>0</v>
      </c>
      <c r="Y151" s="127" t="s">
        <v>752</v>
      </c>
      <c r="Z151" s="702" t="str">
        <f t="shared" ca="1" si="48"/>
        <v/>
      </c>
      <c r="AA151" s="128">
        <f ca="1">IF($C151="S",IF($Z151="CP",$X151,IF($Z151="RA",(($X151)*QCI!$AA$3),0)),SomaAgrup)</f>
        <v>0</v>
      </c>
      <c r="AB151" s="129">
        <f t="shared" ca="1" si="49"/>
        <v>0</v>
      </c>
      <c r="AC151" s="566"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IF(AND(_xlfn.SINGLE(TIPOORCAMENTO)="Licitado",$AL151=0,$AN151&gt;0),"SEM PREÇO",
IF(AND($C151="S",$P151&lt;&gt;"",$Q151&lt;&gt;"",$U151&gt;0,$V151=0),"BDI",
IF(OR(AND(TIPOORCAMENTO="Proposto",LEFT($O$8,5)&lt;&gt;"(N/D:",$AG151&lt;&gt;"",ORÇAMENTO.CustoUnitario&gt;$AG151),AND(TIPOORCAMENTO="LICITADO",ORÇAMENTO.PrecoUnitarioLicitado&gt;$AN151)),"ACIMA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SEM CUSTO</v>
      </c>
      <c r="AD151" s="702" t="str">
        <f ca="1">IF(C151&lt;=CRONO.NivelExibicao,MAX($AD$15:OFFSET(AD151,-1,0))+IF($C151&lt;&gt;1,1,MAX(1,COUNTIF(QCI!$A$13:$A$15,OFFSET($E151,-1,0)))),"")</f>
        <v/>
      </c>
      <c r="AE151" s="700" t="str">
        <f ca="1">IF(AND($C151="S",ORÇAMENTO.CodBarra&lt;&gt;""),IF(ORÇAMENTO.Fonte="",ORÇAMENTO.CodBarra,CONCATENATE(ORÇAMENTO.Fonte," ",ORÇAMENTO.CodBarra)))</f>
        <v>Cotação COT 07</v>
      </c>
      <c r="AF151" s="701" t="str">
        <f ca="1">IF(ISERROR(INDIRECT(ORÇAMENTO.BancoRef)),"(abra o arquivo 'Referência "&amp;Excel_BuiltIn_Database&amp;".xlsm)",IF(OR($C151&lt;&gt;"S",ORÇAMENTO.CodBarra=""),"(Sem Código)",IF(ISERROR(MATCH($AE151,INDIRECT(ORÇAMENTO.BancoRef),0)),"(Código não identificado nas referências)",MATCH($AE151,INDIRECT(ORÇAMENTO.BancoRef),0))))</f>
        <v>(abra o arquivo 'Referência 09-2025.xlsm)</v>
      </c>
      <c r="AG151" s="429">
        <f ca="1">ROUND(IF(DESONERACAO="sim",REFERENCIA.Desonerado,REFERENCIA.NaoDesonerado),2)</f>
        <v>0</v>
      </c>
      <c r="AH151" s="430">
        <f t="shared" ca="1" si="50"/>
        <v>0.24740000000000001</v>
      </c>
      <c r="AJ151" s="699">
        <v>1</v>
      </c>
      <c r="AL151" s="440"/>
      <c r="AM151" s="337">
        <f t="shared" ca="1" si="0"/>
        <v>0</v>
      </c>
      <c r="AN151" s="471">
        <f t="shared" ca="1" si="51"/>
        <v>0</v>
      </c>
    </row>
    <row r="152" spans="1:40" s="702" customFormat="1" x14ac:dyDescent="0.2">
      <c r="A152" s="702" t="str">
        <f t="shared" si="37"/>
        <v>S</v>
      </c>
      <c r="B152" s="702">
        <f t="shared" ca="1" si="38"/>
        <v>2</v>
      </c>
      <c r="C152" s="702" t="str">
        <f t="shared" ca="1" si="39"/>
        <v>S</v>
      </c>
      <c r="D152" s="702">
        <f t="shared" ca="1" si="40"/>
        <v>0</v>
      </c>
      <c r="E152" s="702">
        <f ca="1">IF($C152=1,OFFSET(E152,-1,0)+MAX(1,COUNTIF(QCI!$A$13:$A$15,OFFSET(ORÇAMENTO!E152,-1,0))),OFFSET(E152,-1,0))</f>
        <v>1</v>
      </c>
      <c r="F152" s="702">
        <f t="shared" ca="1" si="41"/>
        <v>20</v>
      </c>
      <c r="G152" s="702">
        <f t="shared" ca="1" si="42"/>
        <v>0</v>
      </c>
      <c r="H152" s="702">
        <f t="shared" ca="1" si="43"/>
        <v>0</v>
      </c>
      <c r="I152" s="702">
        <f t="shared" ca="1" si="44"/>
        <v>0</v>
      </c>
      <c r="J152" s="702">
        <f t="shared" ca="1" si="36"/>
        <v>0</v>
      </c>
      <c r="K152" s="702">
        <f ca="1">IF(OR($C152="S",$C152=0),0,MATCH(OFFSET($D152,0,$C152)+IF($C152&lt;&gt;1,1,COUNTIF(QCI!$A$13:$A$15,ORÇAMENTO!E152)),OFFSET($D152,1,$C152,ROW($C$231)-ROW($C152)),0))</f>
        <v>0</v>
      </c>
      <c r="L152" s="115" t="str">
        <f t="shared" ca="1" si="45"/>
        <v/>
      </c>
      <c r="M152" s="116" t="s">
        <v>706</v>
      </c>
      <c r="N152" s="117" t="str">
        <f t="shared" ca="1" si="46"/>
        <v>Serviço</v>
      </c>
      <c r="O152" s="118" t="str">
        <f t="shared" ca="1" si="47"/>
        <v>-</v>
      </c>
      <c r="P152" s="119" t="s">
        <v>993</v>
      </c>
      <c r="Q152" s="120" t="s">
        <v>1023</v>
      </c>
      <c r="R152" s="121" t="str">
        <f ca="1">IF($C152="S",REFERENCIA.Descricao,"(digite a descrição aqui)")</f>
        <v>(abra o arquivo 'Referência 09-2025.xlsm)</v>
      </c>
      <c r="S152" s="122" t="str">
        <f ca="1">REFERENCIA.Unidade</f>
        <v>-</v>
      </c>
      <c r="T152" s="123">
        <f ca="1">OFFSET(CÁLCULO!H$15,ROW($T152)-ROW(T$15),0)</f>
        <v>1</v>
      </c>
      <c r="U152" s="124">
        <f ca="1">ROUND(IF(DESONERACAO="sim",REFERENCIA.Desonerado,REFERENCIA.NaoDesonerado),2)</f>
        <v>0</v>
      </c>
      <c r="V152" s="125" t="s">
        <v>664</v>
      </c>
      <c r="W152" s="123">
        <f ca="1">IF($C152="S",ROUND(IF(TIPOORCAMENTO="Proposto",ORÇAMENTO.CustoUnitario*(1+$AH152),ORÇAMENTO.PrecoUnitarioLicitado),15-13*$AF$10),0)</f>
        <v>0</v>
      </c>
      <c r="X152" s="126" cm="1">
        <f t="array" aca="1" ref="X152" ca="1">IF($C152="S",IF(OR(Import.TipoArredondamento&lt;&gt;"TransfereGOV",ACOMPANHAMENTO="BM"),VTOTAL1,SUM(OFFSET(CÁLCULO!$AA$15,ROW($X152)-ROW($X$15),1):OFFSET(CÁLCULO!$AL$15,ROW($X152)-ROW($X$15),-1))),IF($C152=0,0,ROUND(SomaAgrup,15-13*$AF$11)))</f>
        <v>0</v>
      </c>
      <c r="Y152" s="127" t="s">
        <v>752</v>
      </c>
      <c r="Z152" s="702" t="str">
        <f t="shared" ca="1" si="48"/>
        <v/>
      </c>
      <c r="AA152" s="128">
        <f ca="1">IF($C152="S",IF($Z152="CP",$X152,IF($Z152="RA",(($X152)*QCI!$AA$3),0)),SomaAgrup)</f>
        <v>0</v>
      </c>
      <c r="AB152" s="129">
        <f t="shared" ca="1" si="49"/>
        <v>0</v>
      </c>
      <c r="AC152" s="566"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IF(AND(_xlfn.SINGLE(TIPOORCAMENTO)="Licitado",$AL152=0,$AN152&gt;0),"SEM PREÇO",
IF(AND($C152="S",$P152&lt;&gt;"",$Q152&lt;&gt;"",$U152&gt;0,$V152=0),"BDI",
IF(OR(AND(TIPOORCAMENTO="Proposto",LEFT($O$8,5)&lt;&gt;"(N/D:",$AG152&lt;&gt;"",ORÇAMENTO.CustoUnitario&gt;$AG152),AND(TIPOORCAMENTO="LICITADO",ORÇAMENTO.PrecoUnitarioLicitado&gt;$AN152)),"ACIMA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SEM CUSTO</v>
      </c>
      <c r="AD152" s="702" t="str">
        <f ca="1">IF(C152&lt;=CRONO.NivelExibicao,MAX($AD$15:OFFSET(AD152,-1,0))+IF($C152&lt;&gt;1,1,MAX(1,COUNTIF(QCI!$A$13:$A$15,OFFSET($E152,-1,0)))),"")</f>
        <v/>
      </c>
      <c r="AE152" s="700" t="str">
        <f ca="1">IF(AND($C152="S",ORÇAMENTO.CodBarra&lt;&gt;""),IF(ORÇAMENTO.Fonte="",ORÇAMENTO.CodBarra,CONCATENATE(ORÇAMENTO.Fonte," ",ORÇAMENTO.CodBarra)))</f>
        <v>Cotação COT 08</v>
      </c>
      <c r="AF152" s="701" t="str">
        <f ca="1">IF(ISERROR(INDIRECT(ORÇAMENTO.BancoRef)),"(abra o arquivo 'Referência "&amp;Excel_BuiltIn_Database&amp;".xlsm)",IF(OR($C152&lt;&gt;"S",ORÇAMENTO.CodBarra=""),"(Sem Código)",IF(ISERROR(MATCH($AE152,INDIRECT(ORÇAMENTO.BancoRef),0)),"(Código não identificado nas referências)",MATCH($AE152,INDIRECT(ORÇAMENTO.BancoRef),0))))</f>
        <v>(abra o arquivo 'Referência 09-2025.xlsm)</v>
      </c>
      <c r="AG152" s="429">
        <f ca="1">ROUND(IF(DESONERACAO="sim",REFERENCIA.Desonerado,REFERENCIA.NaoDesonerado),2)</f>
        <v>0</v>
      </c>
      <c r="AH152" s="430">
        <f t="shared" ca="1" si="50"/>
        <v>0.24740000000000001</v>
      </c>
      <c r="AJ152" s="699">
        <v>1</v>
      </c>
      <c r="AL152" s="440"/>
      <c r="AM152" s="337">
        <f t="shared" ca="1" si="0"/>
        <v>0</v>
      </c>
      <c r="AN152" s="471">
        <f t="shared" ca="1" si="51"/>
        <v>0</v>
      </c>
    </row>
    <row r="153" spans="1:40" s="702" customFormat="1" x14ac:dyDescent="0.2">
      <c r="A153" s="702" t="str">
        <f t="shared" si="37"/>
        <v>S</v>
      </c>
      <c r="B153" s="702">
        <f t="shared" ca="1" si="38"/>
        <v>2</v>
      </c>
      <c r="C153" s="702" t="str">
        <f t="shared" ca="1" si="39"/>
        <v>S</v>
      </c>
      <c r="D153" s="702">
        <f t="shared" ca="1" si="40"/>
        <v>0</v>
      </c>
      <c r="E153" s="702">
        <f ca="1">IF($C153=1,OFFSET(E153,-1,0)+MAX(1,COUNTIF(QCI!$A$13:$A$15,OFFSET(ORÇAMENTO!E153,-1,0))),OFFSET(E153,-1,0))</f>
        <v>1</v>
      </c>
      <c r="F153" s="702">
        <f t="shared" ca="1" si="41"/>
        <v>20</v>
      </c>
      <c r="G153" s="702">
        <f t="shared" ca="1" si="42"/>
        <v>0</v>
      </c>
      <c r="H153" s="702">
        <f t="shared" ca="1" si="43"/>
        <v>0</v>
      </c>
      <c r="I153" s="702">
        <f t="shared" ca="1" si="44"/>
        <v>0</v>
      </c>
      <c r="J153" s="702">
        <f t="shared" ca="1" si="36"/>
        <v>0</v>
      </c>
      <c r="K153" s="702">
        <f ca="1">IF(OR($C153="S",$C153=0),0,MATCH(OFFSET($D153,0,$C153)+IF($C153&lt;&gt;1,1,COUNTIF(QCI!$A$13:$A$15,ORÇAMENTO!E153)),OFFSET($D153,1,$C153,ROW($C$231)-ROW($C153)),0))</f>
        <v>0</v>
      </c>
      <c r="L153" s="115" t="str">
        <f t="shared" ca="1" si="45"/>
        <v/>
      </c>
      <c r="M153" s="116" t="s">
        <v>706</v>
      </c>
      <c r="N153" s="117" t="str">
        <f t="shared" ca="1" si="46"/>
        <v>Serviço</v>
      </c>
      <c r="O153" s="118" t="str">
        <f t="shared" ca="1" si="47"/>
        <v>-</v>
      </c>
      <c r="P153" s="119" t="s">
        <v>993</v>
      </c>
      <c r="Q153" s="120" t="s">
        <v>1024</v>
      </c>
      <c r="R153" s="121" t="str">
        <f ca="1">IF($C153="S",REFERENCIA.Descricao,"(digite a descrição aqui)")</f>
        <v>(abra o arquivo 'Referência 09-2025.xlsm)</v>
      </c>
      <c r="S153" s="122" t="str">
        <f ca="1">REFERENCIA.Unidade</f>
        <v>-</v>
      </c>
      <c r="T153" s="123">
        <f ca="1">OFFSET(CÁLCULO!H$15,ROW($T153)-ROW(T$15),0)</f>
        <v>1</v>
      </c>
      <c r="U153" s="124">
        <f ca="1">ROUND(IF(DESONERACAO="sim",REFERENCIA.Desonerado,REFERENCIA.NaoDesonerado),2)</f>
        <v>0</v>
      </c>
      <c r="V153" s="125" t="s">
        <v>664</v>
      </c>
      <c r="W153" s="123">
        <f ca="1">IF($C153="S",ROUND(IF(TIPOORCAMENTO="Proposto",ORÇAMENTO.CustoUnitario*(1+$AH153),ORÇAMENTO.PrecoUnitarioLicitado),15-13*$AF$10),0)</f>
        <v>0</v>
      </c>
      <c r="X153" s="126" cm="1">
        <f t="array" aca="1" ref="X153" ca="1">IF($C153="S",IF(OR(Import.TipoArredondamento&lt;&gt;"TransfereGOV",ACOMPANHAMENTO="BM"),VTOTAL1,SUM(OFFSET(CÁLCULO!$AA$15,ROW($X153)-ROW($X$15),1):OFFSET(CÁLCULO!$AL$15,ROW($X153)-ROW($X$15),-1))),IF($C153=0,0,ROUND(SomaAgrup,15-13*$AF$11)))</f>
        <v>0</v>
      </c>
      <c r="Y153" s="127" t="s">
        <v>752</v>
      </c>
      <c r="Z153" s="702" t="str">
        <f t="shared" ca="1" si="48"/>
        <v/>
      </c>
      <c r="AA153" s="128">
        <f ca="1">IF($C153="S",IF($Z153="CP",$X153,IF($Z153="RA",(($X153)*QCI!$AA$3),0)),SomaAgrup)</f>
        <v>0</v>
      </c>
      <c r="AB153" s="129">
        <f t="shared" ca="1" si="49"/>
        <v>0</v>
      </c>
      <c r="AC153" s="566"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IF(AND(_xlfn.SINGLE(TIPOORCAMENTO)="Licitado",$AL153=0,$AN153&gt;0),"SEM PREÇO",
IF(AND($C153="S",$P153&lt;&gt;"",$Q153&lt;&gt;"",$U153&gt;0,$V153=0),"BDI",
IF(OR(AND(TIPOORCAMENTO="Proposto",LEFT($O$8,5)&lt;&gt;"(N/D:",$AG153&lt;&gt;"",ORÇAMENTO.CustoUnitario&gt;$AG153),AND(TIPOORCAMENTO="LICITADO",ORÇAMENTO.PrecoUnitarioLicitado&gt;$AN153)),"ACIMA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SEM CUSTO</v>
      </c>
      <c r="AD153" s="702" t="str">
        <f ca="1">IF(C153&lt;=CRONO.NivelExibicao,MAX($AD$15:OFFSET(AD153,-1,0))+IF($C153&lt;&gt;1,1,MAX(1,COUNTIF(QCI!$A$13:$A$15,OFFSET($E153,-1,0)))),"")</f>
        <v/>
      </c>
      <c r="AE153" s="700" t="str">
        <f ca="1">IF(AND($C153="S",ORÇAMENTO.CodBarra&lt;&gt;""),IF(ORÇAMENTO.Fonte="",ORÇAMENTO.CodBarra,CONCATENATE(ORÇAMENTO.Fonte," ",ORÇAMENTO.CodBarra)))</f>
        <v>Cotação COT 09</v>
      </c>
      <c r="AF153" s="701" t="str">
        <f ca="1">IF(ISERROR(INDIRECT(ORÇAMENTO.BancoRef)),"(abra o arquivo 'Referência "&amp;Excel_BuiltIn_Database&amp;".xlsm)",IF(OR($C153&lt;&gt;"S",ORÇAMENTO.CodBarra=""),"(Sem Código)",IF(ISERROR(MATCH($AE153,INDIRECT(ORÇAMENTO.BancoRef),0)),"(Código não identificado nas referências)",MATCH($AE153,INDIRECT(ORÇAMENTO.BancoRef),0))))</f>
        <v>(abra o arquivo 'Referência 09-2025.xlsm)</v>
      </c>
      <c r="AG153" s="429">
        <f ca="1">ROUND(IF(DESONERACAO="sim",REFERENCIA.Desonerado,REFERENCIA.NaoDesonerado),2)</f>
        <v>0</v>
      </c>
      <c r="AH153" s="430">
        <f t="shared" ca="1" si="50"/>
        <v>0.24740000000000001</v>
      </c>
      <c r="AJ153" s="699">
        <v>1</v>
      </c>
      <c r="AL153" s="440"/>
      <c r="AM153" s="337">
        <f t="shared" ca="1" si="0"/>
        <v>0</v>
      </c>
      <c r="AN153" s="471">
        <f t="shared" ca="1" si="51"/>
        <v>0</v>
      </c>
    </row>
    <row r="154" spans="1:40" s="702" customFormat="1" ht="25.5" x14ac:dyDescent="0.2">
      <c r="A154" s="702" t="str">
        <f t="shared" si="37"/>
        <v>S</v>
      </c>
      <c r="B154" s="702">
        <f t="shared" ca="1" si="38"/>
        <v>2</v>
      </c>
      <c r="C154" s="702" t="str">
        <f t="shared" ca="1" si="39"/>
        <v>S</v>
      </c>
      <c r="D154" s="702">
        <f t="shared" ca="1" si="40"/>
        <v>0</v>
      </c>
      <c r="E154" s="702">
        <f ca="1">IF($C154=1,OFFSET(E154,-1,0)+MAX(1,COUNTIF(QCI!$A$13:$A$15,OFFSET(ORÇAMENTO!E154,-1,0))),OFFSET(E154,-1,0))</f>
        <v>1</v>
      </c>
      <c r="F154" s="702">
        <f t="shared" ca="1" si="41"/>
        <v>20</v>
      </c>
      <c r="G154" s="702">
        <f t="shared" ca="1" si="42"/>
        <v>0</v>
      </c>
      <c r="H154" s="702">
        <f t="shared" ca="1" si="43"/>
        <v>0</v>
      </c>
      <c r="I154" s="702">
        <f t="shared" ca="1" si="44"/>
        <v>0</v>
      </c>
      <c r="J154" s="702">
        <f t="shared" ca="1" si="36"/>
        <v>0</v>
      </c>
      <c r="K154" s="702">
        <f ca="1">IF(OR($C154="S",$C154=0),0,MATCH(OFFSET($D154,0,$C154)+IF($C154&lt;&gt;1,1,COUNTIF(QCI!$A$13:$A$15,ORÇAMENTO!E154)),OFFSET($D154,1,$C154,ROW($C$231)-ROW($C154)),0))</f>
        <v>0</v>
      </c>
      <c r="L154" s="115" t="str">
        <f t="shared" ca="1" si="45"/>
        <v/>
      </c>
      <c r="M154" s="116" t="s">
        <v>706</v>
      </c>
      <c r="N154" s="117" t="str">
        <f t="shared" ca="1" si="46"/>
        <v>Serviço</v>
      </c>
      <c r="O154" s="118" t="str">
        <f t="shared" ca="1" si="47"/>
        <v>-</v>
      </c>
      <c r="P154" s="119" t="s">
        <v>993</v>
      </c>
      <c r="Q154" s="120" t="s">
        <v>995</v>
      </c>
      <c r="R154" s="121" t="str">
        <f ca="1">IF($C154="S",REFERENCIA.Descricao,"(digite a descrição aqui)")</f>
        <v>(abra o arquivo 'Referência 09-2025.xlsm)</v>
      </c>
      <c r="S154" s="122" t="str">
        <f ca="1">REFERENCIA.Unidade</f>
        <v>-</v>
      </c>
      <c r="T154" s="123">
        <f ca="1">OFFSET(CÁLCULO!H$15,ROW($T154)-ROW(T$15),0)</f>
        <v>1</v>
      </c>
      <c r="U154" s="124">
        <f ca="1">ROUND(IF(DESONERACAO="sim",REFERENCIA.Desonerado,REFERENCIA.NaoDesonerado),2)</f>
        <v>0</v>
      </c>
      <c r="V154" s="125" t="s">
        <v>664</v>
      </c>
      <c r="W154" s="123">
        <f ca="1">IF($C154="S",ROUND(IF(TIPOORCAMENTO="Proposto",ORÇAMENTO.CustoUnitario*(1+$AH154),ORÇAMENTO.PrecoUnitarioLicitado),15-13*$AF$10),0)</f>
        <v>0</v>
      </c>
      <c r="X154" s="126" cm="1">
        <f t="array" aca="1" ref="X154" ca="1">IF($C154="S",IF(OR(Import.TipoArredondamento&lt;&gt;"TransfereGOV",ACOMPANHAMENTO="BM"),VTOTAL1,SUM(OFFSET(CÁLCULO!$AA$15,ROW($X154)-ROW($X$15),1):OFFSET(CÁLCULO!$AL$15,ROW($X154)-ROW($X$15),-1))),IF($C154=0,0,ROUND(SomaAgrup,15-13*$AF$11)))</f>
        <v>0</v>
      </c>
      <c r="Y154" s="127" t="s">
        <v>752</v>
      </c>
      <c r="Z154" s="702" t="str">
        <f t="shared" ca="1" si="48"/>
        <v/>
      </c>
      <c r="AA154" s="128">
        <f ca="1">IF($C154="S",IF($Z154="CP",$X154,IF($Z154="RA",(($X154)*QCI!$AA$3),0)),SomaAgrup)</f>
        <v>0</v>
      </c>
      <c r="AB154" s="129">
        <f t="shared" ca="1" si="49"/>
        <v>0</v>
      </c>
      <c r="AC154" s="566"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IF(AND(_xlfn.SINGLE(TIPOORCAMENTO)="Licitado",$AL154=0,$AN154&gt;0),"SEM PREÇO",
IF(AND($C154="S",$P154&lt;&gt;"",$Q154&lt;&gt;"",$U154&gt;0,$V154=0),"BDI",
IF(OR(AND(TIPOORCAMENTO="Proposto",LEFT($O$8,5)&lt;&gt;"(N/D:",$AG154&lt;&gt;"",ORÇAMENTO.CustoUnitario&gt;$AG154),AND(TIPOORCAMENTO="LICITADO",ORÇAMENTO.PrecoUnitarioLicitado&gt;$AN154)),"ACIMA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SEM CUSTO</v>
      </c>
      <c r="AD154" s="702" t="str">
        <f ca="1">IF(C154&lt;=CRONO.NivelExibicao,MAX($AD$15:OFFSET(AD154,-1,0))+IF($C154&lt;&gt;1,1,MAX(1,COUNTIF(QCI!$A$13:$A$15,OFFSET($E154,-1,0)))),"")</f>
        <v/>
      </c>
      <c r="AE154" s="700" t="str">
        <f ca="1">IF(AND($C154="S",ORÇAMENTO.CodBarra&lt;&gt;""),IF(ORÇAMENTO.Fonte="",ORÇAMENTO.CodBarra,CONCATENATE(ORÇAMENTO.Fonte," ",ORÇAMENTO.CodBarra)))</f>
        <v>Cotação COT 10</v>
      </c>
      <c r="AF154" s="701" t="str">
        <f ca="1">IF(ISERROR(INDIRECT(ORÇAMENTO.BancoRef)),"(abra o arquivo 'Referência "&amp;Excel_BuiltIn_Database&amp;".xlsm)",IF(OR($C154&lt;&gt;"S",ORÇAMENTO.CodBarra=""),"(Sem Código)",IF(ISERROR(MATCH($AE154,INDIRECT(ORÇAMENTO.BancoRef),0)),"(Código não identificado nas referências)",MATCH($AE154,INDIRECT(ORÇAMENTO.BancoRef),0))))</f>
        <v>(abra o arquivo 'Referência 09-2025.xlsm)</v>
      </c>
      <c r="AG154" s="429">
        <f ca="1">ROUND(IF(DESONERACAO="sim",REFERENCIA.Desonerado,REFERENCIA.NaoDesonerado),2)</f>
        <v>0</v>
      </c>
      <c r="AH154" s="430">
        <f t="shared" ca="1" si="50"/>
        <v>0.24740000000000001</v>
      </c>
      <c r="AJ154" s="699">
        <v>1</v>
      </c>
      <c r="AL154" s="440"/>
      <c r="AM154" s="337">
        <f t="shared" ca="1" si="0"/>
        <v>0</v>
      </c>
      <c r="AN154" s="471">
        <f t="shared" ca="1" si="51"/>
        <v>0</v>
      </c>
    </row>
    <row r="155" spans="1:40" s="702" customFormat="1" x14ac:dyDescent="0.2">
      <c r="A155" s="702" t="str">
        <f t="shared" ref="A155:A163" si="52">CHOOSE(1+LOG(1+2*(ORÇAMENTO.Nivel="Meta")+4*(ORÇAMENTO.Nivel="Nível 2")+8*(ORÇAMENTO.Nivel="Nível 3")+16*(ORÇAMENTO.Nivel="Nível 4")+32*(ORÇAMENTO.Nivel="Serviço"),2),0,1,2,3,4,"S")</f>
        <v>S</v>
      </c>
      <c r="B155" s="702">
        <f ca="1">IF(OR(C155="s",C155=0),OFFSET(B155,-1,0),C155)</f>
        <v>2</v>
      </c>
      <c r="C155" s="702" t="str">
        <f ca="1">IF(OFFSET(C155,-1,0)="L",1,IF(OFFSET(C155,-1,0)=1,2,IF(OR(A155="s",A155=0),"S",IF(AND(OFFSET(C155,-1,0)=2,A155=4),3,IF(AND(OR(OFFSET(C155,-1,0)="s",OFFSET(C155,-1,0)=0),A155&lt;&gt;"s",A155&gt;OFFSET(B155,-1,0)),OFFSET(B155,-1,0),A155)))))</f>
        <v>S</v>
      </c>
      <c r="D155" s="702">
        <f ca="1">IF(OR(C155="S",C155=0),0,IF(ISERROR(K155),J155,SMALL(J155:K155,1)))</f>
        <v>0</v>
      </c>
      <c r="E155" s="702">
        <f ca="1">IF($C155=1,OFFSET(E155,-1,0)+MAX(1,COUNTIF(QCI!$A$13:$A$15,OFFSET(ORÇAMENTO!E155,-1,0))),OFFSET(E155,-1,0))</f>
        <v>1</v>
      </c>
      <c r="F155" s="702">
        <f ca="1">IF($C155=1,0,IF($C155=2,OFFSET(F155,-1,0)+1,OFFSET(F155,-1,0)))</f>
        <v>20</v>
      </c>
      <c r="G155" s="702">
        <f ca="1">IF(AND($C155&lt;=2,$C155&lt;&gt;0),0,IF($C155=3,OFFSET(G155,-1,0)+1,OFFSET(G155,-1,0)))</f>
        <v>0</v>
      </c>
      <c r="H155" s="702">
        <f ca="1">IF(AND($C155&lt;=3,$C155&lt;&gt;0),0,IF($C155=4,OFFSET(H155,-1,0)+1,OFFSET(H155,-1,0)))</f>
        <v>0</v>
      </c>
      <c r="I155" s="702">
        <f ca="1">IF(AND($C155&lt;=4,$C155&lt;&gt;0),0,IF(AND($C155="S",$X155&gt;0),OFFSET(I155,-1,0)+1,OFFSET(I155,-1,0)))</f>
        <v>0</v>
      </c>
      <c r="J155" s="702">
        <f t="shared" ca="1" si="36"/>
        <v>0</v>
      </c>
      <c r="K155" s="702">
        <f ca="1">IF(OR($C155="S",$C155=0),0,MATCH(OFFSET($D155,0,$C155)+IF($C155&lt;&gt;1,1,COUNTIF(QCI!$A$13:$A$15,ORÇAMENTO!E155)),OFFSET($D155,1,$C155,ROW($C$231)-ROW($C155)),0))</f>
        <v>0</v>
      </c>
      <c r="L155" s="115" t="str">
        <f ca="1">IF(OR($X155&gt;0,$C155=1,$C155=2,$C155=3,$C155=4),"F","")</f>
        <v/>
      </c>
      <c r="M155" s="116" t="s">
        <v>706</v>
      </c>
      <c r="N155" s="117" t="str">
        <f ca="1">CHOOSE(1+LOG(1+2*(C155=1)+4*(C155=2)+8*(C155=3)+16*(C155=4)+32*(C155="S"),2),"","Meta","Nível 2","Nível 3","Nível 4","Serviço")</f>
        <v>Serviço</v>
      </c>
      <c r="O155" s="118" t="str">
        <f ca="1">IF(OR($C155=0,$L155=""),"-",CONCATENATE(E155&amp;".",IF(AND($A$5&gt;=2,$C155&gt;=2),F155&amp;".",""),IF(AND($A$5&gt;=3,$C155&gt;=3),G155&amp;".",""),IF(AND($A$5&gt;=4,$C155&gt;=4),H155&amp;".",""),IF($C155="S",I155&amp;".","")))</f>
        <v>-</v>
      </c>
      <c r="P155" s="119" t="s">
        <v>993</v>
      </c>
      <c r="Q155" s="120" t="s">
        <v>996</v>
      </c>
      <c r="R155" s="121" t="str">
        <f ca="1">IF($C155="S",REFERENCIA.Descricao,"(digite a descrição aqui)")</f>
        <v>(abra o arquivo 'Referência 09-2025.xlsm)</v>
      </c>
      <c r="S155" s="122" t="str">
        <f ca="1">REFERENCIA.Unidade</f>
        <v>-</v>
      </c>
      <c r="T155" s="123">
        <f ca="1">OFFSET(CÁLCULO!H$15,ROW($T155)-ROW(T$15),0)</f>
        <v>2</v>
      </c>
      <c r="U155" s="124">
        <f ca="1">ROUND(IF(DESONERACAO="sim",REFERENCIA.Desonerado,REFERENCIA.NaoDesonerado),2)</f>
        <v>0</v>
      </c>
      <c r="V155" s="125" t="s">
        <v>664</v>
      </c>
      <c r="W155" s="123">
        <f ca="1">IF($C155="S",ROUND(IF(TIPOORCAMENTO="Proposto",ORÇAMENTO.CustoUnitario*(1+$AH155),ORÇAMENTO.PrecoUnitarioLicitado),15-13*$AF$10),0)</f>
        <v>0</v>
      </c>
      <c r="X155" s="126" cm="1">
        <f t="array" aca="1" ref="X155" ca="1">IF($C155="S",IF(OR(Import.TipoArredondamento&lt;&gt;"TransfereGOV",ACOMPANHAMENTO="BM"),VTOTAL1,SUM(OFFSET(CÁLCULO!$AA$15,ROW($X155)-ROW($X$15),1):OFFSET(CÁLCULO!$AL$15,ROW($X155)-ROW($X$15),-1))),IF($C155=0,0,ROUND(SomaAgrup,15-13*$AF$11)))</f>
        <v>0</v>
      </c>
      <c r="Y155" s="127" t="s">
        <v>752</v>
      </c>
      <c r="Z155" s="702" t="str">
        <f ca="1">IF(AND($C155="S",$X155&gt;0),IF(ISBLANK($Y155),"RA",LEFT($Y155,2)),"")</f>
        <v/>
      </c>
      <c r="AA155" s="128">
        <f ca="1">IF($C155="S",IF($Z155="CP",$X155,IF($Z155="RA",(($X155)*QCI!$AA$3),0)),SomaAgrup)</f>
        <v>0</v>
      </c>
      <c r="AB155" s="129">
        <f t="shared" ref="AB155:AB163" ca="1" si="53">IF($C155="S",IF($Z155="OU",ROUND($X155,2),0),SomaAgrup)</f>
        <v>0</v>
      </c>
      <c r="AC155" s="566"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IF(AND(_xlfn.SINGLE(TIPOORCAMENTO)="Licitado",$AL155=0,$AN155&gt;0),"SEM PREÇO",
IF(AND($C155="S",$P155&lt;&gt;"",$Q155&lt;&gt;"",$U155&gt;0,$V155=0),"BDI",
IF(OR(AND(TIPOORCAMENTO="Proposto",LEFT($O$8,5)&lt;&gt;"(N/D:",$AG155&lt;&gt;"",ORÇAMENTO.CustoUnitario&gt;$AG155),AND(TIPOORCAMENTO="LICITADO",ORÇAMENTO.PrecoUnitarioLicitado&gt;$AN155)),"ACIMA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SEM CUSTO</v>
      </c>
      <c r="AD155" s="702" t="str">
        <f ca="1">IF(C155&lt;=CRONO.NivelExibicao,MAX($AD$15:OFFSET(AD155,-1,0))+IF($C155&lt;&gt;1,1,MAX(1,COUNTIF(QCI!$A$13:$A$15,OFFSET($E155,-1,0)))),"")</f>
        <v/>
      </c>
      <c r="AE155" s="700" t="str">
        <f ca="1">IF(AND($C155="S",ORÇAMENTO.CodBarra&lt;&gt;""),IF(ORÇAMENTO.Fonte="",ORÇAMENTO.CodBarra,CONCATENATE(ORÇAMENTO.Fonte," ",ORÇAMENTO.CodBarra)))</f>
        <v>Cotação COT 11</v>
      </c>
      <c r="AF155" s="701" t="str">
        <f ca="1">IF(ISERROR(INDIRECT(ORÇAMENTO.BancoRef)),"(abra o arquivo 'Referência "&amp;Excel_BuiltIn_Database&amp;".xlsm)",IF(OR($C155&lt;&gt;"S",ORÇAMENTO.CodBarra=""),"(Sem Código)",IF(ISERROR(MATCH($AE155,INDIRECT(ORÇAMENTO.BancoRef),0)),"(Código não identificado nas referências)",MATCH($AE155,INDIRECT(ORÇAMENTO.BancoRef),0))))</f>
        <v>(abra o arquivo 'Referência 09-2025.xlsm)</v>
      </c>
      <c r="AG155" s="429">
        <f ca="1">ROUND(IF(DESONERACAO="sim",REFERENCIA.Desonerado,REFERENCIA.NaoDesonerado),2)</f>
        <v>0</v>
      </c>
      <c r="AH155" s="430">
        <f t="shared" ref="AH155:AH163" ca="1" si="54">ROUND(IF(ISNUMBER(ORÇAMENTO.OpcaoBDI),ORÇAMENTO.OpcaoBDI,IF(LEFT(ORÇAMENTO.OpcaoBDI,3)="BDI",HLOOKUP(ORÇAMENTO.OpcaoBDI,$F$4:$H$5,2,FALSE),0)),15-11*$AF$9)</f>
        <v>0.24740000000000001</v>
      </c>
      <c r="AJ155" s="699">
        <v>2</v>
      </c>
      <c r="AL155" s="440"/>
      <c r="AM155" s="337">
        <f t="shared" ca="1" si="0"/>
        <v>0</v>
      </c>
      <c r="AN155" s="471">
        <f t="shared" ref="AN155:AN163" ca="1" si="55">ROUND(ORÇAMENTO.CustoUnitario*(1+$AH155),2)</f>
        <v>0</v>
      </c>
    </row>
    <row r="156" spans="1:40" s="702" customFormat="1" x14ac:dyDescent="0.2">
      <c r="A156" s="702" t="str">
        <f t="shared" si="52"/>
        <v>S</v>
      </c>
      <c r="B156" s="702">
        <f t="shared" ref="B156:B163" ca="1" si="56">IF(OR(C156="s",C156=0),OFFSET(B156,-1,0),C156)</f>
        <v>2</v>
      </c>
      <c r="C156" s="702" t="str">
        <f t="shared" ref="C156:C163" ca="1" si="57">IF(OFFSET(C156,-1,0)="L",1,IF(OFFSET(C156,-1,0)=1,2,IF(OR(A156="s",A156=0),"S",IF(AND(OFFSET(C156,-1,0)=2,A156=4),3,IF(AND(OR(OFFSET(C156,-1,0)="s",OFFSET(C156,-1,0)=0),A156&lt;&gt;"s",A156&gt;OFFSET(B156,-1,0)),OFFSET(B156,-1,0),A156)))))</f>
        <v>S</v>
      </c>
      <c r="D156" s="702">
        <f t="shared" ref="D156:D163" ca="1" si="58">IF(OR(C156="S",C156=0),0,IF(ISERROR(K156),J156,SMALL(J156:K156,1)))</f>
        <v>0</v>
      </c>
      <c r="E156" s="702">
        <f ca="1">IF($C156=1,OFFSET(E156,-1,0)+MAX(1,COUNTIF(QCI!$A$13:$A$15,OFFSET(ORÇAMENTO!E156,-1,0))),OFFSET(E156,-1,0))</f>
        <v>1</v>
      </c>
      <c r="F156" s="702">
        <f t="shared" ref="F156:F163" ca="1" si="59">IF($C156=1,0,IF($C156=2,OFFSET(F156,-1,0)+1,OFFSET(F156,-1,0)))</f>
        <v>20</v>
      </c>
      <c r="G156" s="702">
        <f t="shared" ref="G156:G163" ca="1" si="60">IF(AND($C156&lt;=2,$C156&lt;&gt;0),0,IF($C156=3,OFFSET(G156,-1,0)+1,OFFSET(G156,-1,0)))</f>
        <v>0</v>
      </c>
      <c r="H156" s="702">
        <f t="shared" ref="H156:H163" ca="1" si="61">IF(AND($C156&lt;=3,$C156&lt;&gt;0),0,IF($C156=4,OFFSET(H156,-1,0)+1,OFFSET(H156,-1,0)))</f>
        <v>0</v>
      </c>
      <c r="I156" s="702">
        <f t="shared" ref="I156:I163" ca="1" si="62">IF(AND($C156&lt;=4,$C156&lt;&gt;0),0,IF(AND($C156="S",$X156&gt;0),OFFSET(I156,-1,0)+1,OFFSET(I156,-1,0)))</f>
        <v>0</v>
      </c>
      <c r="J156" s="702">
        <f t="shared" ca="1" si="36"/>
        <v>0</v>
      </c>
      <c r="K156" s="702">
        <f ca="1">IF(OR($C156="S",$C156=0),0,MATCH(OFFSET($D156,0,$C156)+IF($C156&lt;&gt;1,1,COUNTIF(QCI!$A$13:$A$15,ORÇAMENTO!E156)),OFFSET($D156,1,$C156,ROW($C$231)-ROW($C156)),0))</f>
        <v>0</v>
      </c>
      <c r="L156" s="115" t="str">
        <f t="shared" ref="L156:L163" ca="1" si="63">IF(OR($X156&gt;0,$C156=1,$C156=2,$C156=3,$C156=4),"F","")</f>
        <v/>
      </c>
      <c r="M156" s="116" t="s">
        <v>706</v>
      </c>
      <c r="N156" s="117" t="str">
        <f t="shared" ref="N156:N163" ca="1" si="64">CHOOSE(1+LOG(1+2*(C156=1)+4*(C156=2)+8*(C156=3)+16*(C156=4)+32*(C156="S"),2),"","Meta","Nível 2","Nível 3","Nível 4","Serviço")</f>
        <v>Serviço</v>
      </c>
      <c r="O156" s="118" t="str">
        <f t="shared" ref="O156:O163" ca="1" si="65">IF(OR($C156=0,$L156=""),"-",CONCATENATE(E156&amp;".",IF(AND($A$5&gt;=2,$C156&gt;=2),F156&amp;".",""),IF(AND($A$5&gt;=3,$C156&gt;=3),G156&amp;".",""),IF(AND($A$5&gt;=4,$C156&gt;=4),H156&amp;".",""),IF($C156="S",I156&amp;".","")))</f>
        <v>-</v>
      </c>
      <c r="P156" s="119" t="s">
        <v>993</v>
      </c>
      <c r="Q156" s="120" t="s">
        <v>997</v>
      </c>
      <c r="R156" s="121" t="str">
        <f ca="1">IF($C156="S",REFERENCIA.Descricao,"(digite a descrição aqui)")</f>
        <v>(abra o arquivo 'Referência 09-2025.xlsm)</v>
      </c>
      <c r="S156" s="122" t="str">
        <f ca="1">REFERENCIA.Unidade</f>
        <v>-</v>
      </c>
      <c r="T156" s="123">
        <f ca="1">OFFSET(CÁLCULO!H$15,ROW($T156)-ROW(T$15),0)</f>
        <v>2</v>
      </c>
      <c r="U156" s="124">
        <f ca="1">ROUND(IF(DESONERACAO="sim",REFERENCIA.Desonerado,REFERENCIA.NaoDesonerado),2)</f>
        <v>0</v>
      </c>
      <c r="V156" s="125" t="s">
        <v>664</v>
      </c>
      <c r="W156" s="123">
        <f ca="1">IF($C156="S",ROUND(IF(TIPOORCAMENTO="Proposto",ORÇAMENTO.CustoUnitario*(1+$AH156),ORÇAMENTO.PrecoUnitarioLicitado),15-13*$AF$10),0)</f>
        <v>0</v>
      </c>
      <c r="X156" s="126" cm="1">
        <f t="array" aca="1" ref="X156" ca="1">IF($C156="S",IF(OR(Import.TipoArredondamento&lt;&gt;"TransfereGOV",ACOMPANHAMENTO="BM"),VTOTAL1,SUM(OFFSET(CÁLCULO!$AA$15,ROW($X156)-ROW($X$15),1):OFFSET(CÁLCULO!$AL$15,ROW($X156)-ROW($X$15),-1))),IF($C156=0,0,ROUND(SomaAgrup,15-13*$AF$11)))</f>
        <v>0</v>
      </c>
      <c r="Y156" s="127" t="s">
        <v>752</v>
      </c>
      <c r="Z156" s="702" t="str">
        <f t="shared" ref="Z156:Z163" ca="1" si="66">IF(AND($C156="S",$X156&gt;0),IF(ISBLANK($Y156),"RA",LEFT($Y156,2)),"")</f>
        <v/>
      </c>
      <c r="AA156" s="128">
        <f ca="1">IF($C156="S",IF($Z156="CP",$X156,IF($Z156="RA",(($X156)*QCI!$AA$3),0)),SomaAgrup)</f>
        <v>0</v>
      </c>
      <c r="AB156" s="129">
        <f t="shared" ca="1" si="53"/>
        <v>0</v>
      </c>
      <c r="AC156" s="566"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IF(AND(_xlfn.SINGLE(TIPOORCAMENTO)="Licitado",$AL156=0,$AN156&gt;0),"SEM PREÇO",
IF(AND($C156="S",$P156&lt;&gt;"",$Q156&lt;&gt;"",$U156&gt;0,$V156=0),"BDI",
IF(OR(AND(TIPOORCAMENTO="Proposto",LEFT($O$8,5)&lt;&gt;"(N/D:",$AG156&lt;&gt;"",ORÇAMENTO.CustoUnitario&gt;$AG156),AND(TIPOORCAMENTO="LICITADO",ORÇAMENTO.PrecoUnitarioLicitado&gt;$AN156)),"ACIMA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SEM CUSTO</v>
      </c>
      <c r="AD156" s="702" t="str">
        <f ca="1">IF(C156&lt;=CRONO.NivelExibicao,MAX($AD$15:OFFSET(AD156,-1,0))+IF($C156&lt;&gt;1,1,MAX(1,COUNTIF(QCI!$A$13:$A$15,OFFSET($E156,-1,0)))),"")</f>
        <v/>
      </c>
      <c r="AE156" s="700" t="str">
        <f ca="1">IF(AND($C156="S",ORÇAMENTO.CodBarra&lt;&gt;""),IF(ORÇAMENTO.Fonte="",ORÇAMENTO.CodBarra,CONCATENATE(ORÇAMENTO.Fonte," ",ORÇAMENTO.CodBarra)))</f>
        <v>Cotação COT 12</v>
      </c>
      <c r="AF156" s="701" t="str">
        <f ca="1">IF(ISERROR(INDIRECT(ORÇAMENTO.BancoRef)),"(abra o arquivo 'Referência "&amp;Excel_BuiltIn_Database&amp;".xlsm)",IF(OR($C156&lt;&gt;"S",ORÇAMENTO.CodBarra=""),"(Sem Código)",IF(ISERROR(MATCH($AE156,INDIRECT(ORÇAMENTO.BancoRef),0)),"(Código não identificado nas referências)",MATCH($AE156,INDIRECT(ORÇAMENTO.BancoRef),0))))</f>
        <v>(abra o arquivo 'Referência 09-2025.xlsm)</v>
      </c>
      <c r="AG156" s="429">
        <f ca="1">ROUND(IF(DESONERACAO="sim",REFERENCIA.Desonerado,REFERENCIA.NaoDesonerado),2)</f>
        <v>0</v>
      </c>
      <c r="AH156" s="430">
        <f t="shared" ca="1" si="54"/>
        <v>0.24740000000000001</v>
      </c>
      <c r="AJ156" s="699">
        <v>2</v>
      </c>
      <c r="AL156" s="440"/>
      <c r="AM156" s="337">
        <f t="shared" ca="1" si="0"/>
        <v>0</v>
      </c>
      <c r="AN156" s="471">
        <f t="shared" ca="1" si="55"/>
        <v>0</v>
      </c>
    </row>
    <row r="157" spans="1:40" s="702" customFormat="1" x14ac:dyDescent="0.2">
      <c r="A157" s="702" t="str">
        <f t="shared" si="52"/>
        <v>S</v>
      </c>
      <c r="B157" s="702">
        <f t="shared" ca="1" si="56"/>
        <v>2</v>
      </c>
      <c r="C157" s="702" t="str">
        <f t="shared" ca="1" si="57"/>
        <v>S</v>
      </c>
      <c r="D157" s="702">
        <f t="shared" ca="1" si="58"/>
        <v>0</v>
      </c>
      <c r="E157" s="702">
        <f ca="1">IF($C157=1,OFFSET(E157,-1,0)+MAX(1,COUNTIF(QCI!$A$13:$A$15,OFFSET(ORÇAMENTO!E157,-1,0))),OFFSET(E157,-1,0))</f>
        <v>1</v>
      </c>
      <c r="F157" s="702">
        <f t="shared" ca="1" si="59"/>
        <v>20</v>
      </c>
      <c r="G157" s="702">
        <f t="shared" ca="1" si="60"/>
        <v>0</v>
      </c>
      <c r="H157" s="702">
        <f t="shared" ca="1" si="61"/>
        <v>0</v>
      </c>
      <c r="I157" s="702">
        <f t="shared" ca="1" si="62"/>
        <v>0</v>
      </c>
      <c r="J157" s="702">
        <f t="shared" ca="1" si="36"/>
        <v>0</v>
      </c>
      <c r="K157" s="702">
        <f ca="1">IF(OR($C157="S",$C157=0),0,MATCH(OFFSET($D157,0,$C157)+IF($C157&lt;&gt;1,1,COUNTIF(QCI!$A$13:$A$15,ORÇAMENTO!E157)),OFFSET($D157,1,$C157,ROW($C$231)-ROW($C157)),0))</f>
        <v>0</v>
      </c>
      <c r="L157" s="115" t="str">
        <f t="shared" ca="1" si="63"/>
        <v/>
      </c>
      <c r="M157" s="116" t="s">
        <v>706</v>
      </c>
      <c r="N157" s="117" t="str">
        <f t="shared" ca="1" si="64"/>
        <v>Serviço</v>
      </c>
      <c r="O157" s="118" t="str">
        <f t="shared" ca="1" si="65"/>
        <v>-</v>
      </c>
      <c r="P157" s="119" t="s">
        <v>993</v>
      </c>
      <c r="Q157" s="120" t="s">
        <v>998</v>
      </c>
      <c r="R157" s="121" t="str">
        <f ca="1">IF($C157="S",REFERENCIA.Descricao,"(digite a descrição aqui)")</f>
        <v>(abra o arquivo 'Referência 09-2025.xlsm)</v>
      </c>
      <c r="S157" s="122" t="str">
        <f ca="1">REFERENCIA.Unidade</f>
        <v>-</v>
      </c>
      <c r="T157" s="123">
        <f ca="1">OFFSET(CÁLCULO!H$15,ROW($T157)-ROW(T$15),0)</f>
        <v>6</v>
      </c>
      <c r="U157" s="124">
        <f ca="1">ROUND(IF(DESONERACAO="sim",REFERENCIA.Desonerado,REFERENCIA.NaoDesonerado),2)</f>
        <v>0</v>
      </c>
      <c r="V157" s="125" t="s">
        <v>664</v>
      </c>
      <c r="W157" s="123">
        <f ca="1">IF($C157="S",ROUND(IF(TIPOORCAMENTO="Proposto",ORÇAMENTO.CustoUnitario*(1+$AH157),ORÇAMENTO.PrecoUnitarioLicitado),15-13*$AF$10),0)</f>
        <v>0</v>
      </c>
      <c r="X157" s="126" cm="1">
        <f t="array" aca="1" ref="X157" ca="1">IF($C157="S",IF(OR(Import.TipoArredondamento&lt;&gt;"TransfereGOV",ACOMPANHAMENTO="BM"),VTOTAL1,SUM(OFFSET(CÁLCULO!$AA$15,ROW($X157)-ROW($X$15),1):OFFSET(CÁLCULO!$AL$15,ROW($X157)-ROW($X$15),-1))),IF($C157=0,0,ROUND(SomaAgrup,15-13*$AF$11)))</f>
        <v>0</v>
      </c>
      <c r="Y157" s="127" t="s">
        <v>752</v>
      </c>
      <c r="Z157" s="702" t="str">
        <f t="shared" ca="1" si="66"/>
        <v/>
      </c>
      <c r="AA157" s="128">
        <f ca="1">IF($C157="S",IF($Z157="CP",$X157,IF($Z157="RA",(($X157)*QCI!$AA$3),0)),SomaAgrup)</f>
        <v>0</v>
      </c>
      <c r="AB157" s="129">
        <f t="shared" ca="1" si="53"/>
        <v>0</v>
      </c>
      <c r="AC157" s="566"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IF(AND(_xlfn.SINGLE(TIPOORCAMENTO)="Licitado",$AL157=0,$AN157&gt;0),"SEM PREÇO",
IF(AND($C157="S",$P157&lt;&gt;"",$Q157&lt;&gt;"",$U157&gt;0,$V157=0),"BDI",
IF(OR(AND(TIPOORCAMENTO="Proposto",LEFT($O$8,5)&lt;&gt;"(N/D:",$AG157&lt;&gt;"",ORÇAMENTO.CustoUnitario&gt;$AG157),AND(TIPOORCAMENTO="LICITADO",ORÇAMENTO.PrecoUnitarioLicitado&gt;$AN157)),"ACIMA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SEM CUSTO</v>
      </c>
      <c r="AD157" s="702" t="str">
        <f ca="1">IF(C157&lt;=CRONO.NivelExibicao,MAX($AD$15:OFFSET(AD157,-1,0))+IF($C157&lt;&gt;1,1,MAX(1,COUNTIF(QCI!$A$13:$A$15,OFFSET($E157,-1,0)))),"")</f>
        <v/>
      </c>
      <c r="AE157" s="700" t="str">
        <f ca="1">IF(AND($C157="S",ORÇAMENTO.CodBarra&lt;&gt;""),IF(ORÇAMENTO.Fonte="",ORÇAMENTO.CodBarra,CONCATENATE(ORÇAMENTO.Fonte," ",ORÇAMENTO.CodBarra)))</f>
        <v>Cotação COT 13</v>
      </c>
      <c r="AF157" s="701" t="str">
        <f ca="1">IF(ISERROR(INDIRECT(ORÇAMENTO.BancoRef)),"(abra o arquivo 'Referência "&amp;Excel_BuiltIn_Database&amp;".xlsm)",IF(OR($C157&lt;&gt;"S",ORÇAMENTO.CodBarra=""),"(Sem Código)",IF(ISERROR(MATCH($AE157,INDIRECT(ORÇAMENTO.BancoRef),0)),"(Código não identificado nas referências)",MATCH($AE157,INDIRECT(ORÇAMENTO.BancoRef),0))))</f>
        <v>(abra o arquivo 'Referência 09-2025.xlsm)</v>
      </c>
      <c r="AG157" s="429">
        <f ca="1">ROUND(IF(DESONERACAO="sim",REFERENCIA.Desonerado,REFERENCIA.NaoDesonerado),2)</f>
        <v>0</v>
      </c>
      <c r="AH157" s="430">
        <f t="shared" ca="1" si="54"/>
        <v>0.24740000000000001</v>
      </c>
      <c r="AJ157" s="699">
        <v>6</v>
      </c>
      <c r="AL157" s="440"/>
      <c r="AM157" s="337">
        <f t="shared" ca="1" si="0"/>
        <v>0</v>
      </c>
      <c r="AN157" s="471">
        <f t="shared" ca="1" si="55"/>
        <v>0</v>
      </c>
    </row>
    <row r="158" spans="1:40" s="702" customFormat="1" x14ac:dyDescent="0.2">
      <c r="A158" s="702" t="str">
        <f t="shared" si="52"/>
        <v>S</v>
      </c>
      <c r="B158" s="702">
        <f t="shared" ca="1" si="56"/>
        <v>2</v>
      </c>
      <c r="C158" s="702" t="str">
        <f t="shared" ca="1" si="57"/>
        <v>S</v>
      </c>
      <c r="D158" s="702">
        <f t="shared" ca="1" si="58"/>
        <v>0</v>
      </c>
      <c r="E158" s="702">
        <f ca="1">IF($C158=1,OFFSET(E158,-1,0)+MAX(1,COUNTIF(QCI!$A$13:$A$15,OFFSET(ORÇAMENTO!E158,-1,0))),OFFSET(E158,-1,0))</f>
        <v>1</v>
      </c>
      <c r="F158" s="702">
        <f t="shared" ca="1" si="59"/>
        <v>20</v>
      </c>
      <c r="G158" s="702">
        <f t="shared" ca="1" si="60"/>
        <v>0</v>
      </c>
      <c r="H158" s="702">
        <f t="shared" ca="1" si="61"/>
        <v>0</v>
      </c>
      <c r="I158" s="702">
        <f t="shared" ca="1" si="62"/>
        <v>0</v>
      </c>
      <c r="J158" s="702">
        <f t="shared" ca="1" si="36"/>
        <v>0</v>
      </c>
      <c r="K158" s="702">
        <f ca="1">IF(OR($C158="S",$C158=0),0,MATCH(OFFSET($D158,0,$C158)+IF($C158&lt;&gt;1,1,COUNTIF(QCI!$A$13:$A$15,ORÇAMENTO!E158)),OFFSET($D158,1,$C158,ROW($C$231)-ROW($C158)),0))</f>
        <v>0</v>
      </c>
      <c r="L158" s="115" t="str">
        <f t="shared" ca="1" si="63"/>
        <v/>
      </c>
      <c r="M158" s="116" t="s">
        <v>706</v>
      </c>
      <c r="N158" s="117" t="str">
        <f t="shared" ca="1" si="64"/>
        <v>Serviço</v>
      </c>
      <c r="O158" s="118" t="str">
        <f t="shared" ca="1" si="65"/>
        <v>-</v>
      </c>
      <c r="P158" s="119" t="s">
        <v>993</v>
      </c>
      <c r="Q158" s="120" t="s">
        <v>999</v>
      </c>
      <c r="R158" s="121" t="str">
        <f ca="1">IF($C158="S",REFERENCIA.Descricao,"(digite a descrição aqui)")</f>
        <v>(abra o arquivo 'Referência 09-2025.xlsm)</v>
      </c>
      <c r="S158" s="122" t="str">
        <f ca="1">REFERENCIA.Unidade</f>
        <v>-</v>
      </c>
      <c r="T158" s="123">
        <f ca="1">OFFSET(CÁLCULO!H$15,ROW($T158)-ROW(T$15),0)</f>
        <v>1</v>
      </c>
      <c r="U158" s="124">
        <f ca="1">ROUND(IF(DESONERACAO="sim",REFERENCIA.Desonerado,REFERENCIA.NaoDesonerado),2)</f>
        <v>0</v>
      </c>
      <c r="V158" s="125" t="s">
        <v>664</v>
      </c>
      <c r="W158" s="123">
        <f ca="1">IF($C158="S",ROUND(IF(TIPOORCAMENTO="Proposto",ORÇAMENTO.CustoUnitario*(1+$AH158),ORÇAMENTO.PrecoUnitarioLicitado),15-13*$AF$10),0)</f>
        <v>0</v>
      </c>
      <c r="X158" s="126" cm="1">
        <f t="array" aca="1" ref="X158" ca="1">IF($C158="S",IF(OR(Import.TipoArredondamento&lt;&gt;"TransfereGOV",ACOMPANHAMENTO="BM"),VTOTAL1,SUM(OFFSET(CÁLCULO!$AA$15,ROW($X158)-ROW($X$15),1):OFFSET(CÁLCULO!$AL$15,ROW($X158)-ROW($X$15),-1))),IF($C158=0,0,ROUND(SomaAgrup,15-13*$AF$11)))</f>
        <v>0</v>
      </c>
      <c r="Y158" s="127" t="s">
        <v>752</v>
      </c>
      <c r="Z158" s="702" t="str">
        <f t="shared" ca="1" si="66"/>
        <v/>
      </c>
      <c r="AA158" s="128">
        <f ca="1">IF($C158="S",IF($Z158="CP",$X158,IF($Z158="RA",(($X158)*QCI!$AA$3),0)),SomaAgrup)</f>
        <v>0</v>
      </c>
      <c r="AB158" s="129">
        <f t="shared" ca="1" si="53"/>
        <v>0</v>
      </c>
      <c r="AC158" s="566"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IF(AND(_xlfn.SINGLE(TIPOORCAMENTO)="Licitado",$AL158=0,$AN158&gt;0),"SEM PREÇO",
IF(AND($C158="S",$P158&lt;&gt;"",$Q158&lt;&gt;"",$U158&gt;0,$V158=0),"BDI",
IF(OR(AND(TIPOORCAMENTO="Proposto",LEFT($O$8,5)&lt;&gt;"(N/D:",$AG158&lt;&gt;"",ORÇAMENTO.CustoUnitario&gt;$AG158),AND(TIPOORCAMENTO="LICITADO",ORÇAMENTO.PrecoUnitarioLicitado&gt;$AN158)),"ACIMA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SEM CUSTO</v>
      </c>
      <c r="AD158" s="702" t="str">
        <f ca="1">IF(C158&lt;=CRONO.NivelExibicao,MAX($AD$15:OFFSET(AD158,-1,0))+IF($C158&lt;&gt;1,1,MAX(1,COUNTIF(QCI!$A$13:$A$15,OFFSET($E158,-1,0)))),"")</f>
        <v/>
      </c>
      <c r="AE158" s="700" t="str">
        <f ca="1">IF(AND($C158="S",ORÇAMENTO.CodBarra&lt;&gt;""),IF(ORÇAMENTO.Fonte="",ORÇAMENTO.CodBarra,CONCATENATE(ORÇAMENTO.Fonte," ",ORÇAMENTO.CodBarra)))</f>
        <v>Cotação COT 14</v>
      </c>
      <c r="AF158" s="701" t="str">
        <f ca="1">IF(ISERROR(INDIRECT(ORÇAMENTO.BancoRef)),"(abra o arquivo 'Referência "&amp;Excel_BuiltIn_Database&amp;".xlsm)",IF(OR($C158&lt;&gt;"S",ORÇAMENTO.CodBarra=""),"(Sem Código)",IF(ISERROR(MATCH($AE158,INDIRECT(ORÇAMENTO.BancoRef),0)),"(Código não identificado nas referências)",MATCH($AE158,INDIRECT(ORÇAMENTO.BancoRef),0))))</f>
        <v>(abra o arquivo 'Referência 09-2025.xlsm)</v>
      </c>
      <c r="AG158" s="429">
        <f ca="1">ROUND(IF(DESONERACAO="sim",REFERENCIA.Desonerado,REFERENCIA.NaoDesonerado),2)</f>
        <v>0</v>
      </c>
      <c r="AH158" s="430">
        <f t="shared" ca="1" si="54"/>
        <v>0.24740000000000001</v>
      </c>
      <c r="AJ158" s="699">
        <v>1</v>
      </c>
      <c r="AL158" s="440"/>
      <c r="AM158" s="337">
        <f t="shared" ca="1" si="0"/>
        <v>0</v>
      </c>
      <c r="AN158" s="471">
        <f t="shared" ca="1" si="55"/>
        <v>0</v>
      </c>
    </row>
    <row r="159" spans="1:40" s="702" customFormat="1" ht="25.5" x14ac:dyDescent="0.2">
      <c r="A159" s="702" t="str">
        <f t="shared" si="52"/>
        <v>S</v>
      </c>
      <c r="B159" s="702">
        <f t="shared" ca="1" si="56"/>
        <v>2</v>
      </c>
      <c r="C159" s="702" t="str">
        <f t="shared" ca="1" si="57"/>
        <v>S</v>
      </c>
      <c r="D159" s="702">
        <f t="shared" ca="1" si="58"/>
        <v>0</v>
      </c>
      <c r="E159" s="702">
        <f ca="1">IF($C159=1,OFFSET(E159,-1,0)+MAX(1,COUNTIF(QCI!$A$13:$A$15,OFFSET(ORÇAMENTO!E159,-1,0))),OFFSET(E159,-1,0))</f>
        <v>1</v>
      </c>
      <c r="F159" s="702">
        <f t="shared" ca="1" si="59"/>
        <v>20</v>
      </c>
      <c r="G159" s="702">
        <f t="shared" ca="1" si="60"/>
        <v>0</v>
      </c>
      <c r="H159" s="702">
        <f t="shared" ca="1" si="61"/>
        <v>0</v>
      </c>
      <c r="I159" s="702">
        <f t="shared" ca="1" si="62"/>
        <v>0</v>
      </c>
      <c r="J159" s="702">
        <f t="shared" ca="1" si="36"/>
        <v>0</v>
      </c>
      <c r="K159" s="702">
        <f ca="1">IF(OR($C159="S",$C159=0),0,MATCH(OFFSET($D159,0,$C159)+IF($C159&lt;&gt;1,1,COUNTIF(QCI!$A$13:$A$15,ORÇAMENTO!E159)),OFFSET($D159,1,$C159,ROW($C$231)-ROW($C159)),0))</f>
        <v>0</v>
      </c>
      <c r="L159" s="115" t="str">
        <f t="shared" ca="1" si="63"/>
        <v/>
      </c>
      <c r="M159" s="116" t="s">
        <v>706</v>
      </c>
      <c r="N159" s="117" t="str">
        <f t="shared" ca="1" si="64"/>
        <v>Serviço</v>
      </c>
      <c r="O159" s="118" t="str">
        <f t="shared" ca="1" si="65"/>
        <v>-</v>
      </c>
      <c r="P159" s="119" t="s">
        <v>993</v>
      </c>
      <c r="Q159" s="120" t="s">
        <v>1000</v>
      </c>
      <c r="R159" s="121" t="str">
        <f ca="1">IF($C159="S",REFERENCIA.Descricao,"(digite a descrição aqui)")</f>
        <v>(abra o arquivo 'Referência 09-2025.xlsm)</v>
      </c>
      <c r="S159" s="122" t="str">
        <f ca="1">REFERENCIA.Unidade</f>
        <v>-</v>
      </c>
      <c r="T159" s="123">
        <f ca="1">OFFSET(CÁLCULO!H$15,ROW($T159)-ROW(T$15),0)</f>
        <v>8</v>
      </c>
      <c r="U159" s="124">
        <f ca="1">ROUND(IF(DESONERACAO="sim",REFERENCIA.Desonerado,REFERENCIA.NaoDesonerado),2)</f>
        <v>0</v>
      </c>
      <c r="V159" s="125" t="s">
        <v>664</v>
      </c>
      <c r="W159" s="123">
        <f ca="1">IF($C159="S",ROUND(IF(TIPOORCAMENTO="Proposto",ORÇAMENTO.CustoUnitario*(1+$AH159),ORÇAMENTO.PrecoUnitarioLicitado),15-13*$AF$10),0)</f>
        <v>0</v>
      </c>
      <c r="X159" s="126" cm="1">
        <f t="array" aca="1" ref="X159" ca="1">IF($C159="S",IF(OR(Import.TipoArredondamento&lt;&gt;"TransfereGOV",ACOMPANHAMENTO="BM"),VTOTAL1,SUM(OFFSET(CÁLCULO!$AA$15,ROW($X159)-ROW($X$15),1):OFFSET(CÁLCULO!$AL$15,ROW($X159)-ROW($X$15),-1))),IF($C159=0,0,ROUND(SomaAgrup,15-13*$AF$11)))</f>
        <v>0</v>
      </c>
      <c r="Y159" s="127" t="s">
        <v>752</v>
      </c>
      <c r="Z159" s="702" t="str">
        <f t="shared" ca="1" si="66"/>
        <v/>
      </c>
      <c r="AA159" s="128">
        <f ca="1">IF($C159="S",IF($Z159="CP",$X159,IF($Z159="RA",(($X159)*QCI!$AA$3),0)),SomaAgrup)</f>
        <v>0</v>
      </c>
      <c r="AB159" s="129">
        <f t="shared" ca="1" si="53"/>
        <v>0</v>
      </c>
      <c r="AC159" s="566"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IF(AND(_xlfn.SINGLE(TIPOORCAMENTO)="Licitado",$AL159=0,$AN159&gt;0),"SEM PREÇO",
IF(AND($C159="S",$P159&lt;&gt;"",$Q159&lt;&gt;"",$U159&gt;0,$V159=0),"BDI",
IF(OR(AND(TIPOORCAMENTO="Proposto",LEFT($O$8,5)&lt;&gt;"(N/D:",$AG159&lt;&gt;"",ORÇAMENTO.CustoUnitario&gt;$AG159),AND(TIPOORCAMENTO="LICITADO",ORÇAMENTO.PrecoUnitarioLicitado&gt;$AN159)),"ACIMA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SEM CUSTO</v>
      </c>
      <c r="AD159" s="702" t="str">
        <f ca="1">IF(C159&lt;=CRONO.NivelExibicao,MAX($AD$15:OFFSET(AD159,-1,0))+IF($C159&lt;&gt;1,1,MAX(1,COUNTIF(QCI!$A$13:$A$15,OFFSET($E159,-1,0)))),"")</f>
        <v/>
      </c>
      <c r="AE159" s="700" t="str">
        <f ca="1">IF(AND($C159="S",ORÇAMENTO.CodBarra&lt;&gt;""),IF(ORÇAMENTO.Fonte="",ORÇAMENTO.CodBarra,CONCATENATE(ORÇAMENTO.Fonte," ",ORÇAMENTO.CodBarra)))</f>
        <v>Cotação COT 15</v>
      </c>
      <c r="AF159" s="701" t="str">
        <f ca="1">IF(ISERROR(INDIRECT(ORÇAMENTO.BancoRef)),"(abra o arquivo 'Referência "&amp;Excel_BuiltIn_Database&amp;".xlsm)",IF(OR($C159&lt;&gt;"S",ORÇAMENTO.CodBarra=""),"(Sem Código)",IF(ISERROR(MATCH($AE159,INDIRECT(ORÇAMENTO.BancoRef),0)),"(Código não identificado nas referências)",MATCH($AE159,INDIRECT(ORÇAMENTO.BancoRef),0))))</f>
        <v>(abra o arquivo 'Referência 09-2025.xlsm)</v>
      </c>
      <c r="AG159" s="429">
        <f ca="1">ROUND(IF(DESONERACAO="sim",REFERENCIA.Desonerado,REFERENCIA.NaoDesonerado),2)</f>
        <v>0</v>
      </c>
      <c r="AH159" s="430">
        <f t="shared" ca="1" si="54"/>
        <v>0.24740000000000001</v>
      </c>
      <c r="AJ159" s="699">
        <v>8</v>
      </c>
      <c r="AL159" s="440"/>
      <c r="AM159" s="337">
        <f t="shared" ca="1" si="0"/>
        <v>0</v>
      </c>
      <c r="AN159" s="471">
        <f t="shared" ca="1" si="55"/>
        <v>0</v>
      </c>
    </row>
    <row r="160" spans="1:40" s="702" customFormat="1" ht="25.5" x14ac:dyDescent="0.2">
      <c r="A160" s="702" t="str">
        <f t="shared" si="52"/>
        <v>S</v>
      </c>
      <c r="B160" s="702">
        <f t="shared" ca="1" si="56"/>
        <v>2</v>
      </c>
      <c r="C160" s="702" t="str">
        <f t="shared" ca="1" si="57"/>
        <v>S</v>
      </c>
      <c r="D160" s="702">
        <f t="shared" ca="1" si="58"/>
        <v>0</v>
      </c>
      <c r="E160" s="702">
        <f ca="1">IF($C160=1,OFFSET(E160,-1,0)+MAX(1,COUNTIF(QCI!$A$13:$A$15,OFFSET(ORÇAMENTO!E160,-1,0))),OFFSET(E160,-1,0))</f>
        <v>1</v>
      </c>
      <c r="F160" s="702">
        <f t="shared" ca="1" si="59"/>
        <v>20</v>
      </c>
      <c r="G160" s="702">
        <f t="shared" ca="1" si="60"/>
        <v>0</v>
      </c>
      <c r="H160" s="702">
        <f t="shared" ca="1" si="61"/>
        <v>0</v>
      </c>
      <c r="I160" s="702">
        <f t="shared" ca="1" si="62"/>
        <v>0</v>
      </c>
      <c r="J160" s="702">
        <f t="shared" ca="1" si="36"/>
        <v>0</v>
      </c>
      <c r="K160" s="702">
        <f ca="1">IF(OR($C160="S",$C160=0),0,MATCH(OFFSET($D160,0,$C160)+IF($C160&lt;&gt;1,1,COUNTIF(QCI!$A$13:$A$15,ORÇAMENTO!E160)),OFFSET($D160,1,$C160,ROW($C$231)-ROW($C160)),0))</f>
        <v>0</v>
      </c>
      <c r="L160" s="115" t="str">
        <f t="shared" ca="1" si="63"/>
        <v/>
      </c>
      <c r="M160" s="116" t="s">
        <v>706</v>
      </c>
      <c r="N160" s="117" t="str">
        <f t="shared" ca="1" si="64"/>
        <v>Serviço</v>
      </c>
      <c r="O160" s="118" t="str">
        <f t="shared" ca="1" si="65"/>
        <v>-</v>
      </c>
      <c r="P160" s="119" t="s">
        <v>993</v>
      </c>
      <c r="Q160" s="120" t="s">
        <v>1001</v>
      </c>
      <c r="R160" s="121" t="str">
        <f ca="1">IF($C160="S",REFERENCIA.Descricao,"(digite a descrição aqui)")</f>
        <v>(abra o arquivo 'Referência 09-2025.xlsm)</v>
      </c>
      <c r="S160" s="122" t="str">
        <f ca="1">REFERENCIA.Unidade</f>
        <v>-</v>
      </c>
      <c r="T160" s="123">
        <f ca="1">OFFSET(CÁLCULO!H$15,ROW($T160)-ROW(T$15),0)</f>
        <v>88</v>
      </c>
      <c r="U160" s="124">
        <f ca="1">ROUND(IF(DESONERACAO="sim",REFERENCIA.Desonerado,REFERENCIA.NaoDesonerado),2)</f>
        <v>0</v>
      </c>
      <c r="V160" s="125" t="s">
        <v>664</v>
      </c>
      <c r="W160" s="123">
        <f ca="1">IF($C160="S",ROUND(IF(TIPOORCAMENTO="Proposto",ORÇAMENTO.CustoUnitario*(1+$AH160),ORÇAMENTO.PrecoUnitarioLicitado),15-13*$AF$10),0)</f>
        <v>0</v>
      </c>
      <c r="X160" s="126" cm="1">
        <f t="array" aca="1" ref="X160" ca="1">IF($C160="S",IF(OR(Import.TipoArredondamento&lt;&gt;"TransfereGOV",ACOMPANHAMENTO="BM"),VTOTAL1,SUM(OFFSET(CÁLCULO!$AA$15,ROW($X160)-ROW($X$15),1):OFFSET(CÁLCULO!$AL$15,ROW($X160)-ROW($X$15),-1))),IF($C160=0,0,ROUND(SomaAgrup,15-13*$AF$11)))</f>
        <v>0</v>
      </c>
      <c r="Y160" s="127" t="s">
        <v>752</v>
      </c>
      <c r="Z160" s="702" t="str">
        <f t="shared" ca="1" si="66"/>
        <v/>
      </c>
      <c r="AA160" s="128">
        <f ca="1">IF($C160="S",IF($Z160="CP",$X160,IF($Z160="RA",(($X160)*QCI!$AA$3),0)),SomaAgrup)</f>
        <v>0</v>
      </c>
      <c r="AB160" s="129">
        <f t="shared" ca="1" si="53"/>
        <v>0</v>
      </c>
      <c r="AC160" s="566"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IF(AND(_xlfn.SINGLE(TIPOORCAMENTO)="Licitado",$AL160=0,$AN160&gt;0),"SEM PREÇO",
IF(AND($C160="S",$P160&lt;&gt;"",$Q160&lt;&gt;"",$U160&gt;0,$V160=0),"BDI",
IF(OR(AND(TIPOORCAMENTO="Proposto",LEFT($O$8,5)&lt;&gt;"(N/D:",$AG160&lt;&gt;"",ORÇAMENTO.CustoUnitario&gt;$AG160),AND(TIPOORCAMENTO="LICITADO",ORÇAMENTO.PrecoUnitarioLicitado&gt;$AN160)),"ACIMA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SEM CUSTO</v>
      </c>
      <c r="AD160" s="702" t="str">
        <f ca="1">IF(C160&lt;=CRONO.NivelExibicao,MAX($AD$15:OFFSET(AD160,-1,0))+IF($C160&lt;&gt;1,1,MAX(1,COUNTIF(QCI!$A$13:$A$15,OFFSET($E160,-1,0)))),"")</f>
        <v/>
      </c>
      <c r="AE160" s="700" t="str">
        <f ca="1">IF(AND($C160="S",ORÇAMENTO.CodBarra&lt;&gt;""),IF(ORÇAMENTO.Fonte="",ORÇAMENTO.CodBarra,CONCATENATE(ORÇAMENTO.Fonte," ",ORÇAMENTO.CodBarra)))</f>
        <v>Cotação COT 16</v>
      </c>
      <c r="AF160" s="701" t="str">
        <f ca="1">IF(ISERROR(INDIRECT(ORÇAMENTO.BancoRef)),"(abra o arquivo 'Referência "&amp;Excel_BuiltIn_Database&amp;".xlsm)",IF(OR($C160&lt;&gt;"S",ORÇAMENTO.CodBarra=""),"(Sem Código)",IF(ISERROR(MATCH($AE160,INDIRECT(ORÇAMENTO.BancoRef),0)),"(Código não identificado nas referências)",MATCH($AE160,INDIRECT(ORÇAMENTO.BancoRef),0))))</f>
        <v>(abra o arquivo 'Referência 09-2025.xlsm)</v>
      </c>
      <c r="AG160" s="429">
        <f ca="1">ROUND(IF(DESONERACAO="sim",REFERENCIA.Desonerado,REFERENCIA.NaoDesonerado),2)</f>
        <v>0</v>
      </c>
      <c r="AH160" s="430">
        <f t="shared" ca="1" si="54"/>
        <v>0.24740000000000001</v>
      </c>
      <c r="AJ160" s="699">
        <v>88</v>
      </c>
      <c r="AL160" s="440"/>
      <c r="AM160" s="337">
        <f t="shared" ca="1" si="0"/>
        <v>0</v>
      </c>
      <c r="AN160" s="471">
        <f t="shared" ca="1" si="55"/>
        <v>0</v>
      </c>
    </row>
    <row r="161" spans="1:40" s="702" customFormat="1" ht="25.5" x14ac:dyDescent="0.2">
      <c r="A161" s="702" t="str">
        <f t="shared" si="52"/>
        <v>S</v>
      </c>
      <c r="B161" s="702">
        <f t="shared" ca="1" si="56"/>
        <v>2</v>
      </c>
      <c r="C161" s="702" t="str">
        <f t="shared" ca="1" si="57"/>
        <v>S</v>
      </c>
      <c r="D161" s="702">
        <f t="shared" ca="1" si="58"/>
        <v>0</v>
      </c>
      <c r="E161" s="702">
        <f ca="1">IF($C161=1,OFFSET(E161,-1,0)+MAX(1,COUNTIF(QCI!$A$13:$A$15,OFFSET(ORÇAMENTO!E161,-1,0))),OFFSET(E161,-1,0))</f>
        <v>1</v>
      </c>
      <c r="F161" s="702">
        <f t="shared" ca="1" si="59"/>
        <v>20</v>
      </c>
      <c r="G161" s="702">
        <f t="shared" ca="1" si="60"/>
        <v>0</v>
      </c>
      <c r="H161" s="702">
        <f t="shared" ca="1" si="61"/>
        <v>0</v>
      </c>
      <c r="I161" s="702">
        <f t="shared" ca="1" si="62"/>
        <v>0</v>
      </c>
      <c r="J161" s="702">
        <f t="shared" ca="1" si="36"/>
        <v>0</v>
      </c>
      <c r="K161" s="702">
        <f ca="1">IF(OR($C161="S",$C161=0),0,MATCH(OFFSET($D161,0,$C161)+IF($C161&lt;&gt;1,1,COUNTIF(QCI!$A$13:$A$15,ORÇAMENTO!E161)),OFFSET($D161,1,$C161,ROW($C$231)-ROW($C161)),0))</f>
        <v>0</v>
      </c>
      <c r="L161" s="115" t="str">
        <f t="shared" ca="1" si="63"/>
        <v/>
      </c>
      <c r="M161" s="116" t="s">
        <v>706</v>
      </c>
      <c r="N161" s="117" t="str">
        <f t="shared" ca="1" si="64"/>
        <v>Serviço</v>
      </c>
      <c r="O161" s="118" t="str">
        <f t="shared" ca="1" si="65"/>
        <v>-</v>
      </c>
      <c r="P161" s="119" t="s">
        <v>993</v>
      </c>
      <c r="Q161" s="120" t="s">
        <v>1002</v>
      </c>
      <c r="R161" s="121" t="str">
        <f ca="1">IF($C161="S",REFERENCIA.Descricao,"(digite a descrição aqui)")</f>
        <v>(abra o arquivo 'Referência 09-2025.xlsm)</v>
      </c>
      <c r="S161" s="122" t="str">
        <f ca="1">REFERENCIA.Unidade</f>
        <v>-</v>
      </c>
      <c r="T161" s="123">
        <f ca="1">OFFSET(CÁLCULO!H$15,ROW($T161)-ROW(T$15),0)</f>
        <v>12</v>
      </c>
      <c r="U161" s="124">
        <f ca="1">ROUND(IF(DESONERACAO="sim",REFERENCIA.Desonerado,REFERENCIA.NaoDesonerado),2)</f>
        <v>0</v>
      </c>
      <c r="V161" s="125" t="s">
        <v>664</v>
      </c>
      <c r="W161" s="123">
        <f ca="1">IF($C161="S",ROUND(IF(TIPOORCAMENTO="Proposto",ORÇAMENTO.CustoUnitario*(1+$AH161),ORÇAMENTO.PrecoUnitarioLicitado),15-13*$AF$10),0)</f>
        <v>0</v>
      </c>
      <c r="X161" s="126" cm="1">
        <f t="array" aca="1" ref="X161" ca="1">IF($C161="S",IF(OR(Import.TipoArredondamento&lt;&gt;"TransfereGOV",ACOMPANHAMENTO="BM"),VTOTAL1,SUM(OFFSET(CÁLCULO!$AA$15,ROW($X161)-ROW($X$15),1):OFFSET(CÁLCULO!$AL$15,ROW($X161)-ROW($X$15),-1))),IF($C161=0,0,ROUND(SomaAgrup,15-13*$AF$11)))</f>
        <v>0</v>
      </c>
      <c r="Y161" s="127" t="s">
        <v>752</v>
      </c>
      <c r="Z161" s="702" t="str">
        <f t="shared" ca="1" si="66"/>
        <v/>
      </c>
      <c r="AA161" s="128">
        <f ca="1">IF($C161="S",IF($Z161="CP",$X161,IF($Z161="RA",(($X161)*QCI!$AA$3),0)),SomaAgrup)</f>
        <v>0</v>
      </c>
      <c r="AB161" s="129">
        <f t="shared" ca="1" si="53"/>
        <v>0</v>
      </c>
      <c r="AC161" s="566"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IF(AND(_xlfn.SINGLE(TIPOORCAMENTO)="Licitado",$AL161=0,$AN161&gt;0),"SEM PREÇO",
IF(AND($C161="S",$P161&lt;&gt;"",$Q161&lt;&gt;"",$U161&gt;0,$V161=0),"BDI",
IF(OR(AND(TIPOORCAMENTO="Proposto",LEFT($O$8,5)&lt;&gt;"(N/D:",$AG161&lt;&gt;"",ORÇAMENTO.CustoUnitario&gt;$AG161),AND(TIPOORCAMENTO="LICITADO",ORÇAMENTO.PrecoUnitarioLicitado&gt;$AN161)),"ACIMA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SEM CUSTO</v>
      </c>
      <c r="AD161" s="702" t="str">
        <f ca="1">IF(C161&lt;=CRONO.NivelExibicao,MAX($AD$15:OFFSET(AD161,-1,0))+IF($C161&lt;&gt;1,1,MAX(1,COUNTIF(QCI!$A$13:$A$15,OFFSET($E161,-1,0)))),"")</f>
        <v/>
      </c>
      <c r="AE161" s="700" t="str">
        <f ca="1">IF(AND($C161="S",ORÇAMENTO.CodBarra&lt;&gt;""),IF(ORÇAMENTO.Fonte="",ORÇAMENTO.CodBarra,CONCATENATE(ORÇAMENTO.Fonte," ",ORÇAMENTO.CodBarra)))</f>
        <v>Cotação COT 17</v>
      </c>
      <c r="AF161" s="701" t="str">
        <f ca="1">IF(ISERROR(INDIRECT(ORÇAMENTO.BancoRef)),"(abra o arquivo 'Referência "&amp;Excel_BuiltIn_Database&amp;".xlsm)",IF(OR($C161&lt;&gt;"S",ORÇAMENTO.CodBarra=""),"(Sem Código)",IF(ISERROR(MATCH($AE161,INDIRECT(ORÇAMENTO.BancoRef),0)),"(Código não identificado nas referências)",MATCH($AE161,INDIRECT(ORÇAMENTO.BancoRef),0))))</f>
        <v>(abra o arquivo 'Referência 09-2025.xlsm)</v>
      </c>
      <c r="AG161" s="429">
        <f ca="1">ROUND(IF(DESONERACAO="sim",REFERENCIA.Desonerado,REFERENCIA.NaoDesonerado),2)</f>
        <v>0</v>
      </c>
      <c r="AH161" s="430">
        <f t="shared" ca="1" si="54"/>
        <v>0.24740000000000001</v>
      </c>
      <c r="AJ161" s="699">
        <v>12</v>
      </c>
      <c r="AL161" s="440"/>
      <c r="AM161" s="337">
        <f t="shared" ca="1" si="0"/>
        <v>0</v>
      </c>
      <c r="AN161" s="471">
        <f t="shared" ca="1" si="55"/>
        <v>0</v>
      </c>
    </row>
    <row r="162" spans="1:40" s="702" customFormat="1" ht="153" x14ac:dyDescent="0.2">
      <c r="A162" s="702" t="str">
        <f t="shared" si="52"/>
        <v>S</v>
      </c>
      <c r="B162" s="702">
        <f t="shared" ca="1" si="56"/>
        <v>2</v>
      </c>
      <c r="C162" s="702" t="str">
        <f t="shared" ca="1" si="57"/>
        <v>S</v>
      </c>
      <c r="D162" s="702">
        <f t="shared" ca="1" si="58"/>
        <v>0</v>
      </c>
      <c r="E162" s="702">
        <f ca="1">IF($C162=1,OFFSET(E162,-1,0)+MAX(1,COUNTIF(QCI!$A$13:$A$15,OFFSET(ORÇAMENTO!E162,-1,0))),OFFSET(E162,-1,0))</f>
        <v>1</v>
      </c>
      <c r="F162" s="702">
        <f t="shared" ca="1" si="59"/>
        <v>20</v>
      </c>
      <c r="G162" s="702">
        <f t="shared" ca="1" si="60"/>
        <v>0</v>
      </c>
      <c r="H162" s="702">
        <f t="shared" ca="1" si="61"/>
        <v>0</v>
      </c>
      <c r="I162" s="702">
        <f t="shared" ca="1" si="62"/>
        <v>0</v>
      </c>
      <c r="J162" s="702">
        <f t="shared" ca="1" si="36"/>
        <v>0</v>
      </c>
      <c r="K162" s="702">
        <f ca="1">IF(OR($C162="S",$C162=0),0,MATCH(OFFSET($D162,0,$C162)+IF($C162&lt;&gt;1,1,COUNTIF(QCI!$A$13:$A$15,ORÇAMENTO!E162)),OFFSET($D162,1,$C162,ROW($C$231)-ROW($C162)),0))</f>
        <v>0</v>
      </c>
      <c r="L162" s="115" t="str">
        <f t="shared" ca="1" si="63"/>
        <v/>
      </c>
      <c r="M162" s="116" t="s">
        <v>706</v>
      </c>
      <c r="N162" s="117" t="str">
        <f t="shared" ca="1" si="64"/>
        <v>Serviço</v>
      </c>
      <c r="O162" s="118" t="str">
        <f t="shared" ca="1" si="65"/>
        <v>-</v>
      </c>
      <c r="P162" s="119" t="s">
        <v>993</v>
      </c>
      <c r="Q162" s="120" t="s">
        <v>1003</v>
      </c>
      <c r="R162" s="121" t="str">
        <f ca="1">IF($C162="S",REFERENCIA.Descricao,"(digite a descrição aqui)")</f>
        <v>(abra o arquivo 'Referência 09-2025.xlsm)</v>
      </c>
      <c r="S162" s="122" t="str">
        <f ca="1">REFERENCIA.Unidade</f>
        <v>-</v>
      </c>
      <c r="T162" s="123">
        <f ca="1">OFFSET(CÁLCULO!H$15,ROW($T162)-ROW(T$15),0)</f>
        <v>1</v>
      </c>
      <c r="U162" s="124">
        <f ca="1">ROUND(IF(DESONERACAO="sim",REFERENCIA.Desonerado,REFERENCIA.NaoDesonerado),2)</f>
        <v>0</v>
      </c>
      <c r="V162" s="125" t="s">
        <v>664</v>
      </c>
      <c r="W162" s="123">
        <f ca="1">IF($C162="S",ROUND(IF(TIPOORCAMENTO="Proposto",ORÇAMENTO.CustoUnitario*(1+$AH162),ORÇAMENTO.PrecoUnitarioLicitado),15-13*$AF$10),0)</f>
        <v>0</v>
      </c>
      <c r="X162" s="126" cm="1">
        <f t="array" aca="1" ref="X162" ca="1">IF($C162="S",IF(OR(Import.TipoArredondamento&lt;&gt;"TransfereGOV",ACOMPANHAMENTO="BM"),VTOTAL1,SUM(OFFSET(CÁLCULO!$AA$15,ROW($X162)-ROW($X$15),1):OFFSET(CÁLCULO!$AL$15,ROW($X162)-ROW($X$15),-1))),IF($C162=0,0,ROUND(SomaAgrup,15-13*$AF$11)))</f>
        <v>0</v>
      </c>
      <c r="Y162" s="127" t="s">
        <v>752</v>
      </c>
      <c r="Z162" s="702" t="str">
        <f t="shared" ca="1" si="66"/>
        <v/>
      </c>
      <c r="AA162" s="128">
        <f ca="1">IF($C162="S",IF($Z162="CP",$X162,IF($Z162="RA",(($X162)*QCI!$AA$3),0)),SomaAgrup)</f>
        <v>0</v>
      </c>
      <c r="AB162" s="129">
        <f t="shared" ca="1" si="53"/>
        <v>0</v>
      </c>
      <c r="AC162" s="566"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IF(AND(_xlfn.SINGLE(TIPOORCAMENTO)="Licitado",$AL162=0,$AN162&gt;0),"SEM PREÇO",
IF(AND($C162="S",$P162&lt;&gt;"",$Q162&lt;&gt;"",$U162&gt;0,$V162=0),"BDI",
IF(OR(AND(TIPOORCAMENTO="Proposto",LEFT($O$8,5)&lt;&gt;"(N/D:",$AG162&lt;&gt;"",ORÇAMENTO.CustoUnitario&gt;$AG162),AND(TIPOORCAMENTO="LICITADO",ORÇAMENTO.PrecoUnitarioLicitado&gt;$AN162)),"ACIMA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SEM CUSTO</v>
      </c>
      <c r="AD162" s="702" t="str">
        <f ca="1">IF(C162&lt;=CRONO.NivelExibicao,MAX($AD$15:OFFSET(AD162,-1,0))+IF($C162&lt;&gt;1,1,MAX(1,COUNTIF(QCI!$A$13:$A$15,OFFSET($E162,-1,0)))),"")</f>
        <v/>
      </c>
      <c r="AE162" s="700" t="str">
        <f ca="1">IF(AND($C162="S",ORÇAMENTO.CodBarra&lt;&gt;""),IF(ORÇAMENTO.Fonte="",ORÇAMENTO.CodBarra,CONCATENATE(ORÇAMENTO.Fonte," ",ORÇAMENTO.CodBarra)))</f>
        <v>Cotação COT 18</v>
      </c>
      <c r="AF162" s="701" t="str">
        <f ca="1">IF(ISERROR(INDIRECT(ORÇAMENTO.BancoRef)),"(abra o arquivo 'Referência "&amp;Excel_BuiltIn_Database&amp;".xlsm)",IF(OR($C162&lt;&gt;"S",ORÇAMENTO.CodBarra=""),"(Sem Código)",IF(ISERROR(MATCH($AE162,INDIRECT(ORÇAMENTO.BancoRef),0)),"(Código não identificado nas referências)",MATCH($AE162,INDIRECT(ORÇAMENTO.BancoRef),0))))</f>
        <v>(abra o arquivo 'Referência 09-2025.xlsm)</v>
      </c>
      <c r="AG162" s="429">
        <f ca="1">ROUND(IF(DESONERACAO="sim",REFERENCIA.Desonerado,REFERENCIA.NaoDesonerado),2)</f>
        <v>0</v>
      </c>
      <c r="AH162" s="430">
        <f t="shared" ca="1" si="54"/>
        <v>0.24740000000000001</v>
      </c>
      <c r="AJ162" s="699">
        <v>1</v>
      </c>
      <c r="AL162" s="440"/>
      <c r="AM162" s="337">
        <f t="shared" ca="1" si="0"/>
        <v>0</v>
      </c>
      <c r="AN162" s="471">
        <f t="shared" ca="1" si="55"/>
        <v>0</v>
      </c>
    </row>
    <row r="163" spans="1:40" s="702" customFormat="1" ht="153" x14ac:dyDescent="0.2">
      <c r="A163" s="702" t="str">
        <f t="shared" si="52"/>
        <v>S</v>
      </c>
      <c r="B163" s="702">
        <f t="shared" ca="1" si="56"/>
        <v>2</v>
      </c>
      <c r="C163" s="702" t="str">
        <f t="shared" ca="1" si="57"/>
        <v>S</v>
      </c>
      <c r="D163" s="702">
        <f t="shared" ca="1" si="58"/>
        <v>0</v>
      </c>
      <c r="E163" s="702">
        <f ca="1">IF($C163=1,OFFSET(E163,-1,0)+MAX(1,COUNTIF(QCI!$A$13:$A$15,OFFSET(ORÇAMENTO!E163,-1,0))),OFFSET(E163,-1,0))</f>
        <v>1</v>
      </c>
      <c r="F163" s="702">
        <f t="shared" ca="1" si="59"/>
        <v>20</v>
      </c>
      <c r="G163" s="702">
        <f t="shared" ca="1" si="60"/>
        <v>0</v>
      </c>
      <c r="H163" s="702">
        <f t="shared" ca="1" si="61"/>
        <v>0</v>
      </c>
      <c r="I163" s="702">
        <f t="shared" ca="1" si="62"/>
        <v>0</v>
      </c>
      <c r="J163" s="702">
        <f t="shared" ca="1" si="36"/>
        <v>0</v>
      </c>
      <c r="K163" s="702">
        <f ca="1">IF(OR($C163="S",$C163=0),0,MATCH(OFFSET($D163,0,$C163)+IF($C163&lt;&gt;1,1,COUNTIF(QCI!$A$13:$A$15,ORÇAMENTO!E163)),OFFSET($D163,1,$C163,ROW($C$231)-ROW($C163)),0))</f>
        <v>0</v>
      </c>
      <c r="L163" s="115" t="str">
        <f t="shared" ca="1" si="63"/>
        <v/>
      </c>
      <c r="M163" s="116" t="s">
        <v>706</v>
      </c>
      <c r="N163" s="117" t="str">
        <f t="shared" ca="1" si="64"/>
        <v>Serviço</v>
      </c>
      <c r="O163" s="118" t="str">
        <f t="shared" ca="1" si="65"/>
        <v>-</v>
      </c>
      <c r="P163" s="119" t="s">
        <v>993</v>
      </c>
      <c r="Q163" s="120" t="s">
        <v>1088</v>
      </c>
      <c r="R163" s="121" t="str">
        <f ca="1">IF($C163="S",REFERENCIA.Descricao,"(digite a descrição aqui)")</f>
        <v>(abra o arquivo 'Referência 09-2025.xlsm)</v>
      </c>
      <c r="S163" s="122" t="str">
        <f ca="1">REFERENCIA.Unidade</f>
        <v>-</v>
      </c>
      <c r="T163" s="123">
        <f ca="1">OFFSET(CÁLCULO!H$15,ROW($T163)-ROW(T$15),0)</f>
        <v>1</v>
      </c>
      <c r="U163" s="124">
        <f ca="1">ROUND(IF(DESONERACAO="sim",REFERENCIA.Desonerado,REFERENCIA.NaoDesonerado),2)</f>
        <v>0</v>
      </c>
      <c r="V163" s="125" t="s">
        <v>664</v>
      </c>
      <c r="W163" s="123">
        <f ca="1">IF($C163="S",ROUND(IF(TIPOORCAMENTO="Proposto",ORÇAMENTO.CustoUnitario*(1+$AH163),ORÇAMENTO.PrecoUnitarioLicitado),15-13*$AF$10),0)</f>
        <v>0</v>
      </c>
      <c r="X163" s="126" cm="1">
        <f t="array" aca="1" ref="X163" ca="1">IF($C163="S",IF(OR(Import.TipoArredondamento&lt;&gt;"TransfereGOV",ACOMPANHAMENTO="BM"),VTOTAL1,SUM(OFFSET(CÁLCULO!$AA$15,ROW($X163)-ROW($X$15),1):OFFSET(CÁLCULO!$AL$15,ROW($X163)-ROW($X$15),-1))),IF($C163=0,0,ROUND(SomaAgrup,15-13*$AF$11)))</f>
        <v>0</v>
      </c>
      <c r="Y163" s="127" t="s">
        <v>752</v>
      </c>
      <c r="Z163" s="702" t="str">
        <f t="shared" ca="1" si="66"/>
        <v/>
      </c>
      <c r="AA163" s="128">
        <f ca="1">IF($C163="S",IF($Z163="CP",$X163,IF($Z163="RA",(($X163)*QCI!$AA$3),0)),SomaAgrup)</f>
        <v>0</v>
      </c>
      <c r="AB163" s="129">
        <f t="shared" ca="1" si="53"/>
        <v>0</v>
      </c>
      <c r="AC163" s="566"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IF(AND(_xlfn.SINGLE(TIPOORCAMENTO)="Licitado",$AL163=0,$AN163&gt;0),"SEM PREÇO",
IF(AND($C163="S",$P163&lt;&gt;"",$Q163&lt;&gt;"",$U163&gt;0,$V163=0),"BDI",
IF(OR(AND(TIPOORCAMENTO="Proposto",LEFT($O$8,5)&lt;&gt;"(N/D:",$AG163&lt;&gt;"",ORÇAMENTO.CustoUnitario&gt;$AG163),AND(TIPOORCAMENTO="LICITADO",ORÇAMENTO.PrecoUnitarioLicitado&gt;$AN163)),"ACIMA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SEM CUSTO</v>
      </c>
      <c r="AD163" s="702" t="str">
        <f ca="1">IF(C163&lt;=CRONO.NivelExibicao,MAX($AD$15:OFFSET(AD163,-1,0))+IF($C163&lt;&gt;1,1,MAX(1,COUNTIF(QCI!$A$13:$A$15,OFFSET($E163,-1,0)))),"")</f>
        <v/>
      </c>
      <c r="AE163" s="700" t="str">
        <f ca="1">IF(AND($C163="S",ORÇAMENTO.CodBarra&lt;&gt;""),IF(ORÇAMENTO.Fonte="",ORÇAMENTO.CodBarra,CONCATENATE(ORÇAMENTO.Fonte," ",ORÇAMENTO.CodBarra)))</f>
        <v>Cotação COT 29</v>
      </c>
      <c r="AF163" s="701" t="str">
        <f ca="1">IF(ISERROR(INDIRECT(ORÇAMENTO.BancoRef)),"(abra o arquivo 'Referência "&amp;Excel_BuiltIn_Database&amp;".xlsm)",IF(OR($C163&lt;&gt;"S",ORÇAMENTO.CodBarra=""),"(Sem Código)",IF(ISERROR(MATCH($AE163,INDIRECT(ORÇAMENTO.BancoRef),0)),"(Código não identificado nas referências)",MATCH($AE163,INDIRECT(ORÇAMENTO.BancoRef),0))))</f>
        <v>(abra o arquivo 'Referência 09-2025.xlsm)</v>
      </c>
      <c r="AG163" s="429">
        <f ca="1">ROUND(IF(DESONERACAO="sim",REFERENCIA.Desonerado,REFERENCIA.NaoDesonerado),2)</f>
        <v>0</v>
      </c>
      <c r="AH163" s="430">
        <f t="shared" ca="1" si="54"/>
        <v>0.24740000000000001</v>
      </c>
      <c r="AJ163" s="699">
        <v>1</v>
      </c>
      <c r="AL163" s="440"/>
      <c r="AM163" s="337">
        <f t="shared" ca="1" si="0"/>
        <v>0</v>
      </c>
      <c r="AN163" s="471">
        <f t="shared" ca="1" si="55"/>
        <v>0</v>
      </c>
    </row>
    <row r="164" spans="1:40" s="675" customFormat="1" x14ac:dyDescent="0.2">
      <c r="A164" s="675">
        <f t="shared" si="37"/>
        <v>2</v>
      </c>
      <c r="B164" s="675">
        <f t="shared" ca="1" si="38"/>
        <v>2</v>
      </c>
      <c r="C164" s="675">
        <f t="shared" ca="1" si="39"/>
        <v>2</v>
      </c>
      <c r="D164" s="675">
        <f t="shared" ca="1" si="40"/>
        <v>9</v>
      </c>
      <c r="E164" s="675">
        <f ca="1">IF($C164=1,OFFSET(E164,-1,0)+MAX(1,COUNTIF(QCI!$A$13:$A$15,OFFSET(ORÇAMENTO!E164,-1,0))),OFFSET(E164,-1,0))</f>
        <v>1</v>
      </c>
      <c r="F164" s="675">
        <f t="shared" ca="1" si="41"/>
        <v>21</v>
      </c>
      <c r="G164" s="675">
        <f t="shared" ca="1" si="42"/>
        <v>0</v>
      </c>
      <c r="H164" s="675">
        <f t="shared" ca="1" si="43"/>
        <v>0</v>
      </c>
      <c r="I164" s="675">
        <f t="shared" ca="1" si="44"/>
        <v>0</v>
      </c>
      <c r="J164" s="675">
        <f t="shared" ca="1" si="36"/>
        <v>67</v>
      </c>
      <c r="K164" s="675">
        <f ca="1">IF(OR($C164="S",$C164=0),0,MATCH(OFFSET($D164,0,$C164)+IF($C164&lt;&gt;1,1,COUNTIF(QCI!$A$13:$A$15,ORÇAMENTO!E164)),OFFSET($D164,1,$C164,ROW($C$231)-ROW($C164)),0))</f>
        <v>9</v>
      </c>
      <c r="L164" s="115" t="str">
        <f t="shared" ca="1" si="45"/>
        <v>F</v>
      </c>
      <c r="M164" s="116" t="s">
        <v>703</v>
      </c>
      <c r="N164" s="117" t="str">
        <f t="shared" ca="1" si="46"/>
        <v>Nível 2</v>
      </c>
      <c r="O164" s="118" t="str">
        <f t="shared" ca="1" si="47"/>
        <v>1.21.</v>
      </c>
      <c r="P164" s="119" t="s">
        <v>751</v>
      </c>
      <c r="Q164" s="120"/>
      <c r="R164" s="121" t="s">
        <v>1053</v>
      </c>
      <c r="S164" s="122" t="str">
        <f ca="1">REFERENCIA.Unidade</f>
        <v>-</v>
      </c>
      <c r="T164" s="123">
        <f ca="1">OFFSET(CÁLCULO!H$15,ROW($T164)-ROW(T$15),0)</f>
        <v>0</v>
      </c>
      <c r="U164" s="124">
        <f ca="1">ROUND(IF(DESONERACAO="sim",REFERENCIA.Desonerado,REFERENCIA.NaoDesonerado),2)</f>
        <v>0</v>
      </c>
      <c r="V164" s="125" t="s">
        <v>664</v>
      </c>
      <c r="W164" s="123">
        <f ca="1">IF($C164="S",ROUND(IF(TIPOORCAMENTO="Proposto",ORÇAMENTO.CustoUnitario*(1+$AH164),ORÇAMENTO.PrecoUnitarioLicitado),15-13*$AF$10),0)</f>
        <v>0</v>
      </c>
      <c r="X164" s="126" cm="1">
        <f t="array" aca="1" ref="X164" ca="1">IF($C164="S",IF(OR(Import.TipoArredondamento&lt;&gt;"TransfereGOV",ACOMPANHAMENTO="BM"),VTOTAL1,SUM(OFFSET(CÁLCULO!$AA$15,ROW($X164)-ROW($X$15),1):OFFSET(CÁLCULO!$AL$15,ROW($X164)-ROW($X$15),-1))),IF($C164=0,0,ROUND(SomaAgrup,15-13*$AF$11)))</f>
        <v>0</v>
      </c>
      <c r="Y164" s="127" t="s">
        <v>752</v>
      </c>
      <c r="Z164" s="675" t="str">
        <f t="shared" ca="1" si="48"/>
        <v/>
      </c>
      <c r="AA164" s="128">
        <f ca="1">IF($C164="S",IF($Z164="CP",$X164,IF($Z164="RA",(($X164)*QCI!$AA$3),0)),SomaAgrup)</f>
        <v>0</v>
      </c>
      <c r="AB164" s="129">
        <f t="shared" ca="1" si="49"/>
        <v>0</v>
      </c>
      <c r="AC164" s="566" t="e"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IF(AND(_xlfn.SINGLE(TIPOORCAMENTO)="Licitado",$AL164=0,$AN164&gt;0),"SEM PREÇO",
IF(AND($C164="S",$P164&lt;&gt;"",$Q164&lt;&gt;"",$U164&gt;0,$V164=0),"BDI",
IF(OR(AND(TIPOORCAMENTO="Proposto",LEFT($O$8,5)&lt;&gt;"(N/D:",$AG164&lt;&gt;"",ORÇAMENTO.CustoUnitario&gt;$AG164),AND(TIPOORCAMENTO="LICITADO",ORÇAMENTO.PrecoUnitarioLicitado&gt;$AN164)),"ACIMA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#NAME?</v>
      </c>
      <c r="AD164" s="675">
        <f ca="1">IF(C164&lt;=CRONO.NivelExibicao,MAX($AD$15:OFFSET(AD164,-1,0))+IF($C164&lt;&gt;1,1,MAX(1,COUNTIF(QCI!$A$13:$A$15,OFFSET($E164,-1,0)))),"")</f>
        <v>22</v>
      </c>
      <c r="AE164" s="671" t="b">
        <f ca="1">IF(AND($C164="S",ORÇAMENTO.CodBarra&lt;&gt;""),IF(ORÇAMENTO.Fonte="",ORÇAMENTO.CodBarra,CONCATENATE(ORÇAMENTO.Fonte," ",ORÇAMENTO.CodBarra)))</f>
        <v>0</v>
      </c>
      <c r="AF164" s="674" t="str">
        <f ca="1">IF(ISERROR(INDIRECT(ORÇAMENTO.BancoRef)),"(abra o arquivo 'Referência "&amp;Excel_BuiltIn_Database&amp;".xlsm)",IF(OR($C164&lt;&gt;"S",ORÇAMENTO.CodBarra=""),"(Sem Código)",IF(ISERROR(MATCH($AE164,INDIRECT(ORÇAMENTO.BancoRef),0)),"(Código não identificado nas referências)",MATCH($AE164,INDIRECT(ORÇAMENTO.BancoRef),0))))</f>
        <v>(abra o arquivo 'Referência 09-2025.xlsm)</v>
      </c>
      <c r="AG164" s="429">
        <f ca="1">ROUND(IF(DESONERACAO="sim",REFERENCIA.Desonerado,REFERENCIA.NaoDesonerado),2)</f>
        <v>0</v>
      </c>
      <c r="AH164" s="430">
        <f t="shared" ca="1" si="50"/>
        <v>0.24740000000000001</v>
      </c>
      <c r="AJ164" s="699"/>
      <c r="AL164" s="440"/>
      <c r="AM164" s="337">
        <f t="shared" ca="1" si="0"/>
        <v>0</v>
      </c>
      <c r="AN164" s="471">
        <f t="shared" ca="1" si="51"/>
        <v>0</v>
      </c>
    </row>
    <row r="165" spans="1:40" s="723" customFormat="1" ht="38.25" x14ac:dyDescent="0.2">
      <c r="A165" s="723" t="str">
        <f t="shared" si="37"/>
        <v>S</v>
      </c>
      <c r="B165" s="723">
        <f t="shared" ca="1" si="38"/>
        <v>2</v>
      </c>
      <c r="C165" s="723" t="str">
        <f t="shared" ca="1" si="39"/>
        <v>S</v>
      </c>
      <c r="D165" s="723">
        <f t="shared" ca="1" si="40"/>
        <v>0</v>
      </c>
      <c r="E165" s="723">
        <f ca="1">IF($C165=1,OFFSET(E165,-1,0)+MAX(1,COUNTIF(QCI!$A$13:$A$15,OFFSET(ORÇAMENTO!E165,-1,0))),OFFSET(E165,-1,0))</f>
        <v>1</v>
      </c>
      <c r="F165" s="723">
        <f t="shared" ca="1" si="41"/>
        <v>21</v>
      </c>
      <c r="G165" s="723">
        <f t="shared" ca="1" si="42"/>
        <v>0</v>
      </c>
      <c r="H165" s="723">
        <f t="shared" ca="1" si="43"/>
        <v>0</v>
      </c>
      <c r="I165" s="723">
        <f t="shared" ca="1" si="44"/>
        <v>0</v>
      </c>
      <c r="J165" s="723">
        <f t="shared" ca="1" si="36"/>
        <v>0</v>
      </c>
      <c r="K165" s="723">
        <f ca="1">IF(OR($C165="S",$C165=0),0,MATCH(OFFSET($D165,0,$C165)+IF($C165&lt;&gt;1,1,COUNTIF(QCI!$A$13:$A$15,ORÇAMENTO!E165)),OFFSET($D165,1,$C165,ROW($C$231)-ROW($C165)),0))</f>
        <v>0</v>
      </c>
      <c r="L165" s="115" t="str">
        <f t="shared" ca="1" si="45"/>
        <v/>
      </c>
      <c r="M165" s="116" t="s">
        <v>706</v>
      </c>
      <c r="N165" s="117" t="str">
        <f t="shared" ca="1" si="46"/>
        <v>Serviço</v>
      </c>
      <c r="O165" s="118" t="str">
        <f t="shared" ca="1" si="47"/>
        <v>-</v>
      </c>
      <c r="P165" s="119" t="s">
        <v>1066</v>
      </c>
      <c r="Q165" s="120" t="s">
        <v>1142</v>
      </c>
      <c r="R165" s="121" t="str">
        <f ca="1">IF($C165="S",REFERENCIA.Descricao,"(digite a descrição aqui)")</f>
        <v>(abra o arquivo 'Referência 09-2025.xlsm)</v>
      </c>
      <c r="S165" s="122" t="str">
        <f ca="1">REFERENCIA.Unidade</f>
        <v>-</v>
      </c>
      <c r="T165" s="123">
        <f ca="1">OFFSET(CÁLCULO!H$15,ROW($T165)-ROW(T$15),0)</f>
        <v>2</v>
      </c>
      <c r="U165" s="124">
        <f ca="1">AG165</f>
        <v>0</v>
      </c>
      <c r="V165" s="125" t="s">
        <v>664</v>
      </c>
      <c r="W165" s="123">
        <f ca="1">IF($C165="S",ROUND(IF(TIPOORCAMENTO="Proposto",ORÇAMENTO.CustoUnitario*(1+$AH165),ORÇAMENTO.PrecoUnitarioLicitado),15-13*$AF$10),0)</f>
        <v>0</v>
      </c>
      <c r="X165" s="126" cm="1">
        <f t="array" aca="1" ref="X165" ca="1">IF($C165="S",IF(OR(Import.TipoArredondamento&lt;&gt;"TransfereGOV",ACOMPANHAMENTO="BM"),VTOTAL1,SUM(OFFSET(CÁLCULO!$AA$15,ROW($X165)-ROW($X$15),1):OFFSET(CÁLCULO!$AL$15,ROW($X165)-ROW($X$15),-1))),IF($C165=0,0,ROUND(SomaAgrup,15-13*$AF$11)))</f>
        <v>0</v>
      </c>
      <c r="Y165" s="127" t="s">
        <v>752</v>
      </c>
      <c r="Z165" s="723" t="str">
        <f t="shared" ca="1" si="48"/>
        <v/>
      </c>
      <c r="AA165" s="128">
        <f ca="1">IF($C165="S",IF($Z165="CP",$X165,IF($Z165="RA",(($X165)*QCI!$AA$3),0)),SomaAgrup)</f>
        <v>0</v>
      </c>
      <c r="AB165" s="129">
        <f t="shared" ca="1" si="49"/>
        <v>0</v>
      </c>
      <c r="AC165" s="566"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IF(AND(_xlfn.SINGLE(TIPOORCAMENTO)="Licitado",$AL165=0,$AN165&gt;0),"SEM PREÇO",
IF(AND($C165="S",$P165&lt;&gt;"",$Q165&lt;&gt;"",$U165&gt;0,$V165=0),"BDI",
IF(OR(AND(TIPOORCAMENTO="Proposto",LEFT($O$8,5)&lt;&gt;"(N/D:",$AG165&lt;&gt;"",ORÇAMENTO.CustoUnitario&gt;$AG165),AND(TIPOORCAMENTO="LICITADO",ORÇAMENTO.PrecoUnitarioLicitado&gt;$AN165)),"ACIMA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SEM CUSTO</v>
      </c>
      <c r="AD165" s="723" t="str">
        <f ca="1">IF(C165&lt;=CRONO.NivelExibicao,MAX($AD$15:OFFSET(AD165,-1,0))+IF($C165&lt;&gt;1,1,MAX(1,COUNTIF(QCI!$A$13:$A$15,OFFSET($E165,-1,0)))),"")</f>
        <v/>
      </c>
      <c r="AE165" s="721" t="str">
        <f ca="1">IF(AND($C165="S",ORÇAMENTO.CodBarra&lt;&gt;""),IF(ORÇAMENTO.Fonte="",ORÇAMENTO.CodBarra,CONCATENATE(ORÇAMENTO.Fonte," ",ORÇAMENTO.CodBarra)))</f>
        <v>SEINFRA CO-28390</v>
      </c>
      <c r="AF165" s="722" t="str">
        <f ca="1">IF(ISERROR(INDIRECT(ORÇAMENTO.BancoRef)),"(abra o arquivo 'Referência "&amp;Excel_BuiltIn_Database&amp;".xlsm)",IF(OR($C165&lt;&gt;"S",ORÇAMENTO.CodBarra=""),"(Sem Código)",IF(ISERROR(MATCH($AE165,INDIRECT(ORÇAMENTO.BancoRef),0)),"(Código não identificado nas referências)",MATCH($AE165,INDIRECT(ORÇAMENTO.BancoRef),0))))</f>
        <v>(abra o arquivo 'Referência 09-2025.xlsm)</v>
      </c>
      <c r="AG165" s="429">
        <f ca="1">ROUND(IF(DESONERACAO="sim",REFERENCIA.Desonerado,REFERENCIA.NaoDesonerado),2)</f>
        <v>0</v>
      </c>
      <c r="AH165" s="430">
        <f t="shared" ca="1" si="50"/>
        <v>0.24740000000000001</v>
      </c>
      <c r="AJ165" s="699">
        <v>2</v>
      </c>
      <c r="AL165" s="440"/>
      <c r="AM165" s="337">
        <f t="shared" ca="1" si="0"/>
        <v>0</v>
      </c>
      <c r="AN165" s="471">
        <f t="shared" ca="1" si="51"/>
        <v>0</v>
      </c>
    </row>
    <row r="166" spans="1:40" s="723" customFormat="1" ht="38.25" x14ac:dyDescent="0.2">
      <c r="A166" s="723" t="str">
        <f t="shared" si="37"/>
        <v>S</v>
      </c>
      <c r="B166" s="723">
        <f t="shared" ca="1" si="38"/>
        <v>2</v>
      </c>
      <c r="C166" s="723" t="str">
        <f t="shared" ca="1" si="39"/>
        <v>S</v>
      </c>
      <c r="D166" s="723">
        <f t="shared" ca="1" si="40"/>
        <v>0</v>
      </c>
      <c r="E166" s="723">
        <f ca="1">IF($C166=1,OFFSET(E166,-1,0)+MAX(1,COUNTIF(QCI!$A$13:$A$15,OFFSET(ORÇAMENTO!E166,-1,0))),OFFSET(E166,-1,0))</f>
        <v>1</v>
      </c>
      <c r="F166" s="723">
        <f t="shared" ca="1" si="41"/>
        <v>21</v>
      </c>
      <c r="G166" s="723">
        <f t="shared" ca="1" si="42"/>
        <v>0</v>
      </c>
      <c r="H166" s="723">
        <f t="shared" ca="1" si="43"/>
        <v>0</v>
      </c>
      <c r="I166" s="723">
        <f t="shared" ca="1" si="44"/>
        <v>0</v>
      </c>
      <c r="J166" s="723">
        <f t="shared" ca="1" si="36"/>
        <v>0</v>
      </c>
      <c r="K166" s="723">
        <f ca="1">IF(OR($C166="S",$C166=0),0,MATCH(OFFSET($D166,0,$C166)+IF($C166&lt;&gt;1,1,COUNTIF(QCI!$A$13:$A$15,ORÇAMENTO!E166)),OFFSET($D166,1,$C166,ROW($C$231)-ROW($C166)),0))</f>
        <v>0</v>
      </c>
      <c r="L166" s="115" t="str">
        <f t="shared" ca="1" si="45"/>
        <v/>
      </c>
      <c r="M166" s="116" t="s">
        <v>706</v>
      </c>
      <c r="N166" s="117" t="str">
        <f t="shared" ca="1" si="46"/>
        <v>Serviço</v>
      </c>
      <c r="O166" s="118" t="str">
        <f t="shared" ca="1" si="47"/>
        <v>-</v>
      </c>
      <c r="P166" s="119" t="s">
        <v>1066</v>
      </c>
      <c r="Q166" s="120" t="s">
        <v>1143</v>
      </c>
      <c r="R166" s="121" t="str">
        <f ca="1">IF($C166="S",REFERENCIA.Descricao,"(digite a descrição aqui)")</f>
        <v>(abra o arquivo 'Referência 09-2025.xlsm)</v>
      </c>
      <c r="S166" s="122" t="str">
        <f ca="1">REFERENCIA.Unidade</f>
        <v>-</v>
      </c>
      <c r="T166" s="123">
        <f ca="1">OFFSET(CÁLCULO!H$15,ROW($T166)-ROW(T$15),0)</f>
        <v>60</v>
      </c>
      <c r="U166" s="124">
        <f ca="1">AG166</f>
        <v>0</v>
      </c>
      <c r="V166" s="125" t="s">
        <v>664</v>
      </c>
      <c r="W166" s="123">
        <f ca="1">IF($C166="S",ROUND(IF(TIPOORCAMENTO="Proposto",ORÇAMENTO.CustoUnitario*(1+$AH166),ORÇAMENTO.PrecoUnitarioLicitado),15-13*$AF$10),0)</f>
        <v>0</v>
      </c>
      <c r="X166" s="126" cm="1">
        <f t="array" aca="1" ref="X166" ca="1">IF($C166="S",IF(OR(Import.TipoArredondamento&lt;&gt;"TransfereGOV",ACOMPANHAMENTO="BM"),VTOTAL1,SUM(OFFSET(CÁLCULO!$AA$15,ROW($X166)-ROW($X$15),1):OFFSET(CÁLCULO!$AL$15,ROW($X166)-ROW($X$15),-1))),IF($C166=0,0,ROUND(SomaAgrup,15-13*$AF$11)))</f>
        <v>0</v>
      </c>
      <c r="Y166" s="127" t="s">
        <v>752</v>
      </c>
      <c r="Z166" s="723" t="str">
        <f t="shared" ca="1" si="48"/>
        <v/>
      </c>
      <c r="AA166" s="128">
        <f ca="1">IF($C166="S",IF($Z166="CP",$X166,IF($Z166="RA",(($X166)*QCI!$AA$3),0)),SomaAgrup)</f>
        <v>0</v>
      </c>
      <c r="AB166" s="129">
        <f t="shared" ca="1" si="49"/>
        <v>0</v>
      </c>
      <c r="AC166" s="566"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IF(AND(_xlfn.SINGLE(TIPOORCAMENTO)="Licitado",$AL166=0,$AN166&gt;0),"SEM PREÇO",
IF(AND($C166="S",$P166&lt;&gt;"",$Q166&lt;&gt;"",$U166&gt;0,$V166=0),"BDI",
IF(OR(AND(TIPOORCAMENTO="Proposto",LEFT($O$8,5)&lt;&gt;"(N/D:",$AG166&lt;&gt;"",ORÇAMENTO.CustoUnitario&gt;$AG166),AND(TIPOORCAMENTO="LICITADO",ORÇAMENTO.PrecoUnitarioLicitado&gt;$AN166)),"ACIMA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SEM CUSTO</v>
      </c>
      <c r="AD166" s="723" t="str">
        <f ca="1">IF(C166&lt;=CRONO.NivelExibicao,MAX($AD$15:OFFSET(AD166,-1,0))+IF($C166&lt;&gt;1,1,MAX(1,COUNTIF(QCI!$A$13:$A$15,OFFSET($E166,-1,0)))),"")</f>
        <v/>
      </c>
      <c r="AE166" s="721" t="str">
        <f ca="1">IF(AND($C166="S",ORÇAMENTO.CodBarra&lt;&gt;""),IF(ORÇAMENTO.Fonte="",ORÇAMENTO.CodBarra,CONCATENATE(ORÇAMENTO.Fonte," ",ORÇAMENTO.CodBarra)))</f>
        <v>SEINFRA CO-28388</v>
      </c>
      <c r="AF166" s="722" t="str">
        <f ca="1">IF(ISERROR(INDIRECT(ORÇAMENTO.BancoRef)),"(abra o arquivo 'Referência "&amp;Excel_BuiltIn_Database&amp;".xlsm)",IF(OR($C166&lt;&gt;"S",ORÇAMENTO.CodBarra=""),"(Sem Código)",IF(ISERROR(MATCH($AE166,INDIRECT(ORÇAMENTO.BancoRef),0)),"(Código não identificado nas referências)",MATCH($AE166,INDIRECT(ORÇAMENTO.BancoRef),0))))</f>
        <v>(abra o arquivo 'Referência 09-2025.xlsm)</v>
      </c>
      <c r="AG166" s="429">
        <f ca="1">ROUND(IF(DESONERACAO="sim",REFERENCIA.Desonerado,REFERENCIA.NaoDesonerado),2)</f>
        <v>0</v>
      </c>
      <c r="AH166" s="430">
        <f t="shared" ca="1" si="50"/>
        <v>0.24740000000000001</v>
      </c>
      <c r="AJ166" s="699">
        <v>60</v>
      </c>
      <c r="AL166" s="440"/>
      <c r="AM166" s="337">
        <f t="shared" ca="1" si="0"/>
        <v>0</v>
      </c>
      <c r="AN166" s="471">
        <f t="shared" ca="1" si="51"/>
        <v>0</v>
      </c>
    </row>
    <row r="167" spans="1:40" s="675" customFormat="1" ht="13.9" customHeight="1" x14ac:dyDescent="0.2">
      <c r="A167" s="675" t="str">
        <f t="shared" si="37"/>
        <v>S</v>
      </c>
      <c r="B167" s="675">
        <f t="shared" ca="1" si="38"/>
        <v>2</v>
      </c>
      <c r="C167" s="675" t="str">
        <f t="shared" ca="1" si="39"/>
        <v>S</v>
      </c>
      <c r="D167" s="675">
        <f t="shared" ca="1" si="40"/>
        <v>0</v>
      </c>
      <c r="E167" s="675">
        <f ca="1">IF($C167=1,OFFSET(E167,-1,0)+MAX(1,COUNTIF(QCI!$A$13:$A$15,OFFSET(ORÇAMENTO!E167,-1,0))),OFFSET(E167,-1,0))</f>
        <v>1</v>
      </c>
      <c r="F167" s="675">
        <f t="shared" ca="1" si="41"/>
        <v>21</v>
      </c>
      <c r="G167" s="675">
        <f t="shared" ca="1" si="42"/>
        <v>0</v>
      </c>
      <c r="H167" s="675">
        <f t="shared" ca="1" si="43"/>
        <v>0</v>
      </c>
      <c r="I167" s="675">
        <f t="shared" ca="1" si="44"/>
        <v>0</v>
      </c>
      <c r="J167" s="675">
        <f t="shared" ca="1" si="36"/>
        <v>0</v>
      </c>
      <c r="K167" s="675">
        <f ca="1">IF(OR($C167="S",$C167=0),0,MATCH(OFFSET($D167,0,$C167)+IF($C167&lt;&gt;1,1,COUNTIF(QCI!$A$13:$A$15,ORÇAMENTO!E167)),OFFSET($D167,1,$C167,ROW($C$231)-ROW($C167)),0))</f>
        <v>0</v>
      </c>
      <c r="L167" s="115" t="str">
        <f t="shared" ca="1" si="45"/>
        <v/>
      </c>
      <c r="M167" s="116" t="s">
        <v>706</v>
      </c>
      <c r="N167" s="117" t="str">
        <f t="shared" ca="1" si="46"/>
        <v>Serviço</v>
      </c>
      <c r="O167" s="118" t="str">
        <f t="shared" ca="1" si="47"/>
        <v>-</v>
      </c>
      <c r="P167" s="119" t="s">
        <v>751</v>
      </c>
      <c r="Q167" s="691" t="s">
        <v>1048</v>
      </c>
      <c r="R167" s="121" t="str">
        <f ca="1">IF($C167="S",REFERENCIA.Descricao,"(digite a descrição aqui)")</f>
        <v>(abra o arquivo 'Referência 09-2025.xlsm)</v>
      </c>
      <c r="S167" s="122" t="str">
        <f ca="1">REFERENCIA.Unidade</f>
        <v>-</v>
      </c>
      <c r="T167" s="123">
        <f ca="1">OFFSET(CÁLCULO!H$15,ROW($T167)-ROW(T$15),0)</f>
        <v>32</v>
      </c>
      <c r="U167" s="124">
        <f ca="1">ROUND(IF(DESONERACAO="sim",REFERENCIA.Desonerado,REFERENCIA.NaoDesonerado),2)</f>
        <v>0</v>
      </c>
      <c r="V167" s="125" t="s">
        <v>664</v>
      </c>
      <c r="W167" s="123">
        <f ca="1">IF($C167="S",ROUND(IF(TIPOORCAMENTO="Proposto",ORÇAMENTO.CustoUnitario*(1+$AH167),ORÇAMENTO.PrecoUnitarioLicitado),15-13*$AF$10),0)</f>
        <v>0</v>
      </c>
      <c r="X167" s="126" cm="1">
        <f t="array" aca="1" ref="X167" ca="1">IF($C167="S",IF(OR(Import.TipoArredondamento&lt;&gt;"TransfereGOV",ACOMPANHAMENTO="BM"),VTOTAL1,SUM(OFFSET(CÁLCULO!$AA$15,ROW($X167)-ROW($X$15),1):OFFSET(CÁLCULO!$AL$15,ROW($X167)-ROW($X$15),-1))),IF($C167=0,0,ROUND(SomaAgrup,15-13*$AF$11)))</f>
        <v>0</v>
      </c>
      <c r="Y167" s="127" t="s">
        <v>752</v>
      </c>
      <c r="Z167" s="675" t="str">
        <f t="shared" ca="1" si="48"/>
        <v/>
      </c>
      <c r="AA167" s="128">
        <f ca="1">IF($C167="S",IF($Z167="CP",$X167,IF($Z167="RA",(($X167)*QCI!$AA$3),0)),SomaAgrup)</f>
        <v>0</v>
      </c>
      <c r="AB167" s="129">
        <f t="shared" ca="1" si="49"/>
        <v>0</v>
      </c>
      <c r="AC167" s="566"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IF(AND(_xlfn.SINGLE(TIPOORCAMENTO)="Licitado",$AL167=0,$AN167&gt;0),"SEM PREÇO",
IF(AND($C167="S",$P167&lt;&gt;"",$Q167&lt;&gt;"",$U167&gt;0,$V167=0),"BDI",
IF(OR(AND(TIPOORCAMENTO="Proposto",LEFT($O$8,5)&lt;&gt;"(N/D:",$AG167&lt;&gt;"",ORÇAMENTO.CustoUnitario&gt;$AG167),AND(TIPOORCAMENTO="LICITADO",ORÇAMENTO.PrecoUnitarioLicitado&gt;$AN167)),"ACIMA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SEM CUSTO</v>
      </c>
      <c r="AD167" s="675" t="str">
        <f ca="1">IF(C167&lt;=CRONO.NivelExibicao,MAX($AD$15:OFFSET(AD167,-1,0))+IF($C167&lt;&gt;1,1,MAX(1,COUNTIF(QCI!$A$13:$A$15,OFFSET($E167,-1,0)))),"")</f>
        <v/>
      </c>
      <c r="AE167" s="671" t="str">
        <f ca="1">IF(AND($C167="S",ORÇAMENTO.CodBarra&lt;&gt;""),IF(ORÇAMENTO.Fonte="",ORÇAMENTO.CodBarra,CONCATENATE(ORÇAMENTO.Fonte," ",ORÇAMENTO.CodBarra)))</f>
        <v>SINAPI 99059</v>
      </c>
      <c r="AF167" s="674" t="str">
        <f ca="1">IF(ISERROR(INDIRECT(ORÇAMENTO.BancoRef)),"(abra o arquivo 'Referência "&amp;Excel_BuiltIn_Database&amp;".xlsm)",IF(OR($C167&lt;&gt;"S",ORÇAMENTO.CodBarra=""),"(Sem Código)",IF(ISERROR(MATCH($AE167,INDIRECT(ORÇAMENTO.BancoRef),0)),"(Código não identificado nas referências)",MATCH($AE167,INDIRECT(ORÇAMENTO.BancoRef),0))))</f>
        <v>(abra o arquivo 'Referência 09-2025.xlsm)</v>
      </c>
      <c r="AG167" s="429">
        <f ca="1">ROUND(IF(DESONERACAO="sim",REFERENCIA.Desonerado,REFERENCIA.NaoDesonerado),2)</f>
        <v>0</v>
      </c>
      <c r="AH167" s="430">
        <f t="shared" ca="1" si="50"/>
        <v>0.24740000000000001</v>
      </c>
      <c r="AJ167" s="699">
        <v>32</v>
      </c>
      <c r="AL167" s="440"/>
      <c r="AM167" s="337">
        <f t="shared" ca="1" si="0"/>
        <v>0</v>
      </c>
      <c r="AN167" s="471">
        <f t="shared" ca="1" si="51"/>
        <v>0</v>
      </c>
    </row>
    <row r="168" spans="1:40" s="675" customFormat="1" ht="13.9" customHeight="1" x14ac:dyDescent="0.2">
      <c r="A168" s="675" t="str">
        <f t="shared" si="37"/>
        <v>S</v>
      </c>
      <c r="B168" s="675">
        <f t="shared" ca="1" si="38"/>
        <v>2</v>
      </c>
      <c r="C168" s="675" t="str">
        <f t="shared" ca="1" si="39"/>
        <v>S</v>
      </c>
      <c r="D168" s="675">
        <f t="shared" ca="1" si="40"/>
        <v>0</v>
      </c>
      <c r="E168" s="675">
        <f ca="1">IF($C168=1,OFFSET(E168,-1,0)+MAX(1,COUNTIF(QCI!$A$13:$A$15,OFFSET(ORÇAMENTO!E168,-1,0))),OFFSET(E168,-1,0))</f>
        <v>1</v>
      </c>
      <c r="F168" s="675">
        <f t="shared" ca="1" si="41"/>
        <v>21</v>
      </c>
      <c r="G168" s="675">
        <f t="shared" ca="1" si="42"/>
        <v>0</v>
      </c>
      <c r="H168" s="675">
        <f t="shared" ca="1" si="43"/>
        <v>0</v>
      </c>
      <c r="I168" s="675">
        <f t="shared" ca="1" si="44"/>
        <v>0</v>
      </c>
      <c r="J168" s="675">
        <f t="shared" ca="1" si="36"/>
        <v>0</v>
      </c>
      <c r="K168" s="675">
        <f ca="1">IF(OR($C168="S",$C168=0),0,MATCH(OFFSET($D168,0,$C168)+IF($C168&lt;&gt;1,1,COUNTIF(QCI!$A$13:$A$15,ORÇAMENTO!E168)),OFFSET($D168,1,$C168,ROW($C$231)-ROW($C168)),0))</f>
        <v>0</v>
      </c>
      <c r="L168" s="115" t="str">
        <f t="shared" ca="1" si="45"/>
        <v/>
      </c>
      <c r="M168" s="116" t="s">
        <v>706</v>
      </c>
      <c r="N168" s="117" t="str">
        <f t="shared" ca="1" si="46"/>
        <v>Serviço</v>
      </c>
      <c r="O168" s="118" t="str">
        <f t="shared" ca="1" si="47"/>
        <v>-</v>
      </c>
      <c r="P168" s="119" t="s">
        <v>968</v>
      </c>
      <c r="Q168" s="691" t="s">
        <v>1117</v>
      </c>
      <c r="R168" s="121" t="str">
        <f ca="1">IF($C168="S",REFERENCIA.Descricao,"(digite a descrição aqui)")</f>
        <v>(abra o arquivo 'Referência 09-2025.xlsm)</v>
      </c>
      <c r="S168" s="122" t="str">
        <f ca="1">REFERENCIA.Unidade</f>
        <v>-</v>
      </c>
      <c r="T168" s="123">
        <f ca="1">OFFSET(CÁLCULO!H$15,ROW($T168)-ROW(T$15),0)</f>
        <v>3.6</v>
      </c>
      <c r="U168" s="124">
        <f ca="1">ROUND(IF(DESONERACAO="sim",REFERENCIA.Desonerado,REFERENCIA.NaoDesonerado),2)</f>
        <v>0</v>
      </c>
      <c r="V168" s="125" t="s">
        <v>664</v>
      </c>
      <c r="W168" s="123">
        <f ca="1">IF($C168="S",ROUND(IF(TIPOORCAMENTO="Proposto",ORÇAMENTO.CustoUnitario*(1+$AH168),ORÇAMENTO.PrecoUnitarioLicitado),15-13*$AF$10),0)</f>
        <v>0</v>
      </c>
      <c r="X168" s="126" cm="1">
        <f t="array" aca="1" ref="X168" ca="1">IF($C168="S",IF(OR(Import.TipoArredondamento&lt;&gt;"TransfereGOV",ACOMPANHAMENTO="BM"),VTOTAL1,SUM(OFFSET(CÁLCULO!$AA$15,ROW($X168)-ROW($X$15),1):OFFSET(CÁLCULO!$AL$15,ROW($X168)-ROW($X$15),-1))),IF($C168=0,0,ROUND(SomaAgrup,15-13*$AF$11)))</f>
        <v>0</v>
      </c>
      <c r="Y168" s="127" t="s">
        <v>752</v>
      </c>
      <c r="Z168" s="675" t="str">
        <f t="shared" ca="1" si="48"/>
        <v/>
      </c>
      <c r="AA168" s="128">
        <f ca="1">IF($C168="S",IF($Z168="CP",$X168,IF($Z168="RA",(($X168)*QCI!$AA$3),0)),SomaAgrup)</f>
        <v>0</v>
      </c>
      <c r="AB168" s="129">
        <f t="shared" ca="1" si="49"/>
        <v>0</v>
      </c>
      <c r="AC168" s="566"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IF(AND(_xlfn.SINGLE(TIPOORCAMENTO)="Licitado",$AL168=0,$AN168&gt;0),"SEM PREÇO",
IF(AND($C168="S",$P168&lt;&gt;"",$Q168&lt;&gt;"",$U168&gt;0,$V168=0),"BDI",
IF(OR(AND(TIPOORCAMENTO="Proposto",LEFT($O$8,5)&lt;&gt;"(N/D:",$AG168&lt;&gt;"",ORÇAMENTO.CustoUnitario&gt;$AG168),AND(TIPOORCAMENTO="LICITADO",ORÇAMENTO.PrecoUnitarioLicitado&gt;$AN168)),"ACIMA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SEM CUSTO</v>
      </c>
      <c r="AD168" s="675" t="str">
        <f ca="1">IF(C168&lt;=CRONO.NivelExibicao,MAX($AD$15:OFFSET(AD168,-1,0))+IF($C168&lt;&gt;1,1,MAX(1,COUNTIF(QCI!$A$13:$A$15,OFFSET($E168,-1,0)))),"")</f>
        <v/>
      </c>
      <c r="AE168" s="671" t="str">
        <f ca="1">IF(AND($C168="S",ORÇAMENTO.CodBarra&lt;&gt;""),IF(ORÇAMENTO.Fonte="",ORÇAMENTO.CodBarra,CONCATENATE(ORÇAMENTO.Fonte," ",ORÇAMENTO.CodBarra)))</f>
        <v>COPASA 65000149</v>
      </c>
      <c r="AF168" s="674" t="str">
        <f ca="1">IF(ISERROR(INDIRECT(ORÇAMENTO.BancoRef)),"(abra o arquivo 'Referência "&amp;Excel_BuiltIn_Database&amp;".xlsm)",IF(OR($C168&lt;&gt;"S",ORÇAMENTO.CodBarra=""),"(Sem Código)",IF(ISERROR(MATCH($AE168,INDIRECT(ORÇAMENTO.BancoRef),0)),"(Código não identificado nas referências)",MATCH($AE168,INDIRECT(ORÇAMENTO.BancoRef),0))))</f>
        <v>(abra o arquivo 'Referência 09-2025.xlsm)</v>
      </c>
      <c r="AG168" s="429">
        <f ca="1">ROUND(IF(DESONERACAO="sim",REFERENCIA.Desonerado,REFERENCIA.NaoDesonerado),2)</f>
        <v>0</v>
      </c>
      <c r="AH168" s="430">
        <f t="shared" ca="1" si="50"/>
        <v>0.24740000000000001</v>
      </c>
      <c r="AJ168" s="699">
        <v>3.6</v>
      </c>
      <c r="AL168" s="440"/>
      <c r="AM168" s="337">
        <f t="shared" ca="1" si="0"/>
        <v>0</v>
      </c>
      <c r="AN168" s="471">
        <f t="shared" ca="1" si="51"/>
        <v>0</v>
      </c>
    </row>
    <row r="169" spans="1:40" s="675" customFormat="1" x14ac:dyDescent="0.2">
      <c r="A169" s="675" t="str">
        <f t="shared" si="37"/>
        <v>S</v>
      </c>
      <c r="B169" s="675">
        <f t="shared" ca="1" si="38"/>
        <v>2</v>
      </c>
      <c r="C169" s="675" t="str">
        <f t="shared" ca="1" si="39"/>
        <v>S</v>
      </c>
      <c r="D169" s="675">
        <f t="shared" ca="1" si="40"/>
        <v>0</v>
      </c>
      <c r="E169" s="675">
        <f ca="1">IF($C169=1,OFFSET(E169,-1,0)+MAX(1,COUNTIF(QCI!$A$13:$A$15,OFFSET(ORÇAMENTO!E169,-1,0))),OFFSET(E169,-1,0))</f>
        <v>1</v>
      </c>
      <c r="F169" s="675">
        <f t="shared" ca="1" si="41"/>
        <v>21</v>
      </c>
      <c r="G169" s="675">
        <f t="shared" ca="1" si="42"/>
        <v>0</v>
      </c>
      <c r="H169" s="675">
        <f t="shared" ca="1" si="43"/>
        <v>0</v>
      </c>
      <c r="I169" s="675">
        <f t="shared" ca="1" si="44"/>
        <v>0</v>
      </c>
      <c r="J169" s="675">
        <f t="shared" ca="1" si="36"/>
        <v>0</v>
      </c>
      <c r="K169" s="675">
        <f ca="1">IF(OR($C169="S",$C169=0),0,MATCH(OFFSET($D169,0,$C169)+IF($C169&lt;&gt;1,1,COUNTIF(QCI!$A$13:$A$15,ORÇAMENTO!E169)),OFFSET($D169,1,$C169,ROW($C$231)-ROW($C169)),0))</f>
        <v>0</v>
      </c>
      <c r="L169" s="115" t="str">
        <f t="shared" ca="1" si="45"/>
        <v/>
      </c>
      <c r="M169" s="116" t="s">
        <v>706</v>
      </c>
      <c r="N169" s="117" t="str">
        <f t="shared" ca="1" si="46"/>
        <v>Serviço</v>
      </c>
      <c r="O169" s="118" t="str">
        <f t="shared" ca="1" si="47"/>
        <v>-</v>
      </c>
      <c r="P169" s="119" t="s">
        <v>968</v>
      </c>
      <c r="Q169" s="691" t="s">
        <v>1049</v>
      </c>
      <c r="R169" s="121" t="str">
        <f ca="1">IF($C169="S",REFERENCIA.Descricao,"(digite a descrição aqui)")</f>
        <v>(abra o arquivo 'Referência 09-2025.xlsm)</v>
      </c>
      <c r="S169" s="122" t="str">
        <f ca="1">REFERENCIA.Unidade</f>
        <v>-</v>
      </c>
      <c r="T169" s="123">
        <f ca="1">OFFSET(CÁLCULO!H$15,ROW($T169)-ROW(T$15),0)</f>
        <v>105</v>
      </c>
      <c r="U169" s="124">
        <f ca="1">ROUND(IF(DESONERACAO="sim",REFERENCIA.Desonerado,REFERENCIA.NaoDesonerado),2)</f>
        <v>0</v>
      </c>
      <c r="V169" s="125" t="s">
        <v>664</v>
      </c>
      <c r="W169" s="123">
        <f ca="1">IF($C169="S",ROUND(IF(TIPOORCAMENTO="Proposto",ORÇAMENTO.CustoUnitario*(1+$AH169),ORÇAMENTO.PrecoUnitarioLicitado),15-13*$AF$10),0)</f>
        <v>0</v>
      </c>
      <c r="X169" s="126" cm="1">
        <f t="array" aca="1" ref="X169" ca="1">IF($C169="S",IF(OR(Import.TipoArredondamento&lt;&gt;"TransfereGOV",ACOMPANHAMENTO="BM"),VTOTAL1,SUM(OFFSET(CÁLCULO!$AA$15,ROW($X169)-ROW($X$15),1):OFFSET(CÁLCULO!$AL$15,ROW($X169)-ROW($X$15),-1))),IF($C169=0,0,ROUND(SomaAgrup,15-13*$AF$11)))</f>
        <v>0</v>
      </c>
      <c r="Y169" s="127" t="s">
        <v>752</v>
      </c>
      <c r="Z169" s="675" t="str">
        <f t="shared" ca="1" si="48"/>
        <v/>
      </c>
      <c r="AA169" s="128">
        <f ca="1">IF($C169="S",IF($Z169="CP",$X169,IF($Z169="RA",(($X169)*QCI!$AA$3),0)),SomaAgrup)</f>
        <v>0</v>
      </c>
      <c r="AB169" s="129">
        <f t="shared" ca="1" si="49"/>
        <v>0</v>
      </c>
      <c r="AC169" s="566" t="str"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IF(AND(_xlfn.SINGLE(TIPOORCAMENTO)="Licitado",$AL169=0,$AN169&gt;0),"SEM PREÇO",
IF(AND($C169="S",$P169&lt;&gt;"",$Q169&lt;&gt;"",$U169&gt;0,$V169=0),"BDI",
IF(OR(AND(TIPOORCAMENTO="Proposto",LEFT($O$8,5)&lt;&gt;"(N/D:",$AG169&lt;&gt;"",ORÇAMENTO.CustoUnitario&gt;$AG169),AND(TIPOORCAMENTO="LICITADO",ORÇAMENTO.PrecoUnitarioLicitado&gt;$AN169)),"ACIMA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SEM CUSTO</v>
      </c>
      <c r="AD169" s="675" t="str">
        <f ca="1">IF(C169&lt;=CRONO.NivelExibicao,MAX($AD$15:OFFSET(AD169,-1,0))+IF($C169&lt;&gt;1,1,MAX(1,COUNTIF(QCI!$A$13:$A$15,OFFSET($E169,-1,0)))),"")</f>
        <v/>
      </c>
      <c r="AE169" s="671" t="str">
        <f ca="1">IF(AND($C169="S",ORÇAMENTO.CodBarra&lt;&gt;""),IF(ORÇAMENTO.Fonte="",ORÇAMENTO.CodBarra,CONCATENATE(ORÇAMENTO.Fonte," ",ORÇAMENTO.CodBarra)))</f>
        <v>COPASA 65000196</v>
      </c>
      <c r="AF169" s="674" t="str">
        <f ca="1">IF(ISERROR(INDIRECT(ORÇAMENTO.BancoRef)),"(abra o arquivo 'Referência "&amp;Excel_BuiltIn_Database&amp;".xlsm)",IF(OR($C169&lt;&gt;"S",ORÇAMENTO.CodBarra=""),"(Sem Código)",IF(ISERROR(MATCH($AE169,INDIRECT(ORÇAMENTO.BancoRef),0)),"(Código não identificado nas referências)",MATCH($AE169,INDIRECT(ORÇAMENTO.BancoRef),0))))</f>
        <v>(abra o arquivo 'Referência 09-2025.xlsm)</v>
      </c>
      <c r="AG169" s="429">
        <f ca="1">ROUND(IF(DESONERACAO="sim",REFERENCIA.Desonerado,REFERENCIA.NaoDesonerado),2)</f>
        <v>0</v>
      </c>
      <c r="AH169" s="430">
        <f t="shared" ca="1" si="50"/>
        <v>0.24740000000000001</v>
      </c>
      <c r="AJ169" s="699">
        <v>105</v>
      </c>
      <c r="AL169" s="440"/>
      <c r="AM169" s="337">
        <f t="shared" ca="1" si="0"/>
        <v>0</v>
      </c>
      <c r="AN169" s="471">
        <f t="shared" ca="1" si="51"/>
        <v>0</v>
      </c>
    </row>
    <row r="170" spans="1:40" s="675" customFormat="1" x14ac:dyDescent="0.2">
      <c r="A170" s="675" t="str">
        <f t="shared" si="37"/>
        <v>S</v>
      </c>
      <c r="B170" s="675">
        <f t="shared" ca="1" si="38"/>
        <v>2</v>
      </c>
      <c r="C170" s="675" t="str">
        <f t="shared" ca="1" si="39"/>
        <v>S</v>
      </c>
      <c r="D170" s="675">
        <f t="shared" ca="1" si="40"/>
        <v>0</v>
      </c>
      <c r="E170" s="675">
        <f ca="1">IF($C170=1,OFFSET(E170,-1,0)+MAX(1,COUNTIF(QCI!$A$13:$A$15,OFFSET(ORÇAMENTO!E170,-1,0))),OFFSET(E170,-1,0))</f>
        <v>1</v>
      </c>
      <c r="F170" s="675">
        <f t="shared" ca="1" si="41"/>
        <v>21</v>
      </c>
      <c r="G170" s="675">
        <f t="shared" ca="1" si="42"/>
        <v>0</v>
      </c>
      <c r="H170" s="675">
        <f t="shared" ca="1" si="43"/>
        <v>0</v>
      </c>
      <c r="I170" s="675">
        <f t="shared" ca="1" si="44"/>
        <v>0</v>
      </c>
      <c r="J170" s="675">
        <f t="shared" ca="1" si="36"/>
        <v>0</v>
      </c>
      <c r="K170" s="675">
        <f ca="1">IF(OR($C170="S",$C170=0),0,MATCH(OFFSET($D170,0,$C170)+IF($C170&lt;&gt;1,1,COUNTIF(QCI!$A$13:$A$15,ORÇAMENTO!E170)),OFFSET($D170,1,$C170,ROW($C$231)-ROW($C170)),0))</f>
        <v>0</v>
      </c>
      <c r="L170" s="115" t="str">
        <f t="shared" ca="1" si="45"/>
        <v/>
      </c>
      <c r="M170" s="116" t="s">
        <v>706</v>
      </c>
      <c r="N170" s="117" t="str">
        <f t="shared" ca="1" si="46"/>
        <v>Serviço</v>
      </c>
      <c r="O170" s="118" t="str">
        <f t="shared" ca="1" si="47"/>
        <v>-</v>
      </c>
      <c r="P170" s="119" t="s">
        <v>968</v>
      </c>
      <c r="Q170" s="691" t="s">
        <v>1050</v>
      </c>
      <c r="R170" s="121" t="str">
        <f ca="1">IF($C170="S",REFERENCIA.Descricao,"(digite a descrição aqui)")</f>
        <v>(abra o arquivo 'Referência 09-2025.xlsm)</v>
      </c>
      <c r="S170" s="122" t="str">
        <f ca="1">REFERENCIA.Unidade</f>
        <v>-</v>
      </c>
      <c r="T170" s="123">
        <f ca="1">OFFSET(CÁLCULO!H$15,ROW($T170)-ROW(T$15),0)</f>
        <v>72.5</v>
      </c>
      <c r="U170" s="124">
        <f ca="1">ROUND(IF(DESONERACAO="sim",REFERENCIA.Desonerado,REFERENCIA.NaoDesonerado),2)</f>
        <v>0</v>
      </c>
      <c r="V170" s="125" t="s">
        <v>664</v>
      </c>
      <c r="W170" s="123">
        <f ca="1">IF($C170="S",ROUND(IF(TIPOORCAMENTO="Proposto",ORÇAMENTO.CustoUnitario*(1+$AH170),ORÇAMENTO.PrecoUnitarioLicitado),15-13*$AF$10),0)</f>
        <v>0</v>
      </c>
      <c r="X170" s="126" cm="1">
        <f t="array" aca="1" ref="X170" ca="1">IF($C170="S",IF(OR(Import.TipoArredondamento&lt;&gt;"TransfereGOV",ACOMPANHAMENTO="BM"),VTOTAL1,SUM(OFFSET(CÁLCULO!$AA$15,ROW($X170)-ROW($X$15),1):OFFSET(CÁLCULO!$AL$15,ROW($X170)-ROW($X$15),-1))),IF($C170=0,0,ROUND(SomaAgrup,15-13*$AF$11)))</f>
        <v>0</v>
      </c>
      <c r="Y170" s="127" t="s">
        <v>752</v>
      </c>
      <c r="Z170" s="675" t="str">
        <f t="shared" ca="1" si="48"/>
        <v/>
      </c>
      <c r="AA170" s="128">
        <f ca="1">IF($C170="S",IF($Z170="CP",$X170,IF($Z170="RA",(($X170)*QCI!$AA$3),0)),SomaAgrup)</f>
        <v>0</v>
      </c>
      <c r="AB170" s="129">
        <f t="shared" ca="1" si="49"/>
        <v>0</v>
      </c>
      <c r="AC170" s="566"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IF(AND(_xlfn.SINGLE(TIPOORCAMENTO)="Licitado",$AL170=0,$AN170&gt;0),"SEM PREÇO",
IF(AND($C170="S",$P170&lt;&gt;"",$Q170&lt;&gt;"",$U170&gt;0,$V170=0),"BDI",
IF(OR(AND(TIPOORCAMENTO="Proposto",LEFT($O$8,5)&lt;&gt;"(N/D:",$AG170&lt;&gt;"",ORÇAMENTO.CustoUnitario&gt;$AG170),AND(TIPOORCAMENTO="LICITADO",ORÇAMENTO.PrecoUnitarioLicitado&gt;$AN170)),"ACIMA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SEM CUSTO</v>
      </c>
      <c r="AD170" s="675" t="str">
        <f ca="1">IF(C170&lt;=CRONO.NivelExibicao,MAX($AD$15:OFFSET(AD170,-1,0))+IF($C170&lt;&gt;1,1,MAX(1,COUNTIF(QCI!$A$13:$A$15,OFFSET($E170,-1,0)))),"")</f>
        <v/>
      </c>
      <c r="AE170" s="671" t="str">
        <f ca="1">IF(AND($C170="S",ORÇAMENTO.CodBarra&lt;&gt;""),IF(ORÇAMENTO.Fonte="",ORÇAMENTO.CodBarra,CONCATENATE(ORÇAMENTO.Fonte," ",ORÇAMENTO.CodBarra)))</f>
        <v>COPASA 65000180</v>
      </c>
      <c r="AF170" s="674" t="str">
        <f ca="1">IF(ISERROR(INDIRECT(ORÇAMENTO.BancoRef)),"(abra o arquivo 'Referência "&amp;Excel_BuiltIn_Database&amp;".xlsm)",IF(OR($C170&lt;&gt;"S",ORÇAMENTO.CodBarra=""),"(Sem Código)",IF(ISERROR(MATCH($AE170,INDIRECT(ORÇAMENTO.BancoRef),0)),"(Código não identificado nas referências)",MATCH($AE170,INDIRECT(ORÇAMENTO.BancoRef),0))))</f>
        <v>(abra o arquivo 'Referência 09-2025.xlsm)</v>
      </c>
      <c r="AG170" s="429">
        <f ca="1">ROUND(IF(DESONERACAO="sim",REFERENCIA.Desonerado,REFERENCIA.NaoDesonerado),2)</f>
        <v>0</v>
      </c>
      <c r="AH170" s="430">
        <f t="shared" ca="1" si="50"/>
        <v>0.24740000000000001</v>
      </c>
      <c r="AJ170" s="699">
        <v>72.5</v>
      </c>
      <c r="AL170" s="440"/>
      <c r="AM170" s="337">
        <f t="shared" ca="1" si="0"/>
        <v>0</v>
      </c>
      <c r="AN170" s="471">
        <f t="shared" ca="1" si="51"/>
        <v>0</v>
      </c>
    </row>
    <row r="171" spans="1:40" s="675" customFormat="1" x14ac:dyDescent="0.2">
      <c r="A171" s="675" t="str">
        <f t="shared" si="37"/>
        <v>S</v>
      </c>
      <c r="B171" s="675">
        <f t="shared" ca="1" si="38"/>
        <v>2</v>
      </c>
      <c r="C171" s="675" t="str">
        <f t="shared" ca="1" si="39"/>
        <v>S</v>
      </c>
      <c r="D171" s="675">
        <f t="shared" ca="1" si="40"/>
        <v>0</v>
      </c>
      <c r="E171" s="675">
        <f ca="1">IF($C171=1,OFFSET(E171,-1,0)+MAX(1,COUNTIF(QCI!$A$13:$A$15,OFFSET(ORÇAMENTO!E171,-1,0))),OFFSET(E171,-1,0))</f>
        <v>1</v>
      </c>
      <c r="F171" s="675">
        <f t="shared" ca="1" si="41"/>
        <v>21</v>
      </c>
      <c r="G171" s="675">
        <f t="shared" ca="1" si="42"/>
        <v>0</v>
      </c>
      <c r="H171" s="675">
        <f t="shared" ca="1" si="43"/>
        <v>0</v>
      </c>
      <c r="I171" s="675">
        <f t="shared" ca="1" si="44"/>
        <v>0</v>
      </c>
      <c r="J171" s="675">
        <f t="shared" ca="1" si="36"/>
        <v>0</v>
      </c>
      <c r="K171" s="675">
        <f ca="1">IF(OR($C171="S",$C171=0),0,MATCH(OFFSET($D171,0,$C171)+IF($C171&lt;&gt;1,1,COUNTIF(QCI!$A$13:$A$15,ORÇAMENTO!E171)),OFFSET($D171,1,$C171,ROW($C$231)-ROW($C171)),0))</f>
        <v>0</v>
      </c>
      <c r="L171" s="115" t="str">
        <f t="shared" ca="1" si="45"/>
        <v/>
      </c>
      <c r="M171" s="116" t="s">
        <v>706</v>
      </c>
      <c r="N171" s="117" t="str">
        <f t="shared" ca="1" si="46"/>
        <v>Serviço</v>
      </c>
      <c r="O171" s="118" t="str">
        <f t="shared" ca="1" si="47"/>
        <v>-</v>
      </c>
      <c r="P171" s="119" t="s">
        <v>968</v>
      </c>
      <c r="Q171" s="691" t="s">
        <v>1114</v>
      </c>
      <c r="R171" s="121" t="str">
        <f ca="1">IF($C171="S",REFERENCIA.Descricao,"(digite a descrição aqui)")</f>
        <v>(abra o arquivo 'Referência 09-2025.xlsm)</v>
      </c>
      <c r="S171" s="122" t="str">
        <f ca="1">REFERENCIA.Unidade</f>
        <v>-</v>
      </c>
      <c r="T171" s="123">
        <f ca="1">OFFSET(CÁLCULO!H$15,ROW($T171)-ROW(T$15),0)</f>
        <v>72.5</v>
      </c>
      <c r="U171" s="124">
        <f ca="1">ROUND(IF(DESONERACAO="sim",REFERENCIA.Desonerado,REFERENCIA.NaoDesonerado),2)</f>
        <v>0</v>
      </c>
      <c r="V171" s="125" t="s">
        <v>664</v>
      </c>
      <c r="W171" s="123">
        <f ca="1">IF($C171="S",ROUND(IF(TIPOORCAMENTO="Proposto",ORÇAMENTO.CustoUnitario*(1+$AH171),ORÇAMENTO.PrecoUnitarioLicitado),15-13*$AF$10),0)</f>
        <v>0</v>
      </c>
      <c r="X171" s="126" cm="1">
        <f t="array" aca="1" ref="X171" ca="1">IF($C171="S",IF(OR(Import.TipoArredondamento&lt;&gt;"TransfereGOV",ACOMPANHAMENTO="BM"),VTOTAL1,SUM(OFFSET(CÁLCULO!$AA$15,ROW($X171)-ROW($X$15),1):OFFSET(CÁLCULO!$AL$15,ROW($X171)-ROW($X$15),-1))),IF($C171=0,0,ROUND(SomaAgrup,15-13*$AF$11)))</f>
        <v>0</v>
      </c>
      <c r="Y171" s="127" t="s">
        <v>752</v>
      </c>
      <c r="Z171" s="675" t="str">
        <f t="shared" ca="1" si="48"/>
        <v/>
      </c>
      <c r="AA171" s="128">
        <f ca="1">IF($C171="S",IF($Z171="CP",$X171,IF($Z171="RA",(($X171)*QCI!$AA$3),0)),SomaAgrup)</f>
        <v>0</v>
      </c>
      <c r="AB171" s="129">
        <f t="shared" ca="1" si="49"/>
        <v>0</v>
      </c>
      <c r="AC171" s="566" t="str" cm="1">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IF(AND(_xlfn.SINGLE(TIPOORCAMENTO)="Licitado",$AL171=0,$AN171&gt;0),"SEM PREÇO",
IF(AND($C171="S",$P171&lt;&gt;"",$Q171&lt;&gt;"",$U171&gt;0,$V171=0),"BDI",
IF(OR(AND(TIPOORCAMENTO="Proposto",LEFT($O$8,5)&lt;&gt;"(N/D:",$AG171&lt;&gt;"",ORÇAMENTO.CustoUnitario&gt;$AG171),AND(TIPOORCAMENTO="LICITADO",ORÇAMENTO.PrecoUnitarioLicitado&gt;$AN171)),"ACIMA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SEM CUSTO</v>
      </c>
      <c r="AD171" s="675" t="str">
        <f ca="1">IF(C171&lt;=CRONO.NivelExibicao,MAX($AD$15:OFFSET(AD171,-1,0))+IF($C171&lt;&gt;1,1,MAX(1,COUNTIF(QCI!$A$13:$A$15,OFFSET($E171,-1,0)))),"")</f>
        <v/>
      </c>
      <c r="AE171" s="671" t="str">
        <f ca="1">IF(AND($C171="S",ORÇAMENTO.CodBarra&lt;&gt;""),IF(ORÇAMENTO.Fonte="",ORÇAMENTO.CodBarra,CONCATENATE(ORÇAMENTO.Fonte," ",ORÇAMENTO.CodBarra)))</f>
        <v>COPASA 65000177</v>
      </c>
      <c r="AF171" s="674" t="str">
        <f ca="1">IF(ISERROR(INDIRECT(ORÇAMENTO.BancoRef)),"(abra o arquivo 'Referência "&amp;Excel_BuiltIn_Database&amp;".xlsm)",IF(OR($C171&lt;&gt;"S",ORÇAMENTO.CodBarra=""),"(Sem Código)",IF(ISERROR(MATCH($AE171,INDIRECT(ORÇAMENTO.BancoRef),0)),"(Código não identificado nas referências)",MATCH($AE171,INDIRECT(ORÇAMENTO.BancoRef),0))))</f>
        <v>(abra o arquivo 'Referência 09-2025.xlsm)</v>
      </c>
      <c r="AG171" s="429">
        <f ca="1">ROUND(IF(DESONERACAO="sim",REFERENCIA.Desonerado,REFERENCIA.NaoDesonerado),2)</f>
        <v>0</v>
      </c>
      <c r="AH171" s="430">
        <f t="shared" ca="1" si="50"/>
        <v>0.24740000000000001</v>
      </c>
      <c r="AJ171" s="699">
        <v>72.5</v>
      </c>
      <c r="AL171" s="440"/>
      <c r="AM171" s="337">
        <f t="shared" ca="1" si="0"/>
        <v>0</v>
      </c>
      <c r="AN171" s="471">
        <f t="shared" ca="1" si="51"/>
        <v>0</v>
      </c>
    </row>
    <row r="172" spans="1:40" s="675" customFormat="1" ht="13.9" customHeight="1" x14ac:dyDescent="0.2">
      <c r="A172" s="675" t="str">
        <f t="shared" si="37"/>
        <v>S</v>
      </c>
      <c r="B172" s="675">
        <f t="shared" ca="1" si="38"/>
        <v>2</v>
      </c>
      <c r="C172" s="675" t="str">
        <f t="shared" ca="1" si="39"/>
        <v>S</v>
      </c>
      <c r="D172" s="675">
        <f t="shared" ca="1" si="40"/>
        <v>0</v>
      </c>
      <c r="E172" s="675">
        <f ca="1">IF($C172=1,OFFSET(E172,-1,0)+MAX(1,COUNTIF(QCI!$A$13:$A$15,OFFSET(ORÇAMENTO!E172,-1,0))),OFFSET(E172,-1,0))</f>
        <v>1</v>
      </c>
      <c r="F172" s="675">
        <f t="shared" ca="1" si="41"/>
        <v>21</v>
      </c>
      <c r="G172" s="675">
        <f t="shared" ca="1" si="42"/>
        <v>0</v>
      </c>
      <c r="H172" s="675">
        <f t="shared" ca="1" si="43"/>
        <v>0</v>
      </c>
      <c r="I172" s="675">
        <f t="shared" ca="1" si="44"/>
        <v>0</v>
      </c>
      <c r="J172" s="675">
        <f t="shared" ca="1" si="36"/>
        <v>0</v>
      </c>
      <c r="K172" s="675">
        <f ca="1">IF(OR($C172="S",$C172=0),0,MATCH(OFFSET($D172,0,$C172)+IF($C172&lt;&gt;1,1,COUNTIF(QCI!$A$13:$A$15,ORÇAMENTO!E172)),OFFSET($D172,1,$C172,ROW($C$231)-ROW($C172)),0))</f>
        <v>0</v>
      </c>
      <c r="L172" s="115" t="str">
        <f t="shared" ca="1" si="45"/>
        <v/>
      </c>
      <c r="M172" s="116" t="s">
        <v>706</v>
      </c>
      <c r="N172" s="117" t="str">
        <f t="shared" ca="1" si="46"/>
        <v>Serviço</v>
      </c>
      <c r="O172" s="118" t="str">
        <f t="shared" ca="1" si="47"/>
        <v>-</v>
      </c>
      <c r="P172" s="119" t="s">
        <v>968</v>
      </c>
      <c r="Q172" s="691" t="s">
        <v>978</v>
      </c>
      <c r="R172" s="121" t="str">
        <f ca="1">IF($C172="S",REFERENCIA.Descricao,"(digite a descrição aqui)")</f>
        <v>(abra o arquivo 'Referência 09-2025.xlsm)</v>
      </c>
      <c r="S172" s="122" t="str">
        <f ca="1">REFERENCIA.Unidade</f>
        <v>-</v>
      </c>
      <c r="T172" s="123">
        <f ca="1">OFFSET(CÁLCULO!H$15,ROW($T172)-ROW(T$15),0)</f>
        <v>32</v>
      </c>
      <c r="U172" s="124">
        <f ca="1">ROUND(IF(DESONERACAO="sim",REFERENCIA.Desonerado,REFERENCIA.NaoDesonerado),2)</f>
        <v>0</v>
      </c>
      <c r="V172" s="125" t="s">
        <v>664</v>
      </c>
      <c r="W172" s="123">
        <f ca="1">IF($C172="S",ROUND(IF(TIPOORCAMENTO="Proposto",ORÇAMENTO.CustoUnitario*(1+$AH172),ORÇAMENTO.PrecoUnitarioLicitado),15-13*$AF$10),0)</f>
        <v>0</v>
      </c>
      <c r="X172" s="126" cm="1">
        <f t="array" aca="1" ref="X172" ca="1">IF($C172="S",IF(OR(Import.TipoArredondamento&lt;&gt;"TransfereGOV",ACOMPANHAMENTO="BM"),VTOTAL1,SUM(OFFSET(CÁLCULO!$AA$15,ROW($X172)-ROW($X$15),1):OFFSET(CÁLCULO!$AL$15,ROW($X172)-ROW($X$15),-1))),IF($C172=0,0,ROUND(SomaAgrup,15-13*$AF$11)))</f>
        <v>0</v>
      </c>
      <c r="Y172" s="127" t="s">
        <v>752</v>
      </c>
      <c r="Z172" s="675" t="str">
        <f t="shared" ca="1" si="48"/>
        <v/>
      </c>
      <c r="AA172" s="128">
        <f ca="1">IF($C172="S",IF($Z172="CP",$X172,IF($Z172="RA",(($X172)*QCI!$AA$3),0)),SomaAgrup)</f>
        <v>0</v>
      </c>
      <c r="AB172" s="129">
        <f t="shared" ca="1" si="49"/>
        <v>0</v>
      </c>
      <c r="AC172" s="566" t="str" cm="1">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IF(AND(_xlfn.SINGLE(TIPOORCAMENTO)="Licitado",$AL172=0,$AN172&gt;0),"SEM PREÇO",
IF(AND($C172="S",$P172&lt;&gt;"",$Q172&lt;&gt;"",$U172&gt;0,$V172=0),"BDI",
IF(OR(AND(TIPOORCAMENTO="Proposto",LEFT($O$8,5)&lt;&gt;"(N/D:",$AG172&lt;&gt;"",ORÇAMENTO.CustoUnitario&gt;$AG172),AND(TIPOORCAMENTO="LICITADO",ORÇAMENTO.PrecoUnitarioLicitado&gt;$AN172)),"ACIMA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SEM CUSTO</v>
      </c>
      <c r="AD172" s="675" t="str">
        <f ca="1">IF(C172&lt;=CRONO.NivelExibicao,MAX($AD$15:OFFSET(AD172,-1,0))+IF($C172&lt;&gt;1,1,MAX(1,COUNTIF(QCI!$A$13:$A$15,OFFSET($E172,-1,0)))),"")</f>
        <v/>
      </c>
      <c r="AE172" s="671" t="str">
        <f ca="1">IF(AND($C172="S",ORÇAMENTO.CodBarra&lt;&gt;""),IF(ORÇAMENTO.Fonte="",ORÇAMENTO.CodBarra,CONCATENATE(ORÇAMENTO.Fonte," ",ORÇAMENTO.CodBarra)))</f>
        <v>COPASA 65000173</v>
      </c>
      <c r="AF172" s="674" t="str">
        <f ca="1">IF(ISERROR(INDIRECT(ORÇAMENTO.BancoRef)),"(abra o arquivo 'Referência "&amp;Excel_BuiltIn_Database&amp;".xlsm)",IF(OR($C172&lt;&gt;"S",ORÇAMENTO.CodBarra=""),"(Sem Código)",IF(ISERROR(MATCH($AE172,INDIRECT(ORÇAMENTO.BancoRef),0)),"(Código não identificado nas referências)",MATCH($AE172,INDIRECT(ORÇAMENTO.BancoRef),0))))</f>
        <v>(abra o arquivo 'Referência 09-2025.xlsm)</v>
      </c>
      <c r="AG172" s="429">
        <f ca="1">ROUND(IF(DESONERACAO="sim",REFERENCIA.Desonerado,REFERENCIA.NaoDesonerado),2)</f>
        <v>0</v>
      </c>
      <c r="AH172" s="430">
        <f t="shared" ca="1" si="50"/>
        <v>0.24740000000000001</v>
      </c>
      <c r="AJ172" s="699">
        <v>32</v>
      </c>
      <c r="AL172" s="440"/>
      <c r="AM172" s="337">
        <f t="shared" ca="1" si="0"/>
        <v>0</v>
      </c>
      <c r="AN172" s="471">
        <f t="shared" ca="1" si="51"/>
        <v>0</v>
      </c>
    </row>
    <row r="173" spans="1:40" s="675" customFormat="1" x14ac:dyDescent="0.2">
      <c r="A173" s="675">
        <f t="shared" si="37"/>
        <v>2</v>
      </c>
      <c r="B173" s="675">
        <f t="shared" ca="1" si="38"/>
        <v>2</v>
      </c>
      <c r="C173" s="675">
        <f t="shared" ca="1" si="39"/>
        <v>2</v>
      </c>
      <c r="D173" s="675">
        <f t="shared" ca="1" si="40"/>
        <v>17</v>
      </c>
      <c r="E173" s="675">
        <f ca="1">IF($C173=1,OFFSET(E173,-1,0)+MAX(1,COUNTIF(QCI!$A$13:$A$15,OFFSET(ORÇAMENTO!E173,-1,0))),OFFSET(E173,-1,0))</f>
        <v>1</v>
      </c>
      <c r="F173" s="675">
        <f t="shared" ca="1" si="41"/>
        <v>22</v>
      </c>
      <c r="G173" s="675">
        <f t="shared" ca="1" si="42"/>
        <v>0</v>
      </c>
      <c r="H173" s="675">
        <f t="shared" ca="1" si="43"/>
        <v>0</v>
      </c>
      <c r="I173" s="675">
        <f t="shared" ca="1" si="44"/>
        <v>0</v>
      </c>
      <c r="J173" s="675">
        <f t="shared" ca="1" si="36"/>
        <v>58</v>
      </c>
      <c r="K173" s="675">
        <f ca="1">IF(OR($C173="S",$C173=0),0,MATCH(OFFSET($D173,0,$C173)+IF($C173&lt;&gt;1,1,COUNTIF(QCI!$A$13:$A$15,ORÇAMENTO!E173)),OFFSET($D173,1,$C173,ROW($C$231)-ROW($C173)),0))</f>
        <v>17</v>
      </c>
      <c r="L173" s="115" t="str">
        <f t="shared" ca="1" si="45"/>
        <v>F</v>
      </c>
      <c r="M173" s="116" t="s">
        <v>703</v>
      </c>
      <c r="N173" s="117" t="str">
        <f t="shared" ca="1" si="46"/>
        <v>Nível 2</v>
      </c>
      <c r="O173" s="118" t="str">
        <f t="shared" ca="1" si="47"/>
        <v>1.22.</v>
      </c>
      <c r="P173" s="119" t="s">
        <v>751</v>
      </c>
      <c r="Q173" s="120"/>
      <c r="R173" s="121" t="s">
        <v>1065</v>
      </c>
      <c r="S173" s="122" t="str">
        <f ca="1">REFERENCIA.Unidade</f>
        <v>-</v>
      </c>
      <c r="T173" s="123">
        <f ca="1">OFFSET(CÁLCULO!H$15,ROW($T173)-ROW(T$15),0)</f>
        <v>0</v>
      </c>
      <c r="U173" s="124">
        <f ca="1">ROUND(IF(DESONERACAO="sim",REFERENCIA.Desonerado,REFERENCIA.NaoDesonerado),2)</f>
        <v>0</v>
      </c>
      <c r="V173" s="125" t="s">
        <v>664</v>
      </c>
      <c r="W173" s="123">
        <f ca="1">IF($C173="S",ROUND(IF(TIPOORCAMENTO="Proposto",ORÇAMENTO.CustoUnitario*(1+$AH173),ORÇAMENTO.PrecoUnitarioLicitado),15-13*$AF$10),0)</f>
        <v>0</v>
      </c>
      <c r="X173" s="126" cm="1">
        <f t="array" aca="1" ref="X173" ca="1">IF($C173="S",IF(OR(Import.TipoArredondamento&lt;&gt;"TransfereGOV",ACOMPANHAMENTO="BM"),VTOTAL1,SUM(OFFSET(CÁLCULO!$AA$15,ROW($X173)-ROW($X$15),1):OFFSET(CÁLCULO!$AL$15,ROW($X173)-ROW($X$15),-1))),IF($C173=0,0,ROUND(SomaAgrup,15-13*$AF$11)))</f>
        <v>0</v>
      </c>
      <c r="Y173" s="127" t="s">
        <v>752</v>
      </c>
      <c r="Z173" s="675" t="str">
        <f t="shared" ca="1" si="48"/>
        <v/>
      </c>
      <c r="AA173" s="128">
        <f ca="1">IF($C173="S",IF($Z173="CP",$X173,IF($Z173="RA",(($X173)*QCI!$AA$3),0)),SomaAgrup)</f>
        <v>0</v>
      </c>
      <c r="AB173" s="129">
        <f t="shared" ca="1" si="49"/>
        <v>0</v>
      </c>
      <c r="AC173" s="566" t="e" cm="1">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IF(AND(_xlfn.SINGLE(TIPOORCAMENTO)="Licitado",$AL173=0,$AN173&gt;0),"SEM PREÇO",
IF(AND($C173="S",$P173&lt;&gt;"",$Q173&lt;&gt;"",$U173&gt;0,$V173=0),"BDI",
IF(OR(AND(TIPOORCAMENTO="Proposto",LEFT($O$8,5)&lt;&gt;"(N/D:",$AG173&lt;&gt;"",ORÇAMENTO.CustoUnitario&gt;$AG173),AND(TIPOORCAMENTO="LICITADO",ORÇAMENTO.PrecoUnitarioLicitado&gt;$AN173)),"ACIMA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#NAME?</v>
      </c>
      <c r="AD173" s="675">
        <f ca="1">IF(C173&lt;=CRONO.NivelExibicao,MAX($AD$15:OFFSET(AD173,-1,0))+IF($C173&lt;&gt;1,1,MAX(1,COUNTIF(QCI!$A$13:$A$15,OFFSET($E173,-1,0)))),"")</f>
        <v>23</v>
      </c>
      <c r="AE173" s="671" t="b">
        <f ca="1">IF(AND($C173="S",ORÇAMENTO.CodBarra&lt;&gt;""),IF(ORÇAMENTO.Fonte="",ORÇAMENTO.CodBarra,CONCATENATE(ORÇAMENTO.Fonte," ",ORÇAMENTO.CodBarra)))</f>
        <v>0</v>
      </c>
      <c r="AF173" s="674" t="str">
        <f ca="1">IF(ISERROR(INDIRECT(ORÇAMENTO.BancoRef)),"(abra o arquivo 'Referência "&amp;Excel_BuiltIn_Database&amp;".xlsm)",IF(OR($C173&lt;&gt;"S",ORÇAMENTO.CodBarra=""),"(Sem Código)",IF(ISERROR(MATCH($AE173,INDIRECT(ORÇAMENTO.BancoRef),0)),"(Código não identificado nas referências)",MATCH($AE173,INDIRECT(ORÇAMENTO.BancoRef),0))))</f>
        <v>(abra o arquivo 'Referência 09-2025.xlsm)</v>
      </c>
      <c r="AG173" s="429">
        <f ca="1">ROUND(IF(DESONERACAO="sim",REFERENCIA.Desonerado,REFERENCIA.NaoDesonerado),2)</f>
        <v>0</v>
      </c>
      <c r="AH173" s="430">
        <f t="shared" ca="1" si="50"/>
        <v>0.24740000000000001</v>
      </c>
      <c r="AJ173" s="699"/>
      <c r="AL173" s="440"/>
      <c r="AM173" s="337">
        <f t="shared" ca="1" si="0"/>
        <v>0</v>
      </c>
      <c r="AN173" s="471">
        <f t="shared" ca="1" si="51"/>
        <v>0</v>
      </c>
    </row>
    <row r="174" spans="1:40" s="717" customFormat="1" ht="38.25" x14ac:dyDescent="0.2">
      <c r="A174" s="717" t="str">
        <f t="shared" si="37"/>
        <v>S</v>
      </c>
      <c r="B174" s="717">
        <f t="shared" ca="1" si="38"/>
        <v>2</v>
      </c>
      <c r="C174" s="717" t="str">
        <f t="shared" ca="1" si="39"/>
        <v>S</v>
      </c>
      <c r="D174" s="717">
        <f t="shared" ca="1" si="40"/>
        <v>0</v>
      </c>
      <c r="E174" s="717">
        <f ca="1">IF($C174=1,OFFSET(E174,-1,0)+MAX(1,COUNTIF(QCI!$A$13:$A$15,OFFSET(ORÇAMENTO!E174,-1,0))),OFFSET(E174,-1,0))</f>
        <v>1</v>
      </c>
      <c r="F174" s="717">
        <f t="shared" ca="1" si="41"/>
        <v>22</v>
      </c>
      <c r="G174" s="717">
        <f t="shared" ca="1" si="42"/>
        <v>0</v>
      </c>
      <c r="H174" s="717">
        <f t="shared" ca="1" si="43"/>
        <v>0</v>
      </c>
      <c r="I174" s="717">
        <f t="shared" ca="1" si="44"/>
        <v>0</v>
      </c>
      <c r="J174" s="717">
        <f t="shared" ref="J174:J205" ca="1" si="67">IF(OR($C174="S",$C174=0),0,MATCH(0,OFFSET($D174,1,$C174,ROW($C$231)-ROW($C174)),0))</f>
        <v>0</v>
      </c>
      <c r="K174" s="717">
        <f ca="1">IF(OR($C174="S",$C174=0),0,MATCH(OFFSET($D174,0,$C174)+IF($C174&lt;&gt;1,1,COUNTIF(QCI!$A$13:$A$15,ORÇAMENTO!E174)),OFFSET($D174,1,$C174,ROW($C$231)-ROW($C174)),0))</f>
        <v>0</v>
      </c>
      <c r="L174" s="115" t="str">
        <f t="shared" ca="1" si="45"/>
        <v/>
      </c>
      <c r="M174" s="116" t="s">
        <v>706</v>
      </c>
      <c r="N174" s="117" t="str">
        <f t="shared" ca="1" si="46"/>
        <v>Serviço</v>
      </c>
      <c r="O174" s="118" t="str">
        <f t="shared" ca="1" si="47"/>
        <v>-</v>
      </c>
      <c r="P174" s="119" t="s">
        <v>1066</v>
      </c>
      <c r="Q174" s="120" t="s">
        <v>1142</v>
      </c>
      <c r="R174" s="121" t="str">
        <f ca="1">IF($C174="S",REFERENCIA.Descricao,"(digite a descrição aqui)")</f>
        <v>(abra o arquivo 'Referência 09-2025.xlsm)</v>
      </c>
      <c r="S174" s="122" t="str">
        <f ca="1">REFERENCIA.Unidade</f>
        <v>-</v>
      </c>
      <c r="T174" s="123">
        <f ca="1">OFFSET(CÁLCULO!H$15,ROW($T174)-ROW(T$15),0)</f>
        <v>4</v>
      </c>
      <c r="U174" s="124">
        <f ca="1">ROUND(IF(DESONERACAO="sim",REFERENCIA.Desonerado,REFERENCIA.NaoDesonerado),2)</f>
        <v>0</v>
      </c>
      <c r="V174" s="125" t="s">
        <v>664</v>
      </c>
      <c r="W174" s="123">
        <f ca="1">IF($C174="S",ROUND(IF(TIPOORCAMENTO="Proposto",ORÇAMENTO.CustoUnitario*(1+$AH174),ORÇAMENTO.PrecoUnitarioLicitado),15-13*$AF$10),0)</f>
        <v>0</v>
      </c>
      <c r="X174" s="126" cm="1">
        <f t="array" aca="1" ref="X174" ca="1">IF($C174="S",IF(OR(Import.TipoArredondamento&lt;&gt;"TransfereGOV",ACOMPANHAMENTO="BM"),VTOTAL1,SUM(OFFSET(CÁLCULO!$AA$15,ROW($X174)-ROW($X$15),1):OFFSET(CÁLCULO!$AL$15,ROW($X174)-ROW($X$15),-1))),IF($C174=0,0,ROUND(SomaAgrup,15-13*$AF$11)))</f>
        <v>0</v>
      </c>
      <c r="Y174" s="127" t="s">
        <v>752</v>
      </c>
      <c r="Z174" s="717" t="str">
        <f t="shared" ca="1" si="48"/>
        <v/>
      </c>
      <c r="AA174" s="128">
        <f ca="1">IF($C174="S",IF($Z174="CP",$X174,IF($Z174="RA",(($X174)*QCI!$AA$3),0)),SomaAgrup)</f>
        <v>0</v>
      </c>
      <c r="AB174" s="129">
        <f t="shared" ca="1" si="49"/>
        <v>0</v>
      </c>
      <c r="AC174" s="566" t="str" cm="1">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IF(AND(_xlfn.SINGLE(TIPOORCAMENTO)="Licitado",$AL174=0,$AN174&gt;0),"SEM PREÇO",
IF(AND($C174="S",$P174&lt;&gt;"",$Q174&lt;&gt;"",$U174&gt;0,$V174=0),"BDI",
IF(OR(AND(TIPOORCAMENTO="Proposto",LEFT($O$8,5)&lt;&gt;"(N/D:",$AG174&lt;&gt;"",ORÇAMENTO.CustoUnitario&gt;$AG174),AND(TIPOORCAMENTO="LICITADO",ORÇAMENTO.PrecoUnitarioLicitado&gt;$AN174)),"ACIMA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SEM CUSTO</v>
      </c>
      <c r="AD174" s="717" t="str">
        <f ca="1">IF(C174&lt;=CRONO.NivelExibicao,MAX($AD$15:OFFSET(AD174,-1,0))+IF($C174&lt;&gt;1,1,MAX(1,COUNTIF(QCI!$A$13:$A$15,OFFSET($E174,-1,0)))),"")</f>
        <v/>
      </c>
      <c r="AE174" s="715" t="str">
        <f ca="1">IF(AND($C174="S",ORÇAMENTO.CodBarra&lt;&gt;""),IF(ORÇAMENTO.Fonte="",ORÇAMENTO.CodBarra,CONCATENATE(ORÇAMENTO.Fonte," ",ORÇAMENTO.CodBarra)))</f>
        <v>SEINFRA CO-28390</v>
      </c>
      <c r="AF174" s="716" t="str">
        <f ca="1">IF(ISERROR(INDIRECT(ORÇAMENTO.BancoRef)),"(abra o arquivo 'Referência "&amp;Excel_BuiltIn_Database&amp;".xlsm)",IF(OR($C174&lt;&gt;"S",ORÇAMENTO.CodBarra=""),"(Sem Código)",IF(ISERROR(MATCH($AE174,INDIRECT(ORÇAMENTO.BancoRef),0)),"(Código não identificado nas referências)",MATCH($AE174,INDIRECT(ORÇAMENTO.BancoRef),0))))</f>
        <v>(abra o arquivo 'Referência 09-2025.xlsm)</v>
      </c>
      <c r="AG174" s="429">
        <f ca="1">ROUND(IF(DESONERACAO="sim",REFERENCIA.Desonerado,REFERENCIA.NaoDesonerado),2)</f>
        <v>0</v>
      </c>
      <c r="AH174" s="430">
        <f t="shared" ca="1" si="50"/>
        <v>0.24740000000000001</v>
      </c>
      <c r="AJ174" s="699">
        <v>4</v>
      </c>
      <c r="AL174" s="440"/>
      <c r="AM174" s="337">
        <f t="shared" ca="1" si="0"/>
        <v>0</v>
      </c>
      <c r="AN174" s="471">
        <f t="shared" ca="1" si="51"/>
        <v>0</v>
      </c>
    </row>
    <row r="175" spans="1:40" s="717" customFormat="1" ht="38.25" x14ac:dyDescent="0.2">
      <c r="A175" s="717" t="str">
        <f t="shared" si="37"/>
        <v>S</v>
      </c>
      <c r="B175" s="717">
        <f t="shared" ca="1" si="38"/>
        <v>2</v>
      </c>
      <c r="C175" s="717" t="str">
        <f t="shared" ca="1" si="39"/>
        <v>S</v>
      </c>
      <c r="D175" s="717">
        <f t="shared" ca="1" si="40"/>
        <v>0</v>
      </c>
      <c r="E175" s="717">
        <f ca="1">IF($C175=1,OFFSET(E175,-1,0)+MAX(1,COUNTIF(QCI!$A$13:$A$15,OFFSET(ORÇAMENTO!E175,-1,0))),OFFSET(E175,-1,0))</f>
        <v>1</v>
      </c>
      <c r="F175" s="717">
        <f t="shared" ca="1" si="41"/>
        <v>22</v>
      </c>
      <c r="G175" s="717">
        <f t="shared" ca="1" si="42"/>
        <v>0</v>
      </c>
      <c r="H175" s="717">
        <f t="shared" ca="1" si="43"/>
        <v>0</v>
      </c>
      <c r="I175" s="717">
        <f t="shared" ca="1" si="44"/>
        <v>0</v>
      </c>
      <c r="J175" s="717">
        <f t="shared" ca="1" si="67"/>
        <v>0</v>
      </c>
      <c r="K175" s="717">
        <f ca="1">IF(OR($C175="S",$C175=0),0,MATCH(OFFSET($D175,0,$C175)+IF($C175&lt;&gt;1,1,COUNTIF(QCI!$A$13:$A$15,ORÇAMENTO!E175)),OFFSET($D175,1,$C175,ROW($C$231)-ROW($C175)),0))</f>
        <v>0</v>
      </c>
      <c r="L175" s="115" t="str">
        <f t="shared" ca="1" si="45"/>
        <v/>
      </c>
      <c r="M175" s="116" t="s">
        <v>706</v>
      </c>
      <c r="N175" s="117" t="str">
        <f t="shared" ca="1" si="46"/>
        <v>Serviço</v>
      </c>
      <c r="O175" s="118" t="str">
        <f t="shared" ca="1" si="47"/>
        <v>-</v>
      </c>
      <c r="P175" s="119" t="s">
        <v>1066</v>
      </c>
      <c r="Q175" s="120" t="s">
        <v>1143</v>
      </c>
      <c r="R175" s="121" t="str">
        <f ca="1">IF($C175="S",REFERENCIA.Descricao,"(digite a descrição aqui)")</f>
        <v>(abra o arquivo 'Referência 09-2025.xlsm)</v>
      </c>
      <c r="S175" s="122" t="str">
        <f ca="1">REFERENCIA.Unidade</f>
        <v>-</v>
      </c>
      <c r="T175" s="123">
        <f ca="1">OFFSET(CÁLCULO!H$15,ROW($T175)-ROW(T$15),0)</f>
        <v>80</v>
      </c>
      <c r="U175" s="124">
        <f ca="1">ROUND(IF(DESONERACAO="sim",REFERENCIA.Desonerado,REFERENCIA.NaoDesonerado),2)</f>
        <v>0</v>
      </c>
      <c r="V175" s="125" t="s">
        <v>664</v>
      </c>
      <c r="W175" s="123">
        <f ca="1">IF($C175="S",ROUND(IF(TIPOORCAMENTO="Proposto",ORÇAMENTO.CustoUnitario*(1+$AH175),ORÇAMENTO.PrecoUnitarioLicitado),15-13*$AF$10),0)</f>
        <v>0</v>
      </c>
      <c r="X175" s="126" cm="1">
        <f t="array" aca="1" ref="X175" ca="1">IF($C175="S",IF(OR(Import.TipoArredondamento&lt;&gt;"TransfereGOV",ACOMPANHAMENTO="BM"),VTOTAL1,SUM(OFFSET(CÁLCULO!$AA$15,ROW($X175)-ROW($X$15),1):OFFSET(CÁLCULO!$AL$15,ROW($X175)-ROW($X$15),-1))),IF($C175=0,0,ROUND(SomaAgrup,15-13*$AF$11)))</f>
        <v>0</v>
      </c>
      <c r="Y175" s="127" t="s">
        <v>752</v>
      </c>
      <c r="Z175" s="717" t="str">
        <f t="shared" ca="1" si="48"/>
        <v/>
      </c>
      <c r="AA175" s="128">
        <f ca="1">IF($C175="S",IF($Z175="CP",$X175,IF($Z175="RA",(($X175)*QCI!$AA$3),0)),SomaAgrup)</f>
        <v>0</v>
      </c>
      <c r="AB175" s="129">
        <f t="shared" ca="1" si="49"/>
        <v>0</v>
      </c>
      <c r="AC175" s="566" t="str" cm="1">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IF(AND(_xlfn.SINGLE(TIPOORCAMENTO)="Licitado",$AL175=0,$AN175&gt;0),"SEM PREÇO",
IF(AND($C175="S",$P175&lt;&gt;"",$Q175&lt;&gt;"",$U175&gt;0,$V175=0),"BDI",
IF(OR(AND(TIPOORCAMENTO="Proposto",LEFT($O$8,5)&lt;&gt;"(N/D:",$AG175&lt;&gt;"",ORÇAMENTO.CustoUnitario&gt;$AG175),AND(TIPOORCAMENTO="LICITADO",ORÇAMENTO.PrecoUnitarioLicitado&gt;$AN175)),"ACIMA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SEM CUSTO</v>
      </c>
      <c r="AD175" s="717" t="str">
        <f ca="1">IF(C175&lt;=CRONO.NivelExibicao,MAX($AD$15:OFFSET(AD175,-1,0))+IF($C175&lt;&gt;1,1,MAX(1,COUNTIF(QCI!$A$13:$A$15,OFFSET($E175,-1,0)))),"")</f>
        <v/>
      </c>
      <c r="AE175" s="715" t="str">
        <f ca="1">IF(AND($C175="S",ORÇAMENTO.CodBarra&lt;&gt;""),IF(ORÇAMENTO.Fonte="",ORÇAMENTO.CodBarra,CONCATENATE(ORÇAMENTO.Fonte," ",ORÇAMENTO.CodBarra)))</f>
        <v>SEINFRA CO-28388</v>
      </c>
      <c r="AF175" s="716" t="str">
        <f ca="1">IF(ISERROR(INDIRECT(ORÇAMENTO.BancoRef)),"(abra o arquivo 'Referência "&amp;Excel_BuiltIn_Database&amp;".xlsm)",IF(OR($C175&lt;&gt;"S",ORÇAMENTO.CodBarra=""),"(Sem Código)",IF(ISERROR(MATCH($AE175,INDIRECT(ORÇAMENTO.BancoRef),0)),"(Código não identificado nas referências)",MATCH($AE175,INDIRECT(ORÇAMENTO.BancoRef),0))))</f>
        <v>(abra o arquivo 'Referência 09-2025.xlsm)</v>
      </c>
      <c r="AG175" s="429">
        <f ca="1">ROUND(IF(DESONERACAO="sim",REFERENCIA.Desonerado,REFERENCIA.NaoDesonerado),2)</f>
        <v>0</v>
      </c>
      <c r="AH175" s="430">
        <f t="shared" ca="1" si="50"/>
        <v>0.24740000000000001</v>
      </c>
      <c r="AJ175" s="699">
        <v>80</v>
      </c>
      <c r="AL175" s="440"/>
      <c r="AM175" s="337">
        <f t="shared" ca="1" si="0"/>
        <v>0</v>
      </c>
      <c r="AN175" s="471">
        <f t="shared" ca="1" si="51"/>
        <v>0</v>
      </c>
    </row>
    <row r="176" spans="1:40" s="675" customFormat="1" ht="13.9" customHeight="1" x14ac:dyDescent="0.2">
      <c r="A176" s="675" t="str">
        <f t="shared" si="37"/>
        <v>S</v>
      </c>
      <c r="B176" s="675">
        <f t="shared" ca="1" si="38"/>
        <v>2</v>
      </c>
      <c r="C176" s="675" t="str">
        <f t="shared" ca="1" si="39"/>
        <v>S</v>
      </c>
      <c r="D176" s="675">
        <f t="shared" ca="1" si="40"/>
        <v>0</v>
      </c>
      <c r="E176" s="675">
        <f ca="1">IF($C176=1,OFFSET(E176,-1,0)+MAX(1,COUNTIF(QCI!$A$13:$A$15,OFFSET(ORÇAMENTO!E176,-1,0))),OFFSET(E176,-1,0))</f>
        <v>1</v>
      </c>
      <c r="F176" s="675">
        <f t="shared" ca="1" si="41"/>
        <v>22</v>
      </c>
      <c r="G176" s="675">
        <f t="shared" ca="1" si="42"/>
        <v>0</v>
      </c>
      <c r="H176" s="675">
        <f t="shared" ca="1" si="43"/>
        <v>0</v>
      </c>
      <c r="I176" s="675">
        <f t="shared" ca="1" si="44"/>
        <v>0</v>
      </c>
      <c r="J176" s="675">
        <f t="shared" ca="1" si="67"/>
        <v>0</v>
      </c>
      <c r="K176" s="675">
        <f ca="1">IF(OR($C176="S",$C176=0),0,MATCH(OFFSET($D176,0,$C176)+IF($C176&lt;&gt;1,1,COUNTIF(QCI!$A$13:$A$15,ORÇAMENTO!E176)),OFFSET($D176,1,$C176,ROW($C$231)-ROW($C176)),0))</f>
        <v>0</v>
      </c>
      <c r="L176" s="115" t="str">
        <f t="shared" ca="1" si="45"/>
        <v/>
      </c>
      <c r="M176" s="116" t="s">
        <v>706</v>
      </c>
      <c r="N176" s="117" t="str">
        <f t="shared" ca="1" si="46"/>
        <v>Serviço</v>
      </c>
      <c r="O176" s="118" t="str">
        <f t="shared" ca="1" si="47"/>
        <v>-</v>
      </c>
      <c r="P176" s="119" t="s">
        <v>1066</v>
      </c>
      <c r="Q176" s="692" t="s">
        <v>1138</v>
      </c>
      <c r="R176" s="121" t="str">
        <f ca="1">IF($C176="S",REFERENCIA.Descricao,"(digite a descrição aqui)")</f>
        <v>(abra o arquivo 'Referência 09-2025.xlsm)</v>
      </c>
      <c r="S176" s="122" t="str">
        <f ca="1">REFERENCIA.Unidade</f>
        <v>-</v>
      </c>
      <c r="T176" s="123">
        <f ca="1">OFFSET(CÁLCULO!H$15,ROW($T176)-ROW(T$15),0)</f>
        <v>98</v>
      </c>
      <c r="U176" s="124">
        <f ca="1">ROUND(IF(DESONERACAO="sim",REFERENCIA.Desonerado,REFERENCIA.NaoDesonerado),2)</f>
        <v>0</v>
      </c>
      <c r="V176" s="125" t="s">
        <v>664</v>
      </c>
      <c r="W176" s="123">
        <f ca="1">IF($C176="S",ROUND(IF(TIPOORCAMENTO="Proposto",ORÇAMENTO.CustoUnitario*(1+$AH176),ORÇAMENTO.PrecoUnitarioLicitado),15-13*$AF$10),0)</f>
        <v>0</v>
      </c>
      <c r="X176" s="126" cm="1">
        <f t="array" aca="1" ref="X176" ca="1">IF($C176="S",IF(OR(Import.TipoArredondamento&lt;&gt;"TransfereGOV",ACOMPANHAMENTO="BM"),VTOTAL1,SUM(OFFSET(CÁLCULO!$AA$15,ROW($X176)-ROW($X$15),1):OFFSET(CÁLCULO!$AL$15,ROW($X176)-ROW($X$15),-1))),IF($C176=0,0,ROUND(SomaAgrup,15-13*$AF$11)))</f>
        <v>0</v>
      </c>
      <c r="Y176" s="127" t="s">
        <v>752</v>
      </c>
      <c r="Z176" s="675" t="str">
        <f t="shared" ca="1" si="48"/>
        <v/>
      </c>
      <c r="AA176" s="128">
        <f ca="1">IF($C176="S",IF($Z176="CP",$X176,IF($Z176="RA",(($X176)*QCI!$AA$3),0)),SomaAgrup)</f>
        <v>0</v>
      </c>
      <c r="AB176" s="129">
        <f t="shared" ca="1" si="49"/>
        <v>0</v>
      </c>
      <c r="AC176" s="566" t="str" cm="1">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IF(AND(_xlfn.SINGLE(TIPOORCAMENTO)="Licitado",$AL176=0,$AN176&gt;0),"SEM PREÇO",
IF(AND($C176="S",$P176&lt;&gt;"",$Q176&lt;&gt;"",$U176&gt;0,$V176=0),"BDI",
IF(OR(AND(TIPOORCAMENTO="Proposto",LEFT($O$8,5)&lt;&gt;"(N/D:",$AG176&lt;&gt;"",ORÇAMENTO.CustoUnitario&gt;$AG176),AND(TIPOORCAMENTO="LICITADO",ORÇAMENTO.PrecoUnitarioLicitado&gt;$AN176)),"ACIMA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SEM CUSTO</v>
      </c>
      <c r="AD176" s="675" t="str">
        <f ca="1">IF(C176&lt;=CRONO.NivelExibicao,MAX($AD$15:OFFSET(AD176,-1,0))+IF($C176&lt;&gt;1,1,MAX(1,COUNTIF(QCI!$A$13:$A$15,OFFSET($E176,-1,0)))),"")</f>
        <v/>
      </c>
      <c r="AE176" s="671" t="str">
        <f ca="1">IF(AND($C176="S",ORÇAMENTO.CodBarra&lt;&gt;""),IF(ORÇAMENTO.Fonte="",ORÇAMENTO.CodBarra,CONCATENATE(ORÇAMENTO.Fonte," ",ORÇAMENTO.CodBarra)))</f>
        <v>SEINFRA ED-49741</v>
      </c>
      <c r="AF176" s="674" t="str">
        <f ca="1">IF(ISERROR(INDIRECT(ORÇAMENTO.BancoRef)),"(abra o arquivo 'Referência "&amp;Excel_BuiltIn_Database&amp;".xlsm)",IF(OR($C176&lt;&gt;"S",ORÇAMENTO.CodBarra=""),"(Sem Código)",IF(ISERROR(MATCH($AE176,INDIRECT(ORÇAMENTO.BancoRef),0)),"(Código não identificado nas referências)",MATCH($AE176,INDIRECT(ORÇAMENTO.BancoRef),0))))</f>
        <v>(abra o arquivo 'Referência 09-2025.xlsm)</v>
      </c>
      <c r="AG176" s="429">
        <f ca="1">ROUND(IF(DESONERACAO="sim",REFERENCIA.Desonerado,REFERENCIA.NaoDesonerado),2)</f>
        <v>0</v>
      </c>
      <c r="AH176" s="430">
        <f t="shared" ca="1" si="50"/>
        <v>0.24740000000000001</v>
      </c>
      <c r="AJ176" s="699">
        <v>98</v>
      </c>
      <c r="AL176" s="440"/>
      <c r="AM176" s="337">
        <f t="shared" ca="1" si="0"/>
        <v>0</v>
      </c>
      <c r="AN176" s="471">
        <f t="shared" ca="1" si="51"/>
        <v>0</v>
      </c>
    </row>
    <row r="177" spans="1:40" s="711" customFormat="1" ht="51" x14ac:dyDescent="0.2">
      <c r="A177" s="711" t="str">
        <f>CHOOSE(1+LOG(1+2*(ORÇAMENTO.Nivel="Meta")+4*(ORÇAMENTO.Nivel="Nível 2")+8*(ORÇAMENTO.Nivel="Nível 3")+16*(ORÇAMENTO.Nivel="Nível 4")+32*(ORÇAMENTO.Nivel="Serviço"),2),0,1,2,3,4,"S")</f>
        <v>S</v>
      </c>
      <c r="B177" s="711">
        <f ca="1">IF(OR(C177="s",C177=0),OFFSET(B177,-1,0),C177)</f>
        <v>2</v>
      </c>
      <c r="C177" s="711" t="str">
        <f ca="1">IF(OFFSET(C177,-1,0)="L",1,IF(OFFSET(C177,-1,0)=1,2,IF(OR(A177="s",A177=0),"S",IF(AND(OFFSET(C177,-1,0)=2,A177=4),3,IF(AND(OR(OFFSET(C177,-1,0)="s",OFFSET(C177,-1,0)=0),A177&lt;&gt;"s",A177&gt;OFFSET(B177,-1,0)),OFFSET(B177,-1,0),A177)))))</f>
        <v>S</v>
      </c>
      <c r="D177" s="711">
        <f ca="1">IF(OR(C177="S",C177=0),0,IF(ISERROR(K177),J177,SMALL(J177:K177,1)))</f>
        <v>0</v>
      </c>
      <c r="E177" s="711">
        <f ca="1">IF($C177=1,OFFSET(E177,-1,0)+MAX(1,COUNTIF(QCI!$A$13:$A$15,OFFSET(ORÇAMENTO!E177,-1,0))),OFFSET(E177,-1,0))</f>
        <v>1</v>
      </c>
      <c r="F177" s="711">
        <f ca="1">IF($C177=1,0,IF($C177=2,OFFSET(F177,-1,0)+1,OFFSET(F177,-1,0)))</f>
        <v>22</v>
      </c>
      <c r="G177" s="711">
        <f ca="1">IF(AND($C177&lt;=2,$C177&lt;&gt;0),0,IF($C177=3,OFFSET(G177,-1,0)+1,OFFSET(G177,-1,0)))</f>
        <v>0</v>
      </c>
      <c r="H177" s="711">
        <f ca="1">IF(AND($C177&lt;=3,$C177&lt;&gt;0),0,IF($C177=4,OFFSET(H177,-1,0)+1,OFFSET(H177,-1,0)))</f>
        <v>0</v>
      </c>
      <c r="I177" s="711">
        <f ca="1">IF(AND($C177&lt;=4,$C177&lt;&gt;0),0,IF(AND($C177="S",$X177&gt;0),OFFSET(I177,-1,0)+1,OFFSET(I177,-1,0)))</f>
        <v>0</v>
      </c>
      <c r="J177" s="711">
        <f t="shared" ca="1" si="67"/>
        <v>0</v>
      </c>
      <c r="K177" s="711">
        <f ca="1">IF(OR($C177="S",$C177=0),0,MATCH(OFFSET($D177,0,$C177)+IF($C177&lt;&gt;1,1,COUNTIF(QCI!$A$13:$A$15,ORÇAMENTO!E177)),OFFSET($D177,1,$C177,ROW($C$231)-ROW($C177)),0))</f>
        <v>0</v>
      </c>
      <c r="L177" s="115" t="str">
        <f ca="1">IF(OR($X177&gt;0,$C177=1,$C177=2,$C177=3,$C177=4),"F","")</f>
        <v/>
      </c>
      <c r="M177" s="116" t="s">
        <v>706</v>
      </c>
      <c r="N177" s="117" t="str">
        <f ca="1">CHOOSE(1+LOG(1+2*(C177=1)+4*(C177=2)+8*(C177=3)+16*(C177=4)+32*(C177="S"),2),"","Meta","Nível 2","Nível 3","Nível 4","Serviço")</f>
        <v>Serviço</v>
      </c>
      <c r="O177" s="118" t="str">
        <f ca="1">IF(OR($C177=0,$L177=""),"-",CONCATENATE(E177&amp;".",IF(AND($A$5&gt;=2,$C177&gt;=2),F177&amp;".",""),IF(AND($A$5&gt;=3,$C177&gt;=3),G177&amp;".",""),IF(AND($A$5&gt;=4,$C177&gt;=4),H177&amp;".",""),IF($C177="S",I177&amp;".","")))</f>
        <v>-</v>
      </c>
      <c r="P177" s="119" t="s">
        <v>1066</v>
      </c>
      <c r="Q177" s="120" t="s">
        <v>1136</v>
      </c>
      <c r="R177" s="121" t="str">
        <f ca="1">IF($C177="S",REFERENCIA.Descricao,"(digite a descrição aqui)")</f>
        <v>(abra o arquivo 'Referência 09-2025.xlsm)</v>
      </c>
      <c r="S177" s="122" t="str">
        <f ca="1">REFERENCIA.Unidade</f>
        <v>-</v>
      </c>
      <c r="T177" s="123">
        <f ca="1">OFFSET(CÁLCULO!H$15,ROW($T177)-ROW(T$15),0)</f>
        <v>1</v>
      </c>
      <c r="U177" s="124">
        <f ca="1">ROUND(IF(DESONERACAO="sim",REFERENCIA.Desonerado,REFERENCIA.NaoDesonerado),2)</f>
        <v>0</v>
      </c>
      <c r="V177" s="125" t="s">
        <v>664</v>
      </c>
      <c r="W177" s="123">
        <f ca="1">IF($C177="S",ROUND(IF(TIPOORCAMENTO="Proposto",ORÇAMENTO.CustoUnitario*(1+$AH177),ORÇAMENTO.PrecoUnitarioLicitado),15-13*$AF$10),0)</f>
        <v>0</v>
      </c>
      <c r="X177" s="126" cm="1">
        <f t="array" aca="1" ref="X177" ca="1">IF($C177="S",IF(OR(Import.TipoArredondamento&lt;&gt;"TransfereGOV",ACOMPANHAMENTO="BM"),VTOTAL1,SUM(OFFSET(CÁLCULO!$AA$15,ROW($X177)-ROW($X$15),1):OFFSET(CÁLCULO!$AL$15,ROW($X177)-ROW($X$15),-1))),IF($C177=0,0,ROUND(SomaAgrup,15-13*$AF$11)))</f>
        <v>0</v>
      </c>
      <c r="Y177" s="127" t="s">
        <v>752</v>
      </c>
      <c r="Z177" s="711" t="str">
        <f ca="1">IF(AND($C177="S",$X177&gt;0),IF(ISBLANK($Y177),"RA",LEFT($Y177,2)),"")</f>
        <v/>
      </c>
      <c r="AA177" s="128">
        <f ca="1">IF($C177="S",IF($Z177="CP",$X177,IF($Z177="RA",(($X177)*QCI!$AA$3),0)),SomaAgrup)</f>
        <v>0</v>
      </c>
      <c r="AB177" s="129">
        <f ca="1">IF($C177="S",IF($Z177="OU",ROUND($X177,2),0),SomaAgrup)</f>
        <v>0</v>
      </c>
      <c r="AC177" s="566" t="str" cm="1">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IF(AND(_xlfn.SINGLE(TIPOORCAMENTO)="Licitado",$AL177=0,$AN177&gt;0),"SEM PREÇO",
IF(AND($C177="S",$P177&lt;&gt;"",$Q177&lt;&gt;"",$U177&gt;0,$V177=0),"BDI",
IF(OR(AND(TIPOORCAMENTO="Proposto",LEFT($O$8,5)&lt;&gt;"(N/D:",$AG177&lt;&gt;"",ORÇAMENTO.CustoUnitario&gt;$AG177),AND(TIPOORCAMENTO="LICITADO",ORÇAMENTO.PrecoUnitarioLicitado&gt;$AN177)),"ACIMA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SEM CUSTO</v>
      </c>
      <c r="AD177" s="711" t="str">
        <f ca="1">IF(C177&lt;=CRONO.NivelExibicao,MAX($AD$15:OFFSET(AD177,-1,0))+IF($C177&lt;&gt;1,1,MAX(1,COUNTIF(QCI!$A$13:$A$15,OFFSET($E177,-1,0)))),"")</f>
        <v/>
      </c>
      <c r="AE177" s="709" t="str">
        <f ca="1">IF(AND($C177="S",ORÇAMENTO.CodBarra&lt;&gt;""),IF(ORÇAMENTO.Fonte="",ORÇAMENTO.CodBarra,CONCATENATE(ORÇAMENTO.Fonte," ",ORÇAMENTO.CodBarra)))</f>
        <v>SEINFRA ED-29821</v>
      </c>
      <c r="AF177" s="710" t="str">
        <f ca="1">IF(ISERROR(INDIRECT(ORÇAMENTO.BancoRef)),"(abra o arquivo 'Referência "&amp;Excel_BuiltIn_Database&amp;".xlsm)",IF(OR($C177&lt;&gt;"S",ORÇAMENTO.CodBarra=""),"(Sem Código)",IF(ISERROR(MATCH($AE177,INDIRECT(ORÇAMENTO.BancoRef),0)),"(Código não identificado nas referências)",MATCH($AE177,INDIRECT(ORÇAMENTO.BancoRef),0))))</f>
        <v>(abra o arquivo 'Referência 09-2025.xlsm)</v>
      </c>
      <c r="AG177" s="429">
        <f ca="1">ROUND(IF(DESONERACAO="sim",REFERENCIA.Desonerado,REFERENCIA.NaoDesonerado),2)</f>
        <v>0</v>
      </c>
      <c r="AH177" s="430">
        <f ca="1">ROUND(IF(ISNUMBER(ORÇAMENTO.OpcaoBDI),ORÇAMENTO.OpcaoBDI,IF(LEFT(ORÇAMENTO.OpcaoBDI,3)="BDI",HLOOKUP(ORÇAMENTO.OpcaoBDI,$F$4:$H$5,2,FALSE),0)),15-11*$AF$9)</f>
        <v>0.24740000000000001</v>
      </c>
      <c r="AJ177" s="699">
        <v>1</v>
      </c>
      <c r="AL177" s="440"/>
      <c r="AM177" s="337">
        <f t="shared" ca="1" si="0"/>
        <v>0</v>
      </c>
      <c r="AN177" s="471">
        <f ca="1">ROUND(ORÇAMENTO.CustoUnitario*(1+$AH177),2)</f>
        <v>0</v>
      </c>
    </row>
    <row r="178" spans="1:40" s="714" customFormat="1" ht="38.25" x14ac:dyDescent="0.2">
      <c r="A178" s="714" t="str">
        <f>CHOOSE(1+LOG(1+2*(ORÇAMENTO.Nivel="Meta")+4*(ORÇAMENTO.Nivel="Nível 2")+8*(ORÇAMENTO.Nivel="Nível 3")+16*(ORÇAMENTO.Nivel="Nível 4")+32*(ORÇAMENTO.Nivel="Serviço"),2),0,1,2,3,4,"S")</f>
        <v>S</v>
      </c>
      <c r="B178" s="714">
        <f ca="1">IF(OR(C178="s",C178=0),OFFSET(B178,-1,0),C178)</f>
        <v>2</v>
      </c>
      <c r="C178" s="714" t="str">
        <f ca="1">IF(OFFSET(C178,-1,0)="L",1,IF(OFFSET(C178,-1,0)=1,2,IF(OR(A178="s",A178=0),"S",IF(AND(OFFSET(C178,-1,0)=2,A178=4),3,IF(AND(OR(OFFSET(C178,-1,0)="s",OFFSET(C178,-1,0)=0),A178&lt;&gt;"s",A178&gt;OFFSET(B178,-1,0)),OFFSET(B178,-1,0),A178)))))</f>
        <v>S</v>
      </c>
      <c r="D178" s="714">
        <f ca="1">IF(OR(C178="S",C178=0),0,IF(ISERROR(K178),J178,SMALL(J178:K178,1)))</f>
        <v>0</v>
      </c>
      <c r="E178" s="714">
        <f ca="1">IF($C178=1,OFFSET(E178,-1,0)+MAX(1,COUNTIF(QCI!$A$13:$A$15,OFFSET(ORÇAMENTO!E178,-1,0))),OFFSET(E178,-1,0))</f>
        <v>1</v>
      </c>
      <c r="F178" s="714">
        <f ca="1">IF($C178=1,0,IF($C178=2,OFFSET(F178,-1,0)+1,OFFSET(F178,-1,0)))</f>
        <v>22</v>
      </c>
      <c r="G178" s="714">
        <f ca="1">IF(AND($C178&lt;=2,$C178&lt;&gt;0),0,IF($C178=3,OFFSET(G178,-1,0)+1,OFFSET(G178,-1,0)))</f>
        <v>0</v>
      </c>
      <c r="H178" s="714">
        <f ca="1">IF(AND($C178&lt;=3,$C178&lt;&gt;0),0,IF($C178=4,OFFSET(H178,-1,0)+1,OFFSET(H178,-1,0)))</f>
        <v>0</v>
      </c>
      <c r="I178" s="714">
        <f ca="1">IF(AND($C178&lt;=4,$C178&lt;&gt;0),0,IF(AND($C178="S",$X178&gt;0),OFFSET(I178,-1,0)+1,OFFSET(I178,-1,0)))</f>
        <v>0</v>
      </c>
      <c r="J178" s="714">
        <f t="shared" ca="1" si="67"/>
        <v>0</v>
      </c>
      <c r="K178" s="714">
        <f ca="1">IF(OR($C178="S",$C178=0),0,MATCH(OFFSET($D178,0,$C178)+IF($C178&lt;&gt;1,1,COUNTIF(QCI!$A$13:$A$15,ORÇAMENTO!E178)),OFFSET($D178,1,$C178,ROW($C$231)-ROW($C178)),0))</f>
        <v>0</v>
      </c>
      <c r="L178" s="115" t="str">
        <f ca="1">IF(OR($X178&gt;0,$C178=1,$C178=2,$C178=3,$C178=4),"F","")</f>
        <v/>
      </c>
      <c r="M178" s="116" t="s">
        <v>706</v>
      </c>
      <c r="N178" s="117" t="str">
        <f ca="1">CHOOSE(1+LOG(1+2*(C178=1)+4*(C178=2)+8*(C178=3)+16*(C178=4)+32*(C178="S"),2),"","Meta","Nível 2","Nível 3","Nível 4","Serviço")</f>
        <v>Serviço</v>
      </c>
      <c r="O178" s="118" t="str">
        <f ca="1">IF(OR($C178=0,$L178=""),"-",CONCATENATE(E178&amp;".",IF(AND($A$5&gt;=2,$C178&gt;=2),F178&amp;".",""),IF(AND($A$5&gt;=3,$C178&gt;=3),G178&amp;".",""),IF(AND($A$5&gt;=4,$C178&gt;=4),H178&amp;".",""),IF($C178="S",I178&amp;".","")))</f>
        <v>-</v>
      </c>
      <c r="P178" s="119" t="s">
        <v>1066</v>
      </c>
      <c r="Q178" s="120" t="s">
        <v>1137</v>
      </c>
      <c r="R178" s="121" t="str">
        <f ca="1">IF($C178="S",REFERENCIA.Descricao,"(digite a descrição aqui)")</f>
        <v>(abra o arquivo 'Referência 09-2025.xlsm)</v>
      </c>
      <c r="S178" s="122" t="str">
        <f ca="1">REFERENCIA.Unidade</f>
        <v>-</v>
      </c>
      <c r="T178" s="123">
        <f ca="1">OFFSET(CÁLCULO!H$15,ROW($T178)-ROW(T$15),0)</f>
        <v>30</v>
      </c>
      <c r="U178" s="124">
        <f ca="1">ROUND(IF(DESONERACAO="sim",REFERENCIA.Desonerado,REFERENCIA.NaoDesonerado),2)</f>
        <v>0</v>
      </c>
      <c r="V178" s="125" t="s">
        <v>664</v>
      </c>
      <c r="W178" s="123">
        <f ca="1">IF($C178="S",ROUND(IF(TIPOORCAMENTO="Proposto",ORÇAMENTO.CustoUnitario*(1+$AH178),ORÇAMENTO.PrecoUnitarioLicitado),15-13*$AF$10),0)</f>
        <v>0</v>
      </c>
      <c r="X178" s="126" cm="1">
        <f t="array" aca="1" ref="X178" ca="1">IF($C178="S",IF(OR(Import.TipoArredondamento&lt;&gt;"TransfereGOV",ACOMPANHAMENTO="BM"),VTOTAL1,SUM(OFFSET(CÁLCULO!$AA$15,ROW($X178)-ROW($X$15),1):OFFSET(CÁLCULO!$AL$15,ROW($X178)-ROW($X$15),-1))),IF($C178=0,0,ROUND(SomaAgrup,15-13*$AF$11)))</f>
        <v>0</v>
      </c>
      <c r="Y178" s="127" t="s">
        <v>752</v>
      </c>
      <c r="Z178" s="714" t="str">
        <f ca="1">IF(AND($C178="S",$X178&gt;0),IF(ISBLANK($Y178),"RA",LEFT($Y178,2)),"")</f>
        <v/>
      </c>
      <c r="AA178" s="128">
        <f ca="1">IF($C178="S",IF($Z178="CP",$X178,IF($Z178="RA",(($X178)*QCI!$AA$3),0)),SomaAgrup)</f>
        <v>0</v>
      </c>
      <c r="AB178" s="129">
        <f ca="1">IF($C178="S",IF($Z178="OU",ROUND($X178,2),0),SomaAgrup)</f>
        <v>0</v>
      </c>
      <c r="AC178" s="566" t="str" cm="1">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IF(AND(_xlfn.SINGLE(TIPOORCAMENTO)="Licitado",$AL178=0,$AN178&gt;0),"SEM PREÇO",
IF(AND($C178="S",$P178&lt;&gt;"",$Q178&lt;&gt;"",$U178&gt;0,$V178=0),"BDI",
IF(OR(AND(TIPOORCAMENTO="Proposto",LEFT($O$8,5)&lt;&gt;"(N/D:",$AG178&lt;&gt;"",ORÇAMENTO.CustoUnitario&gt;$AG178),AND(TIPOORCAMENTO="LICITADO",ORÇAMENTO.PrecoUnitarioLicitado&gt;$AN178)),"ACIMA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SEM CUSTO</v>
      </c>
      <c r="AD178" s="714" t="str">
        <f ca="1">IF(C178&lt;=CRONO.NivelExibicao,MAX($AD$15:OFFSET(AD178,-1,0))+IF($C178&lt;&gt;1,1,MAX(1,COUNTIF(QCI!$A$13:$A$15,OFFSET($E178,-1,0)))),"")</f>
        <v/>
      </c>
      <c r="AE178" s="712" t="str">
        <f ca="1">IF(AND($C178="S",ORÇAMENTO.CodBarra&lt;&gt;""),IF(ORÇAMENTO.Fonte="",ORÇAMENTO.CodBarra,CONCATENATE(ORÇAMENTO.Fonte," ",ORÇAMENTO.CodBarra)))</f>
        <v>SEINFRA ED-29822</v>
      </c>
      <c r="AF178" s="713" t="str">
        <f ca="1">IF(ISERROR(INDIRECT(ORÇAMENTO.BancoRef)),"(abra o arquivo 'Referência "&amp;Excel_BuiltIn_Database&amp;".xlsm)",IF(OR($C178&lt;&gt;"S",ORÇAMENTO.CodBarra=""),"(Sem Código)",IF(ISERROR(MATCH($AE178,INDIRECT(ORÇAMENTO.BancoRef),0)),"(Código não identificado nas referências)",MATCH($AE178,INDIRECT(ORÇAMENTO.BancoRef),0))))</f>
        <v>(abra o arquivo 'Referência 09-2025.xlsm)</v>
      </c>
      <c r="AG178" s="429">
        <f ca="1">ROUND(IF(DESONERACAO="sim",REFERENCIA.Desonerado,REFERENCIA.NaoDesonerado),2)</f>
        <v>0</v>
      </c>
      <c r="AH178" s="430">
        <f ca="1">ROUND(IF(ISNUMBER(ORÇAMENTO.OpcaoBDI),ORÇAMENTO.OpcaoBDI,IF(LEFT(ORÇAMENTO.OpcaoBDI,3)="BDI",HLOOKUP(ORÇAMENTO.OpcaoBDI,$F$4:$H$5,2,FALSE),0)),15-11*$AF$9)</f>
        <v>0.24740000000000001</v>
      </c>
      <c r="AJ178" s="699">
        <v>30</v>
      </c>
      <c r="AL178" s="440"/>
      <c r="AM178" s="337">
        <f t="shared" ca="1" si="0"/>
        <v>0</v>
      </c>
      <c r="AN178" s="471">
        <f ca="1">ROUND(ORÇAMENTO.CustoUnitario*(1+$AH178),2)</f>
        <v>0</v>
      </c>
    </row>
    <row r="179" spans="1:40" s="675" customFormat="1" ht="13.9" customHeight="1" x14ac:dyDescent="0.2">
      <c r="A179" s="675" t="str">
        <f t="shared" si="37"/>
        <v>S</v>
      </c>
      <c r="B179" s="675">
        <f t="shared" ca="1" si="38"/>
        <v>2</v>
      </c>
      <c r="C179" s="675" t="str">
        <f t="shared" ca="1" si="39"/>
        <v>S</v>
      </c>
      <c r="D179" s="675">
        <f t="shared" ca="1" si="40"/>
        <v>0</v>
      </c>
      <c r="E179" s="675">
        <f ca="1">IF($C179=1,OFFSET(E179,-1,0)+MAX(1,COUNTIF(QCI!$A$13:$A$15,OFFSET(ORÇAMENTO!E179,-1,0))),OFFSET(E179,-1,0))</f>
        <v>1</v>
      </c>
      <c r="F179" s="675">
        <f t="shared" ca="1" si="41"/>
        <v>22</v>
      </c>
      <c r="G179" s="675">
        <f t="shared" ca="1" si="42"/>
        <v>0</v>
      </c>
      <c r="H179" s="675">
        <f t="shared" ca="1" si="43"/>
        <v>0</v>
      </c>
      <c r="I179" s="675">
        <f t="shared" ca="1" si="44"/>
        <v>0</v>
      </c>
      <c r="J179" s="675">
        <f t="shared" ca="1" si="67"/>
        <v>0</v>
      </c>
      <c r="K179" s="675">
        <f ca="1">IF(OR($C179="S",$C179=0),0,MATCH(OFFSET($D179,0,$C179)+IF($C179&lt;&gt;1,1,COUNTIF(QCI!$A$13:$A$15,ORÇAMENTO!E179)),OFFSET($D179,1,$C179,ROW($C$231)-ROW($C179)),0))</f>
        <v>0</v>
      </c>
      <c r="L179" s="115" t="str">
        <f t="shared" ca="1" si="45"/>
        <v/>
      </c>
      <c r="M179" s="116" t="s">
        <v>706</v>
      </c>
      <c r="N179" s="117" t="str">
        <f t="shared" ca="1" si="46"/>
        <v>Serviço</v>
      </c>
      <c r="O179" s="118" t="str">
        <f t="shared" ca="1" si="47"/>
        <v>-</v>
      </c>
      <c r="P179" s="119" t="s">
        <v>751</v>
      </c>
      <c r="Q179" s="692" t="s">
        <v>1055</v>
      </c>
      <c r="R179" s="121" t="str">
        <f ca="1">IF($C179="S",REFERENCIA.Descricao,"(digite a descrição aqui)")</f>
        <v>(abra o arquivo 'Referência 09-2025.xlsm)</v>
      </c>
      <c r="S179" s="122" t="str">
        <f ca="1">REFERENCIA.Unidade</f>
        <v>-</v>
      </c>
      <c r="T179" s="123">
        <f ca="1">OFFSET(CÁLCULO!H$15,ROW($T179)-ROW(T$15),0)</f>
        <v>2.16</v>
      </c>
      <c r="U179" s="124">
        <f ca="1">ROUND(IF(DESONERACAO="sim",REFERENCIA.Desonerado,REFERENCIA.NaoDesonerado),2)</f>
        <v>0</v>
      </c>
      <c r="V179" s="125" t="s">
        <v>664</v>
      </c>
      <c r="W179" s="123">
        <f ca="1">IF($C179="S",ROUND(IF(TIPOORCAMENTO="Proposto",ORÇAMENTO.CustoUnitario*(1+$AH179),ORÇAMENTO.PrecoUnitarioLicitado),15-13*$AF$10),0)</f>
        <v>0</v>
      </c>
      <c r="X179" s="126" cm="1">
        <f t="array" aca="1" ref="X179" ca="1">IF($C179="S",IF(OR(Import.TipoArredondamento&lt;&gt;"TransfereGOV",ACOMPANHAMENTO="BM"),VTOTAL1,SUM(OFFSET(CÁLCULO!$AA$15,ROW($X179)-ROW($X$15),1):OFFSET(CÁLCULO!$AL$15,ROW($X179)-ROW($X$15),-1))),IF($C179=0,0,ROUND(SomaAgrup,15-13*$AF$11)))</f>
        <v>0</v>
      </c>
      <c r="Y179" s="127" t="s">
        <v>752</v>
      </c>
      <c r="Z179" s="675" t="str">
        <f t="shared" ca="1" si="48"/>
        <v/>
      </c>
      <c r="AA179" s="128">
        <f ca="1">IF($C179="S",IF($Z179="CP",$X179,IF($Z179="RA",(($X179)*QCI!$AA$3),0)),SomaAgrup)</f>
        <v>0</v>
      </c>
      <c r="AB179" s="129">
        <f t="shared" ca="1" si="49"/>
        <v>0</v>
      </c>
      <c r="AC179" s="566" t="str" cm="1">
        <f t="array" aca="1" ref="AC179" ca="1">IF($N179=""," ",
IF(AND($C179&lt;&gt;"S",OR($R179="",$R179="(digite a descrição aqui)")),"DESCRIÇÃO",
IF(AND($C179="S",OR($Q179&lt;&gt;"",$T179&gt;0,$U179&gt;0),$P179=""),"FONTE",
IF(AND($C179="S",$P179&lt;&gt;"",OR($T179&gt;0,$U179&gt;0),$Q179=""),"CÓDIGO",
IF(AND($C179="S",$P179&lt;&gt;"",$Q179&lt;&gt;"",$R179="(Código não identificado nas referências)"),"CÓDIGO N/ID",
IF(AND($C179="S",OR($R179="",$R179="(digite a descrição aqui)"),OR($Q179&lt;&gt;"",$T179&gt;0,$U179&gt;0)),"DESCRIÇÃO",
IF(AND($C179="S",$P179&lt;&gt;"",$Q179&lt;&gt;"",$S179=""),"UNIDADE",
IF(AND($C179="S",$P179&lt;&gt;"",$Q179&lt;&gt;"",$U179=0),"SEM CUSTO",
IF(AND(_xlfn.SINGLE(TIPOORCAMENTO)="Licitado",$AL179=0,$AN179&gt;0),"SEM PREÇO",
IF(AND($C179="S",$P179&lt;&gt;"",$Q179&lt;&gt;"",$U179&gt;0,$V179=0),"BDI",
IF(OR(AND(TIPOORCAMENTO="Proposto",LEFT($O$8,5)&lt;&gt;"(N/D:",$AG179&lt;&gt;"",ORÇAMENTO.CustoUnitario&gt;$AG179),AND(TIPOORCAMENTO="LICITADO",ORÇAMENTO.PrecoUnitarioLicitado&gt;$AN179)),"ACIMA REF.",
IF(AND($C179="S",$P179&lt;&gt;"",$Q179&lt;&gt;"",$T179=0,$U179&gt;0),"QUANT.",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SEM CUSTO</v>
      </c>
      <c r="AD179" s="675" t="str">
        <f ca="1">IF(C179&lt;=CRONO.NivelExibicao,MAX($AD$15:OFFSET(AD179,-1,0))+IF($C179&lt;&gt;1,1,MAX(1,COUNTIF(QCI!$A$13:$A$15,OFFSET($E179,-1,0)))),"")</f>
        <v/>
      </c>
      <c r="AE179" s="671" t="str">
        <f ca="1">IF(AND($C179="S",ORÇAMENTO.CodBarra&lt;&gt;""),IF(ORÇAMENTO.Fonte="",ORÇAMENTO.CodBarra,CONCATENATE(ORÇAMENTO.Fonte," ",ORÇAMENTO.CodBarra)))</f>
        <v>SINAPI 96523</v>
      </c>
      <c r="AF179" s="674" t="str">
        <f ca="1">IF(ISERROR(INDIRECT(ORÇAMENTO.BancoRef)),"(abra o arquivo 'Referência "&amp;Excel_BuiltIn_Database&amp;".xlsm)",IF(OR($C179&lt;&gt;"S",ORÇAMENTO.CodBarra=""),"(Sem Código)",IF(ISERROR(MATCH($AE179,INDIRECT(ORÇAMENTO.BancoRef),0)),"(Código não identificado nas referências)",MATCH($AE179,INDIRECT(ORÇAMENTO.BancoRef),0))))</f>
        <v>(abra o arquivo 'Referência 09-2025.xlsm)</v>
      </c>
      <c r="AG179" s="429">
        <f ca="1">ROUND(IF(DESONERACAO="sim",REFERENCIA.Desonerado,REFERENCIA.NaoDesonerado),2)</f>
        <v>0</v>
      </c>
      <c r="AH179" s="430">
        <f t="shared" ca="1" si="50"/>
        <v>0.24740000000000001</v>
      </c>
      <c r="AJ179" s="699">
        <v>2.16</v>
      </c>
      <c r="AL179" s="440"/>
      <c r="AM179" s="337">
        <f t="shared" ca="1" si="0"/>
        <v>0</v>
      </c>
      <c r="AN179" s="471">
        <f t="shared" ca="1" si="51"/>
        <v>0</v>
      </c>
    </row>
    <row r="180" spans="1:40" s="675" customFormat="1" ht="13.9" customHeight="1" x14ac:dyDescent="0.2">
      <c r="A180" s="675" t="str">
        <f t="shared" si="37"/>
        <v>S</v>
      </c>
      <c r="B180" s="675">
        <f t="shared" ca="1" si="38"/>
        <v>2</v>
      </c>
      <c r="C180" s="675" t="str">
        <f t="shared" ca="1" si="39"/>
        <v>S</v>
      </c>
      <c r="D180" s="675">
        <f t="shared" ca="1" si="40"/>
        <v>0</v>
      </c>
      <c r="E180" s="675">
        <f ca="1">IF($C180=1,OFFSET(E180,-1,0)+MAX(1,COUNTIF(QCI!$A$13:$A$15,OFFSET(ORÇAMENTO!E180,-1,0))),OFFSET(E180,-1,0))</f>
        <v>1</v>
      </c>
      <c r="F180" s="675">
        <f t="shared" ca="1" si="41"/>
        <v>22</v>
      </c>
      <c r="G180" s="675">
        <f t="shared" ca="1" si="42"/>
        <v>0</v>
      </c>
      <c r="H180" s="675">
        <f t="shared" ca="1" si="43"/>
        <v>0</v>
      </c>
      <c r="I180" s="675">
        <f t="shared" ca="1" si="44"/>
        <v>0</v>
      </c>
      <c r="J180" s="675">
        <f t="shared" ca="1" si="67"/>
        <v>0</v>
      </c>
      <c r="K180" s="675">
        <f ca="1">IF(OR($C180="S",$C180=0),0,MATCH(OFFSET($D180,0,$C180)+IF($C180&lt;&gt;1,1,COUNTIF(QCI!$A$13:$A$15,ORÇAMENTO!E180)),OFFSET($D180,1,$C180,ROW($C$231)-ROW($C180)),0))</f>
        <v>0</v>
      </c>
      <c r="L180" s="115" t="str">
        <f t="shared" ca="1" si="45"/>
        <v/>
      </c>
      <c r="M180" s="116" t="s">
        <v>706</v>
      </c>
      <c r="N180" s="117" t="str">
        <f t="shared" ca="1" si="46"/>
        <v>Serviço</v>
      </c>
      <c r="O180" s="118" t="str">
        <f t="shared" ca="1" si="47"/>
        <v>-</v>
      </c>
      <c r="P180" s="119" t="s">
        <v>751</v>
      </c>
      <c r="Q180" s="692" t="s">
        <v>1056</v>
      </c>
      <c r="R180" s="121" t="str">
        <f ca="1">IF($C180="S",REFERENCIA.Descricao,"(digite a descrição aqui)")</f>
        <v>(abra o arquivo 'Referência 09-2025.xlsm)</v>
      </c>
      <c r="S180" s="122" t="str">
        <f ca="1">REFERENCIA.Unidade</f>
        <v>-</v>
      </c>
      <c r="T180" s="123">
        <f ca="1">OFFSET(CÁLCULO!H$15,ROW($T180)-ROW(T$15),0)</f>
        <v>16</v>
      </c>
      <c r="U180" s="124">
        <f ca="1">ROUND(IF(DESONERACAO="sim",REFERENCIA.Desonerado,REFERENCIA.NaoDesonerado),2)</f>
        <v>0</v>
      </c>
      <c r="V180" s="125" t="s">
        <v>664</v>
      </c>
      <c r="W180" s="123">
        <f ca="1">IF($C180="S",ROUND(IF(TIPOORCAMENTO="Proposto",ORÇAMENTO.CustoUnitario*(1+$AH180),ORÇAMENTO.PrecoUnitarioLicitado),15-13*$AF$10),0)</f>
        <v>0</v>
      </c>
      <c r="X180" s="126" cm="1">
        <f t="array" aca="1" ref="X180" ca="1">IF($C180="S",IF(OR(Import.TipoArredondamento&lt;&gt;"TransfereGOV",ACOMPANHAMENTO="BM"),VTOTAL1,SUM(OFFSET(CÁLCULO!$AA$15,ROW($X180)-ROW($X$15),1):OFFSET(CÁLCULO!$AL$15,ROW($X180)-ROW($X$15),-1))),IF($C180=0,0,ROUND(SomaAgrup,15-13*$AF$11)))</f>
        <v>0</v>
      </c>
      <c r="Y180" s="127" t="s">
        <v>752</v>
      </c>
      <c r="Z180" s="675" t="str">
        <f t="shared" ca="1" si="48"/>
        <v/>
      </c>
      <c r="AA180" s="128">
        <f ca="1">IF($C180="S",IF($Z180="CP",$X180,IF($Z180="RA",(($X180)*QCI!$AA$3),0)),SomaAgrup)</f>
        <v>0</v>
      </c>
      <c r="AB180" s="129">
        <f t="shared" ca="1" si="49"/>
        <v>0</v>
      </c>
      <c r="AC180" s="566" t="str" cm="1">
        <f t="array" aca="1" ref="AC180" ca="1">IF($N180=""," ",
IF(AND($C180&lt;&gt;"S",OR($R180="",$R180="(digite a descrição aqui)")),"DESCRIÇÃO",
IF(AND($C180="S",OR($Q180&lt;&gt;"",$T180&gt;0,$U180&gt;0),$P180=""),"FONTE",
IF(AND($C180="S",$P180&lt;&gt;"",OR($T180&gt;0,$U180&gt;0),$Q180=""),"CÓDIGO",
IF(AND($C180="S",$P180&lt;&gt;"",$Q180&lt;&gt;"",$R180="(Código não identificado nas referências)"),"CÓDIGO N/ID",
IF(AND($C180="S",OR($R180="",$R180="(digite a descrição aqui)"),OR($Q180&lt;&gt;"",$T180&gt;0,$U180&gt;0)),"DESCRIÇÃO",
IF(AND($C180="S",$P180&lt;&gt;"",$Q180&lt;&gt;"",$S180=""),"UNIDADE",
IF(AND($C180="S",$P180&lt;&gt;"",$Q180&lt;&gt;"",$U180=0),"SEM CUSTO",
IF(AND(_xlfn.SINGLE(TIPOORCAMENTO)="Licitado",$AL180=0,$AN180&gt;0),"SEM PREÇO",
IF(AND($C180="S",$P180&lt;&gt;"",$Q180&lt;&gt;"",$U180&gt;0,$V180=0),"BDI",
IF(OR(AND(TIPOORCAMENTO="Proposto",LEFT($O$8,5)&lt;&gt;"(N/D:",$AG180&lt;&gt;"",ORÇAMENTO.CustoUnitario&gt;$AG180),AND(TIPOORCAMENTO="LICITADO",ORÇAMENTO.PrecoUnitarioLicitado&gt;$AN180)),"ACIMA REF.",
IF(AND($C180="S",$P180&lt;&gt;"",$Q180&lt;&gt;"",$T180=0,$U180&gt;0),"QUANT.",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SEM CUSTO</v>
      </c>
      <c r="AD180" s="675" t="str">
        <f ca="1">IF(C180&lt;=CRONO.NivelExibicao,MAX($AD$15:OFFSET(AD180,-1,0))+IF($C180&lt;&gt;1,1,MAX(1,COUNTIF(QCI!$A$13:$A$15,OFFSET($E180,-1,0)))),"")</f>
        <v/>
      </c>
      <c r="AE180" s="671" t="str">
        <f ca="1">IF(AND($C180="S",ORÇAMENTO.CodBarra&lt;&gt;""),IF(ORÇAMENTO.Fonte="",ORÇAMENTO.CodBarra,CONCATENATE(ORÇAMENTO.Fonte," ",ORÇAMENTO.CodBarra)))</f>
        <v>SINAPI 100577</v>
      </c>
      <c r="AF180" s="674" t="str">
        <f ca="1">IF(ISERROR(INDIRECT(ORÇAMENTO.BancoRef)),"(abra o arquivo 'Referência "&amp;Excel_BuiltIn_Database&amp;".xlsm)",IF(OR($C180&lt;&gt;"S",ORÇAMENTO.CodBarra=""),"(Sem Código)",IF(ISERROR(MATCH($AE180,INDIRECT(ORÇAMENTO.BancoRef),0)),"(Código não identificado nas referências)",MATCH($AE180,INDIRECT(ORÇAMENTO.BancoRef),0))))</f>
        <v>(abra o arquivo 'Referência 09-2025.xlsm)</v>
      </c>
      <c r="AG180" s="429">
        <f ca="1">ROUND(IF(DESONERACAO="sim",REFERENCIA.Desonerado,REFERENCIA.NaoDesonerado),2)</f>
        <v>0</v>
      </c>
      <c r="AH180" s="430">
        <f t="shared" ca="1" si="50"/>
        <v>0.24740000000000001</v>
      </c>
      <c r="AJ180" s="699">
        <v>16</v>
      </c>
      <c r="AL180" s="440"/>
      <c r="AM180" s="337">
        <f t="shared" ca="1" si="0"/>
        <v>0</v>
      </c>
      <c r="AN180" s="471">
        <f t="shared" ca="1" si="51"/>
        <v>0</v>
      </c>
    </row>
    <row r="181" spans="1:40" s="675" customFormat="1" ht="13.9" customHeight="1" x14ac:dyDescent="0.2">
      <c r="A181" s="675" t="str">
        <f t="shared" si="37"/>
        <v>S</v>
      </c>
      <c r="B181" s="675">
        <f t="shared" ca="1" si="38"/>
        <v>2</v>
      </c>
      <c r="C181" s="675" t="str">
        <f t="shared" ca="1" si="39"/>
        <v>S</v>
      </c>
      <c r="D181" s="675">
        <f t="shared" ca="1" si="40"/>
        <v>0</v>
      </c>
      <c r="E181" s="675">
        <f ca="1">IF($C181=1,OFFSET(E181,-1,0)+MAX(1,COUNTIF(QCI!$A$13:$A$15,OFFSET(ORÇAMENTO!E181,-1,0))),OFFSET(E181,-1,0))</f>
        <v>1</v>
      </c>
      <c r="F181" s="675">
        <f t="shared" ca="1" si="41"/>
        <v>22</v>
      </c>
      <c r="G181" s="675">
        <f t="shared" ca="1" si="42"/>
        <v>0</v>
      </c>
      <c r="H181" s="675">
        <f t="shared" ca="1" si="43"/>
        <v>0</v>
      </c>
      <c r="I181" s="675">
        <f t="shared" ca="1" si="44"/>
        <v>0</v>
      </c>
      <c r="J181" s="675">
        <f t="shared" ca="1" si="67"/>
        <v>0</v>
      </c>
      <c r="K181" s="675">
        <f ca="1">IF(OR($C181="S",$C181=0),0,MATCH(OFFSET($D181,0,$C181)+IF($C181&lt;&gt;1,1,COUNTIF(QCI!$A$13:$A$15,ORÇAMENTO!E181)),OFFSET($D181,1,$C181,ROW($C$231)-ROW($C181)),0))</f>
        <v>0</v>
      </c>
      <c r="L181" s="115" t="str">
        <f t="shared" ca="1" si="45"/>
        <v/>
      </c>
      <c r="M181" s="116" t="s">
        <v>706</v>
      </c>
      <c r="N181" s="117" t="str">
        <f t="shared" ca="1" si="46"/>
        <v>Serviço</v>
      </c>
      <c r="O181" s="118" t="str">
        <f t="shared" ca="1" si="47"/>
        <v>-</v>
      </c>
      <c r="P181" s="119" t="s">
        <v>751</v>
      </c>
      <c r="Q181" s="692" t="s">
        <v>1057</v>
      </c>
      <c r="R181" s="121" t="str">
        <f ca="1">IF($C181="S",REFERENCIA.Descricao,"(digite a descrição aqui)")</f>
        <v>(abra o arquivo 'Referência 09-2025.xlsm)</v>
      </c>
      <c r="S181" s="122" t="str">
        <f ca="1">REFERENCIA.Unidade</f>
        <v>-</v>
      </c>
      <c r="T181" s="123">
        <f ca="1">OFFSET(CÁLCULO!H$15,ROW($T181)-ROW(T$15),0)</f>
        <v>15.82</v>
      </c>
      <c r="U181" s="124">
        <f ca="1">ROUND(IF(DESONERACAO="sim",REFERENCIA.Desonerado,REFERENCIA.NaoDesonerado),2)</f>
        <v>0</v>
      </c>
      <c r="V181" s="125" t="s">
        <v>664</v>
      </c>
      <c r="W181" s="123">
        <f ca="1">IF($C181="S",ROUND(IF(TIPOORCAMENTO="Proposto",ORÇAMENTO.CustoUnitario*(1+$AH181),ORÇAMENTO.PrecoUnitarioLicitado),15-13*$AF$10),0)</f>
        <v>0</v>
      </c>
      <c r="X181" s="126" cm="1">
        <f t="array" aca="1" ref="X181" ca="1">IF($C181="S",IF(OR(Import.TipoArredondamento&lt;&gt;"TransfereGOV",ACOMPANHAMENTO="BM"),VTOTAL1,SUM(OFFSET(CÁLCULO!$AA$15,ROW($X181)-ROW($X$15),1):OFFSET(CÁLCULO!$AL$15,ROW($X181)-ROW($X$15),-1))),IF($C181=0,0,ROUND(SomaAgrup,15-13*$AF$11)))</f>
        <v>0</v>
      </c>
      <c r="Y181" s="127" t="s">
        <v>752</v>
      </c>
      <c r="Z181" s="675" t="str">
        <f t="shared" ca="1" si="48"/>
        <v/>
      </c>
      <c r="AA181" s="128">
        <f ca="1">IF($C181="S",IF($Z181="CP",$X181,IF($Z181="RA",(($X181)*QCI!$AA$3),0)),SomaAgrup)</f>
        <v>0</v>
      </c>
      <c r="AB181" s="129">
        <f t="shared" ca="1" si="49"/>
        <v>0</v>
      </c>
      <c r="AC181" s="566" t="str" cm="1">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IF(AND(_xlfn.SINGLE(TIPOORCAMENTO)="Licitado",$AL181=0,$AN181&gt;0),"SEM PREÇO",
IF(AND($C181="S",$P181&lt;&gt;"",$Q181&lt;&gt;"",$U181&gt;0,$V181=0),"BDI",
IF(OR(AND(TIPOORCAMENTO="Proposto",LEFT($O$8,5)&lt;&gt;"(N/D:",$AG181&lt;&gt;"",ORÇAMENTO.CustoUnitario&gt;$AG181),AND(TIPOORCAMENTO="LICITADO",ORÇAMENTO.PrecoUnitarioLicitado&gt;$AN181)),"ACIMA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SEM CUSTO</v>
      </c>
      <c r="AD181" s="675" t="str">
        <f ca="1">IF(C181&lt;=CRONO.NivelExibicao,MAX($AD$15:OFFSET(AD181,-1,0))+IF($C181&lt;&gt;1,1,MAX(1,COUNTIF(QCI!$A$13:$A$15,OFFSET($E181,-1,0)))),"")</f>
        <v/>
      </c>
      <c r="AE181" s="671" t="str">
        <f ca="1">IF(AND($C181="S",ORÇAMENTO.CodBarra&lt;&gt;""),IF(ORÇAMENTO.Fonte="",ORÇAMENTO.CodBarra,CONCATENATE(ORÇAMENTO.Fonte," ",ORÇAMENTO.CodBarra)))</f>
        <v>SINAPI 96534</v>
      </c>
      <c r="AF181" s="674" t="str">
        <f ca="1">IF(ISERROR(INDIRECT(ORÇAMENTO.BancoRef)),"(abra o arquivo 'Referência "&amp;Excel_BuiltIn_Database&amp;".xlsm)",IF(OR($C181&lt;&gt;"S",ORÇAMENTO.CodBarra=""),"(Sem Código)",IF(ISERROR(MATCH($AE181,INDIRECT(ORÇAMENTO.BancoRef),0)),"(Código não identificado nas referências)",MATCH($AE181,INDIRECT(ORÇAMENTO.BancoRef),0))))</f>
        <v>(abra o arquivo 'Referência 09-2025.xlsm)</v>
      </c>
      <c r="AG181" s="429">
        <f ca="1">ROUND(IF(DESONERACAO="sim",REFERENCIA.Desonerado,REFERENCIA.NaoDesonerado),2)</f>
        <v>0</v>
      </c>
      <c r="AH181" s="430">
        <f t="shared" ca="1" si="50"/>
        <v>0.24740000000000001</v>
      </c>
      <c r="AJ181" s="699">
        <v>15.82</v>
      </c>
      <c r="AL181" s="440"/>
      <c r="AM181" s="337">
        <f t="shared" ca="1" si="0"/>
        <v>0</v>
      </c>
      <c r="AN181" s="471">
        <f t="shared" ca="1" si="51"/>
        <v>0</v>
      </c>
    </row>
    <row r="182" spans="1:40" s="675" customFormat="1" ht="13.9" customHeight="1" x14ac:dyDescent="0.2">
      <c r="A182" s="675" t="str">
        <f t="shared" si="37"/>
        <v>S</v>
      </c>
      <c r="B182" s="675">
        <f t="shared" ca="1" si="38"/>
        <v>2</v>
      </c>
      <c r="C182" s="675" t="str">
        <f t="shared" ca="1" si="39"/>
        <v>S</v>
      </c>
      <c r="D182" s="675">
        <f t="shared" ca="1" si="40"/>
        <v>0</v>
      </c>
      <c r="E182" s="675">
        <f ca="1">IF($C182=1,OFFSET(E182,-1,0)+MAX(1,COUNTIF(QCI!$A$13:$A$15,OFFSET(ORÇAMENTO!E182,-1,0))),OFFSET(E182,-1,0))</f>
        <v>1</v>
      </c>
      <c r="F182" s="675">
        <f t="shared" ca="1" si="41"/>
        <v>22</v>
      </c>
      <c r="G182" s="675">
        <f t="shared" ca="1" si="42"/>
        <v>0</v>
      </c>
      <c r="H182" s="675">
        <f t="shared" ca="1" si="43"/>
        <v>0</v>
      </c>
      <c r="I182" s="675">
        <f t="shared" ca="1" si="44"/>
        <v>0</v>
      </c>
      <c r="J182" s="675">
        <f t="shared" ca="1" si="67"/>
        <v>0</v>
      </c>
      <c r="K182" s="675">
        <f ca="1">IF(OR($C182="S",$C182=0),0,MATCH(OFFSET($D182,0,$C182)+IF($C182&lt;&gt;1,1,COUNTIF(QCI!$A$13:$A$15,ORÇAMENTO!E182)),OFFSET($D182,1,$C182,ROW($C$231)-ROW($C182)),0))</f>
        <v>0</v>
      </c>
      <c r="L182" s="115" t="str">
        <f t="shared" ca="1" si="45"/>
        <v/>
      </c>
      <c r="M182" s="116" t="s">
        <v>706</v>
      </c>
      <c r="N182" s="117" t="str">
        <f t="shared" ca="1" si="46"/>
        <v>Serviço</v>
      </c>
      <c r="O182" s="118" t="str">
        <f t="shared" ca="1" si="47"/>
        <v>-</v>
      </c>
      <c r="P182" s="119" t="s">
        <v>751</v>
      </c>
      <c r="Q182" s="692" t="s">
        <v>1058</v>
      </c>
      <c r="R182" s="121" t="str">
        <f ca="1">IF($C182="S",REFERENCIA.Descricao,"(digite a descrição aqui)")</f>
        <v>(abra o arquivo 'Referência 09-2025.xlsm)</v>
      </c>
      <c r="S182" s="122" t="str">
        <f ca="1">REFERENCIA.Unidade</f>
        <v>-</v>
      </c>
      <c r="T182" s="123">
        <f ca="1">OFFSET(CÁLCULO!H$15,ROW($T182)-ROW(T$15),0)</f>
        <v>0.3</v>
      </c>
      <c r="U182" s="124">
        <f ca="1">ROUND(IF(DESONERACAO="sim",REFERENCIA.Desonerado,REFERENCIA.NaoDesonerado),2)</f>
        <v>0</v>
      </c>
      <c r="V182" s="125" t="s">
        <v>664</v>
      </c>
      <c r="W182" s="123">
        <f ca="1">IF($C182="S",ROUND(IF(TIPOORCAMENTO="Proposto",ORÇAMENTO.CustoUnitario*(1+$AH182),ORÇAMENTO.PrecoUnitarioLicitado),15-13*$AF$10),0)</f>
        <v>0</v>
      </c>
      <c r="X182" s="126" cm="1">
        <f t="array" aca="1" ref="X182" ca="1">IF($C182="S",IF(OR(Import.TipoArredondamento&lt;&gt;"TransfereGOV",ACOMPANHAMENTO="BM"),VTOTAL1,SUM(OFFSET(CÁLCULO!$AA$15,ROW($X182)-ROW($X$15),1):OFFSET(CÁLCULO!$AL$15,ROW($X182)-ROW($X$15),-1))),IF($C182=0,0,ROUND(SomaAgrup,15-13*$AF$11)))</f>
        <v>0</v>
      </c>
      <c r="Y182" s="127" t="s">
        <v>752</v>
      </c>
      <c r="Z182" s="675" t="str">
        <f t="shared" ca="1" si="48"/>
        <v/>
      </c>
      <c r="AA182" s="128">
        <f ca="1">IF($C182="S",IF($Z182="CP",$X182,IF($Z182="RA",(($X182)*QCI!$AA$3),0)),SomaAgrup)</f>
        <v>0</v>
      </c>
      <c r="AB182" s="129">
        <f t="shared" ca="1" si="49"/>
        <v>0</v>
      </c>
      <c r="AC182" s="566" t="str" cm="1">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IF(AND(_xlfn.SINGLE(TIPOORCAMENTO)="Licitado",$AL182=0,$AN182&gt;0),"SEM PREÇO",
IF(AND($C182="S",$P182&lt;&gt;"",$Q182&lt;&gt;"",$U182&gt;0,$V182=0),"BDI",
IF(OR(AND(TIPOORCAMENTO="Proposto",LEFT($O$8,5)&lt;&gt;"(N/D:",$AG182&lt;&gt;"",ORÇAMENTO.CustoUnitario&gt;$AG182),AND(TIPOORCAMENTO="LICITADO",ORÇAMENTO.PrecoUnitarioLicitado&gt;$AN182)),"ACIMA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SEM CUSTO</v>
      </c>
      <c r="AD182" s="675" t="str">
        <f ca="1">IF(C182&lt;=CRONO.NivelExibicao,MAX($AD$15:OFFSET(AD182,-1,0))+IF($C182&lt;&gt;1,1,MAX(1,COUNTIF(QCI!$A$13:$A$15,OFFSET($E182,-1,0)))),"")</f>
        <v/>
      </c>
      <c r="AE182" s="671" t="str">
        <f ca="1">IF(AND($C182="S",ORÇAMENTO.CodBarra&lt;&gt;""),IF(ORÇAMENTO.Fonte="",ORÇAMENTO.CodBarra,CONCATENATE(ORÇAMENTO.Fonte," ",ORÇAMENTO.CodBarra)))</f>
        <v>SINAPI 94962</v>
      </c>
      <c r="AF182" s="674" t="str">
        <f ca="1">IF(ISERROR(INDIRECT(ORÇAMENTO.BancoRef)),"(abra o arquivo 'Referência "&amp;Excel_BuiltIn_Database&amp;".xlsm)",IF(OR($C182&lt;&gt;"S",ORÇAMENTO.CodBarra=""),"(Sem Código)",IF(ISERROR(MATCH($AE182,INDIRECT(ORÇAMENTO.BancoRef),0)),"(Código não identificado nas referências)",MATCH($AE182,INDIRECT(ORÇAMENTO.BancoRef),0))))</f>
        <v>(abra o arquivo 'Referência 09-2025.xlsm)</v>
      </c>
      <c r="AG182" s="429">
        <f ca="1">ROUND(IF(DESONERACAO="sim",REFERENCIA.Desonerado,REFERENCIA.NaoDesonerado),2)</f>
        <v>0</v>
      </c>
      <c r="AH182" s="430">
        <f t="shared" ca="1" si="50"/>
        <v>0.24740000000000001</v>
      </c>
      <c r="AJ182" s="699">
        <v>0.3</v>
      </c>
      <c r="AL182" s="440"/>
      <c r="AM182" s="337">
        <f t="shared" ca="1" si="0"/>
        <v>0</v>
      </c>
      <c r="AN182" s="471">
        <f t="shared" ca="1" si="51"/>
        <v>0</v>
      </c>
    </row>
    <row r="183" spans="1:40" s="675" customFormat="1" ht="13.9" customHeight="1" x14ac:dyDescent="0.2">
      <c r="A183" s="675" t="str">
        <f t="shared" si="37"/>
        <v>S</v>
      </c>
      <c r="B183" s="675">
        <f t="shared" ca="1" si="38"/>
        <v>2</v>
      </c>
      <c r="C183" s="675" t="str">
        <f t="shared" ca="1" si="39"/>
        <v>S</v>
      </c>
      <c r="D183" s="675">
        <f t="shared" ca="1" si="40"/>
        <v>0</v>
      </c>
      <c r="E183" s="675">
        <f ca="1">IF($C183=1,OFFSET(E183,-1,0)+MAX(1,COUNTIF(QCI!$A$13:$A$15,OFFSET(ORÇAMENTO!E183,-1,0))),OFFSET(E183,-1,0))</f>
        <v>1</v>
      </c>
      <c r="F183" s="675">
        <f t="shared" ca="1" si="41"/>
        <v>22</v>
      </c>
      <c r="G183" s="675">
        <f t="shared" ca="1" si="42"/>
        <v>0</v>
      </c>
      <c r="H183" s="675">
        <f t="shared" ca="1" si="43"/>
        <v>0</v>
      </c>
      <c r="I183" s="675">
        <f t="shared" ca="1" si="44"/>
        <v>0</v>
      </c>
      <c r="J183" s="675">
        <f t="shared" ca="1" si="67"/>
        <v>0</v>
      </c>
      <c r="K183" s="675">
        <f ca="1">IF(OR($C183="S",$C183=0),0,MATCH(OFFSET($D183,0,$C183)+IF($C183&lt;&gt;1,1,COUNTIF(QCI!$A$13:$A$15,ORÇAMENTO!E183)),OFFSET($D183,1,$C183,ROW($C$231)-ROW($C183)),0))</f>
        <v>0</v>
      </c>
      <c r="L183" s="115" t="str">
        <f t="shared" ca="1" si="45"/>
        <v/>
      </c>
      <c r="M183" s="116" t="s">
        <v>706</v>
      </c>
      <c r="N183" s="117" t="str">
        <f t="shared" ca="1" si="46"/>
        <v>Serviço</v>
      </c>
      <c r="O183" s="118" t="str">
        <f t="shared" ca="1" si="47"/>
        <v>-</v>
      </c>
      <c r="P183" s="119" t="s">
        <v>751</v>
      </c>
      <c r="Q183" s="692" t="s">
        <v>1059</v>
      </c>
      <c r="R183" s="121" t="str">
        <f ca="1">IF($C183="S",REFERENCIA.Descricao,"(digite a descrição aqui)")</f>
        <v>(abra o arquivo 'Referência 09-2025.xlsm)</v>
      </c>
      <c r="S183" s="122" t="str">
        <f ca="1">REFERENCIA.Unidade</f>
        <v>-</v>
      </c>
      <c r="T183" s="123">
        <f ca="1">OFFSET(CÁLCULO!H$15,ROW($T183)-ROW(T$15),0)</f>
        <v>8.1300000000000008</v>
      </c>
      <c r="U183" s="124">
        <f ca="1">ROUND(IF(DESONERACAO="sim",REFERENCIA.Desonerado,REFERENCIA.NaoDesonerado),2)</f>
        <v>0</v>
      </c>
      <c r="V183" s="125" t="s">
        <v>664</v>
      </c>
      <c r="W183" s="123">
        <f ca="1">IF($C183="S",ROUND(IF(TIPOORCAMENTO="Proposto",ORÇAMENTO.CustoUnitario*(1+$AH183),ORÇAMENTO.PrecoUnitarioLicitado),15-13*$AF$10),0)</f>
        <v>0</v>
      </c>
      <c r="X183" s="126" cm="1">
        <f t="array" aca="1" ref="X183" ca="1">IF($C183="S",IF(OR(Import.TipoArredondamento&lt;&gt;"TransfereGOV",ACOMPANHAMENTO="BM"),VTOTAL1,SUM(OFFSET(CÁLCULO!$AA$15,ROW($X183)-ROW($X$15),1):OFFSET(CÁLCULO!$AL$15,ROW($X183)-ROW($X$15),-1))),IF($C183=0,0,ROUND(SomaAgrup,15-13*$AF$11)))</f>
        <v>0</v>
      </c>
      <c r="Y183" s="127" t="s">
        <v>752</v>
      </c>
      <c r="Z183" s="675" t="str">
        <f t="shared" ca="1" si="48"/>
        <v/>
      </c>
      <c r="AA183" s="128">
        <f ca="1">IF($C183="S",IF($Z183="CP",$X183,IF($Z183="RA",(($X183)*QCI!$AA$3),0)),SomaAgrup)</f>
        <v>0</v>
      </c>
      <c r="AB183" s="129">
        <f t="shared" ca="1" si="49"/>
        <v>0</v>
      </c>
      <c r="AC183" s="566" t="str" cm="1">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IF(AND(_xlfn.SINGLE(TIPOORCAMENTO)="Licitado",$AL183=0,$AN183&gt;0),"SEM PREÇO",
IF(AND($C183="S",$P183&lt;&gt;"",$Q183&lt;&gt;"",$U183&gt;0,$V183=0),"BDI",
IF(OR(AND(TIPOORCAMENTO="Proposto",LEFT($O$8,5)&lt;&gt;"(N/D:",$AG183&lt;&gt;"",ORÇAMENTO.CustoUnitario&gt;$AG183),AND(TIPOORCAMENTO="LICITADO",ORÇAMENTO.PrecoUnitarioLicitado&gt;$AN183)),"ACIMA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SEM CUSTO</v>
      </c>
      <c r="AD183" s="675" t="str">
        <f ca="1">IF(C183&lt;=CRONO.NivelExibicao,MAX($AD$15:OFFSET(AD183,-1,0))+IF($C183&lt;&gt;1,1,MAX(1,COUNTIF(QCI!$A$13:$A$15,OFFSET($E183,-1,0)))),"")</f>
        <v/>
      </c>
      <c r="AE183" s="671" t="str">
        <f ca="1">IF(AND($C183="S",ORÇAMENTO.CodBarra&lt;&gt;""),IF(ORÇAMENTO.Fonte="",ORÇAMENTO.CodBarra,CONCATENATE(ORÇAMENTO.Fonte," ",ORÇAMENTO.CodBarra)))</f>
        <v>SINAPI 96544</v>
      </c>
      <c r="AF183" s="674" t="str">
        <f ca="1">IF(ISERROR(INDIRECT(ORÇAMENTO.BancoRef)),"(abra o arquivo 'Referência "&amp;Excel_BuiltIn_Database&amp;".xlsm)",IF(OR($C183&lt;&gt;"S",ORÇAMENTO.CodBarra=""),"(Sem Código)",IF(ISERROR(MATCH($AE183,INDIRECT(ORÇAMENTO.BancoRef),0)),"(Código não identificado nas referências)",MATCH($AE183,INDIRECT(ORÇAMENTO.BancoRef),0))))</f>
        <v>(abra o arquivo 'Referência 09-2025.xlsm)</v>
      </c>
      <c r="AG183" s="429">
        <f ca="1">ROUND(IF(DESONERACAO="sim",REFERENCIA.Desonerado,REFERENCIA.NaoDesonerado),2)</f>
        <v>0</v>
      </c>
      <c r="AH183" s="430">
        <f t="shared" ca="1" si="50"/>
        <v>0.24740000000000001</v>
      </c>
      <c r="AJ183" s="699">
        <v>8.1300000000000008</v>
      </c>
      <c r="AL183" s="440"/>
      <c r="AM183" s="337">
        <f t="shared" ca="1" si="0"/>
        <v>0</v>
      </c>
      <c r="AN183" s="471">
        <f t="shared" ca="1" si="51"/>
        <v>0</v>
      </c>
    </row>
    <row r="184" spans="1:40" s="675" customFormat="1" ht="13.9" customHeight="1" x14ac:dyDescent="0.2">
      <c r="A184" s="675" t="str">
        <f t="shared" si="37"/>
        <v>S</v>
      </c>
      <c r="B184" s="675">
        <f t="shared" ca="1" si="38"/>
        <v>2</v>
      </c>
      <c r="C184" s="675" t="str">
        <f t="shared" ca="1" si="39"/>
        <v>S</v>
      </c>
      <c r="D184" s="675">
        <f t="shared" ca="1" si="40"/>
        <v>0</v>
      </c>
      <c r="E184" s="675">
        <f ca="1">IF($C184=1,OFFSET(E184,-1,0)+MAX(1,COUNTIF(QCI!$A$13:$A$15,OFFSET(ORÇAMENTO!E184,-1,0))),OFFSET(E184,-1,0))</f>
        <v>1</v>
      </c>
      <c r="F184" s="675">
        <f t="shared" ca="1" si="41"/>
        <v>22</v>
      </c>
      <c r="G184" s="675">
        <f t="shared" ca="1" si="42"/>
        <v>0</v>
      </c>
      <c r="H184" s="675">
        <f t="shared" ca="1" si="43"/>
        <v>0</v>
      </c>
      <c r="I184" s="675">
        <f t="shared" ca="1" si="44"/>
        <v>0</v>
      </c>
      <c r="J184" s="675">
        <f t="shared" ca="1" si="67"/>
        <v>0</v>
      </c>
      <c r="K184" s="675">
        <f ca="1">IF(OR($C184="S",$C184=0),0,MATCH(OFFSET($D184,0,$C184)+IF($C184&lt;&gt;1,1,COUNTIF(QCI!$A$13:$A$15,ORÇAMENTO!E184)),OFFSET($D184,1,$C184,ROW($C$231)-ROW($C184)),0))</f>
        <v>0</v>
      </c>
      <c r="L184" s="115" t="str">
        <f t="shared" ca="1" si="45"/>
        <v/>
      </c>
      <c r="M184" s="116" t="s">
        <v>706</v>
      </c>
      <c r="N184" s="117" t="str">
        <f t="shared" ca="1" si="46"/>
        <v>Serviço</v>
      </c>
      <c r="O184" s="118" t="str">
        <f t="shared" ca="1" si="47"/>
        <v>-</v>
      </c>
      <c r="P184" s="119" t="s">
        <v>751</v>
      </c>
      <c r="Q184" s="692" t="s">
        <v>1060</v>
      </c>
      <c r="R184" s="121" t="str">
        <f ca="1">IF($C184="S",REFERENCIA.Descricao,"(digite a descrição aqui)")</f>
        <v>(abra o arquivo 'Referência 09-2025.xlsm)</v>
      </c>
      <c r="S184" s="122" t="str">
        <f ca="1">REFERENCIA.Unidade</f>
        <v>-</v>
      </c>
      <c r="T184" s="123">
        <f ca="1">OFFSET(CÁLCULO!H$15,ROW($T184)-ROW(T$15),0)</f>
        <v>9.32</v>
      </c>
      <c r="U184" s="124">
        <f ca="1">ROUND(IF(DESONERACAO="sim",REFERENCIA.Desonerado,REFERENCIA.NaoDesonerado),2)</f>
        <v>0</v>
      </c>
      <c r="V184" s="125" t="s">
        <v>664</v>
      </c>
      <c r="W184" s="123">
        <f ca="1">IF($C184="S",ROUND(IF(TIPOORCAMENTO="Proposto",ORÇAMENTO.CustoUnitario*(1+$AH184),ORÇAMENTO.PrecoUnitarioLicitado),15-13*$AF$10),0)</f>
        <v>0</v>
      </c>
      <c r="X184" s="126" cm="1">
        <f t="array" aca="1" ref="X184" ca="1">IF($C184="S",IF(OR(Import.TipoArredondamento&lt;&gt;"TransfereGOV",ACOMPANHAMENTO="BM"),VTOTAL1,SUM(OFFSET(CÁLCULO!$AA$15,ROW($X184)-ROW($X$15),1):OFFSET(CÁLCULO!$AL$15,ROW($X184)-ROW($X$15),-1))),IF($C184=0,0,ROUND(SomaAgrup,15-13*$AF$11)))</f>
        <v>0</v>
      </c>
      <c r="Y184" s="127" t="s">
        <v>752</v>
      </c>
      <c r="Z184" s="675" t="str">
        <f t="shared" ca="1" si="48"/>
        <v/>
      </c>
      <c r="AA184" s="128">
        <f ca="1">IF($C184="S",IF($Z184="CP",$X184,IF($Z184="RA",(($X184)*QCI!$AA$3),0)),SomaAgrup)</f>
        <v>0</v>
      </c>
      <c r="AB184" s="129">
        <f t="shared" ca="1" si="49"/>
        <v>0</v>
      </c>
      <c r="AC184" s="566" t="str" cm="1">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IF(AND(_xlfn.SINGLE(TIPOORCAMENTO)="Licitado",$AL184=0,$AN184&gt;0),"SEM PREÇO",
IF(AND($C184="S",$P184&lt;&gt;"",$Q184&lt;&gt;"",$U184&gt;0,$V184=0),"BDI",
IF(OR(AND(TIPOORCAMENTO="Proposto",LEFT($O$8,5)&lt;&gt;"(N/D:",$AG184&lt;&gt;"",ORÇAMENTO.CustoUnitario&gt;$AG184),AND(TIPOORCAMENTO="LICITADO",ORÇAMENTO.PrecoUnitarioLicitado&gt;$AN184)),"ACIMA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SEM CUSTO</v>
      </c>
      <c r="AD184" s="675" t="str">
        <f ca="1">IF(C184&lt;=CRONO.NivelExibicao,MAX($AD$15:OFFSET(AD184,-1,0))+IF($C184&lt;&gt;1,1,MAX(1,COUNTIF(QCI!$A$13:$A$15,OFFSET($E184,-1,0)))),"")</f>
        <v/>
      </c>
      <c r="AE184" s="671" t="str">
        <f ca="1">IF(AND($C184="S",ORÇAMENTO.CodBarra&lt;&gt;""),IF(ORÇAMENTO.Fonte="",ORÇAMENTO.CodBarra,CONCATENATE(ORÇAMENTO.Fonte," ",ORÇAMENTO.CodBarra)))</f>
        <v>SINAPI 96545</v>
      </c>
      <c r="AF184" s="674" t="str">
        <f ca="1">IF(ISERROR(INDIRECT(ORÇAMENTO.BancoRef)),"(abra o arquivo 'Referência "&amp;Excel_BuiltIn_Database&amp;".xlsm)",IF(OR($C184&lt;&gt;"S",ORÇAMENTO.CodBarra=""),"(Sem Código)",IF(ISERROR(MATCH($AE184,INDIRECT(ORÇAMENTO.BancoRef),0)),"(Código não identificado nas referências)",MATCH($AE184,INDIRECT(ORÇAMENTO.BancoRef),0))))</f>
        <v>(abra o arquivo 'Referência 09-2025.xlsm)</v>
      </c>
      <c r="AG184" s="429">
        <f ca="1">ROUND(IF(DESONERACAO="sim",REFERENCIA.Desonerado,REFERENCIA.NaoDesonerado),2)</f>
        <v>0</v>
      </c>
      <c r="AH184" s="430">
        <f t="shared" ca="1" si="50"/>
        <v>0.24740000000000001</v>
      </c>
      <c r="AJ184" s="699">
        <v>9.32</v>
      </c>
      <c r="AL184" s="440"/>
      <c r="AM184" s="337">
        <f t="shared" ca="1" si="0"/>
        <v>0</v>
      </c>
      <c r="AN184" s="471">
        <f t="shared" ca="1" si="51"/>
        <v>0</v>
      </c>
    </row>
    <row r="185" spans="1:40" s="675" customFormat="1" ht="13.9" customHeight="1" x14ac:dyDescent="0.2">
      <c r="A185" s="675" t="str">
        <f t="shared" si="37"/>
        <v>S</v>
      </c>
      <c r="B185" s="675">
        <f t="shared" ca="1" si="38"/>
        <v>2</v>
      </c>
      <c r="C185" s="675" t="str">
        <f t="shared" ca="1" si="39"/>
        <v>S</v>
      </c>
      <c r="D185" s="675">
        <f t="shared" ca="1" si="40"/>
        <v>0</v>
      </c>
      <c r="E185" s="675">
        <f ca="1">IF($C185=1,OFFSET(E185,-1,0)+MAX(1,COUNTIF(QCI!$A$13:$A$15,OFFSET(ORÇAMENTO!E185,-1,0))),OFFSET(E185,-1,0))</f>
        <v>1</v>
      </c>
      <c r="F185" s="675">
        <f t="shared" ca="1" si="41"/>
        <v>22</v>
      </c>
      <c r="G185" s="675">
        <f t="shared" ca="1" si="42"/>
        <v>0</v>
      </c>
      <c r="H185" s="675">
        <f t="shared" ca="1" si="43"/>
        <v>0</v>
      </c>
      <c r="I185" s="675">
        <f t="shared" ca="1" si="44"/>
        <v>0</v>
      </c>
      <c r="J185" s="675">
        <f t="shared" ca="1" si="67"/>
        <v>0</v>
      </c>
      <c r="K185" s="675">
        <f ca="1">IF(OR($C185="S",$C185=0),0,MATCH(OFFSET($D185,0,$C185)+IF($C185&lt;&gt;1,1,COUNTIF(QCI!$A$13:$A$15,ORÇAMENTO!E185)),OFFSET($D185,1,$C185,ROW($C$231)-ROW($C185)),0))</f>
        <v>0</v>
      </c>
      <c r="L185" s="115" t="str">
        <f t="shared" ca="1" si="45"/>
        <v/>
      </c>
      <c r="M185" s="116" t="s">
        <v>706</v>
      </c>
      <c r="N185" s="117" t="str">
        <f t="shared" ca="1" si="46"/>
        <v>Serviço</v>
      </c>
      <c r="O185" s="118" t="str">
        <f t="shared" ca="1" si="47"/>
        <v>-</v>
      </c>
      <c r="P185" s="119" t="s">
        <v>751</v>
      </c>
      <c r="Q185" s="692" t="s">
        <v>1061</v>
      </c>
      <c r="R185" s="121" t="str">
        <f ca="1">IF($C185="S",REFERENCIA.Descricao,"(digite a descrição aqui)")</f>
        <v>(abra o arquivo 'Referência 09-2025.xlsm)</v>
      </c>
      <c r="S185" s="122" t="str">
        <f ca="1">REFERENCIA.Unidade</f>
        <v>-</v>
      </c>
      <c r="T185" s="123">
        <f ca="1">OFFSET(CÁLCULO!H$15,ROW($T185)-ROW(T$15),0)</f>
        <v>65.41</v>
      </c>
      <c r="U185" s="124">
        <f ca="1">ROUND(IF(DESONERACAO="sim",REFERENCIA.Desonerado,REFERENCIA.NaoDesonerado),2)</f>
        <v>0</v>
      </c>
      <c r="V185" s="125" t="s">
        <v>664</v>
      </c>
      <c r="W185" s="123">
        <f ca="1">IF($C185="S",ROUND(IF(TIPOORCAMENTO="Proposto",ORÇAMENTO.CustoUnitario*(1+$AH185),ORÇAMENTO.PrecoUnitarioLicitado),15-13*$AF$10),0)</f>
        <v>0</v>
      </c>
      <c r="X185" s="126" cm="1">
        <f t="array" aca="1" ref="X185" ca="1">IF($C185="S",IF(OR(Import.TipoArredondamento&lt;&gt;"TransfereGOV",ACOMPANHAMENTO="BM"),VTOTAL1,SUM(OFFSET(CÁLCULO!$AA$15,ROW($X185)-ROW($X$15),1):OFFSET(CÁLCULO!$AL$15,ROW($X185)-ROW($X$15),-1))),IF($C185=0,0,ROUND(SomaAgrup,15-13*$AF$11)))</f>
        <v>0</v>
      </c>
      <c r="Y185" s="127" t="s">
        <v>752</v>
      </c>
      <c r="Z185" s="675" t="str">
        <f t="shared" ca="1" si="48"/>
        <v/>
      </c>
      <c r="AA185" s="128">
        <f ca="1">IF($C185="S",IF($Z185="CP",$X185,IF($Z185="RA",(($X185)*QCI!$AA$3),0)),SomaAgrup)</f>
        <v>0</v>
      </c>
      <c r="AB185" s="129">
        <f t="shared" ca="1" si="49"/>
        <v>0</v>
      </c>
      <c r="AC185" s="566" t="str" cm="1">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IF(AND(_xlfn.SINGLE(TIPOORCAMENTO)="Licitado",$AL185=0,$AN185&gt;0),"SEM PREÇO",
IF(AND($C185="S",$P185&lt;&gt;"",$Q185&lt;&gt;"",$U185&gt;0,$V185=0),"BDI",
IF(OR(AND(TIPOORCAMENTO="Proposto",LEFT($O$8,5)&lt;&gt;"(N/D:",$AG185&lt;&gt;"",ORÇAMENTO.CustoUnitario&gt;$AG185),AND(TIPOORCAMENTO="LICITADO",ORÇAMENTO.PrecoUnitarioLicitado&gt;$AN185)),"ACIMA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SEM CUSTO</v>
      </c>
      <c r="AD185" s="675" t="str">
        <f ca="1">IF(C185&lt;=CRONO.NivelExibicao,MAX($AD$15:OFFSET(AD185,-1,0))+IF($C185&lt;&gt;1,1,MAX(1,COUNTIF(QCI!$A$13:$A$15,OFFSET($E185,-1,0)))),"")</f>
        <v/>
      </c>
      <c r="AE185" s="671" t="str">
        <f ca="1">IF(AND($C185="S",ORÇAMENTO.CodBarra&lt;&gt;""),IF(ORÇAMENTO.Fonte="",ORÇAMENTO.CodBarra,CONCATENATE(ORÇAMENTO.Fonte," ",ORÇAMENTO.CodBarra)))</f>
        <v>SINAPI 96546</v>
      </c>
      <c r="AF185" s="674" t="str">
        <f ca="1">IF(ISERROR(INDIRECT(ORÇAMENTO.BancoRef)),"(abra o arquivo 'Referência "&amp;Excel_BuiltIn_Database&amp;".xlsm)",IF(OR($C185&lt;&gt;"S",ORÇAMENTO.CodBarra=""),"(Sem Código)",IF(ISERROR(MATCH($AE185,INDIRECT(ORÇAMENTO.BancoRef),0)),"(Código não identificado nas referências)",MATCH($AE185,INDIRECT(ORÇAMENTO.BancoRef),0))))</f>
        <v>(abra o arquivo 'Referência 09-2025.xlsm)</v>
      </c>
      <c r="AG185" s="429">
        <f ca="1">ROUND(IF(DESONERACAO="sim",REFERENCIA.Desonerado,REFERENCIA.NaoDesonerado),2)</f>
        <v>0</v>
      </c>
      <c r="AH185" s="430">
        <f t="shared" ca="1" si="50"/>
        <v>0.24740000000000001</v>
      </c>
      <c r="AJ185" s="699">
        <v>65.41</v>
      </c>
      <c r="AL185" s="440"/>
      <c r="AM185" s="337">
        <f t="shared" ca="1" si="0"/>
        <v>0</v>
      </c>
      <c r="AN185" s="471">
        <f t="shared" ca="1" si="51"/>
        <v>0</v>
      </c>
    </row>
    <row r="186" spans="1:40" s="675" customFormat="1" ht="13.9" customHeight="1" x14ac:dyDescent="0.2">
      <c r="A186" s="675" t="str">
        <f t="shared" si="37"/>
        <v>S</v>
      </c>
      <c r="B186" s="675">
        <f t="shared" ca="1" si="38"/>
        <v>2</v>
      </c>
      <c r="C186" s="675" t="str">
        <f t="shared" ca="1" si="39"/>
        <v>S</v>
      </c>
      <c r="D186" s="675">
        <f t="shared" ca="1" si="40"/>
        <v>0</v>
      </c>
      <c r="E186" s="675">
        <f ca="1">IF($C186=1,OFFSET(E186,-1,0)+MAX(1,COUNTIF(QCI!$A$13:$A$15,OFFSET(ORÇAMENTO!E186,-1,0))),OFFSET(E186,-1,0))</f>
        <v>1</v>
      </c>
      <c r="F186" s="675">
        <f t="shared" ca="1" si="41"/>
        <v>22</v>
      </c>
      <c r="G186" s="675">
        <f t="shared" ca="1" si="42"/>
        <v>0</v>
      </c>
      <c r="H186" s="675">
        <f t="shared" ca="1" si="43"/>
        <v>0</v>
      </c>
      <c r="I186" s="675">
        <f t="shared" ca="1" si="44"/>
        <v>0</v>
      </c>
      <c r="J186" s="675">
        <f t="shared" ca="1" si="67"/>
        <v>0</v>
      </c>
      <c r="K186" s="675">
        <f ca="1">IF(OR($C186="S",$C186=0),0,MATCH(OFFSET($D186,0,$C186)+IF($C186&lt;&gt;1,1,COUNTIF(QCI!$A$13:$A$15,ORÇAMENTO!E186)),OFFSET($D186,1,$C186,ROW($C$231)-ROW($C186)),0))</f>
        <v>0</v>
      </c>
      <c r="L186" s="115" t="str">
        <f t="shared" ca="1" si="45"/>
        <v/>
      </c>
      <c r="M186" s="116" t="s">
        <v>706</v>
      </c>
      <c r="N186" s="117" t="str">
        <f t="shared" ca="1" si="46"/>
        <v>Serviço</v>
      </c>
      <c r="O186" s="118" t="str">
        <f t="shared" ca="1" si="47"/>
        <v>-</v>
      </c>
      <c r="P186" s="119" t="s">
        <v>1066</v>
      </c>
      <c r="Q186" s="692" t="s">
        <v>1062</v>
      </c>
      <c r="R186" s="121" t="str">
        <f ca="1">IF($C186="S",REFERENCIA.Descricao,"(digite a descrição aqui)")</f>
        <v>(abra o arquivo 'Referência 09-2025.xlsm)</v>
      </c>
      <c r="S186" s="122" t="str">
        <f ca="1">REFERENCIA.Unidade</f>
        <v>-</v>
      </c>
      <c r="T186" s="123">
        <f ca="1">OFFSET(CÁLCULO!H$15,ROW($T186)-ROW(T$15),0)</f>
        <v>4.55</v>
      </c>
      <c r="U186" s="124">
        <f ca="1">ROUND(IF(DESONERACAO="sim",REFERENCIA.Desonerado,REFERENCIA.NaoDesonerado),2)</f>
        <v>0</v>
      </c>
      <c r="V186" s="125" t="s">
        <v>664</v>
      </c>
      <c r="W186" s="123">
        <f ca="1">IF($C186="S",ROUND(IF(TIPOORCAMENTO="Proposto",ORÇAMENTO.CustoUnitario*(1+$AH186),ORÇAMENTO.PrecoUnitarioLicitado),15-13*$AF$10),0)</f>
        <v>0</v>
      </c>
      <c r="X186" s="126" cm="1">
        <f t="array" aca="1" ref="X186" ca="1">IF($C186="S",IF(OR(Import.TipoArredondamento&lt;&gt;"TransfereGOV",ACOMPANHAMENTO="BM"),VTOTAL1,SUM(OFFSET(CÁLCULO!$AA$15,ROW($X186)-ROW($X$15),1):OFFSET(CÁLCULO!$AL$15,ROW($X186)-ROW($X$15),-1))),IF($C186=0,0,ROUND(SomaAgrup,15-13*$AF$11)))</f>
        <v>0</v>
      </c>
      <c r="Y186" s="127" t="s">
        <v>752</v>
      </c>
      <c r="Z186" s="675" t="str">
        <f t="shared" ca="1" si="48"/>
        <v/>
      </c>
      <c r="AA186" s="128">
        <f ca="1">IF($C186="S",IF($Z186="CP",$X186,IF($Z186="RA",(($X186)*QCI!$AA$3),0)),SomaAgrup)</f>
        <v>0</v>
      </c>
      <c r="AB186" s="129">
        <f t="shared" ca="1" si="49"/>
        <v>0</v>
      </c>
      <c r="AC186" s="566" t="str" cm="1">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IF(AND(_xlfn.SINGLE(TIPOORCAMENTO)="Licitado",$AL186=0,$AN186&gt;0),"SEM PREÇO",
IF(AND($C186="S",$P186&lt;&gt;"",$Q186&lt;&gt;"",$U186&gt;0,$V186=0),"BDI",
IF(OR(AND(TIPOORCAMENTO="Proposto",LEFT($O$8,5)&lt;&gt;"(N/D:",$AG186&lt;&gt;"",ORÇAMENTO.CustoUnitario&gt;$AG186),AND(TIPOORCAMENTO="LICITADO",ORÇAMENTO.PrecoUnitarioLicitado&gt;$AN186)),"ACIMA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SEM CUSTO</v>
      </c>
      <c r="AD186" s="675" t="str">
        <f ca="1">IF(C186&lt;=CRONO.NivelExibicao,MAX($AD$15:OFFSET(AD186,-1,0))+IF($C186&lt;&gt;1,1,MAX(1,COUNTIF(QCI!$A$13:$A$15,OFFSET($E186,-1,0)))),"")</f>
        <v/>
      </c>
      <c r="AE186" s="671" t="str">
        <f ca="1">IF(AND($C186="S",ORÇAMENTO.CodBarra&lt;&gt;""),IF(ORÇAMENTO.Fonte="",ORÇAMENTO.CodBarra,CONCATENATE(ORÇAMENTO.Fonte," ",ORÇAMENTO.CodBarra)))</f>
        <v>SEINFRA ED-49806</v>
      </c>
      <c r="AF186" s="674" t="str">
        <f ca="1">IF(ISERROR(INDIRECT(ORÇAMENTO.BancoRef)),"(abra o arquivo 'Referência "&amp;Excel_BuiltIn_Database&amp;".xlsm)",IF(OR($C186&lt;&gt;"S",ORÇAMENTO.CodBarra=""),"(Sem Código)",IF(ISERROR(MATCH($AE186,INDIRECT(ORÇAMENTO.BancoRef),0)),"(Código não identificado nas referências)",MATCH($AE186,INDIRECT(ORÇAMENTO.BancoRef),0))))</f>
        <v>(abra o arquivo 'Referência 09-2025.xlsm)</v>
      </c>
      <c r="AG186" s="429">
        <f ca="1">ROUND(IF(DESONERACAO="sim",REFERENCIA.Desonerado,REFERENCIA.NaoDesonerado),2)</f>
        <v>0</v>
      </c>
      <c r="AH186" s="430">
        <f t="shared" ca="1" si="50"/>
        <v>0.24740000000000001</v>
      </c>
      <c r="AJ186" s="699">
        <v>4.55</v>
      </c>
      <c r="AL186" s="440"/>
      <c r="AM186" s="337">
        <f t="shared" ca="1" si="0"/>
        <v>0</v>
      </c>
      <c r="AN186" s="471">
        <f t="shared" ca="1" si="51"/>
        <v>0</v>
      </c>
    </row>
    <row r="187" spans="1:40" s="675" customFormat="1" ht="13.9" customHeight="1" x14ac:dyDescent="0.2">
      <c r="A187" s="675" t="str">
        <f t="shared" si="37"/>
        <v>S</v>
      </c>
      <c r="B187" s="675">
        <f t="shared" ca="1" si="38"/>
        <v>2</v>
      </c>
      <c r="C187" s="675" t="str">
        <f t="shared" ca="1" si="39"/>
        <v>S</v>
      </c>
      <c r="D187" s="675">
        <f t="shared" ca="1" si="40"/>
        <v>0</v>
      </c>
      <c r="E187" s="675">
        <f ca="1">IF($C187=1,OFFSET(E187,-1,0)+MAX(1,COUNTIF(QCI!$A$13:$A$15,OFFSET(ORÇAMENTO!E187,-1,0))),OFFSET(E187,-1,0))</f>
        <v>1</v>
      </c>
      <c r="F187" s="675">
        <f t="shared" ca="1" si="41"/>
        <v>22</v>
      </c>
      <c r="G187" s="675">
        <f t="shared" ca="1" si="42"/>
        <v>0</v>
      </c>
      <c r="H187" s="675">
        <f t="shared" ca="1" si="43"/>
        <v>0</v>
      </c>
      <c r="I187" s="675">
        <f t="shared" ca="1" si="44"/>
        <v>0</v>
      </c>
      <c r="J187" s="675">
        <f t="shared" ca="1" si="67"/>
        <v>0</v>
      </c>
      <c r="K187" s="675">
        <f ca="1">IF(OR($C187="S",$C187=0),0,MATCH(OFFSET($D187,0,$C187)+IF($C187&lt;&gt;1,1,COUNTIF(QCI!$A$13:$A$15,ORÇAMENTO!E187)),OFFSET($D187,1,$C187,ROW($C$231)-ROW($C187)),0))</f>
        <v>0</v>
      </c>
      <c r="L187" s="115" t="str">
        <f t="shared" ca="1" si="45"/>
        <v/>
      </c>
      <c r="M187" s="116" t="s">
        <v>706</v>
      </c>
      <c r="N187" s="117" t="str">
        <f t="shared" ca="1" si="46"/>
        <v>Serviço</v>
      </c>
      <c r="O187" s="118" t="str">
        <f t="shared" ca="1" si="47"/>
        <v>-</v>
      </c>
      <c r="P187" s="119" t="s">
        <v>751</v>
      </c>
      <c r="Q187" s="692" t="s">
        <v>1063</v>
      </c>
      <c r="R187" s="121" t="str">
        <f ca="1">IF($C187="S",REFERENCIA.Descricao,"(digite a descrição aqui)")</f>
        <v>(abra o arquivo 'Referência 09-2025.xlsm)</v>
      </c>
      <c r="S187" s="122" t="str">
        <f ca="1">REFERENCIA.Unidade</f>
        <v>-</v>
      </c>
      <c r="T187" s="123">
        <f ca="1">OFFSET(CÁLCULO!H$15,ROW($T187)-ROW(T$15),0)</f>
        <v>37.729999999999997</v>
      </c>
      <c r="U187" s="124">
        <f ca="1">ROUND(IF(DESONERACAO="sim",REFERENCIA.Desonerado,REFERENCIA.NaoDesonerado),2)</f>
        <v>0</v>
      </c>
      <c r="V187" s="125" t="s">
        <v>664</v>
      </c>
      <c r="W187" s="123">
        <f ca="1">IF($C187="S",ROUND(IF(TIPOORCAMENTO="Proposto",ORÇAMENTO.CustoUnitario*(1+$AH187),ORÇAMENTO.PrecoUnitarioLicitado),15-13*$AF$10),0)</f>
        <v>0</v>
      </c>
      <c r="X187" s="126" cm="1">
        <f t="array" aca="1" ref="X187" ca="1">IF($C187="S",IF(OR(Import.TipoArredondamento&lt;&gt;"TransfereGOV",ACOMPANHAMENTO="BM"),VTOTAL1,SUM(OFFSET(CÁLCULO!$AA$15,ROW($X187)-ROW($X$15),1):OFFSET(CÁLCULO!$AL$15,ROW($X187)-ROW($X$15),-1))),IF($C187=0,0,ROUND(SomaAgrup,15-13*$AF$11)))</f>
        <v>0</v>
      </c>
      <c r="Y187" s="127" t="s">
        <v>752</v>
      </c>
      <c r="Z187" s="675" t="str">
        <f t="shared" ca="1" si="48"/>
        <v/>
      </c>
      <c r="AA187" s="128">
        <f ca="1">IF($C187="S",IF($Z187="CP",$X187,IF($Z187="RA",(($X187)*QCI!$AA$3),0)),SomaAgrup)</f>
        <v>0</v>
      </c>
      <c r="AB187" s="129">
        <f t="shared" ca="1" si="49"/>
        <v>0</v>
      </c>
      <c r="AC187" s="566" t="str" cm="1">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IF(AND(_xlfn.SINGLE(TIPOORCAMENTO)="Licitado",$AL187=0,$AN187&gt;0),"SEM PREÇO",
IF(AND($C187="S",$P187&lt;&gt;"",$Q187&lt;&gt;"",$U187&gt;0,$V187=0),"BDI",
IF(OR(AND(TIPOORCAMENTO="Proposto",LEFT($O$8,5)&lt;&gt;"(N/D:",$AG187&lt;&gt;"",ORÇAMENTO.CustoUnitario&gt;$AG187),AND(TIPOORCAMENTO="LICITADO",ORÇAMENTO.PrecoUnitarioLicitado&gt;$AN187)),"ACIMA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SEM CUSTO</v>
      </c>
      <c r="AD187" s="675" t="str">
        <f ca="1">IF(C187&lt;=CRONO.NivelExibicao,MAX($AD$15:OFFSET(AD187,-1,0))+IF($C187&lt;&gt;1,1,MAX(1,COUNTIF(QCI!$A$13:$A$15,OFFSET($E187,-1,0)))),"")</f>
        <v/>
      </c>
      <c r="AE187" s="671" t="str">
        <f ca="1">IF(AND($C187="S",ORÇAMENTO.CodBarra&lt;&gt;""),IF(ORÇAMENTO.Fonte="",ORÇAMENTO.CodBarra,CONCATENATE(ORÇAMENTO.Fonte," ",ORÇAMENTO.CodBarra)))</f>
        <v>SINAPI 104110</v>
      </c>
      <c r="AF187" s="674" t="str">
        <f ca="1">IF(ISERROR(INDIRECT(ORÇAMENTO.BancoRef)),"(abra o arquivo 'Referência "&amp;Excel_BuiltIn_Database&amp;".xlsm)",IF(OR($C187&lt;&gt;"S",ORÇAMENTO.CodBarra=""),"(Sem Código)",IF(ISERROR(MATCH($AE187,INDIRECT(ORÇAMENTO.BancoRef),0)),"(Código não identificado nas referências)",MATCH($AE187,INDIRECT(ORÇAMENTO.BancoRef),0))))</f>
        <v>(abra o arquivo 'Referência 09-2025.xlsm)</v>
      </c>
      <c r="AG187" s="429">
        <f ca="1">ROUND(IF(DESONERACAO="sim",REFERENCIA.Desonerado,REFERENCIA.NaoDesonerado),2)</f>
        <v>0</v>
      </c>
      <c r="AH187" s="430">
        <f t="shared" ca="1" si="50"/>
        <v>0.24740000000000001</v>
      </c>
      <c r="AJ187" s="699">
        <v>37.729999999999997</v>
      </c>
      <c r="AL187" s="440"/>
      <c r="AM187" s="337">
        <f t="shared" ca="1" si="0"/>
        <v>0</v>
      </c>
      <c r="AN187" s="471">
        <f t="shared" ca="1" si="51"/>
        <v>0</v>
      </c>
    </row>
    <row r="188" spans="1:40" s="675" customFormat="1" ht="13.9" customHeight="1" x14ac:dyDescent="0.2">
      <c r="A188" s="675" t="str">
        <f t="shared" si="37"/>
        <v>S</v>
      </c>
      <c r="B188" s="675">
        <f t="shared" ca="1" si="38"/>
        <v>2</v>
      </c>
      <c r="C188" s="675" t="str">
        <f t="shared" ca="1" si="39"/>
        <v>S</v>
      </c>
      <c r="D188" s="675">
        <f t="shared" ca="1" si="40"/>
        <v>0</v>
      </c>
      <c r="E188" s="675">
        <f ca="1">IF($C188=1,OFFSET(E188,-1,0)+MAX(1,COUNTIF(QCI!$A$13:$A$15,OFFSET(ORÇAMENTO!E188,-1,0))),OFFSET(E188,-1,0))</f>
        <v>1</v>
      </c>
      <c r="F188" s="675">
        <f t="shared" ca="1" si="41"/>
        <v>22</v>
      </c>
      <c r="G188" s="675">
        <f t="shared" ca="1" si="42"/>
        <v>0</v>
      </c>
      <c r="H188" s="675">
        <f t="shared" ca="1" si="43"/>
        <v>0</v>
      </c>
      <c r="I188" s="675">
        <f t="shared" ca="1" si="44"/>
        <v>0</v>
      </c>
      <c r="J188" s="675">
        <f t="shared" ca="1" si="67"/>
        <v>0</v>
      </c>
      <c r="K188" s="675">
        <f ca="1">IF(OR($C188="S",$C188=0),0,MATCH(OFFSET($D188,0,$C188)+IF($C188&lt;&gt;1,1,COUNTIF(QCI!$A$13:$A$15,ORÇAMENTO!E188)),OFFSET($D188,1,$C188,ROW($C$231)-ROW($C188)),0))</f>
        <v>0</v>
      </c>
      <c r="L188" s="115" t="str">
        <f t="shared" ca="1" si="45"/>
        <v/>
      </c>
      <c r="M188" s="116" t="s">
        <v>706</v>
      </c>
      <c r="N188" s="117" t="str">
        <f t="shared" ca="1" si="46"/>
        <v>Serviço</v>
      </c>
      <c r="O188" s="118" t="str">
        <f t="shared" ca="1" si="47"/>
        <v>-</v>
      </c>
      <c r="P188" s="119" t="s">
        <v>751</v>
      </c>
      <c r="Q188" s="692" t="s">
        <v>1064</v>
      </c>
      <c r="R188" s="121" t="str">
        <f ca="1">IF($C188="S",REFERENCIA.Descricao,"(digite a descrição aqui)")</f>
        <v>(abra o arquivo 'Referência 09-2025.xlsm)</v>
      </c>
      <c r="S188" s="122" t="str">
        <f ca="1">REFERENCIA.Unidade</f>
        <v>-</v>
      </c>
      <c r="T188" s="123">
        <f ca="1">OFFSET(CÁLCULO!H$15,ROW($T188)-ROW(T$15),0)</f>
        <v>155.47999999999999</v>
      </c>
      <c r="U188" s="124">
        <f ca="1">ROUND(IF(DESONERACAO="sim",REFERENCIA.Desonerado,REFERENCIA.NaoDesonerado),2)</f>
        <v>0</v>
      </c>
      <c r="V188" s="125" t="s">
        <v>664</v>
      </c>
      <c r="W188" s="123">
        <f ca="1">IF($C188="S",ROUND(IF(TIPOORCAMENTO="Proposto",ORÇAMENTO.CustoUnitario*(1+$AH188),ORÇAMENTO.PrecoUnitarioLicitado),15-13*$AF$10),0)</f>
        <v>0</v>
      </c>
      <c r="X188" s="126" cm="1">
        <f t="array" aca="1" ref="X188" ca="1">IF($C188="S",IF(OR(Import.TipoArredondamento&lt;&gt;"TransfereGOV",ACOMPANHAMENTO="BM"),VTOTAL1,SUM(OFFSET(CÁLCULO!$AA$15,ROW($X188)-ROW($X$15),1):OFFSET(CÁLCULO!$AL$15,ROW($X188)-ROW($X$15),-1))),IF($C188=0,0,ROUND(SomaAgrup,15-13*$AF$11)))</f>
        <v>0</v>
      </c>
      <c r="Y188" s="127" t="s">
        <v>752</v>
      </c>
      <c r="Z188" s="675" t="str">
        <f t="shared" ca="1" si="48"/>
        <v/>
      </c>
      <c r="AA188" s="128">
        <f ca="1">IF($C188="S",IF($Z188="CP",$X188,IF($Z188="RA",(($X188)*QCI!$AA$3),0)),SomaAgrup)</f>
        <v>0</v>
      </c>
      <c r="AB188" s="129">
        <f t="shared" ca="1" si="49"/>
        <v>0</v>
      </c>
      <c r="AC188" s="566" t="str" cm="1">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IF(AND(_xlfn.SINGLE(TIPOORCAMENTO)="Licitado",$AL188=0,$AN188&gt;0),"SEM PREÇO",
IF(AND($C188="S",$P188&lt;&gt;"",$Q188&lt;&gt;"",$U188&gt;0,$V188=0),"BDI",
IF(OR(AND(TIPOORCAMENTO="Proposto",LEFT($O$8,5)&lt;&gt;"(N/D:",$AG188&lt;&gt;"",ORÇAMENTO.CustoUnitario&gt;$AG188),AND(TIPOORCAMENTO="LICITADO",ORÇAMENTO.PrecoUnitarioLicitado&gt;$AN188)),"ACIMA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SEM CUSTO</v>
      </c>
      <c r="AD188" s="675" t="str">
        <f ca="1">IF(C188&lt;=CRONO.NivelExibicao,MAX($AD$15:OFFSET(AD188,-1,0))+IF($C188&lt;&gt;1,1,MAX(1,COUNTIF(QCI!$A$13:$A$15,OFFSET($E188,-1,0)))),"")</f>
        <v/>
      </c>
      <c r="AE188" s="671" t="str">
        <f ca="1">IF(AND($C188="S",ORÇAMENTO.CodBarra&lt;&gt;""),IF(ORÇAMENTO.Fonte="",ORÇAMENTO.CodBarra,CONCATENATE(ORÇAMENTO.Fonte," ",ORÇAMENTO.CodBarra)))</f>
        <v>SINAPI 104108</v>
      </c>
      <c r="AF188" s="674" t="str">
        <f ca="1">IF(ISERROR(INDIRECT(ORÇAMENTO.BancoRef)),"(abra o arquivo 'Referência "&amp;Excel_BuiltIn_Database&amp;".xlsm)",IF(OR($C188&lt;&gt;"S",ORÇAMENTO.CodBarra=""),"(Sem Código)",IF(ISERROR(MATCH($AE188,INDIRECT(ORÇAMENTO.BancoRef),0)),"(Código não identificado nas referências)",MATCH($AE188,INDIRECT(ORÇAMENTO.BancoRef),0))))</f>
        <v>(abra o arquivo 'Referência 09-2025.xlsm)</v>
      </c>
      <c r="AG188" s="429">
        <f ca="1">ROUND(IF(DESONERACAO="sim",REFERENCIA.Desonerado,REFERENCIA.NaoDesonerado),2)</f>
        <v>0</v>
      </c>
      <c r="AH188" s="430">
        <f t="shared" ca="1" si="50"/>
        <v>0.24740000000000001</v>
      </c>
      <c r="AJ188" s="699">
        <v>155.47999999999999</v>
      </c>
      <c r="AL188" s="440"/>
      <c r="AM188" s="337">
        <f t="shared" ca="1" si="0"/>
        <v>0</v>
      </c>
      <c r="AN188" s="471">
        <f t="shared" ca="1" si="51"/>
        <v>0</v>
      </c>
    </row>
    <row r="189" spans="1:40" s="720" customFormat="1" ht="25.5" x14ac:dyDescent="0.2">
      <c r="A189" s="720" t="str">
        <f>CHOOSE(1+LOG(1+2*(ORÇAMENTO.Nivel="Meta")+4*(ORÇAMENTO.Nivel="Nível 2")+8*(ORÇAMENTO.Nivel="Nível 3")+16*(ORÇAMENTO.Nivel="Nível 4")+32*(ORÇAMENTO.Nivel="Serviço"),2),0,1,2,3,4,"S")</f>
        <v>S</v>
      </c>
      <c r="B189" s="720">
        <f ca="1">IF(OR(C189="s",C189=0),OFFSET(B189,-1,0),C189)</f>
        <v>2</v>
      </c>
      <c r="C189" s="720" t="str">
        <f ca="1">IF(OFFSET(C189,-1,0)="L",1,IF(OFFSET(C189,-1,0)=1,2,IF(OR(A189="s",A189=0),"S",IF(AND(OFFSET(C189,-1,0)=2,A189=4),3,IF(AND(OR(OFFSET(C189,-1,0)="s",OFFSET(C189,-1,0)=0),A189&lt;&gt;"s",A189&gt;OFFSET(B189,-1,0)),OFFSET(B189,-1,0),A189)))))</f>
        <v>S</v>
      </c>
      <c r="D189" s="720">
        <f ca="1">IF(OR(C189="S",C189=0),0,IF(ISERROR(K189),J189,SMALL(J189:K189,1)))</f>
        <v>0</v>
      </c>
      <c r="E189" s="720">
        <f ca="1">IF($C189=1,OFFSET(E189,-1,0)+MAX(1,COUNTIF(QCI!$A$13:$A$15,OFFSET(ORÇAMENTO!E189,-1,0))),OFFSET(E189,-1,0))</f>
        <v>1</v>
      </c>
      <c r="F189" s="720">
        <f ca="1">IF($C189=1,0,IF($C189=2,OFFSET(F189,-1,0)+1,OFFSET(F189,-1,0)))</f>
        <v>22</v>
      </c>
      <c r="G189" s="720">
        <f ca="1">IF(AND($C189&lt;=2,$C189&lt;&gt;0),0,IF($C189=3,OFFSET(G189,-1,0)+1,OFFSET(G189,-1,0)))</f>
        <v>0</v>
      </c>
      <c r="H189" s="720">
        <f ca="1">IF(AND($C189&lt;=3,$C189&lt;&gt;0),0,IF($C189=4,OFFSET(H189,-1,0)+1,OFFSET(H189,-1,0)))</f>
        <v>0</v>
      </c>
      <c r="I189" s="720">
        <f ca="1">IF(AND($C189&lt;=4,$C189&lt;&gt;0),0,IF(AND($C189="S",$X189&gt;0),OFFSET(I189,-1,0)+1,OFFSET(I189,-1,0)))</f>
        <v>0</v>
      </c>
      <c r="J189" s="720">
        <f t="shared" ca="1" si="67"/>
        <v>0</v>
      </c>
      <c r="K189" s="720">
        <f ca="1">IF(OR($C189="S",$C189=0),0,MATCH(OFFSET($D189,0,$C189)+IF($C189&lt;&gt;1,1,COUNTIF(QCI!$A$13:$A$15,ORÇAMENTO!E189)),OFFSET($D189,1,$C189,ROW($C$231)-ROW($C189)),0))</f>
        <v>0</v>
      </c>
      <c r="L189" s="115" t="str">
        <f ca="1">IF(OR($X189&gt;0,$C189=1,$C189=2,$C189=3,$C189=4),"F","")</f>
        <v/>
      </c>
      <c r="M189" s="116" t="s">
        <v>706</v>
      </c>
      <c r="N189" s="117" t="str">
        <f ca="1">CHOOSE(1+LOG(1+2*(C189=1)+4*(C189=2)+8*(C189=3)+16*(C189=4)+32*(C189="S"),2),"","Meta","Nível 2","Nível 3","Nível 4","Serviço")</f>
        <v>Serviço</v>
      </c>
      <c r="O189" s="118" t="str">
        <f ca="1">IF(OR($C189=0,$L189=""),"-",CONCATENATE(E189&amp;".",IF(AND($A$5&gt;=2,$C189&gt;=2),F189&amp;".",""),IF(AND($A$5&gt;=3,$C189&gt;=3),G189&amp;".",""),IF(AND($A$5&gt;=4,$C189&gt;=4),H189&amp;".",""),IF($C189="S",I189&amp;".","")))</f>
        <v>-</v>
      </c>
      <c r="P189" s="119" t="s">
        <v>751</v>
      </c>
      <c r="Q189" s="120" t="s">
        <v>1151</v>
      </c>
      <c r="R189" s="121" t="str">
        <f ca="1">IF($C189="S",REFERENCIA.Descricao,"(digite a descrição aqui)")</f>
        <v>(abra o arquivo 'Referência 09-2025.xlsm)</v>
      </c>
      <c r="S189" s="122" t="str">
        <f ca="1">REFERENCIA.Unidade</f>
        <v>-</v>
      </c>
      <c r="T189" s="123">
        <f ca="1">OFFSET(CÁLCULO!H$15,ROW($T189)-ROW(T$15),0)</f>
        <v>2.75</v>
      </c>
      <c r="U189" s="124">
        <f ca="1">AG189</f>
        <v>0</v>
      </c>
      <c r="V189" s="125" t="s">
        <v>664</v>
      </c>
      <c r="W189" s="123">
        <f ca="1">IF($C189="S",ROUND(IF(TIPOORCAMENTO="Proposto",ORÇAMENTO.CustoUnitario*(1+$AH189),ORÇAMENTO.PrecoUnitarioLicitado),15-13*$AF$10),0)</f>
        <v>0</v>
      </c>
      <c r="X189" s="126" cm="1">
        <f t="array" aca="1" ref="X189" ca="1">IF($C189="S",IF(OR(Import.TipoArredondamento&lt;&gt;"TransfereGOV",ACOMPANHAMENTO="BM"),VTOTAL1,SUM(OFFSET(CÁLCULO!$AA$15,ROW($X189)-ROW($X$15),1):OFFSET(CÁLCULO!$AL$15,ROW($X189)-ROW($X$15),-1))),IF($C189=0,0,ROUND(SomaAgrup,15-13*$AF$11)))</f>
        <v>0</v>
      </c>
      <c r="Y189" s="127" t="s">
        <v>752</v>
      </c>
      <c r="Z189" s="720" t="str">
        <f ca="1">IF(AND($C189="S",$X189&gt;0),IF(ISBLANK($Y189),"RA",LEFT($Y189,2)),"")</f>
        <v/>
      </c>
      <c r="AA189" s="128">
        <f ca="1">IF($C189="S",IF($Z189="CP",$X189,IF($Z189="RA",(($X189)*QCI!$AA$3),0)),SomaAgrup)</f>
        <v>0</v>
      </c>
      <c r="AB189" s="129">
        <f ca="1">IF($C189="S",IF($Z189="OU",ROUND($X189,2),0),SomaAgrup)</f>
        <v>0</v>
      </c>
      <c r="AC189" s="566" t="str" cm="1">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IF(AND(_xlfn.SINGLE(TIPOORCAMENTO)="Licitado",$AL189=0,$AN189&gt;0),"SEM PREÇO",
IF(AND($C189="S",$P189&lt;&gt;"",$Q189&lt;&gt;"",$U189&gt;0,$V189=0),"BDI",
IF(OR(AND(TIPOORCAMENTO="Proposto",LEFT($O$8,5)&lt;&gt;"(N/D:",$AG189&lt;&gt;"",ORÇAMENTO.CustoUnitario&gt;$AG189),AND(TIPOORCAMENTO="LICITADO",ORÇAMENTO.PrecoUnitarioLicitado&gt;$AN189)),"ACIMA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SEM CUSTO</v>
      </c>
      <c r="AD189" s="720" t="str">
        <f ca="1">IF(C189&lt;=CRONO.NivelExibicao,MAX($AD$15:OFFSET(AD189,-1,0))+IF($C189&lt;&gt;1,1,MAX(1,COUNTIF(QCI!$A$13:$A$15,OFFSET($E189,-1,0)))),"")</f>
        <v/>
      </c>
      <c r="AE189" s="718" t="str">
        <f ca="1">IF(AND($C189="S",ORÇAMENTO.CodBarra&lt;&gt;""),IF(ORÇAMENTO.Fonte="",ORÇAMENTO.CodBarra,CONCATENATE(ORÇAMENTO.Fonte," ",ORÇAMENTO.CodBarra)))</f>
        <v>SINAPI 103072</v>
      </c>
      <c r="AF189" s="719" t="str">
        <f ca="1">IF(ISERROR(INDIRECT(ORÇAMENTO.BancoRef)),"(abra o arquivo 'Referência "&amp;Excel_BuiltIn_Database&amp;".xlsm)",IF(OR($C189&lt;&gt;"S",ORÇAMENTO.CodBarra=""),"(Sem Código)",IF(ISERROR(MATCH($AE189,INDIRECT(ORÇAMENTO.BancoRef),0)),"(Código não identificado nas referências)",MATCH($AE189,INDIRECT(ORÇAMENTO.BancoRef),0))))</f>
        <v>(abra o arquivo 'Referência 09-2025.xlsm)</v>
      </c>
      <c r="AG189" s="429">
        <f ca="1">ROUND(IF(DESONERACAO="sim",REFERENCIA.Desonerado,REFERENCIA.NaoDesonerado),2)</f>
        <v>0</v>
      </c>
      <c r="AH189" s="430">
        <f ca="1">ROUND(IF(ISNUMBER(ORÇAMENTO.OpcaoBDI),ORÇAMENTO.OpcaoBDI,IF(LEFT(ORÇAMENTO.OpcaoBDI,3)="BDI",HLOOKUP(ORÇAMENTO.OpcaoBDI,$F$4:$H$5,2,FALSE),0)),15-11*$AF$9)</f>
        <v>0.24740000000000001</v>
      </c>
      <c r="AJ189" s="699">
        <v>2.75</v>
      </c>
      <c r="AL189" s="440"/>
      <c r="AM189" s="337">
        <f t="shared" ca="1" si="0"/>
        <v>0</v>
      </c>
      <c r="AN189" s="471">
        <f ca="1">ROUND(ORÇAMENTO.CustoUnitario*(1+$AH189),2)</f>
        <v>0</v>
      </c>
    </row>
    <row r="190" spans="1:40" s="675" customFormat="1" x14ac:dyDescent="0.2">
      <c r="A190" s="675">
        <f t="shared" si="37"/>
        <v>2</v>
      </c>
      <c r="B190" s="675">
        <f t="shared" ca="1" si="38"/>
        <v>2</v>
      </c>
      <c r="C190" s="675">
        <f t="shared" ca="1" si="39"/>
        <v>2</v>
      </c>
      <c r="D190" s="675">
        <f t="shared" ca="1" si="40"/>
        <v>5</v>
      </c>
      <c r="E190" s="675">
        <f ca="1">IF($C190=1,OFFSET(E190,-1,0)+MAX(1,COUNTIF(QCI!$A$13:$A$15,OFFSET(ORÇAMENTO!E190,-1,0))),OFFSET(E190,-1,0))</f>
        <v>1</v>
      </c>
      <c r="F190" s="675">
        <f t="shared" ca="1" si="41"/>
        <v>23</v>
      </c>
      <c r="G190" s="675">
        <f t="shared" ca="1" si="42"/>
        <v>0</v>
      </c>
      <c r="H190" s="675">
        <f t="shared" ca="1" si="43"/>
        <v>0</v>
      </c>
      <c r="I190" s="675">
        <f t="shared" ca="1" si="44"/>
        <v>0</v>
      </c>
      <c r="J190" s="675">
        <f t="shared" ca="1" si="67"/>
        <v>41</v>
      </c>
      <c r="K190" s="675">
        <f ca="1">IF(OR($C190="S",$C190=0),0,MATCH(OFFSET($D190,0,$C190)+IF($C190&lt;&gt;1,1,COUNTIF(QCI!$A$13:$A$15,ORÇAMENTO!E190)),OFFSET($D190,1,$C190,ROW($C$231)-ROW($C190)),0))</f>
        <v>5</v>
      </c>
      <c r="L190" s="115" t="str">
        <f t="shared" ca="1" si="45"/>
        <v>F</v>
      </c>
      <c r="M190" s="116" t="s">
        <v>703</v>
      </c>
      <c r="N190" s="117" t="str">
        <f t="shared" ca="1" si="46"/>
        <v>Nível 2</v>
      </c>
      <c r="O190" s="118" t="str">
        <f t="shared" ca="1" si="47"/>
        <v>1.23.</v>
      </c>
      <c r="P190" s="119" t="s">
        <v>751</v>
      </c>
      <c r="Q190" s="120"/>
      <c r="R190" s="121" t="s">
        <v>1067</v>
      </c>
      <c r="S190" s="122" t="str">
        <f ca="1">REFERENCIA.Unidade</f>
        <v>-</v>
      </c>
      <c r="T190" s="123">
        <f ca="1">OFFSET(CÁLCULO!H$15,ROW($T190)-ROW(T$15),0)</f>
        <v>0</v>
      </c>
      <c r="U190" s="124">
        <f ca="1">ROUND(IF(DESONERACAO="sim",REFERENCIA.Desonerado,REFERENCIA.NaoDesonerado),2)</f>
        <v>0</v>
      </c>
      <c r="V190" s="125" t="s">
        <v>664</v>
      </c>
      <c r="W190" s="123">
        <f ca="1">IF($C190="S",ROUND(IF(TIPOORCAMENTO="Proposto",ORÇAMENTO.CustoUnitario*(1+$AH190),ORÇAMENTO.PrecoUnitarioLicitado),15-13*$AF$10),0)</f>
        <v>0</v>
      </c>
      <c r="X190" s="126" cm="1">
        <f t="array" aca="1" ref="X190" ca="1">IF($C190="S",IF(OR(Import.TipoArredondamento&lt;&gt;"TransfereGOV",ACOMPANHAMENTO="BM"),VTOTAL1,SUM(OFFSET(CÁLCULO!$AA$15,ROW($X190)-ROW($X$15),1):OFFSET(CÁLCULO!$AL$15,ROW($X190)-ROW($X$15),-1))),IF($C190=0,0,ROUND(SomaAgrup,15-13*$AF$11)))</f>
        <v>0</v>
      </c>
      <c r="Y190" s="127" t="s">
        <v>752</v>
      </c>
      <c r="Z190" s="675" t="str">
        <f t="shared" ca="1" si="48"/>
        <v/>
      </c>
      <c r="AA190" s="128">
        <f ca="1">IF($C190="S",IF($Z190="CP",$X190,IF($Z190="RA",(($X190)*QCI!$AA$3),0)),SomaAgrup)</f>
        <v>0</v>
      </c>
      <c r="AB190" s="129">
        <f t="shared" ca="1" si="49"/>
        <v>0</v>
      </c>
      <c r="AC190" s="566" t="e" cm="1">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IF(AND(_xlfn.SINGLE(TIPOORCAMENTO)="Licitado",$AL190=0,$AN190&gt;0),"SEM PREÇO",
IF(AND($C190="S",$P190&lt;&gt;"",$Q190&lt;&gt;"",$U190&gt;0,$V190=0),"BDI",
IF(OR(AND(TIPOORCAMENTO="Proposto",LEFT($O$8,5)&lt;&gt;"(N/D:",$AG190&lt;&gt;"",ORÇAMENTO.CustoUnitario&gt;$AG190),AND(TIPOORCAMENTO="LICITADO",ORÇAMENTO.PrecoUnitarioLicitado&gt;$AN190)),"ACIMA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#NAME?</v>
      </c>
      <c r="AD190" s="675">
        <f ca="1">IF(C190&lt;=CRONO.NivelExibicao,MAX($AD$15:OFFSET(AD190,-1,0))+IF($C190&lt;&gt;1,1,MAX(1,COUNTIF(QCI!$A$13:$A$15,OFFSET($E190,-1,0)))),"")</f>
        <v>24</v>
      </c>
      <c r="AE190" s="671" t="b">
        <f ca="1">IF(AND($C190="S",ORÇAMENTO.CodBarra&lt;&gt;""),IF(ORÇAMENTO.Fonte="",ORÇAMENTO.CodBarra,CONCATENATE(ORÇAMENTO.Fonte," ",ORÇAMENTO.CodBarra)))</f>
        <v>0</v>
      </c>
      <c r="AF190" s="674" t="str">
        <f ca="1">IF(ISERROR(INDIRECT(ORÇAMENTO.BancoRef)),"(abra o arquivo 'Referência "&amp;Excel_BuiltIn_Database&amp;".xlsm)",IF(OR($C190&lt;&gt;"S",ORÇAMENTO.CodBarra=""),"(Sem Código)",IF(ISERROR(MATCH($AE190,INDIRECT(ORÇAMENTO.BancoRef),0)),"(Código não identificado nas referências)",MATCH($AE190,INDIRECT(ORÇAMENTO.BancoRef),0))))</f>
        <v>(abra o arquivo 'Referência 09-2025.xlsm)</v>
      </c>
      <c r="AG190" s="429">
        <f ca="1">ROUND(IF(DESONERACAO="sim",REFERENCIA.Desonerado,REFERENCIA.NaoDesonerado),2)</f>
        <v>0</v>
      </c>
      <c r="AH190" s="430">
        <f t="shared" ca="1" si="50"/>
        <v>0.24740000000000001</v>
      </c>
      <c r="AJ190" s="699"/>
      <c r="AL190" s="440"/>
      <c r="AM190" s="337">
        <f t="shared" ca="1" si="0"/>
        <v>0</v>
      </c>
      <c r="AN190" s="471">
        <f t="shared" ca="1" si="51"/>
        <v>0</v>
      </c>
    </row>
    <row r="191" spans="1:40" s="675" customFormat="1" ht="13.9" customHeight="1" x14ac:dyDescent="0.2">
      <c r="A191" s="675" t="str">
        <f t="shared" si="37"/>
        <v>S</v>
      </c>
      <c r="B191" s="675">
        <f t="shared" ca="1" si="38"/>
        <v>2</v>
      </c>
      <c r="C191" s="675" t="str">
        <f t="shared" ca="1" si="39"/>
        <v>S</v>
      </c>
      <c r="D191" s="675">
        <f t="shared" ca="1" si="40"/>
        <v>0</v>
      </c>
      <c r="E191" s="675">
        <f ca="1">IF($C191=1,OFFSET(E191,-1,0)+MAX(1,COUNTIF(QCI!$A$13:$A$15,OFFSET(ORÇAMENTO!E191,-1,0))),OFFSET(E191,-1,0))</f>
        <v>1</v>
      </c>
      <c r="F191" s="675">
        <f t="shared" ca="1" si="41"/>
        <v>23</v>
      </c>
      <c r="G191" s="675">
        <f t="shared" ca="1" si="42"/>
        <v>0</v>
      </c>
      <c r="H191" s="675">
        <f t="shared" ca="1" si="43"/>
        <v>0</v>
      </c>
      <c r="I191" s="675">
        <f t="shared" ca="1" si="44"/>
        <v>0</v>
      </c>
      <c r="J191" s="675">
        <f t="shared" ca="1" si="67"/>
        <v>0</v>
      </c>
      <c r="K191" s="675">
        <f ca="1">IF(OR($C191="S",$C191=0),0,MATCH(OFFSET($D191,0,$C191)+IF($C191&lt;&gt;1,1,COUNTIF(QCI!$A$13:$A$15,ORÇAMENTO!E191)),OFFSET($D191,1,$C191,ROW($C$231)-ROW($C191)),0))</f>
        <v>0</v>
      </c>
      <c r="L191" s="115" t="str">
        <f t="shared" ca="1" si="45"/>
        <v/>
      </c>
      <c r="M191" s="116" t="s">
        <v>706</v>
      </c>
      <c r="N191" s="117" t="str">
        <f t="shared" ca="1" si="46"/>
        <v>Serviço</v>
      </c>
      <c r="O191" s="118" t="str">
        <f t="shared" ca="1" si="47"/>
        <v>-</v>
      </c>
      <c r="P191" s="119" t="s">
        <v>751</v>
      </c>
      <c r="Q191" s="693" t="s">
        <v>1068</v>
      </c>
      <c r="R191" s="121" t="str">
        <f ca="1">IF($C191="S",REFERENCIA.Descricao,"(digite a descrição aqui)")</f>
        <v>(abra o arquivo 'Referência 09-2025.xlsm)</v>
      </c>
      <c r="S191" s="122" t="str">
        <f ca="1">REFERENCIA.Unidade</f>
        <v>-</v>
      </c>
      <c r="T191" s="123">
        <f ca="1">OFFSET(CÁLCULO!H$15,ROW($T191)-ROW(T$15),0)</f>
        <v>10.3</v>
      </c>
      <c r="U191" s="124">
        <f ca="1">ROUND(IF(DESONERACAO="sim",REFERENCIA.Desonerado,REFERENCIA.NaoDesonerado),2)</f>
        <v>0</v>
      </c>
      <c r="V191" s="125" t="s">
        <v>664</v>
      </c>
      <c r="W191" s="123">
        <f ca="1">IF($C191="S",ROUND(IF(TIPOORCAMENTO="Proposto",ORÇAMENTO.CustoUnitario*(1+$AH191),ORÇAMENTO.PrecoUnitarioLicitado),15-13*$AF$10),0)</f>
        <v>0</v>
      </c>
      <c r="X191" s="126" cm="1">
        <f t="array" aca="1" ref="X191" ca="1">IF($C191="S",IF(OR(Import.TipoArredondamento&lt;&gt;"TransfereGOV",ACOMPANHAMENTO="BM"),VTOTAL1,SUM(OFFSET(CÁLCULO!$AA$15,ROW($X191)-ROW($X$15),1):OFFSET(CÁLCULO!$AL$15,ROW($X191)-ROW($X$15),-1))),IF($C191=0,0,ROUND(SomaAgrup,15-13*$AF$11)))</f>
        <v>0</v>
      </c>
      <c r="Y191" s="127" t="s">
        <v>752</v>
      </c>
      <c r="Z191" s="675" t="str">
        <f t="shared" ca="1" si="48"/>
        <v/>
      </c>
      <c r="AA191" s="128">
        <f ca="1">IF($C191="S",IF($Z191="CP",$X191,IF($Z191="RA",(($X191)*QCI!$AA$3),0)),SomaAgrup)</f>
        <v>0</v>
      </c>
      <c r="AB191" s="129">
        <f t="shared" ca="1" si="49"/>
        <v>0</v>
      </c>
      <c r="AC191" s="566" t="str" cm="1">
        <f t="array" aca="1" ref="AC191" ca="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IF(AND(_xlfn.SINGLE(TIPOORCAMENTO)="Licitado",$AL191=0,$AN191&gt;0),"SEM PREÇO",
IF(AND($C191="S",$P191&lt;&gt;"",$Q191&lt;&gt;"",$U191&gt;0,$V191=0),"BDI",
IF(OR(AND(TIPOORCAMENTO="Proposto",LEFT($O$8,5)&lt;&gt;"(N/D:",$AG191&lt;&gt;"",ORÇAMENTO.CustoUnitario&gt;$AG191),AND(TIPOORCAMENTO="LICITADO",ORÇAMENTO.PrecoUnitarioLicitado&gt;$AN191)),"ACIMA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SEM CUSTO</v>
      </c>
      <c r="AD191" s="675" t="str">
        <f ca="1">IF(C191&lt;=CRONO.NivelExibicao,MAX($AD$15:OFFSET(AD191,-1,0))+IF($C191&lt;&gt;1,1,MAX(1,COUNTIF(QCI!$A$13:$A$15,OFFSET($E191,-1,0)))),"")</f>
        <v/>
      </c>
      <c r="AE191" s="671" t="str">
        <f ca="1">IF(AND($C191="S",ORÇAMENTO.CodBarra&lt;&gt;""),IF(ORÇAMENTO.Fonte="",ORÇAMENTO.CodBarra,CONCATENATE(ORÇAMENTO.Fonte," ",ORÇAMENTO.CodBarra)))</f>
        <v>SINAPI 97086</v>
      </c>
      <c r="AF191" s="674" t="str">
        <f ca="1">IF(ISERROR(INDIRECT(ORÇAMENTO.BancoRef)),"(abra o arquivo 'Referência "&amp;Excel_BuiltIn_Database&amp;".xlsm)",IF(OR($C191&lt;&gt;"S",ORÇAMENTO.CodBarra=""),"(Sem Código)",IF(ISERROR(MATCH($AE191,INDIRECT(ORÇAMENTO.BancoRef),0)),"(Código não identificado nas referências)",MATCH($AE191,INDIRECT(ORÇAMENTO.BancoRef),0))))</f>
        <v>(abra o arquivo 'Referência 09-2025.xlsm)</v>
      </c>
      <c r="AG191" s="429">
        <f ca="1">ROUND(IF(DESONERACAO="sim",REFERENCIA.Desonerado,REFERENCIA.NaoDesonerado),2)</f>
        <v>0</v>
      </c>
      <c r="AH191" s="430">
        <f t="shared" ca="1" si="50"/>
        <v>0.24740000000000001</v>
      </c>
      <c r="AJ191" s="699">
        <v>10.3</v>
      </c>
      <c r="AL191" s="440"/>
      <c r="AM191" s="337">
        <f t="shared" ca="1" si="0"/>
        <v>0</v>
      </c>
      <c r="AN191" s="471">
        <f t="shared" ca="1" si="51"/>
        <v>0</v>
      </c>
    </row>
    <row r="192" spans="1:40" s="675" customFormat="1" ht="13.9" customHeight="1" x14ac:dyDescent="0.2">
      <c r="A192" s="675" t="str">
        <f t="shared" si="37"/>
        <v>S</v>
      </c>
      <c r="B192" s="675">
        <f t="shared" ca="1" si="38"/>
        <v>2</v>
      </c>
      <c r="C192" s="675" t="str">
        <f t="shared" ca="1" si="39"/>
        <v>S</v>
      </c>
      <c r="D192" s="675">
        <f t="shared" ca="1" si="40"/>
        <v>0</v>
      </c>
      <c r="E192" s="675">
        <f ca="1">IF($C192=1,OFFSET(E192,-1,0)+MAX(1,COUNTIF(QCI!$A$13:$A$15,OFFSET(ORÇAMENTO!E192,-1,0))),OFFSET(E192,-1,0))</f>
        <v>1</v>
      </c>
      <c r="F192" s="675">
        <f t="shared" ca="1" si="41"/>
        <v>23</v>
      </c>
      <c r="G192" s="675">
        <f t="shared" ca="1" si="42"/>
        <v>0</v>
      </c>
      <c r="H192" s="675">
        <f t="shared" ca="1" si="43"/>
        <v>0</v>
      </c>
      <c r="I192" s="675">
        <f t="shared" ca="1" si="44"/>
        <v>0</v>
      </c>
      <c r="J192" s="675">
        <f t="shared" ca="1" si="67"/>
        <v>0</v>
      </c>
      <c r="K192" s="675">
        <f ca="1">IF(OR($C192="S",$C192=0),0,MATCH(OFFSET($D192,0,$C192)+IF($C192&lt;&gt;1,1,COUNTIF(QCI!$A$13:$A$15,ORÇAMENTO!E192)),OFFSET($D192,1,$C192,ROW($C$231)-ROW($C192)),0))</f>
        <v>0</v>
      </c>
      <c r="L192" s="115" t="str">
        <f t="shared" ca="1" si="45"/>
        <v/>
      </c>
      <c r="M192" s="116" t="s">
        <v>706</v>
      </c>
      <c r="N192" s="117" t="str">
        <f t="shared" ca="1" si="46"/>
        <v>Serviço</v>
      </c>
      <c r="O192" s="118" t="str">
        <f t="shared" ca="1" si="47"/>
        <v>-</v>
      </c>
      <c r="P192" s="119" t="s">
        <v>751</v>
      </c>
      <c r="Q192" s="693" t="s">
        <v>1058</v>
      </c>
      <c r="R192" s="121" t="str">
        <f ca="1">IF($C192="S",REFERENCIA.Descricao,"(digite a descrição aqui)")</f>
        <v>(abra o arquivo 'Referência 09-2025.xlsm)</v>
      </c>
      <c r="S192" s="122" t="str">
        <f ca="1">REFERENCIA.Unidade</f>
        <v>-</v>
      </c>
      <c r="T192" s="123">
        <f ca="1">OFFSET(CÁLCULO!H$15,ROW($T192)-ROW(T$15),0)</f>
        <v>0.8</v>
      </c>
      <c r="U192" s="124">
        <f ca="1">ROUND(IF(DESONERACAO="sim",REFERENCIA.Desonerado,REFERENCIA.NaoDesonerado),2)</f>
        <v>0</v>
      </c>
      <c r="V192" s="125" t="s">
        <v>664</v>
      </c>
      <c r="W192" s="123">
        <f ca="1">IF($C192="S",ROUND(IF(TIPOORCAMENTO="Proposto",ORÇAMENTO.CustoUnitario*(1+$AH192),ORÇAMENTO.PrecoUnitarioLicitado),15-13*$AF$10),0)</f>
        <v>0</v>
      </c>
      <c r="X192" s="126" cm="1">
        <f t="array" aca="1" ref="X192" ca="1">IF($C192="S",IF(OR(Import.TipoArredondamento&lt;&gt;"TransfereGOV",ACOMPANHAMENTO="BM"),VTOTAL1,SUM(OFFSET(CÁLCULO!$AA$15,ROW($X192)-ROW($X$15),1):OFFSET(CÁLCULO!$AL$15,ROW($X192)-ROW($X$15),-1))),IF($C192=0,0,ROUND(SomaAgrup,15-13*$AF$11)))</f>
        <v>0</v>
      </c>
      <c r="Y192" s="127" t="s">
        <v>752</v>
      </c>
      <c r="Z192" s="675" t="str">
        <f t="shared" ca="1" si="48"/>
        <v/>
      </c>
      <c r="AA192" s="128">
        <f ca="1">IF($C192="S",IF($Z192="CP",$X192,IF($Z192="RA",(($X192)*QCI!$AA$3),0)),SomaAgrup)</f>
        <v>0</v>
      </c>
      <c r="AB192" s="129">
        <f t="shared" ca="1" si="49"/>
        <v>0</v>
      </c>
      <c r="AC192" s="566" t="str" cm="1">
        <f t="array" aca="1" ref="AC192" ca="1">IF($N192=""," ",
IF(AND($C192&lt;&gt;"S",OR($R192="",$R192="(digite a descrição aqui)")),"DESCRIÇÃO",
IF(AND($C192="S",OR($Q192&lt;&gt;"",$T192&gt;0,$U192&gt;0),$P192=""),"FONTE",
IF(AND($C192="S",$P192&lt;&gt;"",OR($T192&gt;0,$U192&gt;0),$Q192=""),"CÓDIGO",
IF(AND($C192="S",$P192&lt;&gt;"",$Q192&lt;&gt;"",$R192="(Código não identificado nas referências)"),"CÓDIGO N/ID",
IF(AND($C192="S",OR($R192="",$R192="(digite a descrição aqui)"),OR($Q192&lt;&gt;"",$T192&gt;0,$U192&gt;0)),"DESCRIÇÃO",
IF(AND($C192="S",$P192&lt;&gt;"",$Q192&lt;&gt;"",$S192=""),"UNIDADE",
IF(AND($C192="S",$P192&lt;&gt;"",$Q192&lt;&gt;"",$U192=0),"SEM CUSTO",
IF(AND(_xlfn.SINGLE(TIPOORCAMENTO)="Licitado",$AL192=0,$AN192&gt;0),"SEM PREÇO",
IF(AND($C192="S",$P192&lt;&gt;"",$Q192&lt;&gt;"",$U192&gt;0,$V192=0),"BDI",
IF(OR(AND(TIPOORCAMENTO="Proposto",LEFT($O$8,5)&lt;&gt;"(N/D:",$AG192&lt;&gt;"",ORÇAMENTO.CustoUnitario&gt;$AG192),AND(TIPOORCAMENTO="LICITADO",ORÇAMENTO.PrecoUnitarioLicitado&gt;$AN192)),"ACIMA REF.",
IF(AND($C192="S",$P192&lt;&gt;"",$Q192&lt;&gt;"",$T192=0,$U192&gt;0),"QUANT.",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SEM CUSTO</v>
      </c>
      <c r="AD192" s="675" t="str">
        <f ca="1">IF(C192&lt;=CRONO.NivelExibicao,MAX($AD$15:OFFSET(AD192,-1,0))+IF($C192&lt;&gt;1,1,MAX(1,COUNTIF(QCI!$A$13:$A$15,OFFSET($E192,-1,0)))),"")</f>
        <v/>
      </c>
      <c r="AE192" s="671" t="str">
        <f ca="1">IF(AND($C192="S",ORÇAMENTO.CodBarra&lt;&gt;""),IF(ORÇAMENTO.Fonte="",ORÇAMENTO.CodBarra,CONCATENATE(ORÇAMENTO.Fonte," ",ORÇAMENTO.CodBarra)))</f>
        <v>SINAPI 94962</v>
      </c>
      <c r="AF192" s="674" t="str">
        <f ca="1">IF(ISERROR(INDIRECT(ORÇAMENTO.BancoRef)),"(abra o arquivo 'Referência "&amp;Excel_BuiltIn_Database&amp;".xlsm)",IF(OR($C192&lt;&gt;"S",ORÇAMENTO.CodBarra=""),"(Sem Código)",IF(ISERROR(MATCH($AE192,INDIRECT(ORÇAMENTO.BancoRef),0)),"(Código não identificado nas referências)",MATCH($AE192,INDIRECT(ORÇAMENTO.BancoRef),0))))</f>
        <v>(abra o arquivo 'Referência 09-2025.xlsm)</v>
      </c>
      <c r="AG192" s="429">
        <f ca="1">ROUND(IF(DESONERACAO="sim",REFERENCIA.Desonerado,REFERENCIA.NaoDesonerado),2)</f>
        <v>0</v>
      </c>
      <c r="AH192" s="430">
        <f t="shared" ca="1" si="50"/>
        <v>0.24740000000000001</v>
      </c>
      <c r="AJ192" s="699">
        <v>0.8</v>
      </c>
      <c r="AL192" s="440"/>
      <c r="AM192" s="337">
        <f t="shared" ca="1" si="0"/>
        <v>0</v>
      </c>
      <c r="AN192" s="471">
        <f t="shared" ca="1" si="51"/>
        <v>0</v>
      </c>
    </row>
    <row r="193" spans="1:40" s="675" customFormat="1" ht="13.9" customHeight="1" x14ac:dyDescent="0.2">
      <c r="A193" s="675" t="str">
        <f t="shared" si="37"/>
        <v>S</v>
      </c>
      <c r="B193" s="675">
        <f t="shared" ca="1" si="38"/>
        <v>2</v>
      </c>
      <c r="C193" s="675" t="str">
        <f t="shared" ca="1" si="39"/>
        <v>S</v>
      </c>
      <c r="D193" s="675">
        <f t="shared" ca="1" si="40"/>
        <v>0</v>
      </c>
      <c r="E193" s="675">
        <f ca="1">IF($C193=1,OFFSET(E193,-1,0)+MAX(1,COUNTIF(QCI!$A$13:$A$15,OFFSET(ORÇAMENTO!E193,-1,0))),OFFSET(E193,-1,0))</f>
        <v>1</v>
      </c>
      <c r="F193" s="675">
        <f t="shared" ca="1" si="41"/>
        <v>23</v>
      </c>
      <c r="G193" s="675">
        <f t="shared" ca="1" si="42"/>
        <v>0</v>
      </c>
      <c r="H193" s="675">
        <f t="shared" ca="1" si="43"/>
        <v>0</v>
      </c>
      <c r="I193" s="675">
        <f t="shared" ca="1" si="44"/>
        <v>0</v>
      </c>
      <c r="J193" s="675">
        <f t="shared" ca="1" si="67"/>
        <v>0</v>
      </c>
      <c r="K193" s="675">
        <f ca="1">IF(OR($C193="S",$C193=0),0,MATCH(OFFSET($D193,0,$C193)+IF($C193&lt;&gt;1,1,COUNTIF(QCI!$A$13:$A$15,ORÇAMENTO!E193)),OFFSET($D193,1,$C193,ROW($C$231)-ROW($C193)),0))</f>
        <v>0</v>
      </c>
      <c r="L193" s="115" t="str">
        <f t="shared" ca="1" si="45"/>
        <v/>
      </c>
      <c r="M193" s="116" t="s">
        <v>706</v>
      </c>
      <c r="N193" s="117" t="str">
        <f t="shared" ca="1" si="46"/>
        <v>Serviço</v>
      </c>
      <c r="O193" s="118" t="str">
        <f t="shared" ca="1" si="47"/>
        <v>-</v>
      </c>
      <c r="P193" s="119" t="s">
        <v>751</v>
      </c>
      <c r="Q193" s="693" t="s">
        <v>1069</v>
      </c>
      <c r="R193" s="121" t="str">
        <f ca="1">IF($C193="S",REFERENCIA.Descricao,"(digite a descrição aqui)")</f>
        <v>(abra o arquivo 'Referência 09-2025.xlsm)</v>
      </c>
      <c r="S193" s="122" t="str">
        <f ca="1">REFERENCIA.Unidade</f>
        <v>-</v>
      </c>
      <c r="T193" s="123">
        <f ca="1">OFFSET(CÁLCULO!H$15,ROW($T193)-ROW(T$15),0)</f>
        <v>320.52999999999997</v>
      </c>
      <c r="U193" s="124">
        <f ca="1">ROUND(IF(DESONERACAO="sim",REFERENCIA.Desonerado,REFERENCIA.NaoDesonerado),2)</f>
        <v>0</v>
      </c>
      <c r="V193" s="125" t="s">
        <v>664</v>
      </c>
      <c r="W193" s="123">
        <f ca="1">IF($C193="S",ROUND(IF(TIPOORCAMENTO="Proposto",ORÇAMENTO.CustoUnitario*(1+$AH193),ORÇAMENTO.PrecoUnitarioLicitado),15-13*$AF$10),0)</f>
        <v>0</v>
      </c>
      <c r="X193" s="126" cm="1">
        <f t="array" aca="1" ref="X193" ca="1">IF($C193="S",IF(OR(Import.TipoArredondamento&lt;&gt;"TransfereGOV",ACOMPANHAMENTO="BM"),VTOTAL1,SUM(OFFSET(CÁLCULO!$AA$15,ROW($X193)-ROW($X$15),1):OFFSET(CÁLCULO!$AL$15,ROW($X193)-ROW($X$15),-1))),IF($C193=0,0,ROUND(SomaAgrup,15-13*$AF$11)))</f>
        <v>0</v>
      </c>
      <c r="Y193" s="127" t="s">
        <v>752</v>
      </c>
      <c r="Z193" s="675" t="str">
        <f t="shared" ca="1" si="48"/>
        <v/>
      </c>
      <c r="AA193" s="128">
        <f ca="1">IF($C193="S",IF($Z193="CP",$X193,IF($Z193="RA",(($X193)*QCI!$AA$3),0)),SomaAgrup)</f>
        <v>0</v>
      </c>
      <c r="AB193" s="129">
        <f t="shared" ca="1" si="49"/>
        <v>0</v>
      </c>
      <c r="AC193" s="566" t="str" cm="1">
        <f t="array" aca="1" ref="AC193" ca="1">IF($N193=""," ",
IF(AND($C193&lt;&gt;"S",OR($R193="",$R193="(digite a descrição aqui)")),"DESCRIÇÃO",
IF(AND($C193="S",OR($Q193&lt;&gt;"",$T193&gt;0,$U193&gt;0),$P193=""),"FONTE",
IF(AND($C193="S",$P193&lt;&gt;"",OR($T193&gt;0,$U193&gt;0),$Q193=""),"CÓDIGO",
IF(AND($C193="S",$P193&lt;&gt;"",$Q193&lt;&gt;"",$R193="(Código não identificado nas referências)"),"CÓDIGO N/ID",
IF(AND($C193="S",OR($R193="",$R193="(digite a descrição aqui)"),OR($Q193&lt;&gt;"",$T193&gt;0,$U193&gt;0)),"DESCRIÇÃO",
IF(AND($C193="S",$P193&lt;&gt;"",$Q193&lt;&gt;"",$S193=""),"UNIDADE",
IF(AND($C193="S",$P193&lt;&gt;"",$Q193&lt;&gt;"",$U193=0),"SEM CUSTO",
IF(AND(_xlfn.SINGLE(TIPOORCAMENTO)="Licitado",$AL193=0,$AN193&gt;0),"SEM PREÇO",
IF(AND($C193="S",$P193&lt;&gt;"",$Q193&lt;&gt;"",$U193&gt;0,$V193=0),"BDI",
IF(OR(AND(TIPOORCAMENTO="Proposto",LEFT($O$8,5)&lt;&gt;"(N/D:",$AG193&lt;&gt;"",ORÇAMENTO.CustoUnitario&gt;$AG193),AND(TIPOORCAMENTO="LICITADO",ORÇAMENTO.PrecoUnitarioLicitado&gt;$AN193)),"ACIMA REF.",
IF(AND($C193="S",$P193&lt;&gt;"",$Q193&lt;&gt;"",$T193=0,$U193&gt;0),"QUANT.",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SEM CUSTO</v>
      </c>
      <c r="AD193" s="675" t="str">
        <f ca="1">IF(C193&lt;=CRONO.NivelExibicao,MAX($AD$15:OFFSET(AD193,-1,0))+IF($C193&lt;&gt;1,1,MAX(1,COUNTIF(QCI!$A$13:$A$15,OFFSET($E193,-1,0)))),"")</f>
        <v/>
      </c>
      <c r="AE193" s="671" t="str">
        <f ca="1">IF(AND($C193="S",ORÇAMENTO.CodBarra&lt;&gt;""),IF(ORÇAMENTO.Fonte="",ORÇAMENTO.CodBarra,CONCATENATE(ORÇAMENTO.Fonte," ",ORÇAMENTO.CodBarra)))</f>
        <v>SINAPI 92771</v>
      </c>
      <c r="AF193" s="674" t="str">
        <f ca="1">IF(ISERROR(INDIRECT(ORÇAMENTO.BancoRef)),"(abra o arquivo 'Referência "&amp;Excel_BuiltIn_Database&amp;".xlsm)",IF(OR($C193&lt;&gt;"S",ORÇAMENTO.CodBarra=""),"(Sem Código)",IF(ISERROR(MATCH($AE193,INDIRECT(ORÇAMENTO.BancoRef),0)),"(Código não identificado nas referências)",MATCH($AE193,INDIRECT(ORÇAMENTO.BancoRef),0))))</f>
        <v>(abra o arquivo 'Referência 09-2025.xlsm)</v>
      </c>
      <c r="AG193" s="429">
        <f ca="1">ROUND(IF(DESONERACAO="sim",REFERENCIA.Desonerado,REFERENCIA.NaoDesonerado),2)</f>
        <v>0</v>
      </c>
      <c r="AH193" s="430">
        <f t="shared" ca="1" si="50"/>
        <v>0.24740000000000001</v>
      </c>
      <c r="AJ193" s="699">
        <v>320.52999999999997</v>
      </c>
      <c r="AL193" s="440"/>
      <c r="AM193" s="337">
        <f t="shared" ca="1" si="0"/>
        <v>0</v>
      </c>
      <c r="AN193" s="471">
        <f t="shared" ca="1" si="51"/>
        <v>0</v>
      </c>
    </row>
    <row r="194" spans="1:40" s="675" customFormat="1" ht="13.9" customHeight="1" x14ac:dyDescent="0.2">
      <c r="A194" s="675" t="str">
        <f t="shared" si="37"/>
        <v>S</v>
      </c>
      <c r="B194" s="675">
        <f t="shared" ca="1" si="38"/>
        <v>2</v>
      </c>
      <c r="C194" s="675" t="str">
        <f t="shared" ca="1" si="39"/>
        <v>S</v>
      </c>
      <c r="D194" s="675">
        <f t="shared" ca="1" si="40"/>
        <v>0</v>
      </c>
      <c r="E194" s="675">
        <f ca="1">IF($C194=1,OFFSET(E194,-1,0)+MAX(1,COUNTIF(QCI!$A$13:$A$15,OFFSET(ORÇAMENTO!E194,-1,0))),OFFSET(E194,-1,0))</f>
        <v>1</v>
      </c>
      <c r="F194" s="675">
        <f t="shared" ca="1" si="41"/>
        <v>23</v>
      </c>
      <c r="G194" s="675">
        <f t="shared" ca="1" si="42"/>
        <v>0</v>
      </c>
      <c r="H194" s="675">
        <f t="shared" ca="1" si="43"/>
        <v>0</v>
      </c>
      <c r="I194" s="675">
        <f t="shared" ca="1" si="44"/>
        <v>0</v>
      </c>
      <c r="J194" s="675">
        <f t="shared" ca="1" si="67"/>
        <v>0</v>
      </c>
      <c r="K194" s="675">
        <f ca="1">IF(OR($C194="S",$C194=0),0,MATCH(OFFSET($D194,0,$C194)+IF($C194&lt;&gt;1,1,COUNTIF(QCI!$A$13:$A$15,ORÇAMENTO!E194)),OFFSET($D194,1,$C194,ROW($C$231)-ROW($C194)),0))</f>
        <v>0</v>
      </c>
      <c r="L194" s="115" t="str">
        <f t="shared" ca="1" si="45"/>
        <v/>
      </c>
      <c r="M194" s="116" t="s">
        <v>706</v>
      </c>
      <c r="N194" s="117" t="str">
        <f t="shared" ca="1" si="46"/>
        <v>Serviço</v>
      </c>
      <c r="O194" s="118" t="str">
        <f t="shared" ca="1" si="47"/>
        <v>-</v>
      </c>
      <c r="P194" s="119" t="s">
        <v>1066</v>
      </c>
      <c r="Q194" s="693" t="s">
        <v>1062</v>
      </c>
      <c r="R194" s="121" t="str">
        <f ca="1">IF($C194="S",REFERENCIA.Descricao,"(digite a descrição aqui)")</f>
        <v>(abra o arquivo 'Referência 09-2025.xlsm)</v>
      </c>
      <c r="S194" s="122" t="str">
        <f ca="1">REFERENCIA.Unidade</f>
        <v>-</v>
      </c>
      <c r="T194" s="123">
        <f ca="1">OFFSET(CÁLCULO!H$15,ROW($T194)-ROW(T$15),0)</f>
        <v>3</v>
      </c>
      <c r="U194" s="124">
        <f ca="1">ROUND(IF(DESONERACAO="sim",REFERENCIA.Desonerado,REFERENCIA.NaoDesonerado),2)</f>
        <v>0</v>
      </c>
      <c r="V194" s="125" t="s">
        <v>664</v>
      </c>
      <c r="W194" s="123">
        <f ca="1">IF($C194="S",ROUND(IF(TIPOORCAMENTO="Proposto",ORÇAMENTO.CustoUnitario*(1+$AH194),ORÇAMENTO.PrecoUnitarioLicitado),15-13*$AF$10),0)</f>
        <v>0</v>
      </c>
      <c r="X194" s="126" cm="1">
        <f t="array" aca="1" ref="X194" ca="1">IF($C194="S",IF(OR(Import.TipoArredondamento&lt;&gt;"TransfereGOV",ACOMPANHAMENTO="BM"),VTOTAL1,SUM(OFFSET(CÁLCULO!$AA$15,ROW($X194)-ROW($X$15),1):OFFSET(CÁLCULO!$AL$15,ROW($X194)-ROW($X$15),-1))),IF($C194=0,0,ROUND(SomaAgrup,15-13*$AF$11)))</f>
        <v>0</v>
      </c>
      <c r="Y194" s="127" t="s">
        <v>752</v>
      </c>
      <c r="Z194" s="675" t="str">
        <f t="shared" ca="1" si="48"/>
        <v/>
      </c>
      <c r="AA194" s="128">
        <f ca="1">IF($C194="S",IF($Z194="CP",$X194,IF($Z194="RA",(($X194)*QCI!$AA$3),0)),SomaAgrup)</f>
        <v>0</v>
      </c>
      <c r="AB194" s="129">
        <f t="shared" ca="1" si="49"/>
        <v>0</v>
      </c>
      <c r="AC194" s="566" t="str" cm="1">
        <f t="array" aca="1" ref="AC194" ca="1">IF($N194=""," ",
IF(AND($C194&lt;&gt;"S",OR($R194="",$R194="(digite a descrição aqui)")),"DESCRIÇÃO",
IF(AND($C194="S",OR($Q194&lt;&gt;"",$T194&gt;0,$U194&gt;0),$P194=""),"FONTE",
IF(AND($C194="S",$P194&lt;&gt;"",OR($T194&gt;0,$U194&gt;0),$Q194=""),"CÓDIGO",
IF(AND($C194="S",$P194&lt;&gt;"",$Q194&lt;&gt;"",$R194="(Código não identificado nas referências)"),"CÓDIGO N/ID",
IF(AND($C194="S",OR($R194="",$R194="(digite a descrição aqui)"),OR($Q194&lt;&gt;"",$T194&gt;0,$U194&gt;0)),"DESCRIÇÃO",
IF(AND($C194="S",$P194&lt;&gt;"",$Q194&lt;&gt;"",$S194=""),"UNIDADE",
IF(AND($C194="S",$P194&lt;&gt;"",$Q194&lt;&gt;"",$U194=0),"SEM CUSTO",
IF(AND(_xlfn.SINGLE(TIPOORCAMENTO)="Licitado",$AL194=0,$AN194&gt;0),"SEM PREÇO",
IF(AND($C194="S",$P194&lt;&gt;"",$Q194&lt;&gt;"",$U194&gt;0,$V194=0),"BDI",
IF(OR(AND(TIPOORCAMENTO="Proposto",LEFT($O$8,5)&lt;&gt;"(N/D:",$AG194&lt;&gt;"",ORÇAMENTO.CustoUnitario&gt;$AG194),AND(TIPOORCAMENTO="LICITADO",ORÇAMENTO.PrecoUnitarioLicitado&gt;$AN194)),"ACIMA REF.",
IF(AND($C194="S",$P194&lt;&gt;"",$Q194&lt;&gt;"",$T194=0,$U194&gt;0),"QUANT.",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SEM CUSTO</v>
      </c>
      <c r="AD194" s="675" t="str">
        <f ca="1">IF(C194&lt;=CRONO.NivelExibicao,MAX($AD$15:OFFSET(AD194,-1,0))+IF($C194&lt;&gt;1,1,MAX(1,COUNTIF(QCI!$A$13:$A$15,OFFSET($E194,-1,0)))),"")</f>
        <v/>
      </c>
      <c r="AE194" s="671" t="str">
        <f ca="1">IF(AND($C194="S",ORÇAMENTO.CodBarra&lt;&gt;""),IF(ORÇAMENTO.Fonte="",ORÇAMENTO.CodBarra,CONCATENATE(ORÇAMENTO.Fonte," ",ORÇAMENTO.CodBarra)))</f>
        <v>SEINFRA ED-49806</v>
      </c>
      <c r="AF194" s="674" t="str">
        <f ca="1">IF(ISERROR(INDIRECT(ORÇAMENTO.BancoRef)),"(abra o arquivo 'Referência "&amp;Excel_BuiltIn_Database&amp;".xlsm)",IF(OR($C194&lt;&gt;"S",ORÇAMENTO.CodBarra=""),"(Sem Código)",IF(ISERROR(MATCH($AE194,INDIRECT(ORÇAMENTO.BancoRef),0)),"(Código não identificado nas referências)",MATCH($AE194,INDIRECT(ORÇAMENTO.BancoRef),0))))</f>
        <v>(abra o arquivo 'Referência 09-2025.xlsm)</v>
      </c>
      <c r="AG194" s="429">
        <f ca="1">ROUND(IF(DESONERACAO="sim",REFERENCIA.Desonerado,REFERENCIA.NaoDesonerado),2)</f>
        <v>0</v>
      </c>
      <c r="AH194" s="430">
        <f t="shared" ca="1" si="50"/>
        <v>0.24740000000000001</v>
      </c>
      <c r="AJ194" s="699">
        <v>3</v>
      </c>
      <c r="AL194" s="440"/>
      <c r="AM194" s="337">
        <f t="shared" ca="1" si="0"/>
        <v>0</v>
      </c>
      <c r="AN194" s="471">
        <f t="shared" ca="1" si="51"/>
        <v>0</v>
      </c>
    </row>
    <row r="195" spans="1:40" s="675" customFormat="1" x14ac:dyDescent="0.2">
      <c r="A195" s="675">
        <f t="shared" si="37"/>
        <v>2</v>
      </c>
      <c r="B195" s="675">
        <f t="shared" ca="1" si="38"/>
        <v>2</v>
      </c>
      <c r="C195" s="675">
        <f t="shared" ca="1" si="39"/>
        <v>2</v>
      </c>
      <c r="D195" s="675">
        <f t="shared" ca="1" si="40"/>
        <v>5</v>
      </c>
      <c r="E195" s="675">
        <f ca="1">IF($C195=1,OFFSET(E195,-1,0)+MAX(1,COUNTIF(QCI!$A$13:$A$15,OFFSET(ORÇAMENTO!E195,-1,0))),OFFSET(E195,-1,0))</f>
        <v>1</v>
      </c>
      <c r="F195" s="675">
        <f t="shared" ca="1" si="41"/>
        <v>24</v>
      </c>
      <c r="G195" s="675">
        <f t="shared" ca="1" si="42"/>
        <v>0</v>
      </c>
      <c r="H195" s="675">
        <f t="shared" ca="1" si="43"/>
        <v>0</v>
      </c>
      <c r="I195" s="675">
        <f t="shared" ca="1" si="44"/>
        <v>0</v>
      </c>
      <c r="J195" s="675">
        <f t="shared" ca="1" si="67"/>
        <v>36</v>
      </c>
      <c r="K195" s="675">
        <f ca="1">IF(OR($C195="S",$C195=0),0,MATCH(OFFSET($D195,0,$C195)+IF($C195&lt;&gt;1,1,COUNTIF(QCI!$A$13:$A$15,ORÇAMENTO!E195)),OFFSET($D195,1,$C195,ROW($C$231)-ROW($C195)),0))</f>
        <v>5</v>
      </c>
      <c r="L195" s="115" t="str">
        <f t="shared" ca="1" si="45"/>
        <v>F</v>
      </c>
      <c r="M195" s="116" t="s">
        <v>703</v>
      </c>
      <c r="N195" s="117" t="str">
        <f t="shared" ca="1" si="46"/>
        <v>Nível 2</v>
      </c>
      <c r="O195" s="118" t="str">
        <f t="shared" ca="1" si="47"/>
        <v>1.24.</v>
      </c>
      <c r="P195" s="119" t="s">
        <v>751</v>
      </c>
      <c r="Q195" s="120"/>
      <c r="R195" s="121" t="s">
        <v>1072</v>
      </c>
      <c r="S195" s="122" t="str">
        <f ca="1">REFERENCIA.Unidade</f>
        <v>-</v>
      </c>
      <c r="T195" s="123">
        <f ca="1">OFFSET(CÁLCULO!H$15,ROW($T195)-ROW(T$15),0)</f>
        <v>0</v>
      </c>
      <c r="U195" s="124">
        <f ca="1">ROUND(IF(DESONERACAO="sim",REFERENCIA.Desonerado,REFERENCIA.NaoDesonerado),2)</f>
        <v>0</v>
      </c>
      <c r="V195" s="125" t="s">
        <v>664</v>
      </c>
      <c r="W195" s="123">
        <f ca="1">IF($C195="S",ROUND(IF(TIPOORCAMENTO="Proposto",ORÇAMENTO.CustoUnitario*(1+$AH195),ORÇAMENTO.PrecoUnitarioLicitado),15-13*$AF$10),0)</f>
        <v>0</v>
      </c>
      <c r="X195" s="126" cm="1">
        <f t="array" aca="1" ref="X195" ca="1">IF($C195="S",IF(OR(Import.TipoArredondamento&lt;&gt;"TransfereGOV",ACOMPANHAMENTO="BM"),VTOTAL1,SUM(OFFSET(CÁLCULO!$AA$15,ROW($X195)-ROW($X$15),1):OFFSET(CÁLCULO!$AL$15,ROW($X195)-ROW($X$15),-1))),IF($C195=0,0,ROUND(SomaAgrup,15-13*$AF$11)))</f>
        <v>0</v>
      </c>
      <c r="Y195" s="127" t="s">
        <v>752</v>
      </c>
      <c r="Z195" s="675" t="str">
        <f t="shared" ca="1" si="48"/>
        <v/>
      </c>
      <c r="AA195" s="128">
        <f ca="1">IF($C195="S",IF($Z195="CP",$X195,IF($Z195="RA",(($X195)*QCI!$AA$3),0)),SomaAgrup)</f>
        <v>0</v>
      </c>
      <c r="AB195" s="129">
        <f t="shared" ca="1" si="49"/>
        <v>0</v>
      </c>
      <c r="AC195" s="566" t="e" cm="1">
        <f t="array" aca="1" ref="AC195" ca="1">IF($N195=""," ",
IF(AND($C195&lt;&gt;"S",OR($R195="",$R195="(digite a descrição aqui)")),"DESCRIÇÃO",
IF(AND($C195="S",OR($Q195&lt;&gt;"",$T195&gt;0,$U195&gt;0),$P195=""),"FONTE",
IF(AND($C195="S",$P195&lt;&gt;"",OR($T195&gt;0,$U195&gt;0),$Q195=""),"CÓDIGO",
IF(AND($C195="S",$P195&lt;&gt;"",$Q195&lt;&gt;"",$R195="(Código não identificado nas referências)"),"CÓDIGO N/ID",
IF(AND($C195="S",OR($R195="",$R195="(digite a descrição aqui)"),OR($Q195&lt;&gt;"",$T195&gt;0,$U195&gt;0)),"DESCRIÇÃO",
IF(AND($C195="S",$P195&lt;&gt;"",$Q195&lt;&gt;"",$S195=""),"UNIDADE",
IF(AND($C195="S",$P195&lt;&gt;"",$Q195&lt;&gt;"",$U195=0),"SEM CUSTO",
IF(AND(_xlfn.SINGLE(TIPOORCAMENTO)="Licitado",$AL195=0,$AN195&gt;0),"SEM PREÇO",
IF(AND($C195="S",$P195&lt;&gt;"",$Q195&lt;&gt;"",$U195&gt;0,$V195=0),"BDI",
IF(OR(AND(TIPOORCAMENTO="Proposto",LEFT($O$8,5)&lt;&gt;"(N/D:",$AG195&lt;&gt;"",ORÇAMENTO.CustoUnitario&gt;$AG195),AND(TIPOORCAMENTO="LICITADO",ORÇAMENTO.PrecoUnitarioLicitado&gt;$AN195)),"ACIMA REF.",
IF(AND($C195="S",$P195&lt;&gt;"",$Q195&lt;&gt;"",$T195=0,$U195&gt;0),"QUANT.",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#NAME?</v>
      </c>
      <c r="AD195" s="675">
        <f ca="1">IF(C195&lt;=CRONO.NivelExibicao,MAX($AD$15:OFFSET(AD195,-1,0))+IF($C195&lt;&gt;1,1,MAX(1,COUNTIF(QCI!$A$13:$A$15,OFFSET($E195,-1,0)))),"")</f>
        <v>25</v>
      </c>
      <c r="AE195" s="671" t="b">
        <f ca="1">IF(AND($C195="S",ORÇAMENTO.CodBarra&lt;&gt;""),IF(ORÇAMENTO.Fonte="",ORÇAMENTO.CodBarra,CONCATENATE(ORÇAMENTO.Fonte," ",ORÇAMENTO.CodBarra)))</f>
        <v>0</v>
      </c>
      <c r="AF195" s="674" t="str">
        <f ca="1">IF(ISERROR(INDIRECT(ORÇAMENTO.BancoRef)),"(abra o arquivo 'Referência "&amp;Excel_BuiltIn_Database&amp;".xlsm)",IF(OR($C195&lt;&gt;"S",ORÇAMENTO.CodBarra=""),"(Sem Código)",IF(ISERROR(MATCH($AE195,INDIRECT(ORÇAMENTO.BancoRef),0)),"(Código não identificado nas referências)",MATCH($AE195,INDIRECT(ORÇAMENTO.BancoRef),0))))</f>
        <v>(abra o arquivo 'Referência 09-2025.xlsm)</v>
      </c>
      <c r="AG195" s="429">
        <f ca="1">ROUND(IF(DESONERACAO="sim",REFERENCIA.Desonerado,REFERENCIA.NaoDesonerado),2)</f>
        <v>0</v>
      </c>
      <c r="AH195" s="430">
        <f t="shared" ca="1" si="50"/>
        <v>0.24740000000000001</v>
      </c>
      <c r="AJ195" s="699"/>
      <c r="AL195" s="440"/>
      <c r="AM195" s="337">
        <f t="shared" ca="1" si="0"/>
        <v>0</v>
      </c>
      <c r="AN195" s="471">
        <f t="shared" ca="1" si="51"/>
        <v>0</v>
      </c>
    </row>
    <row r="196" spans="1:40" s="675" customFormat="1" ht="13.9" customHeight="1" x14ac:dyDescent="0.2">
      <c r="A196" s="675" t="str">
        <f t="shared" si="37"/>
        <v>S</v>
      </c>
      <c r="B196" s="675">
        <f t="shared" ca="1" si="38"/>
        <v>2</v>
      </c>
      <c r="C196" s="675" t="str">
        <f t="shared" ca="1" si="39"/>
        <v>S</v>
      </c>
      <c r="D196" s="675">
        <f t="shared" ca="1" si="40"/>
        <v>0</v>
      </c>
      <c r="E196" s="675">
        <f ca="1">IF($C196=1,OFFSET(E196,-1,0)+MAX(1,COUNTIF(QCI!$A$13:$A$15,OFFSET(ORÇAMENTO!E196,-1,0))),OFFSET(E196,-1,0))</f>
        <v>1</v>
      </c>
      <c r="F196" s="675">
        <f t="shared" ca="1" si="41"/>
        <v>24</v>
      </c>
      <c r="G196" s="675">
        <f t="shared" ca="1" si="42"/>
        <v>0</v>
      </c>
      <c r="H196" s="675">
        <f t="shared" ca="1" si="43"/>
        <v>0</v>
      </c>
      <c r="I196" s="675">
        <f t="shared" ca="1" si="44"/>
        <v>0</v>
      </c>
      <c r="J196" s="675">
        <f t="shared" ca="1" si="67"/>
        <v>0</v>
      </c>
      <c r="K196" s="675">
        <f ca="1">IF(OR($C196="S",$C196=0),0,MATCH(OFFSET($D196,0,$C196)+IF($C196&lt;&gt;1,1,COUNTIF(QCI!$A$13:$A$15,ORÇAMENTO!E196)),OFFSET($D196,1,$C196,ROW($C$231)-ROW($C196)),0))</f>
        <v>0</v>
      </c>
      <c r="L196" s="115" t="str">
        <f t="shared" ca="1" si="45"/>
        <v/>
      </c>
      <c r="M196" s="116" t="s">
        <v>706</v>
      </c>
      <c r="N196" s="117" t="str">
        <f t="shared" ca="1" si="46"/>
        <v>Serviço</v>
      </c>
      <c r="O196" s="118" t="str">
        <f t="shared" ca="1" si="47"/>
        <v>-</v>
      </c>
      <c r="P196" s="119" t="s">
        <v>751</v>
      </c>
      <c r="Q196" s="694" t="s">
        <v>1070</v>
      </c>
      <c r="R196" s="121" t="str">
        <f ca="1">IF($C196="S",REFERENCIA.Descricao,"(digite a descrição aqui)")</f>
        <v>(abra o arquivo 'Referência 09-2025.xlsm)</v>
      </c>
      <c r="S196" s="122" t="str">
        <f ca="1">REFERENCIA.Unidade</f>
        <v>-</v>
      </c>
      <c r="T196" s="123">
        <f ca="1">OFFSET(CÁLCULO!H$15,ROW($T196)-ROW(T$15),0)</f>
        <v>339</v>
      </c>
      <c r="U196" s="124">
        <f ca="1">ROUND(IF(DESONERACAO="sim",REFERENCIA.Desonerado,REFERENCIA.NaoDesonerado),2)</f>
        <v>0</v>
      </c>
      <c r="V196" s="125" t="s">
        <v>664</v>
      </c>
      <c r="W196" s="123">
        <f ca="1">IF($C196="S",ROUND(IF(TIPOORCAMENTO="Proposto",ORÇAMENTO.CustoUnitario*(1+$AH196),ORÇAMENTO.PrecoUnitarioLicitado),15-13*$AF$10),0)</f>
        <v>0</v>
      </c>
      <c r="X196" s="126" cm="1">
        <f t="array" aca="1" ref="X196" ca="1">IF($C196="S",IF(OR(Import.TipoArredondamento&lt;&gt;"TransfereGOV",ACOMPANHAMENTO="BM"),VTOTAL1,SUM(OFFSET(CÁLCULO!$AA$15,ROW($X196)-ROW($X$15),1):OFFSET(CÁLCULO!$AL$15,ROW($X196)-ROW($X$15),-1))),IF($C196=0,0,ROUND(SomaAgrup,15-13*$AF$11)))</f>
        <v>0</v>
      </c>
      <c r="Y196" s="127" t="s">
        <v>752</v>
      </c>
      <c r="Z196" s="675" t="str">
        <f t="shared" ca="1" si="48"/>
        <v/>
      </c>
      <c r="AA196" s="128">
        <f ca="1">IF($C196="S",IF($Z196="CP",$X196,IF($Z196="RA",(($X196)*QCI!$AA$3),0)),SomaAgrup)</f>
        <v>0</v>
      </c>
      <c r="AB196" s="129">
        <f t="shared" ca="1" si="49"/>
        <v>0</v>
      </c>
      <c r="AC196" s="566" t="str" cm="1">
        <f t="array" aca="1" ref="AC196" ca="1">IF($N196=""," ",
IF(AND($C196&lt;&gt;"S",OR($R196="",$R196="(digite a descrição aqui)")),"DESCRIÇÃO",
IF(AND($C196="S",OR($Q196&lt;&gt;"",$T196&gt;0,$U196&gt;0),$P196=""),"FONTE",
IF(AND($C196="S",$P196&lt;&gt;"",OR($T196&gt;0,$U196&gt;0),$Q196=""),"CÓDIGO",
IF(AND($C196="S",$P196&lt;&gt;"",$Q196&lt;&gt;"",$R196="(Código não identificado nas referências)"),"CÓDIGO N/ID",
IF(AND($C196="S",OR($R196="",$R196="(digite a descrição aqui)"),OR($Q196&lt;&gt;"",$T196&gt;0,$U196&gt;0)),"DESCRIÇÃO",
IF(AND($C196="S",$P196&lt;&gt;"",$Q196&lt;&gt;"",$S196=""),"UNIDADE",
IF(AND($C196="S",$P196&lt;&gt;"",$Q196&lt;&gt;"",$U196=0),"SEM CUSTO",
IF(AND(_xlfn.SINGLE(TIPOORCAMENTO)="Licitado",$AL196=0,$AN196&gt;0),"SEM PREÇO",
IF(AND($C196="S",$P196&lt;&gt;"",$Q196&lt;&gt;"",$U196&gt;0,$V196=0),"BDI",
IF(OR(AND(TIPOORCAMENTO="Proposto",LEFT($O$8,5)&lt;&gt;"(N/D:",$AG196&lt;&gt;"",ORÇAMENTO.CustoUnitario&gt;$AG196),AND(TIPOORCAMENTO="LICITADO",ORÇAMENTO.PrecoUnitarioLicitado&gt;$AN196)),"ACIMA REF.",
IF(AND($C196="S",$P196&lt;&gt;"",$Q196&lt;&gt;"",$T196=0,$U196&gt;0),"QUANT.",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SEM CUSTO</v>
      </c>
      <c r="AD196" s="675" t="str">
        <f ca="1">IF(C196&lt;=CRONO.NivelExibicao,MAX($AD$15:OFFSET(AD196,-1,0))+IF($C196&lt;&gt;1,1,MAX(1,COUNTIF(QCI!$A$13:$A$15,OFFSET($E196,-1,0)))),"")</f>
        <v/>
      </c>
      <c r="AE196" s="671" t="str">
        <f ca="1">IF(AND($C196="S",ORÇAMENTO.CodBarra&lt;&gt;""),IF(ORÇAMENTO.Fonte="",ORÇAMENTO.CodBarra,CONCATENATE(ORÇAMENTO.Fonte," ",ORÇAMENTO.CodBarra)))</f>
        <v>SINAPI 104107</v>
      </c>
      <c r="AF196" s="674" t="str">
        <f ca="1">IF(ISERROR(INDIRECT(ORÇAMENTO.BancoRef)),"(abra o arquivo 'Referência "&amp;Excel_BuiltIn_Database&amp;".xlsm)",IF(OR($C196&lt;&gt;"S",ORÇAMENTO.CodBarra=""),"(Sem Código)",IF(ISERROR(MATCH($AE196,INDIRECT(ORÇAMENTO.BancoRef),0)),"(Código não identificado nas referências)",MATCH($AE196,INDIRECT(ORÇAMENTO.BancoRef),0))))</f>
        <v>(abra o arquivo 'Referência 09-2025.xlsm)</v>
      </c>
      <c r="AG196" s="429">
        <f ca="1">ROUND(IF(DESONERACAO="sim",REFERENCIA.Desonerado,REFERENCIA.NaoDesonerado),2)</f>
        <v>0</v>
      </c>
      <c r="AH196" s="430">
        <f t="shared" ca="1" si="50"/>
        <v>0.24740000000000001</v>
      </c>
      <c r="AJ196" s="699">
        <v>339</v>
      </c>
      <c r="AL196" s="440"/>
      <c r="AM196" s="337">
        <f t="shared" ca="1" si="0"/>
        <v>0</v>
      </c>
      <c r="AN196" s="471">
        <f t="shared" ca="1" si="51"/>
        <v>0</v>
      </c>
    </row>
    <row r="197" spans="1:40" s="675" customFormat="1" ht="13.9" customHeight="1" x14ac:dyDescent="0.2">
      <c r="A197" s="675" t="str">
        <f t="shared" si="37"/>
        <v>S</v>
      </c>
      <c r="B197" s="675">
        <f t="shared" ca="1" si="38"/>
        <v>2</v>
      </c>
      <c r="C197" s="675" t="str">
        <f t="shared" ca="1" si="39"/>
        <v>S</v>
      </c>
      <c r="D197" s="675">
        <f t="shared" ca="1" si="40"/>
        <v>0</v>
      </c>
      <c r="E197" s="675">
        <f ca="1">IF($C197=1,OFFSET(E197,-1,0)+MAX(1,COUNTIF(QCI!$A$13:$A$15,OFFSET(ORÇAMENTO!E197,-1,0))),OFFSET(E197,-1,0))</f>
        <v>1</v>
      </c>
      <c r="F197" s="675">
        <f t="shared" ca="1" si="41"/>
        <v>24</v>
      </c>
      <c r="G197" s="675">
        <f t="shared" ca="1" si="42"/>
        <v>0</v>
      </c>
      <c r="H197" s="675">
        <f t="shared" ca="1" si="43"/>
        <v>0</v>
      </c>
      <c r="I197" s="675">
        <f t="shared" ca="1" si="44"/>
        <v>0</v>
      </c>
      <c r="J197" s="675">
        <f t="shared" ca="1" si="67"/>
        <v>0</v>
      </c>
      <c r="K197" s="675">
        <f ca="1">IF(OR($C197="S",$C197=0),0,MATCH(OFFSET($D197,0,$C197)+IF($C197&lt;&gt;1,1,COUNTIF(QCI!$A$13:$A$15,ORÇAMENTO!E197)),OFFSET($D197,1,$C197,ROW($C$231)-ROW($C197)),0))</f>
        <v>0</v>
      </c>
      <c r="L197" s="115" t="str">
        <f t="shared" ca="1" si="45"/>
        <v/>
      </c>
      <c r="M197" s="116" t="s">
        <v>706</v>
      </c>
      <c r="N197" s="117" t="str">
        <f t="shared" ca="1" si="46"/>
        <v>Serviço</v>
      </c>
      <c r="O197" s="118" t="str">
        <f t="shared" ca="1" si="47"/>
        <v>-</v>
      </c>
      <c r="P197" s="119" t="s">
        <v>751</v>
      </c>
      <c r="Q197" s="694" t="s">
        <v>1063</v>
      </c>
      <c r="R197" s="121" t="str">
        <f ca="1">IF($C197="S",REFERENCIA.Descricao,"(digite a descrição aqui)")</f>
        <v>(abra o arquivo 'Referência 09-2025.xlsm)</v>
      </c>
      <c r="S197" s="122" t="str">
        <f ca="1">REFERENCIA.Unidade</f>
        <v>-</v>
      </c>
      <c r="T197" s="123">
        <f ca="1">OFFSET(CÁLCULO!H$15,ROW($T197)-ROW(T$15),0)</f>
        <v>79.44</v>
      </c>
      <c r="U197" s="124">
        <f ca="1">ROUND(IF(DESONERACAO="sim",REFERENCIA.Desonerado,REFERENCIA.NaoDesonerado),2)</f>
        <v>0</v>
      </c>
      <c r="V197" s="125" t="s">
        <v>664</v>
      </c>
      <c r="W197" s="123">
        <f ca="1">IF($C197="S",ROUND(IF(TIPOORCAMENTO="Proposto",ORÇAMENTO.CustoUnitario*(1+$AH197),ORÇAMENTO.PrecoUnitarioLicitado),15-13*$AF$10),0)</f>
        <v>0</v>
      </c>
      <c r="X197" s="126" cm="1">
        <f t="array" aca="1" ref="X197" ca="1">IF($C197="S",IF(OR(Import.TipoArredondamento&lt;&gt;"TransfereGOV",ACOMPANHAMENTO="BM"),VTOTAL1,SUM(OFFSET(CÁLCULO!$AA$15,ROW($X197)-ROW($X$15),1):OFFSET(CÁLCULO!$AL$15,ROW($X197)-ROW($X$15),-1))),IF($C197=0,0,ROUND(SomaAgrup,15-13*$AF$11)))</f>
        <v>0</v>
      </c>
      <c r="Y197" s="127" t="s">
        <v>752</v>
      </c>
      <c r="Z197" s="675" t="str">
        <f t="shared" ca="1" si="48"/>
        <v/>
      </c>
      <c r="AA197" s="128">
        <f ca="1">IF($C197="S",IF($Z197="CP",$X197,IF($Z197="RA",(($X197)*QCI!$AA$3),0)),SomaAgrup)</f>
        <v>0</v>
      </c>
      <c r="AB197" s="129">
        <f t="shared" ca="1" si="49"/>
        <v>0</v>
      </c>
      <c r="AC197" s="566" t="str" cm="1">
        <f t="array" aca="1" ref="AC197" ca="1">IF($N197=""," ",
IF(AND($C197&lt;&gt;"S",OR($R197="",$R197="(digite a descrição aqui)")),"DESCRIÇÃO",
IF(AND($C197="S",OR($Q197&lt;&gt;"",$T197&gt;0,$U197&gt;0),$P197=""),"FONTE",
IF(AND($C197="S",$P197&lt;&gt;"",OR($T197&gt;0,$U197&gt;0),$Q197=""),"CÓDIGO",
IF(AND($C197="S",$P197&lt;&gt;"",$Q197&lt;&gt;"",$R197="(Código não identificado nas referências)"),"CÓDIGO N/ID",
IF(AND($C197="S",OR($R197="",$R197="(digite a descrição aqui)"),OR($Q197&lt;&gt;"",$T197&gt;0,$U197&gt;0)),"DESCRIÇÃO",
IF(AND($C197="S",$P197&lt;&gt;"",$Q197&lt;&gt;"",$S197=""),"UNIDADE",
IF(AND($C197="S",$P197&lt;&gt;"",$Q197&lt;&gt;"",$U197=0),"SEM CUSTO",
IF(AND(_xlfn.SINGLE(TIPOORCAMENTO)="Licitado",$AL197=0,$AN197&gt;0),"SEM PREÇO",
IF(AND($C197="S",$P197&lt;&gt;"",$Q197&lt;&gt;"",$U197&gt;0,$V197=0),"BDI",
IF(OR(AND(TIPOORCAMENTO="Proposto",LEFT($O$8,5)&lt;&gt;"(N/D:",$AG197&lt;&gt;"",ORÇAMENTO.CustoUnitario&gt;$AG197),AND(TIPOORCAMENTO="LICITADO",ORÇAMENTO.PrecoUnitarioLicitado&gt;$AN197)),"ACIMA REF.",
IF(AND($C197="S",$P197&lt;&gt;"",$Q197&lt;&gt;"",$T197=0,$U197&gt;0),"QUANT.",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SEM CUSTO</v>
      </c>
      <c r="AD197" s="675" t="str">
        <f ca="1">IF(C197&lt;=CRONO.NivelExibicao,MAX($AD$15:OFFSET(AD197,-1,0))+IF($C197&lt;&gt;1,1,MAX(1,COUNTIF(QCI!$A$13:$A$15,OFFSET($E197,-1,0)))),"")</f>
        <v/>
      </c>
      <c r="AE197" s="671" t="str">
        <f ca="1">IF(AND($C197="S",ORÇAMENTO.CodBarra&lt;&gt;""),IF(ORÇAMENTO.Fonte="",ORÇAMENTO.CodBarra,CONCATENATE(ORÇAMENTO.Fonte," ",ORÇAMENTO.CodBarra)))</f>
        <v>SINAPI 104110</v>
      </c>
      <c r="AF197" s="674" t="str">
        <f ca="1">IF(ISERROR(INDIRECT(ORÇAMENTO.BancoRef)),"(abra o arquivo 'Referência "&amp;Excel_BuiltIn_Database&amp;".xlsm)",IF(OR($C197&lt;&gt;"S",ORÇAMENTO.CodBarra=""),"(Sem Código)",IF(ISERROR(MATCH($AE197,INDIRECT(ORÇAMENTO.BancoRef),0)),"(Código não identificado nas referências)",MATCH($AE197,INDIRECT(ORÇAMENTO.BancoRef),0))))</f>
        <v>(abra o arquivo 'Referência 09-2025.xlsm)</v>
      </c>
      <c r="AG197" s="429">
        <f ca="1">ROUND(IF(DESONERACAO="sim",REFERENCIA.Desonerado,REFERENCIA.NaoDesonerado),2)</f>
        <v>0</v>
      </c>
      <c r="AH197" s="430">
        <f t="shared" ca="1" si="50"/>
        <v>0.24740000000000001</v>
      </c>
      <c r="AJ197" s="699">
        <v>79.44</v>
      </c>
      <c r="AL197" s="440"/>
      <c r="AM197" s="337">
        <f t="shared" ca="1" si="0"/>
        <v>0</v>
      </c>
      <c r="AN197" s="471">
        <f t="shared" ca="1" si="51"/>
        <v>0</v>
      </c>
    </row>
    <row r="198" spans="1:40" s="675" customFormat="1" ht="13.9" customHeight="1" x14ac:dyDescent="0.2">
      <c r="A198" s="675" t="str">
        <f t="shared" si="37"/>
        <v>S</v>
      </c>
      <c r="B198" s="675">
        <f t="shared" ca="1" si="38"/>
        <v>2</v>
      </c>
      <c r="C198" s="675" t="str">
        <f t="shared" ca="1" si="39"/>
        <v>S</v>
      </c>
      <c r="D198" s="675">
        <f t="shared" ca="1" si="40"/>
        <v>0</v>
      </c>
      <c r="E198" s="675">
        <f ca="1">IF($C198=1,OFFSET(E198,-1,0)+MAX(1,COUNTIF(QCI!$A$13:$A$15,OFFSET(ORÇAMENTO!E198,-1,0))),OFFSET(E198,-1,0))</f>
        <v>1</v>
      </c>
      <c r="F198" s="675">
        <f t="shared" ca="1" si="41"/>
        <v>24</v>
      </c>
      <c r="G198" s="675">
        <f t="shared" ca="1" si="42"/>
        <v>0</v>
      </c>
      <c r="H198" s="675">
        <f t="shared" ca="1" si="43"/>
        <v>0</v>
      </c>
      <c r="I198" s="675">
        <f t="shared" ca="1" si="44"/>
        <v>0</v>
      </c>
      <c r="J198" s="675">
        <f t="shared" ca="1" si="67"/>
        <v>0</v>
      </c>
      <c r="K198" s="675">
        <f ca="1">IF(OR($C198="S",$C198=0),0,MATCH(OFFSET($D198,0,$C198)+IF($C198&lt;&gt;1,1,COUNTIF(QCI!$A$13:$A$15,ORÇAMENTO!E198)),OFFSET($D198,1,$C198,ROW($C$231)-ROW($C198)),0))</f>
        <v>0</v>
      </c>
      <c r="L198" s="115" t="str">
        <f t="shared" ca="1" si="45"/>
        <v/>
      </c>
      <c r="M198" s="116" t="s">
        <v>706</v>
      </c>
      <c r="N198" s="117" t="str">
        <f t="shared" ca="1" si="46"/>
        <v>Serviço</v>
      </c>
      <c r="O198" s="118" t="str">
        <f t="shared" ca="1" si="47"/>
        <v>-</v>
      </c>
      <c r="P198" s="119" t="s">
        <v>751</v>
      </c>
      <c r="Q198" s="694" t="s">
        <v>1071</v>
      </c>
      <c r="R198" s="121" t="str">
        <f ca="1">IF($C198="S",REFERENCIA.Descricao,"(digite a descrição aqui)")</f>
        <v>(abra o arquivo 'Referência 09-2025.xlsm)</v>
      </c>
      <c r="S198" s="122" t="str">
        <f ca="1">REFERENCIA.Unidade</f>
        <v>-</v>
      </c>
      <c r="T198" s="123">
        <f ca="1">OFFSET(CÁLCULO!H$15,ROW($T198)-ROW(T$15),0)</f>
        <v>28.8</v>
      </c>
      <c r="U198" s="124">
        <f ca="1">ROUND(IF(DESONERACAO="sim",REFERENCIA.Desonerado,REFERENCIA.NaoDesonerado),2)</f>
        <v>0</v>
      </c>
      <c r="V198" s="125" t="s">
        <v>664</v>
      </c>
      <c r="W198" s="123">
        <f ca="1">IF($C198="S",ROUND(IF(TIPOORCAMENTO="Proposto",ORÇAMENTO.CustoUnitario*(1+$AH198),ORÇAMENTO.PrecoUnitarioLicitado),15-13*$AF$10),0)</f>
        <v>0</v>
      </c>
      <c r="X198" s="126" cm="1">
        <f t="array" aca="1" ref="X198" ca="1">IF($C198="S",IF(OR(Import.TipoArredondamento&lt;&gt;"TransfereGOV",ACOMPANHAMENTO="BM"),VTOTAL1,SUM(OFFSET(CÁLCULO!$AA$15,ROW($X198)-ROW($X$15),1):OFFSET(CÁLCULO!$AL$15,ROW($X198)-ROW($X$15),-1))),IF($C198=0,0,ROUND(SomaAgrup,15-13*$AF$11)))</f>
        <v>0</v>
      </c>
      <c r="Y198" s="127" t="s">
        <v>752</v>
      </c>
      <c r="Z198" s="675" t="str">
        <f t="shared" ca="1" si="48"/>
        <v/>
      </c>
      <c r="AA198" s="128">
        <f ca="1">IF($C198="S",IF($Z198="CP",$X198,IF($Z198="RA",(($X198)*QCI!$AA$3),0)),SomaAgrup)</f>
        <v>0</v>
      </c>
      <c r="AB198" s="129">
        <f t="shared" ca="1" si="49"/>
        <v>0</v>
      </c>
      <c r="AC198" s="566" t="str" cm="1">
        <f t="array" aca="1" ref="AC198" ca="1">IF($N198=""," ",
IF(AND($C198&lt;&gt;"S",OR($R198="",$R198="(digite a descrição aqui)")),"DESCRIÇÃO",
IF(AND($C198="S",OR($Q198&lt;&gt;"",$T198&gt;0,$U198&gt;0),$P198=""),"FONTE",
IF(AND($C198="S",$P198&lt;&gt;"",OR($T198&gt;0,$U198&gt;0),$Q198=""),"CÓDIGO",
IF(AND($C198="S",$P198&lt;&gt;"",$Q198&lt;&gt;"",$R198="(Código não identificado nas referências)"),"CÓDIGO N/ID",
IF(AND($C198="S",OR($R198="",$R198="(digite a descrição aqui)"),OR($Q198&lt;&gt;"",$T198&gt;0,$U198&gt;0)),"DESCRIÇÃO",
IF(AND($C198="S",$P198&lt;&gt;"",$Q198&lt;&gt;"",$S198=""),"UNIDADE",
IF(AND($C198="S",$P198&lt;&gt;"",$Q198&lt;&gt;"",$U198=0),"SEM CUSTO",
IF(AND(_xlfn.SINGLE(TIPOORCAMENTO)="Licitado",$AL198=0,$AN198&gt;0),"SEM PREÇO",
IF(AND($C198="S",$P198&lt;&gt;"",$Q198&lt;&gt;"",$U198&gt;0,$V198=0),"BDI",
IF(OR(AND(TIPOORCAMENTO="Proposto",LEFT($O$8,5)&lt;&gt;"(N/D:",$AG198&lt;&gt;"",ORÇAMENTO.CustoUnitario&gt;$AG198),AND(TIPOORCAMENTO="LICITADO",ORÇAMENTO.PrecoUnitarioLicitado&gt;$AN198)),"ACIMA REF.",
IF(AND($C198="S",$P198&lt;&gt;"",$Q198&lt;&gt;"",$T198=0,$U198&gt;0),"QUANT.",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SEM CUSTO</v>
      </c>
      <c r="AD198" s="675" t="str">
        <f ca="1">IF(C198&lt;=CRONO.NivelExibicao,MAX($AD$15:OFFSET(AD198,-1,0))+IF($C198&lt;&gt;1,1,MAX(1,COUNTIF(QCI!$A$13:$A$15,OFFSET($E198,-1,0)))),"")</f>
        <v/>
      </c>
      <c r="AE198" s="671" t="str">
        <f ca="1">IF(AND($C198="S",ORÇAMENTO.CodBarra&lt;&gt;""),IF(ORÇAMENTO.Fonte="",ORÇAMENTO.CodBarra,CONCATENATE(ORÇAMENTO.Fonte," ",ORÇAMENTO.CodBarra)))</f>
        <v>SINAPI 92411</v>
      </c>
      <c r="AF198" s="674" t="str">
        <f ca="1">IF(ISERROR(INDIRECT(ORÇAMENTO.BancoRef)),"(abra o arquivo 'Referência "&amp;Excel_BuiltIn_Database&amp;".xlsm)",IF(OR($C198&lt;&gt;"S",ORÇAMENTO.CodBarra=""),"(Sem Código)",IF(ISERROR(MATCH($AE198,INDIRECT(ORÇAMENTO.BancoRef),0)),"(Código não identificado nas referências)",MATCH($AE198,INDIRECT(ORÇAMENTO.BancoRef),0))))</f>
        <v>(abra o arquivo 'Referência 09-2025.xlsm)</v>
      </c>
      <c r="AG198" s="429">
        <f ca="1">ROUND(IF(DESONERACAO="sim",REFERENCIA.Desonerado,REFERENCIA.NaoDesonerado),2)</f>
        <v>0</v>
      </c>
      <c r="AH198" s="430">
        <f t="shared" ca="1" si="50"/>
        <v>0.24740000000000001</v>
      </c>
      <c r="AJ198" s="699">
        <v>28.8</v>
      </c>
      <c r="AL198" s="440"/>
      <c r="AM198" s="337">
        <f t="shared" ca="1" si="0"/>
        <v>0</v>
      </c>
      <c r="AN198" s="471">
        <f t="shared" ca="1" si="51"/>
        <v>0</v>
      </c>
    </row>
    <row r="199" spans="1:40" s="675" customFormat="1" ht="13.9" customHeight="1" x14ac:dyDescent="0.2">
      <c r="A199" s="675" t="str">
        <f t="shared" si="37"/>
        <v>S</v>
      </c>
      <c r="B199" s="675">
        <f t="shared" ca="1" si="38"/>
        <v>2</v>
      </c>
      <c r="C199" s="675" t="str">
        <f t="shared" ca="1" si="39"/>
        <v>S</v>
      </c>
      <c r="D199" s="675">
        <f t="shared" ca="1" si="40"/>
        <v>0</v>
      </c>
      <c r="E199" s="675">
        <f ca="1">IF($C199=1,OFFSET(E199,-1,0)+MAX(1,COUNTIF(QCI!$A$13:$A$15,OFFSET(ORÇAMENTO!E199,-1,0))),OFFSET(E199,-1,0))</f>
        <v>1</v>
      </c>
      <c r="F199" s="675">
        <f t="shared" ca="1" si="41"/>
        <v>24</v>
      </c>
      <c r="G199" s="675">
        <f t="shared" ca="1" si="42"/>
        <v>0</v>
      </c>
      <c r="H199" s="675">
        <f t="shared" ca="1" si="43"/>
        <v>0</v>
      </c>
      <c r="I199" s="675">
        <f t="shared" ca="1" si="44"/>
        <v>0</v>
      </c>
      <c r="J199" s="675">
        <f t="shared" ca="1" si="67"/>
        <v>0</v>
      </c>
      <c r="K199" s="675">
        <f ca="1">IF(OR($C199="S",$C199=0),0,MATCH(OFFSET($D199,0,$C199)+IF($C199&lt;&gt;1,1,COUNTIF(QCI!$A$13:$A$15,ORÇAMENTO!E199)),OFFSET($D199,1,$C199,ROW($C$231)-ROW($C199)),0))</f>
        <v>0</v>
      </c>
      <c r="L199" s="115" t="str">
        <f t="shared" ca="1" si="45"/>
        <v/>
      </c>
      <c r="M199" s="116" t="s">
        <v>706</v>
      </c>
      <c r="N199" s="117" t="str">
        <f t="shared" ca="1" si="46"/>
        <v>Serviço</v>
      </c>
      <c r="O199" s="118" t="str">
        <f t="shared" ca="1" si="47"/>
        <v>-</v>
      </c>
      <c r="P199" s="119" t="s">
        <v>1066</v>
      </c>
      <c r="Q199" s="694" t="s">
        <v>1062</v>
      </c>
      <c r="R199" s="121" t="str">
        <f ca="1">IF($C199="S",REFERENCIA.Descricao,"(digite a descrição aqui)")</f>
        <v>(abra o arquivo 'Referência 09-2025.xlsm)</v>
      </c>
      <c r="S199" s="122" t="str">
        <f ca="1">REFERENCIA.Unidade</f>
        <v>-</v>
      </c>
      <c r="T199" s="123">
        <f ca="1">OFFSET(CÁLCULO!H$15,ROW($T199)-ROW(T$15),0)</f>
        <v>3.6</v>
      </c>
      <c r="U199" s="124">
        <f ca="1">ROUND(IF(DESONERACAO="sim",REFERENCIA.Desonerado,REFERENCIA.NaoDesonerado),2)</f>
        <v>0</v>
      </c>
      <c r="V199" s="125" t="s">
        <v>664</v>
      </c>
      <c r="W199" s="123">
        <f ca="1">IF($C199="S",ROUND(IF(TIPOORCAMENTO="Proposto",ORÇAMENTO.CustoUnitario*(1+$AH199),ORÇAMENTO.PrecoUnitarioLicitado),15-13*$AF$10),0)</f>
        <v>0</v>
      </c>
      <c r="X199" s="126" cm="1">
        <f t="array" aca="1" ref="X199" ca="1">IF($C199="S",IF(OR(Import.TipoArredondamento&lt;&gt;"TransfereGOV",ACOMPANHAMENTO="BM"),VTOTAL1,SUM(OFFSET(CÁLCULO!$AA$15,ROW($X199)-ROW($X$15),1):OFFSET(CÁLCULO!$AL$15,ROW($X199)-ROW($X$15),-1))),IF($C199=0,0,ROUND(SomaAgrup,15-13*$AF$11)))</f>
        <v>0</v>
      </c>
      <c r="Y199" s="127" t="s">
        <v>752</v>
      </c>
      <c r="Z199" s="675" t="str">
        <f t="shared" ca="1" si="48"/>
        <v/>
      </c>
      <c r="AA199" s="128">
        <f ca="1">IF($C199="S",IF($Z199="CP",$X199,IF($Z199="RA",(($X199)*QCI!$AA$3),0)),SomaAgrup)</f>
        <v>0</v>
      </c>
      <c r="AB199" s="129">
        <f t="shared" ca="1" si="49"/>
        <v>0</v>
      </c>
      <c r="AC199" s="566" t="str" cm="1">
        <f t="array" aca="1" ref="AC199" ca="1">IF($N199=""," ",
IF(AND($C199&lt;&gt;"S",OR($R199="",$R199="(digite a descrição aqui)")),"DESCRIÇÃO",
IF(AND($C199="S",OR($Q199&lt;&gt;"",$T199&gt;0,$U199&gt;0),$P199=""),"FONTE",
IF(AND($C199="S",$P199&lt;&gt;"",OR($T199&gt;0,$U199&gt;0),$Q199=""),"CÓDIGO",
IF(AND($C199="S",$P199&lt;&gt;"",$Q199&lt;&gt;"",$R199="(Código não identificado nas referências)"),"CÓDIGO N/ID",
IF(AND($C199="S",OR($R199="",$R199="(digite a descrição aqui)"),OR($Q199&lt;&gt;"",$T199&gt;0,$U199&gt;0)),"DESCRIÇÃO",
IF(AND($C199="S",$P199&lt;&gt;"",$Q199&lt;&gt;"",$S199=""),"UNIDADE",
IF(AND($C199="S",$P199&lt;&gt;"",$Q199&lt;&gt;"",$U199=0),"SEM CUSTO",
IF(AND(_xlfn.SINGLE(TIPOORCAMENTO)="Licitado",$AL199=0,$AN199&gt;0),"SEM PREÇO",
IF(AND($C199="S",$P199&lt;&gt;"",$Q199&lt;&gt;"",$U199&gt;0,$V199=0),"BDI",
IF(OR(AND(TIPOORCAMENTO="Proposto",LEFT($O$8,5)&lt;&gt;"(N/D:",$AG199&lt;&gt;"",ORÇAMENTO.CustoUnitario&gt;$AG199),AND(TIPOORCAMENTO="LICITADO",ORÇAMENTO.PrecoUnitarioLicitado&gt;$AN199)),"ACIMA REF.",
IF(AND($C199="S",$P199&lt;&gt;"",$Q199&lt;&gt;"",$T199=0,$U199&gt;0),"QUANT.",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SEM CUSTO</v>
      </c>
      <c r="AD199" s="675" t="str">
        <f ca="1">IF(C199&lt;=CRONO.NivelExibicao,MAX($AD$15:OFFSET(AD199,-1,0))+IF($C199&lt;&gt;1,1,MAX(1,COUNTIF(QCI!$A$13:$A$15,OFFSET($E199,-1,0)))),"")</f>
        <v/>
      </c>
      <c r="AE199" s="671" t="str">
        <f ca="1">IF(AND($C199="S",ORÇAMENTO.CodBarra&lt;&gt;""),IF(ORÇAMENTO.Fonte="",ORÇAMENTO.CodBarra,CONCATENATE(ORÇAMENTO.Fonte," ",ORÇAMENTO.CodBarra)))</f>
        <v>SEINFRA ED-49806</v>
      </c>
      <c r="AF199" s="674" t="str">
        <f ca="1">IF(ISERROR(INDIRECT(ORÇAMENTO.BancoRef)),"(abra o arquivo 'Referência "&amp;Excel_BuiltIn_Database&amp;".xlsm)",IF(OR($C199&lt;&gt;"S",ORÇAMENTO.CodBarra=""),"(Sem Código)",IF(ISERROR(MATCH($AE199,INDIRECT(ORÇAMENTO.BancoRef),0)),"(Código não identificado nas referências)",MATCH($AE199,INDIRECT(ORÇAMENTO.BancoRef),0))))</f>
        <v>(abra o arquivo 'Referência 09-2025.xlsm)</v>
      </c>
      <c r="AG199" s="429">
        <f ca="1">ROUND(IF(DESONERACAO="sim",REFERENCIA.Desonerado,REFERENCIA.NaoDesonerado),2)</f>
        <v>0</v>
      </c>
      <c r="AH199" s="430">
        <f t="shared" ca="1" si="50"/>
        <v>0.24740000000000001</v>
      </c>
      <c r="AJ199" s="699">
        <v>3.6</v>
      </c>
      <c r="AL199" s="440"/>
      <c r="AM199" s="337">
        <f t="shared" ca="1" si="0"/>
        <v>0</v>
      </c>
      <c r="AN199" s="471">
        <f t="shared" ca="1" si="51"/>
        <v>0</v>
      </c>
    </row>
    <row r="200" spans="1:40" s="675" customFormat="1" x14ac:dyDescent="0.2">
      <c r="A200" s="675">
        <f t="shared" si="37"/>
        <v>2</v>
      </c>
      <c r="B200" s="675">
        <f t="shared" ca="1" si="38"/>
        <v>2</v>
      </c>
      <c r="C200" s="675">
        <f t="shared" ca="1" si="39"/>
        <v>2</v>
      </c>
      <c r="D200" s="675">
        <f t="shared" ca="1" si="40"/>
        <v>6</v>
      </c>
      <c r="E200" s="675">
        <f ca="1">IF($C200=1,OFFSET(E200,-1,0)+MAX(1,COUNTIF(QCI!$A$13:$A$15,OFFSET(ORÇAMENTO!E200,-1,0))),OFFSET(E200,-1,0))</f>
        <v>1</v>
      </c>
      <c r="F200" s="675">
        <f t="shared" ca="1" si="41"/>
        <v>25</v>
      </c>
      <c r="G200" s="675">
        <f t="shared" ca="1" si="42"/>
        <v>0</v>
      </c>
      <c r="H200" s="675">
        <f t="shared" ca="1" si="43"/>
        <v>0</v>
      </c>
      <c r="I200" s="675">
        <f t="shared" ca="1" si="44"/>
        <v>0</v>
      </c>
      <c r="J200" s="675">
        <f t="shared" ca="1" si="67"/>
        <v>31</v>
      </c>
      <c r="K200" s="675">
        <f ca="1">IF(OR($C200="S",$C200=0),0,MATCH(OFFSET($D200,0,$C200)+IF($C200&lt;&gt;1,1,COUNTIF(QCI!$A$13:$A$15,ORÇAMENTO!E200)),OFFSET($D200,1,$C200,ROW($C$231)-ROW($C200)),0))</f>
        <v>6</v>
      </c>
      <c r="L200" s="115" t="str">
        <f t="shared" ca="1" si="45"/>
        <v>F</v>
      </c>
      <c r="M200" s="116" t="s">
        <v>703</v>
      </c>
      <c r="N200" s="117" t="str">
        <f t="shared" ca="1" si="46"/>
        <v>Nível 2</v>
      </c>
      <c r="O200" s="118" t="str">
        <f t="shared" ca="1" si="47"/>
        <v>1.25.</v>
      </c>
      <c r="P200" s="119" t="s">
        <v>751</v>
      </c>
      <c r="Q200" s="120"/>
      <c r="R200" s="121" t="s">
        <v>1078</v>
      </c>
      <c r="S200" s="122" t="str">
        <f ca="1">REFERENCIA.Unidade</f>
        <v>-</v>
      </c>
      <c r="T200" s="123">
        <f ca="1">OFFSET(CÁLCULO!H$15,ROW($T200)-ROW(T$15),0)</f>
        <v>0</v>
      </c>
      <c r="U200" s="124">
        <f ca="1">ROUND(IF(DESONERACAO="sim",REFERENCIA.Desonerado,REFERENCIA.NaoDesonerado),2)</f>
        <v>0</v>
      </c>
      <c r="V200" s="125" t="s">
        <v>664</v>
      </c>
      <c r="W200" s="123">
        <f ca="1">IF($C200="S",ROUND(IF(TIPOORCAMENTO="Proposto",ORÇAMENTO.CustoUnitario*(1+$AH200),ORÇAMENTO.PrecoUnitarioLicitado),15-13*$AF$10),0)</f>
        <v>0</v>
      </c>
      <c r="X200" s="126" cm="1">
        <f t="array" aca="1" ref="X200" ca="1">IF($C200="S",IF(OR(Import.TipoArredondamento&lt;&gt;"TransfereGOV",ACOMPANHAMENTO="BM"),VTOTAL1,SUM(OFFSET(CÁLCULO!$AA$15,ROW($X200)-ROW($X$15),1):OFFSET(CÁLCULO!$AL$15,ROW($X200)-ROW($X$15),-1))),IF($C200=0,0,ROUND(SomaAgrup,15-13*$AF$11)))</f>
        <v>0</v>
      </c>
      <c r="Y200" s="127" t="s">
        <v>752</v>
      </c>
      <c r="Z200" s="675" t="str">
        <f t="shared" ca="1" si="48"/>
        <v/>
      </c>
      <c r="AA200" s="128">
        <f ca="1">IF($C200="S",IF($Z200="CP",$X200,IF($Z200="RA",(($X200)*QCI!$AA$3),0)),SomaAgrup)</f>
        <v>0</v>
      </c>
      <c r="AB200" s="129">
        <f t="shared" ca="1" si="49"/>
        <v>0</v>
      </c>
      <c r="AC200" s="566" t="e" cm="1">
        <f t="array" aca="1" ref="AC200" ca="1">IF($N200=""," ",
IF(AND($C200&lt;&gt;"S",OR($R200="",$R200="(digite a descrição aqui)")),"DESCRIÇÃO",
IF(AND($C200="S",OR($Q200&lt;&gt;"",$T200&gt;0,$U200&gt;0),$P200=""),"FONTE",
IF(AND($C200="S",$P200&lt;&gt;"",OR($T200&gt;0,$U200&gt;0),$Q200=""),"CÓDIGO",
IF(AND($C200="S",$P200&lt;&gt;"",$Q200&lt;&gt;"",$R200="(Código não identificado nas referências)"),"CÓDIGO N/ID",
IF(AND($C200="S",OR($R200="",$R200="(digite a descrição aqui)"),OR($Q200&lt;&gt;"",$T200&gt;0,$U200&gt;0)),"DESCRIÇÃO",
IF(AND($C200="S",$P200&lt;&gt;"",$Q200&lt;&gt;"",$S200=""),"UNIDADE",
IF(AND($C200="S",$P200&lt;&gt;"",$Q200&lt;&gt;"",$U200=0),"SEM CUSTO",
IF(AND(_xlfn.SINGLE(TIPOORCAMENTO)="Licitado",$AL200=0,$AN200&gt;0),"SEM PREÇO",
IF(AND($C200="S",$P200&lt;&gt;"",$Q200&lt;&gt;"",$U200&gt;0,$V200=0),"BDI",
IF(OR(AND(TIPOORCAMENTO="Proposto",LEFT($O$8,5)&lt;&gt;"(N/D:",$AG200&lt;&gt;"",ORÇAMENTO.CustoUnitario&gt;$AG200),AND(TIPOORCAMENTO="LICITADO",ORÇAMENTO.PrecoUnitarioLicitado&gt;$AN200)),"ACIMA REF.",
IF(AND($C200="S",$P200&lt;&gt;"",$Q200&lt;&gt;"",$T200=0,$U200&gt;0),"QUANT.",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#NAME?</v>
      </c>
      <c r="AD200" s="675">
        <f ca="1">IF(C200&lt;=CRONO.NivelExibicao,MAX($AD$15:OFFSET(AD200,-1,0))+IF($C200&lt;&gt;1,1,MAX(1,COUNTIF(QCI!$A$13:$A$15,OFFSET($E200,-1,0)))),"")</f>
        <v>26</v>
      </c>
      <c r="AE200" s="671" t="b">
        <f ca="1">IF(AND($C200="S",ORÇAMENTO.CodBarra&lt;&gt;""),IF(ORÇAMENTO.Fonte="",ORÇAMENTO.CodBarra,CONCATENATE(ORÇAMENTO.Fonte," ",ORÇAMENTO.CodBarra)))</f>
        <v>0</v>
      </c>
      <c r="AF200" s="674" t="str">
        <f ca="1">IF(ISERROR(INDIRECT(ORÇAMENTO.BancoRef)),"(abra o arquivo 'Referência "&amp;Excel_BuiltIn_Database&amp;".xlsm)",IF(OR($C200&lt;&gt;"S",ORÇAMENTO.CodBarra=""),"(Sem Código)",IF(ISERROR(MATCH($AE200,INDIRECT(ORÇAMENTO.BancoRef),0)),"(Código não identificado nas referências)",MATCH($AE200,INDIRECT(ORÇAMENTO.BancoRef),0))))</f>
        <v>(abra o arquivo 'Referência 09-2025.xlsm)</v>
      </c>
      <c r="AG200" s="429">
        <f ca="1">ROUND(IF(DESONERACAO="sim",REFERENCIA.Desonerado,REFERENCIA.NaoDesonerado),2)</f>
        <v>0</v>
      </c>
      <c r="AH200" s="430">
        <f t="shared" ca="1" si="50"/>
        <v>0.24740000000000001</v>
      </c>
      <c r="AJ200" s="699"/>
      <c r="AL200" s="440"/>
      <c r="AM200" s="337">
        <f t="shared" ca="1" si="0"/>
        <v>0</v>
      </c>
      <c r="AN200" s="471">
        <f t="shared" ca="1" si="51"/>
        <v>0</v>
      </c>
    </row>
    <row r="201" spans="1:40" s="675" customFormat="1" ht="13.9" customHeight="1" x14ac:dyDescent="0.2">
      <c r="A201" s="675" t="str">
        <f t="shared" si="37"/>
        <v>S</v>
      </c>
      <c r="B201" s="675">
        <f t="shared" ca="1" si="38"/>
        <v>2</v>
      </c>
      <c r="C201" s="675" t="str">
        <f t="shared" ca="1" si="39"/>
        <v>S</v>
      </c>
      <c r="D201" s="675">
        <f t="shared" ca="1" si="40"/>
        <v>0</v>
      </c>
      <c r="E201" s="675">
        <f ca="1">IF($C201=1,OFFSET(E201,-1,0)+MAX(1,COUNTIF(QCI!$A$13:$A$15,OFFSET(ORÇAMENTO!E201,-1,0))),OFFSET(E201,-1,0))</f>
        <v>1</v>
      </c>
      <c r="F201" s="675">
        <f t="shared" ca="1" si="41"/>
        <v>25</v>
      </c>
      <c r="G201" s="675">
        <f t="shared" ca="1" si="42"/>
        <v>0</v>
      </c>
      <c r="H201" s="675">
        <f t="shared" ca="1" si="43"/>
        <v>0</v>
      </c>
      <c r="I201" s="675">
        <f t="shared" ca="1" si="44"/>
        <v>0</v>
      </c>
      <c r="J201" s="675">
        <f t="shared" ca="1" si="67"/>
        <v>0</v>
      </c>
      <c r="K201" s="675">
        <f ca="1">IF(OR($C201="S",$C201=0),0,MATCH(OFFSET($D201,0,$C201)+IF($C201&lt;&gt;1,1,COUNTIF(QCI!$A$13:$A$15,ORÇAMENTO!E201)),OFFSET($D201,1,$C201,ROW($C$231)-ROW($C201)),0))</f>
        <v>0</v>
      </c>
      <c r="L201" s="115" t="str">
        <f t="shared" ca="1" si="45"/>
        <v/>
      </c>
      <c r="M201" s="116" t="s">
        <v>706</v>
      </c>
      <c r="N201" s="117" t="str">
        <f t="shared" ca="1" si="46"/>
        <v>Serviço</v>
      </c>
      <c r="O201" s="118" t="str">
        <f t="shared" ca="1" si="47"/>
        <v>-</v>
      </c>
      <c r="P201" s="119" t="s">
        <v>751</v>
      </c>
      <c r="Q201" s="695" t="s">
        <v>1073</v>
      </c>
      <c r="R201" s="121" t="str">
        <f ca="1">IF($C201="S",REFERENCIA.Descricao,"(digite a descrição aqui)")</f>
        <v>(abra o arquivo 'Referência 09-2025.xlsm)</v>
      </c>
      <c r="S201" s="122" t="str">
        <f ca="1">REFERENCIA.Unidade</f>
        <v>-</v>
      </c>
      <c r="T201" s="123">
        <f ca="1">OFFSET(CÁLCULO!H$15,ROW($T201)-ROW(T$15),0)</f>
        <v>85.57</v>
      </c>
      <c r="U201" s="124">
        <f ca="1">ROUND(IF(DESONERACAO="sim",REFERENCIA.Desonerado,REFERENCIA.NaoDesonerado),2)</f>
        <v>0</v>
      </c>
      <c r="V201" s="125" t="s">
        <v>664</v>
      </c>
      <c r="W201" s="123">
        <f ca="1">IF($C201="S",ROUND(IF(TIPOORCAMENTO="Proposto",ORÇAMENTO.CustoUnitario*(1+$AH201),ORÇAMENTO.PrecoUnitarioLicitado),15-13*$AF$10),0)</f>
        <v>0</v>
      </c>
      <c r="X201" s="126" cm="1">
        <f t="array" aca="1" ref="X201" ca="1">IF($C201="S",IF(OR(Import.TipoArredondamento&lt;&gt;"TransfereGOV",ACOMPANHAMENTO="BM"),VTOTAL1,SUM(OFFSET(CÁLCULO!$AA$15,ROW($X201)-ROW($X$15),1):OFFSET(CÁLCULO!$AL$15,ROW($X201)-ROW($X$15),-1))),IF($C201=0,0,ROUND(SomaAgrup,15-13*$AF$11)))</f>
        <v>0</v>
      </c>
      <c r="Y201" s="127" t="s">
        <v>752</v>
      </c>
      <c r="Z201" s="675" t="str">
        <f t="shared" ca="1" si="48"/>
        <v/>
      </c>
      <c r="AA201" s="128">
        <f ca="1">IF($C201="S",IF($Z201="CP",$X201,IF($Z201="RA",(($X201)*QCI!$AA$3),0)),SomaAgrup)</f>
        <v>0</v>
      </c>
      <c r="AB201" s="129">
        <f t="shared" ca="1" si="49"/>
        <v>0</v>
      </c>
      <c r="AC201" s="566" t="str" cm="1">
        <f t="array" aca="1" ref="AC201" ca="1">IF($N201=""," ",
IF(AND($C201&lt;&gt;"S",OR($R201="",$R201="(digite a descrição aqui)")),"DESCRIÇÃO",
IF(AND($C201="S",OR($Q201&lt;&gt;"",$T201&gt;0,$U201&gt;0),$P201=""),"FONTE",
IF(AND($C201="S",$P201&lt;&gt;"",OR($T201&gt;0,$U201&gt;0),$Q201=""),"CÓDIGO",
IF(AND($C201="S",$P201&lt;&gt;"",$Q201&lt;&gt;"",$R201="(Código não identificado nas referências)"),"CÓDIGO N/ID",
IF(AND($C201="S",OR($R201="",$R201="(digite a descrição aqui)"),OR($Q201&lt;&gt;"",$T201&gt;0,$U201&gt;0)),"DESCRIÇÃO",
IF(AND($C201="S",$P201&lt;&gt;"",$Q201&lt;&gt;"",$S201=""),"UNIDADE",
IF(AND($C201="S",$P201&lt;&gt;"",$Q201&lt;&gt;"",$U201=0),"SEM CUSTO",
IF(AND(_xlfn.SINGLE(TIPOORCAMENTO)="Licitado",$AL201=0,$AN201&gt;0),"SEM PREÇO",
IF(AND($C201="S",$P201&lt;&gt;"",$Q201&lt;&gt;"",$U201&gt;0,$V201=0),"BDI",
IF(OR(AND(TIPOORCAMENTO="Proposto",LEFT($O$8,5)&lt;&gt;"(N/D:",$AG201&lt;&gt;"",ORÇAMENTO.CustoUnitario&gt;$AG201),AND(TIPOORCAMENTO="LICITADO",ORÇAMENTO.PrecoUnitarioLicitado&gt;$AN201)),"ACIMA REF.",
IF(AND($C201="S",$P201&lt;&gt;"",$Q201&lt;&gt;"",$T201=0,$U201&gt;0),"QUANT.",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SEM CUSTO</v>
      </c>
      <c r="AD201" s="675" t="str">
        <f ca="1">IF(C201&lt;=CRONO.NivelExibicao,MAX($AD$15:OFFSET(AD201,-1,0))+IF($C201&lt;&gt;1,1,MAX(1,COUNTIF(QCI!$A$13:$A$15,OFFSET($E201,-1,0)))),"")</f>
        <v/>
      </c>
      <c r="AE201" s="671" t="str">
        <f ca="1">IF(AND($C201="S",ORÇAMENTO.CodBarra&lt;&gt;""),IF(ORÇAMENTO.Fonte="",ORÇAMENTO.CodBarra,CONCATENATE(ORÇAMENTO.Fonte," ",ORÇAMENTO.CodBarra)))</f>
        <v>SINAPI 100067</v>
      </c>
      <c r="AF201" s="674" t="str">
        <f ca="1">IF(ISERROR(INDIRECT(ORÇAMENTO.BancoRef)),"(abra o arquivo 'Referência "&amp;Excel_BuiltIn_Database&amp;".xlsm)",IF(OR($C201&lt;&gt;"S",ORÇAMENTO.CodBarra=""),"(Sem Código)",IF(ISERROR(MATCH($AE201,INDIRECT(ORÇAMENTO.BancoRef),0)),"(Código não identificado nas referências)",MATCH($AE201,INDIRECT(ORÇAMENTO.BancoRef),0))))</f>
        <v>(abra o arquivo 'Referência 09-2025.xlsm)</v>
      </c>
      <c r="AG201" s="429">
        <f ca="1">ROUND(IF(DESONERACAO="sim",REFERENCIA.Desonerado,REFERENCIA.NaoDesonerado),2)</f>
        <v>0</v>
      </c>
      <c r="AH201" s="430">
        <f t="shared" ca="1" si="50"/>
        <v>0.24740000000000001</v>
      </c>
      <c r="AJ201" s="699">
        <v>85.57</v>
      </c>
      <c r="AL201" s="440"/>
      <c r="AM201" s="337">
        <f t="shared" ca="1" si="0"/>
        <v>0</v>
      </c>
      <c r="AN201" s="471">
        <f t="shared" ca="1" si="51"/>
        <v>0</v>
      </c>
    </row>
    <row r="202" spans="1:40" s="675" customFormat="1" ht="13.9" customHeight="1" x14ac:dyDescent="0.2">
      <c r="A202" s="675" t="str">
        <f t="shared" si="37"/>
        <v>S</v>
      </c>
      <c r="B202" s="675">
        <f t="shared" ca="1" si="38"/>
        <v>2</v>
      </c>
      <c r="C202" s="675" t="str">
        <f t="shared" ca="1" si="39"/>
        <v>S</v>
      </c>
      <c r="D202" s="675">
        <f t="shared" ca="1" si="40"/>
        <v>0</v>
      </c>
      <c r="E202" s="675">
        <f ca="1">IF($C202=1,OFFSET(E202,-1,0)+MAX(1,COUNTIF(QCI!$A$13:$A$15,OFFSET(ORÇAMENTO!E202,-1,0))),OFFSET(E202,-1,0))</f>
        <v>1</v>
      </c>
      <c r="F202" s="675">
        <f t="shared" ca="1" si="41"/>
        <v>25</v>
      </c>
      <c r="G202" s="675">
        <f t="shared" ca="1" si="42"/>
        <v>0</v>
      </c>
      <c r="H202" s="675">
        <f t="shared" ca="1" si="43"/>
        <v>0</v>
      </c>
      <c r="I202" s="675">
        <f t="shared" ca="1" si="44"/>
        <v>0</v>
      </c>
      <c r="J202" s="675">
        <f t="shared" ca="1" si="67"/>
        <v>0</v>
      </c>
      <c r="K202" s="675">
        <f ca="1">IF(OR($C202="S",$C202=0),0,MATCH(OFFSET($D202,0,$C202)+IF($C202&lt;&gt;1,1,COUNTIF(QCI!$A$13:$A$15,ORÇAMENTO!E202)),OFFSET($D202,1,$C202,ROW($C$231)-ROW($C202)),0))</f>
        <v>0</v>
      </c>
      <c r="L202" s="115" t="str">
        <f t="shared" ca="1" si="45"/>
        <v/>
      </c>
      <c r="M202" s="116" t="s">
        <v>706</v>
      </c>
      <c r="N202" s="117" t="str">
        <f t="shared" ca="1" si="46"/>
        <v>Serviço</v>
      </c>
      <c r="O202" s="118" t="str">
        <f t="shared" ca="1" si="47"/>
        <v>-</v>
      </c>
      <c r="P202" s="119" t="s">
        <v>751</v>
      </c>
      <c r="Q202" s="695" t="s">
        <v>1074</v>
      </c>
      <c r="R202" s="121" t="str">
        <f ca="1">IF($C202="S",REFERENCIA.Descricao,"(digite a descrição aqui)")</f>
        <v>(abra o arquivo 'Referência 09-2025.xlsm)</v>
      </c>
      <c r="S202" s="122" t="str">
        <f ca="1">REFERENCIA.Unidade</f>
        <v>-</v>
      </c>
      <c r="T202" s="123">
        <f ca="1">OFFSET(CÁLCULO!H$15,ROW($T202)-ROW(T$15),0)</f>
        <v>250.88</v>
      </c>
      <c r="U202" s="124">
        <f ca="1">ROUND(IF(DESONERACAO="sim",REFERENCIA.Desonerado,REFERENCIA.NaoDesonerado),2)</f>
        <v>0</v>
      </c>
      <c r="V202" s="125" t="s">
        <v>664</v>
      </c>
      <c r="W202" s="123">
        <f ca="1">IF($C202="S",ROUND(IF(TIPOORCAMENTO="Proposto",ORÇAMENTO.CustoUnitario*(1+$AH202),ORÇAMENTO.PrecoUnitarioLicitado),15-13*$AF$10),0)</f>
        <v>0</v>
      </c>
      <c r="X202" s="126" cm="1">
        <f t="array" aca="1" ref="X202" ca="1">IF($C202="S",IF(OR(Import.TipoArredondamento&lt;&gt;"TransfereGOV",ACOMPANHAMENTO="BM"),VTOTAL1,SUM(OFFSET(CÁLCULO!$AA$15,ROW($X202)-ROW($X$15),1):OFFSET(CÁLCULO!$AL$15,ROW($X202)-ROW($X$15),-1))),IF($C202=0,0,ROUND(SomaAgrup,15-13*$AF$11)))</f>
        <v>0</v>
      </c>
      <c r="Y202" s="127" t="s">
        <v>752</v>
      </c>
      <c r="Z202" s="675" t="str">
        <f t="shared" ca="1" si="48"/>
        <v/>
      </c>
      <c r="AA202" s="128">
        <f ca="1">IF($C202="S",IF($Z202="CP",$X202,IF($Z202="RA",(($X202)*QCI!$AA$3),0)),SomaAgrup)</f>
        <v>0</v>
      </c>
      <c r="AB202" s="129">
        <f t="shared" ca="1" si="49"/>
        <v>0</v>
      </c>
      <c r="AC202" s="566" t="str" cm="1">
        <f t="array" aca="1" ref="AC202" ca="1">IF($N202=""," ",
IF(AND($C202&lt;&gt;"S",OR($R202="",$R202="(digite a descrição aqui)")),"DESCRIÇÃO",
IF(AND($C202="S",OR($Q202&lt;&gt;"",$T202&gt;0,$U202&gt;0),$P202=""),"FONTE",
IF(AND($C202="S",$P202&lt;&gt;"",OR($T202&gt;0,$U202&gt;0),$Q202=""),"CÓDIGO",
IF(AND($C202="S",$P202&lt;&gt;"",$Q202&lt;&gt;"",$R202="(Código não identificado nas referências)"),"CÓDIGO N/ID",
IF(AND($C202="S",OR($R202="",$R202="(digite a descrição aqui)"),OR($Q202&lt;&gt;"",$T202&gt;0,$U202&gt;0)),"DESCRIÇÃO",
IF(AND($C202="S",$P202&lt;&gt;"",$Q202&lt;&gt;"",$S202=""),"UNIDADE",
IF(AND($C202="S",$P202&lt;&gt;"",$Q202&lt;&gt;"",$U202=0),"SEM CUSTO",
IF(AND(_xlfn.SINGLE(TIPOORCAMENTO)="Licitado",$AL202=0,$AN202&gt;0),"SEM PREÇO",
IF(AND($C202="S",$P202&lt;&gt;"",$Q202&lt;&gt;"",$U202&gt;0,$V202=0),"BDI",
IF(OR(AND(TIPOORCAMENTO="Proposto",LEFT($O$8,5)&lt;&gt;"(N/D:",$AG202&lt;&gt;"",ORÇAMENTO.CustoUnitario&gt;$AG202),AND(TIPOORCAMENTO="LICITADO",ORÇAMENTO.PrecoUnitarioLicitado&gt;$AN202)),"ACIMA REF.",
IF(AND($C202="S",$P202&lt;&gt;"",$Q202&lt;&gt;"",$T202=0,$U202&gt;0),"QUANT.",
IF(AND(Import.TipoArredondamento="TransfereGOV",$L202="F",$C202="S",LEN($Q202)&gt;13),"Código &gt;13",
IF(AND(Import.TipoArredondamento="TransfereGOV",$L202="F",$C202&lt;&gt;"S",LEN($R202)&gt;100),"Descrição &gt;100",
IF(AND(Import.TipoArredondamento="TransfereGOV",$L202="F",$C202="S",LEN($R202)&gt;500),"Descrição &gt;500",
IF(AND(Import.TipoArredondamento="TransfereGOV",$L202="F",$C202="S",LEFT(TRIM(UPPER($P202)),6)&lt;&gt;"SINAPI",ISNA(VLOOKUP(TRIM(UPPER($S202)),ListaTgov.Unidades,1,FALSE))),"Unid. Não Disp",
" "))))))))))))))))</f>
        <v>SEM CUSTO</v>
      </c>
      <c r="AD202" s="675" t="str">
        <f ca="1">IF(C202&lt;=CRONO.NivelExibicao,MAX($AD$15:OFFSET(AD202,-1,0))+IF($C202&lt;&gt;1,1,MAX(1,COUNTIF(QCI!$A$13:$A$15,OFFSET($E202,-1,0)))),"")</f>
        <v/>
      </c>
      <c r="AE202" s="671" t="str">
        <f ca="1">IF(AND($C202="S",ORÇAMENTO.CodBarra&lt;&gt;""),IF(ORÇAMENTO.Fonte="",ORÇAMENTO.CodBarra,CONCATENATE(ORÇAMENTO.Fonte," ",ORÇAMENTO.CodBarra)))</f>
        <v>SINAPI 92916</v>
      </c>
      <c r="AF202" s="674" t="str">
        <f ca="1">IF(ISERROR(INDIRECT(ORÇAMENTO.BancoRef)),"(abra o arquivo 'Referência "&amp;Excel_BuiltIn_Database&amp;".xlsm)",IF(OR($C202&lt;&gt;"S",ORÇAMENTO.CodBarra=""),"(Sem Código)",IF(ISERROR(MATCH($AE202,INDIRECT(ORÇAMENTO.BancoRef),0)),"(Código não identificado nas referências)",MATCH($AE202,INDIRECT(ORÇAMENTO.BancoRef),0))))</f>
        <v>(abra o arquivo 'Referência 09-2025.xlsm)</v>
      </c>
      <c r="AG202" s="429">
        <f ca="1">ROUND(IF(DESONERACAO="sim",REFERENCIA.Desonerado,REFERENCIA.NaoDesonerado),2)</f>
        <v>0</v>
      </c>
      <c r="AH202" s="430">
        <f t="shared" ca="1" si="50"/>
        <v>0.24740000000000001</v>
      </c>
      <c r="AJ202" s="699">
        <v>250.88</v>
      </c>
      <c r="AL202" s="440"/>
      <c r="AM202" s="337">
        <f t="shared" ca="1" si="0"/>
        <v>0</v>
      </c>
      <c r="AN202" s="471">
        <f t="shared" ca="1" si="51"/>
        <v>0</v>
      </c>
    </row>
    <row r="203" spans="1:40" s="675" customFormat="1" ht="13.9" customHeight="1" x14ac:dyDescent="0.2">
      <c r="A203" s="675" t="str">
        <f t="shared" si="37"/>
        <v>S</v>
      </c>
      <c r="B203" s="675">
        <f t="shared" ca="1" si="38"/>
        <v>2</v>
      </c>
      <c r="C203" s="675" t="str">
        <f t="shared" ca="1" si="39"/>
        <v>S</v>
      </c>
      <c r="D203" s="675">
        <f t="shared" ca="1" si="40"/>
        <v>0</v>
      </c>
      <c r="E203" s="675">
        <f ca="1">IF($C203=1,OFFSET(E203,-1,0)+MAX(1,COUNTIF(QCI!$A$13:$A$15,OFFSET(ORÇAMENTO!E203,-1,0))),OFFSET(E203,-1,0))</f>
        <v>1</v>
      </c>
      <c r="F203" s="675">
        <f t="shared" ca="1" si="41"/>
        <v>25</v>
      </c>
      <c r="G203" s="675">
        <f t="shared" ca="1" si="42"/>
        <v>0</v>
      </c>
      <c r="H203" s="675">
        <f t="shared" ca="1" si="43"/>
        <v>0</v>
      </c>
      <c r="I203" s="675">
        <f t="shared" ca="1" si="44"/>
        <v>0</v>
      </c>
      <c r="J203" s="675">
        <f t="shared" ca="1" si="67"/>
        <v>0</v>
      </c>
      <c r="K203" s="675">
        <f ca="1">IF(OR($C203="S",$C203=0),0,MATCH(OFFSET($D203,0,$C203)+IF($C203&lt;&gt;1,1,COUNTIF(QCI!$A$13:$A$15,ORÇAMENTO!E203)),OFFSET($D203,1,$C203,ROW($C$231)-ROW($C203)),0))</f>
        <v>0</v>
      </c>
      <c r="L203" s="115" t="str">
        <f t="shared" ca="1" si="45"/>
        <v/>
      </c>
      <c r="M203" s="116" t="s">
        <v>706</v>
      </c>
      <c r="N203" s="117" t="str">
        <f t="shared" ca="1" si="46"/>
        <v>Serviço</v>
      </c>
      <c r="O203" s="118" t="str">
        <f t="shared" ca="1" si="47"/>
        <v>-</v>
      </c>
      <c r="P203" s="119" t="s">
        <v>751</v>
      </c>
      <c r="Q203" s="695" t="s">
        <v>1075</v>
      </c>
      <c r="R203" s="121" t="str">
        <f ca="1">IF($C203="S",REFERENCIA.Descricao,"(digite a descrição aqui)")</f>
        <v>(abra o arquivo 'Referência 09-2025.xlsm)</v>
      </c>
      <c r="S203" s="122" t="str">
        <f ca="1">REFERENCIA.Unidade</f>
        <v>-</v>
      </c>
      <c r="T203" s="123">
        <f ca="1">OFFSET(CÁLCULO!H$15,ROW($T203)-ROW(T$15),0)</f>
        <v>276.41000000000003</v>
      </c>
      <c r="U203" s="124">
        <f ca="1">ROUND(IF(DESONERACAO="sim",REFERENCIA.Desonerado,REFERENCIA.NaoDesonerado),2)</f>
        <v>0</v>
      </c>
      <c r="V203" s="125" t="s">
        <v>664</v>
      </c>
      <c r="W203" s="123">
        <f ca="1">IF($C203="S",ROUND(IF(TIPOORCAMENTO="Proposto",ORÇAMENTO.CustoUnitario*(1+$AH203),ORÇAMENTO.PrecoUnitarioLicitado),15-13*$AF$10),0)</f>
        <v>0</v>
      </c>
      <c r="X203" s="126" cm="1">
        <f t="array" aca="1" ref="X203" ca="1">IF($C203="S",IF(OR(Import.TipoArredondamento&lt;&gt;"TransfereGOV",ACOMPANHAMENTO="BM"),VTOTAL1,SUM(OFFSET(CÁLCULO!$AA$15,ROW($X203)-ROW($X$15),1):OFFSET(CÁLCULO!$AL$15,ROW($X203)-ROW($X$15),-1))),IF($C203=0,0,ROUND(SomaAgrup,15-13*$AF$11)))</f>
        <v>0</v>
      </c>
      <c r="Y203" s="127" t="s">
        <v>752</v>
      </c>
      <c r="Z203" s="675" t="str">
        <f t="shared" ca="1" si="48"/>
        <v/>
      </c>
      <c r="AA203" s="128">
        <f ca="1">IF($C203="S",IF($Z203="CP",$X203,IF($Z203="RA",(($X203)*QCI!$AA$3),0)),SomaAgrup)</f>
        <v>0</v>
      </c>
      <c r="AB203" s="129">
        <f t="shared" ca="1" si="49"/>
        <v>0</v>
      </c>
      <c r="AC203" s="566" t="str" cm="1">
        <f t="array" aca="1" ref="AC203" ca="1">IF($N203=""," ",
IF(AND($C203&lt;&gt;"S",OR($R203="",$R203="(digite a descrição aqui)")),"DESCRIÇÃO",
IF(AND($C203="S",OR($Q203&lt;&gt;"",$T203&gt;0,$U203&gt;0),$P203=""),"FONTE",
IF(AND($C203="S",$P203&lt;&gt;"",OR($T203&gt;0,$U203&gt;0),$Q203=""),"CÓDIGO",
IF(AND($C203="S",$P203&lt;&gt;"",$Q203&lt;&gt;"",$R203="(Código não identificado nas referências)"),"CÓDIGO N/ID",
IF(AND($C203="S",OR($R203="",$R203="(digite a descrição aqui)"),OR($Q203&lt;&gt;"",$T203&gt;0,$U203&gt;0)),"DESCRIÇÃO",
IF(AND($C203="S",$P203&lt;&gt;"",$Q203&lt;&gt;"",$S203=""),"UNIDADE",
IF(AND($C203="S",$P203&lt;&gt;"",$Q203&lt;&gt;"",$U203=0),"SEM CUSTO",
IF(AND(_xlfn.SINGLE(TIPOORCAMENTO)="Licitado",$AL203=0,$AN203&gt;0),"SEM PREÇO",
IF(AND($C203="S",$P203&lt;&gt;"",$Q203&lt;&gt;"",$U203&gt;0,$V203=0),"BDI",
IF(OR(AND(TIPOORCAMENTO="Proposto",LEFT($O$8,5)&lt;&gt;"(N/D:",$AG203&lt;&gt;"",ORÇAMENTO.CustoUnitario&gt;$AG203),AND(TIPOORCAMENTO="LICITADO",ORÇAMENTO.PrecoUnitarioLicitado&gt;$AN203)),"ACIMA REF.",
IF(AND($C203="S",$P203&lt;&gt;"",$Q203&lt;&gt;"",$T203=0,$U203&gt;0),"QUANT.",
IF(AND(Import.TipoArredondamento="TransfereGOV",$L203="F",$C203="S",LEN($Q203)&gt;13),"Código &gt;13",
IF(AND(Import.TipoArredondamento="TransfereGOV",$L203="F",$C203&lt;&gt;"S",LEN($R203)&gt;100),"Descrição &gt;100",
IF(AND(Import.TipoArredondamento="TransfereGOV",$L203="F",$C203="S",LEN($R203)&gt;500),"Descrição &gt;500",
IF(AND(Import.TipoArredondamento="TransfereGOV",$L203="F",$C203="S",LEFT(TRIM(UPPER($P203)),6)&lt;&gt;"SINAPI",ISNA(VLOOKUP(TRIM(UPPER($S203)),ListaTgov.Unidades,1,FALSE))),"Unid. Não Disp",
" "))))))))))))))))</f>
        <v>SEM CUSTO</v>
      </c>
      <c r="AD203" s="675" t="str">
        <f ca="1">IF(C203&lt;=CRONO.NivelExibicao,MAX($AD$15:OFFSET(AD203,-1,0))+IF($C203&lt;&gt;1,1,MAX(1,COUNTIF(QCI!$A$13:$A$15,OFFSET($E203,-1,0)))),"")</f>
        <v/>
      </c>
      <c r="AE203" s="671" t="str">
        <f ca="1">IF(AND($C203="S",ORÇAMENTO.CodBarra&lt;&gt;""),IF(ORÇAMENTO.Fonte="",ORÇAMENTO.CodBarra,CONCATENATE(ORÇAMENTO.Fonte," ",ORÇAMENTO.CodBarra)))</f>
        <v>SINAPI 92919</v>
      </c>
      <c r="AF203" s="674" t="str">
        <f ca="1">IF(ISERROR(INDIRECT(ORÇAMENTO.BancoRef)),"(abra o arquivo 'Referência "&amp;Excel_BuiltIn_Database&amp;".xlsm)",IF(OR($C203&lt;&gt;"S",ORÇAMENTO.CodBarra=""),"(Sem Código)",IF(ISERROR(MATCH($AE203,INDIRECT(ORÇAMENTO.BancoRef),0)),"(Código não identificado nas referências)",MATCH($AE203,INDIRECT(ORÇAMENTO.BancoRef),0))))</f>
        <v>(abra o arquivo 'Referência 09-2025.xlsm)</v>
      </c>
      <c r="AG203" s="429">
        <f ca="1">ROUND(IF(DESONERACAO="sim",REFERENCIA.Desonerado,REFERENCIA.NaoDesonerado),2)</f>
        <v>0</v>
      </c>
      <c r="AH203" s="430">
        <f t="shared" ca="1" si="50"/>
        <v>0.24740000000000001</v>
      </c>
      <c r="AJ203" s="699">
        <v>276.41000000000003</v>
      </c>
      <c r="AL203" s="440"/>
      <c r="AM203" s="337">
        <f t="shared" ca="1" si="0"/>
        <v>0</v>
      </c>
      <c r="AN203" s="471">
        <f t="shared" ca="1" si="51"/>
        <v>0</v>
      </c>
    </row>
    <row r="204" spans="1:40" s="675" customFormat="1" ht="13.9" customHeight="1" x14ac:dyDescent="0.2">
      <c r="A204" s="675" t="str">
        <f t="shared" si="37"/>
        <v>S</v>
      </c>
      <c r="B204" s="675">
        <f t="shared" ca="1" si="38"/>
        <v>2</v>
      </c>
      <c r="C204" s="675" t="str">
        <f t="shared" ca="1" si="39"/>
        <v>S</v>
      </c>
      <c r="D204" s="675">
        <f t="shared" ca="1" si="40"/>
        <v>0</v>
      </c>
      <c r="E204" s="675">
        <f ca="1">IF($C204=1,OFFSET(E204,-1,0)+MAX(1,COUNTIF(QCI!$A$13:$A$15,OFFSET(ORÇAMENTO!E204,-1,0))),OFFSET(E204,-1,0))</f>
        <v>1</v>
      </c>
      <c r="F204" s="675">
        <f t="shared" ca="1" si="41"/>
        <v>25</v>
      </c>
      <c r="G204" s="675">
        <f t="shared" ca="1" si="42"/>
        <v>0</v>
      </c>
      <c r="H204" s="675">
        <f t="shared" ca="1" si="43"/>
        <v>0</v>
      </c>
      <c r="I204" s="675">
        <f t="shared" ca="1" si="44"/>
        <v>0</v>
      </c>
      <c r="J204" s="675">
        <f t="shared" ca="1" si="67"/>
        <v>0</v>
      </c>
      <c r="K204" s="675">
        <f ca="1">IF(OR($C204="S",$C204=0),0,MATCH(OFFSET($D204,0,$C204)+IF($C204&lt;&gt;1,1,COUNTIF(QCI!$A$13:$A$15,ORÇAMENTO!E204)),OFFSET($D204,1,$C204,ROW($C$231)-ROW($C204)),0))</f>
        <v>0</v>
      </c>
      <c r="L204" s="115" t="str">
        <f t="shared" ca="1" si="45"/>
        <v/>
      </c>
      <c r="M204" s="116" t="s">
        <v>706</v>
      </c>
      <c r="N204" s="117" t="str">
        <f t="shared" ca="1" si="46"/>
        <v>Serviço</v>
      </c>
      <c r="O204" s="118" t="str">
        <f t="shared" ca="1" si="47"/>
        <v>-</v>
      </c>
      <c r="P204" s="119" t="s">
        <v>751</v>
      </c>
      <c r="Q204" s="695" t="s">
        <v>1076</v>
      </c>
      <c r="R204" s="121" t="str">
        <f ca="1">IF($C204="S",REFERENCIA.Descricao,"(digite a descrição aqui)")</f>
        <v>(abra o arquivo 'Referência 09-2025.xlsm)</v>
      </c>
      <c r="S204" s="122" t="str">
        <f ca="1">REFERENCIA.Unidade</f>
        <v>-</v>
      </c>
      <c r="T204" s="123">
        <f ca="1">OFFSET(CÁLCULO!H$15,ROW($T204)-ROW(T$15),0)</f>
        <v>13.98</v>
      </c>
      <c r="U204" s="124">
        <f ca="1">ROUND(IF(DESONERACAO="sim",REFERENCIA.Desonerado,REFERENCIA.NaoDesonerado),2)</f>
        <v>0</v>
      </c>
      <c r="V204" s="125" t="s">
        <v>664</v>
      </c>
      <c r="W204" s="123">
        <f ca="1">IF($C204="S",ROUND(IF(TIPOORCAMENTO="Proposto",ORÇAMENTO.CustoUnitario*(1+$AH204),ORÇAMENTO.PrecoUnitarioLicitado),15-13*$AF$10),0)</f>
        <v>0</v>
      </c>
      <c r="X204" s="126" cm="1">
        <f t="array" aca="1" ref="X204" ca="1">IF($C204="S",IF(OR(Import.TipoArredondamento&lt;&gt;"TransfereGOV",ACOMPANHAMENTO="BM"),VTOTAL1,SUM(OFFSET(CÁLCULO!$AA$15,ROW($X204)-ROW($X$15),1):OFFSET(CÁLCULO!$AL$15,ROW($X204)-ROW($X$15),-1))),IF($C204=0,0,ROUND(SomaAgrup,15-13*$AF$11)))</f>
        <v>0</v>
      </c>
      <c r="Y204" s="127" t="s">
        <v>752</v>
      </c>
      <c r="Z204" s="675" t="str">
        <f t="shared" ca="1" si="48"/>
        <v/>
      </c>
      <c r="AA204" s="128">
        <f ca="1">IF($C204="S",IF($Z204="CP",$X204,IF($Z204="RA",(($X204)*QCI!$AA$3),0)),SomaAgrup)</f>
        <v>0</v>
      </c>
      <c r="AB204" s="129">
        <f t="shared" ca="1" si="49"/>
        <v>0</v>
      </c>
      <c r="AC204" s="566" t="str" cm="1">
        <f t="array" aca="1" ref="AC204" ca="1">IF($N204=""," ",
IF(AND($C204&lt;&gt;"S",OR($R204="",$R204="(digite a descrição aqui)")),"DESCRIÇÃO",
IF(AND($C204="S",OR($Q204&lt;&gt;"",$T204&gt;0,$U204&gt;0),$P204=""),"FONTE",
IF(AND($C204="S",$P204&lt;&gt;"",OR($T204&gt;0,$U204&gt;0),$Q204=""),"CÓDIGO",
IF(AND($C204="S",$P204&lt;&gt;"",$Q204&lt;&gt;"",$R204="(Código não identificado nas referências)"),"CÓDIGO N/ID",
IF(AND($C204="S",OR($R204="",$R204="(digite a descrição aqui)"),OR($Q204&lt;&gt;"",$T204&gt;0,$U204&gt;0)),"DESCRIÇÃO",
IF(AND($C204="S",$P204&lt;&gt;"",$Q204&lt;&gt;"",$S204=""),"UNIDADE",
IF(AND($C204="S",$P204&lt;&gt;"",$Q204&lt;&gt;"",$U204=0),"SEM CUSTO",
IF(AND(_xlfn.SINGLE(TIPOORCAMENTO)="Licitado",$AL204=0,$AN204&gt;0),"SEM PREÇO",
IF(AND($C204="S",$P204&lt;&gt;"",$Q204&lt;&gt;"",$U204&gt;0,$V204=0),"BDI",
IF(OR(AND(TIPOORCAMENTO="Proposto",LEFT($O$8,5)&lt;&gt;"(N/D:",$AG204&lt;&gt;"",ORÇAMENTO.CustoUnitario&gt;$AG204),AND(TIPOORCAMENTO="LICITADO",ORÇAMENTO.PrecoUnitarioLicitado&gt;$AN204)),"ACIMA REF.",
IF(AND($C204="S",$P204&lt;&gt;"",$Q204&lt;&gt;"",$T204=0,$U204&gt;0),"QUANT.",
IF(AND(Import.TipoArredondamento="TransfereGOV",$L204="F",$C204="S",LEN($Q204)&gt;13),"Código &gt;13",
IF(AND(Import.TipoArredondamento="TransfereGOV",$L204="F",$C204&lt;&gt;"S",LEN($R204)&gt;100),"Descrição &gt;100",
IF(AND(Import.TipoArredondamento="TransfereGOV",$L204="F",$C204="S",LEN($R204)&gt;500),"Descrição &gt;500",
IF(AND(Import.TipoArredondamento="TransfereGOV",$L204="F",$C204="S",LEFT(TRIM(UPPER($P204)),6)&lt;&gt;"SINAPI",ISNA(VLOOKUP(TRIM(UPPER($S204)),ListaTgov.Unidades,1,FALSE))),"Unid. Não Disp",
" "))))))))))))))))</f>
        <v>SEM CUSTO</v>
      </c>
      <c r="AD204" s="675" t="str">
        <f ca="1">IF(C204&lt;=CRONO.NivelExibicao,MAX($AD$15:OFFSET(AD204,-1,0))+IF($C204&lt;&gt;1,1,MAX(1,COUNTIF(QCI!$A$13:$A$15,OFFSET($E204,-1,0)))),"")</f>
        <v/>
      </c>
      <c r="AE204" s="671" t="str">
        <f ca="1">IF(AND($C204="S",ORÇAMENTO.CodBarra&lt;&gt;""),IF(ORÇAMENTO.Fonte="",ORÇAMENTO.CodBarra,CONCATENATE(ORÇAMENTO.Fonte," ",ORÇAMENTO.CodBarra)))</f>
        <v>SINAPI 99439</v>
      </c>
      <c r="AF204" s="674" t="str">
        <f ca="1">IF(ISERROR(INDIRECT(ORÇAMENTO.BancoRef)),"(abra o arquivo 'Referência "&amp;Excel_BuiltIn_Database&amp;".xlsm)",IF(OR($C204&lt;&gt;"S",ORÇAMENTO.CodBarra=""),"(Sem Código)",IF(ISERROR(MATCH($AE204,INDIRECT(ORÇAMENTO.BancoRef),0)),"(Código não identificado nas referências)",MATCH($AE204,INDIRECT(ORÇAMENTO.BancoRef),0))))</f>
        <v>(abra o arquivo 'Referência 09-2025.xlsm)</v>
      </c>
      <c r="AG204" s="429">
        <f ca="1">ROUND(IF(DESONERACAO="sim",REFERENCIA.Desonerado,REFERENCIA.NaoDesonerado),2)</f>
        <v>0</v>
      </c>
      <c r="AH204" s="430">
        <f t="shared" ca="1" si="50"/>
        <v>0.24740000000000001</v>
      </c>
      <c r="AJ204" s="699">
        <v>13.98</v>
      </c>
      <c r="AL204" s="440"/>
      <c r="AM204" s="337">
        <f t="shared" ca="1" si="0"/>
        <v>0</v>
      </c>
      <c r="AN204" s="471">
        <f t="shared" ca="1" si="51"/>
        <v>0</v>
      </c>
    </row>
    <row r="205" spans="1:40" s="675" customFormat="1" ht="13.9" customHeight="1" x14ac:dyDescent="0.2">
      <c r="A205" s="675" t="str">
        <f t="shared" si="37"/>
        <v>S</v>
      </c>
      <c r="B205" s="675">
        <f t="shared" ca="1" si="38"/>
        <v>2</v>
      </c>
      <c r="C205" s="675" t="str">
        <f t="shared" ca="1" si="39"/>
        <v>S</v>
      </c>
      <c r="D205" s="675">
        <f t="shared" ca="1" si="40"/>
        <v>0</v>
      </c>
      <c r="E205" s="675">
        <f ca="1">IF($C205=1,OFFSET(E205,-1,0)+MAX(1,COUNTIF(QCI!$A$13:$A$15,OFFSET(ORÇAMENTO!E205,-1,0))),OFFSET(E205,-1,0))</f>
        <v>1</v>
      </c>
      <c r="F205" s="675">
        <f t="shared" ca="1" si="41"/>
        <v>25</v>
      </c>
      <c r="G205" s="675">
        <f t="shared" ca="1" si="42"/>
        <v>0</v>
      </c>
      <c r="H205" s="675">
        <f t="shared" ca="1" si="43"/>
        <v>0</v>
      </c>
      <c r="I205" s="675">
        <f t="shared" ca="1" si="44"/>
        <v>0</v>
      </c>
      <c r="J205" s="675">
        <f t="shared" ca="1" si="67"/>
        <v>0</v>
      </c>
      <c r="K205" s="675">
        <f ca="1">IF(OR($C205="S",$C205=0),0,MATCH(OFFSET($D205,0,$C205)+IF($C205&lt;&gt;1,1,COUNTIF(QCI!$A$13:$A$15,ORÇAMENTO!E205)),OFFSET($D205,1,$C205,ROW($C$231)-ROW($C205)),0))</f>
        <v>0</v>
      </c>
      <c r="L205" s="115" t="str">
        <f t="shared" ca="1" si="45"/>
        <v/>
      </c>
      <c r="M205" s="116" t="s">
        <v>706</v>
      </c>
      <c r="N205" s="117" t="str">
        <f t="shared" ca="1" si="46"/>
        <v>Serviço</v>
      </c>
      <c r="O205" s="118" t="str">
        <f t="shared" ca="1" si="47"/>
        <v>-</v>
      </c>
      <c r="P205" s="119" t="s">
        <v>968</v>
      </c>
      <c r="Q205" s="695" t="s">
        <v>1077</v>
      </c>
      <c r="R205" s="121" t="str">
        <f ca="1">IF($C205="S",REFERENCIA.Descricao,"(digite a descrição aqui)")</f>
        <v>(abra o arquivo 'Referência 09-2025.xlsm)</v>
      </c>
      <c r="S205" s="122" t="str">
        <f ca="1">REFERENCIA.Unidade</f>
        <v>-</v>
      </c>
      <c r="T205" s="123">
        <f ca="1">OFFSET(CÁLCULO!H$15,ROW($T205)-ROW(T$15),0)</f>
        <v>139.84</v>
      </c>
      <c r="U205" s="124">
        <f ca="1">ROUND(IF(DESONERACAO="sim",REFERENCIA.Desonerado,REFERENCIA.NaoDesonerado),2)</f>
        <v>0</v>
      </c>
      <c r="V205" s="125" t="s">
        <v>664</v>
      </c>
      <c r="W205" s="123">
        <f ca="1">IF($C205="S",ROUND(IF(TIPOORCAMENTO="Proposto",ORÇAMENTO.CustoUnitario*(1+$AH205),ORÇAMENTO.PrecoUnitarioLicitado),15-13*$AF$10),0)</f>
        <v>0</v>
      </c>
      <c r="X205" s="126" cm="1">
        <f t="array" aca="1" ref="X205" ca="1">IF($C205="S",IF(OR(Import.TipoArredondamento&lt;&gt;"TransfereGOV",ACOMPANHAMENTO="BM"),VTOTAL1,SUM(OFFSET(CÁLCULO!$AA$15,ROW($X205)-ROW($X$15),1):OFFSET(CÁLCULO!$AL$15,ROW($X205)-ROW($X$15),-1))),IF($C205=0,0,ROUND(SomaAgrup,15-13*$AF$11)))</f>
        <v>0</v>
      </c>
      <c r="Y205" s="127" t="s">
        <v>752</v>
      </c>
      <c r="Z205" s="675" t="str">
        <f t="shared" ca="1" si="48"/>
        <v/>
      </c>
      <c r="AA205" s="128">
        <f ca="1">IF($C205="S",IF($Z205="CP",$X205,IF($Z205="RA",(($X205)*QCI!$AA$3),0)),SomaAgrup)</f>
        <v>0</v>
      </c>
      <c r="AB205" s="129">
        <f t="shared" ca="1" si="49"/>
        <v>0</v>
      </c>
      <c r="AC205" s="566" t="str" cm="1">
        <f t="array" aca="1" ref="AC205" ca="1">IF($N205=""," ",
IF(AND($C205&lt;&gt;"S",OR($R205="",$R205="(digite a descrição aqui)")),"DESCRIÇÃO",
IF(AND($C205="S",OR($Q205&lt;&gt;"",$T205&gt;0,$U205&gt;0),$P205=""),"FONTE",
IF(AND($C205="S",$P205&lt;&gt;"",OR($T205&gt;0,$U205&gt;0),$Q205=""),"CÓDIGO",
IF(AND($C205="S",$P205&lt;&gt;"",$Q205&lt;&gt;"",$R205="(Código não identificado nas referências)"),"CÓDIGO N/ID",
IF(AND($C205="S",OR($R205="",$R205="(digite a descrição aqui)"),OR($Q205&lt;&gt;"",$T205&gt;0,$U205&gt;0)),"DESCRIÇÃO",
IF(AND($C205="S",$P205&lt;&gt;"",$Q205&lt;&gt;"",$S205=""),"UNIDADE",
IF(AND($C205="S",$P205&lt;&gt;"",$Q205&lt;&gt;"",$U205=0),"SEM CUSTO",
IF(AND(_xlfn.SINGLE(TIPOORCAMENTO)="Licitado",$AL205=0,$AN205&gt;0),"SEM PREÇO",
IF(AND($C205="S",$P205&lt;&gt;"",$Q205&lt;&gt;"",$U205&gt;0,$V205=0),"BDI",
IF(OR(AND(TIPOORCAMENTO="Proposto",LEFT($O$8,5)&lt;&gt;"(N/D:",$AG205&lt;&gt;"",ORÇAMENTO.CustoUnitario&gt;$AG205),AND(TIPOORCAMENTO="LICITADO",ORÇAMENTO.PrecoUnitarioLicitado&gt;$AN205)),"ACIMA REF.",
IF(AND($C205="S",$P205&lt;&gt;"",$Q205&lt;&gt;"",$T205=0,$U205&gt;0),"QUANT.",
IF(AND(Import.TipoArredondamento="TransfereGOV",$L205="F",$C205="S",LEN($Q205)&gt;13),"Código &gt;13",
IF(AND(Import.TipoArredondamento="TransfereGOV",$L205="F",$C205&lt;&gt;"S",LEN($R205)&gt;100),"Descrição &gt;100",
IF(AND(Import.TipoArredondamento="TransfereGOV",$L205="F",$C205="S",LEN($R205)&gt;500),"Descrição &gt;500",
IF(AND(Import.TipoArredondamento="TransfereGOV",$L205="F",$C205="S",LEFT(TRIM(UPPER($P205)),6)&lt;&gt;"SINAPI",ISNA(VLOOKUP(TRIM(UPPER($S205)),ListaTgov.Unidades,1,FALSE))),"Unid. Não Disp",
" "))))))))))))))))</f>
        <v>SEM CUSTO</v>
      </c>
      <c r="AD205" s="675" t="str">
        <f ca="1">IF(C205&lt;=CRONO.NivelExibicao,MAX($AD$15:OFFSET(AD205,-1,0))+IF($C205&lt;&gt;1,1,MAX(1,COUNTIF(QCI!$A$13:$A$15,OFFSET($E205,-1,0)))),"")</f>
        <v/>
      </c>
      <c r="AE205" s="671" t="str">
        <f ca="1">IF(AND($C205="S",ORÇAMENTO.CodBarra&lt;&gt;""),IF(ORÇAMENTO.Fonte="",ORÇAMENTO.CodBarra,CONCATENATE(ORÇAMENTO.Fonte," ",ORÇAMENTO.CodBarra)))</f>
        <v>COPASA 65004979</v>
      </c>
      <c r="AF205" s="674" t="str">
        <f ca="1">IF(ISERROR(INDIRECT(ORÇAMENTO.BancoRef)),"(abra o arquivo 'Referência "&amp;Excel_BuiltIn_Database&amp;".xlsm)",IF(OR($C205&lt;&gt;"S",ORÇAMENTO.CodBarra=""),"(Sem Código)",IF(ISERROR(MATCH($AE205,INDIRECT(ORÇAMENTO.BancoRef),0)),"(Código não identificado nas referências)",MATCH($AE205,INDIRECT(ORÇAMENTO.BancoRef),0))))</f>
        <v>(abra o arquivo 'Referência 09-2025.xlsm)</v>
      </c>
      <c r="AG205" s="429">
        <f ca="1">ROUND(IF(DESONERACAO="sim",REFERENCIA.Desonerado,REFERENCIA.NaoDesonerado),2)</f>
        <v>0</v>
      </c>
      <c r="AH205" s="430">
        <f t="shared" ca="1" si="50"/>
        <v>0.24740000000000001</v>
      </c>
      <c r="AJ205" s="699">
        <v>139.84</v>
      </c>
      <c r="AL205" s="440"/>
      <c r="AM205" s="337">
        <f t="shared" ca="1" si="0"/>
        <v>0</v>
      </c>
      <c r="AN205" s="471">
        <f t="shared" ca="1" si="51"/>
        <v>0</v>
      </c>
    </row>
    <row r="206" spans="1:40" s="675" customFormat="1" x14ac:dyDescent="0.2">
      <c r="A206" s="675">
        <f t="shared" si="37"/>
        <v>2</v>
      </c>
      <c r="B206" s="675">
        <f t="shared" ca="1" si="38"/>
        <v>2</v>
      </c>
      <c r="C206" s="675">
        <f t="shared" ca="1" si="39"/>
        <v>2</v>
      </c>
      <c r="D206" s="675">
        <f t="shared" ca="1" si="40"/>
        <v>4</v>
      </c>
      <c r="E206" s="675">
        <f ca="1">IF($C206=1,OFFSET(E206,-1,0)+MAX(1,COUNTIF(QCI!$A$13:$A$15,OFFSET(ORÇAMENTO!E206,-1,0))),OFFSET(E206,-1,0))</f>
        <v>1</v>
      </c>
      <c r="F206" s="675">
        <f t="shared" ca="1" si="41"/>
        <v>26</v>
      </c>
      <c r="G206" s="675">
        <f t="shared" ca="1" si="42"/>
        <v>0</v>
      </c>
      <c r="H206" s="675">
        <f t="shared" ca="1" si="43"/>
        <v>0</v>
      </c>
      <c r="I206" s="675">
        <f t="shared" ca="1" si="44"/>
        <v>0</v>
      </c>
      <c r="J206" s="675">
        <f t="shared" ref="J206:J230" ca="1" si="68">IF(OR($C206="S",$C206=0),0,MATCH(0,OFFSET($D206,1,$C206,ROW($C$231)-ROW($C206)),0))</f>
        <v>25</v>
      </c>
      <c r="K206" s="675">
        <f ca="1">IF(OR($C206="S",$C206=0),0,MATCH(OFFSET($D206,0,$C206)+IF($C206&lt;&gt;1,1,COUNTIF(QCI!$A$13:$A$15,ORÇAMENTO!E206)),OFFSET($D206,1,$C206,ROW($C$231)-ROW($C206)),0))</f>
        <v>4</v>
      </c>
      <c r="L206" s="115" t="str">
        <f t="shared" ca="1" si="45"/>
        <v>F</v>
      </c>
      <c r="M206" s="116" t="s">
        <v>703</v>
      </c>
      <c r="N206" s="117" t="str">
        <f t="shared" ca="1" si="46"/>
        <v>Nível 2</v>
      </c>
      <c r="O206" s="118" t="str">
        <f t="shared" ca="1" si="47"/>
        <v>1.26.</v>
      </c>
      <c r="P206" s="119" t="s">
        <v>751</v>
      </c>
      <c r="Q206" s="120"/>
      <c r="R206" s="121" t="s">
        <v>1080</v>
      </c>
      <c r="S206" s="122" t="str">
        <f ca="1">REFERENCIA.Unidade</f>
        <v>-</v>
      </c>
      <c r="T206" s="123">
        <f ca="1">OFFSET(CÁLCULO!H$15,ROW($T206)-ROW(T$15),0)</f>
        <v>0</v>
      </c>
      <c r="U206" s="124">
        <f ca="1">ROUND(IF(DESONERACAO="sim",REFERENCIA.Desonerado,REFERENCIA.NaoDesonerado),2)</f>
        <v>0</v>
      </c>
      <c r="V206" s="125" t="s">
        <v>664</v>
      </c>
      <c r="W206" s="123">
        <f ca="1">IF($C206="S",ROUND(IF(TIPOORCAMENTO="Proposto",ORÇAMENTO.CustoUnitario*(1+$AH206),ORÇAMENTO.PrecoUnitarioLicitado),15-13*$AF$10),0)</f>
        <v>0</v>
      </c>
      <c r="X206" s="126" cm="1">
        <f t="array" aca="1" ref="X206" ca="1">IF($C206="S",IF(OR(Import.TipoArredondamento&lt;&gt;"TransfereGOV",ACOMPANHAMENTO="BM"),VTOTAL1,SUM(OFFSET(CÁLCULO!$AA$15,ROW($X206)-ROW($X$15),1):OFFSET(CÁLCULO!$AL$15,ROW($X206)-ROW($X$15),-1))),IF($C206=0,0,ROUND(SomaAgrup,15-13*$AF$11)))</f>
        <v>0</v>
      </c>
      <c r="Y206" s="127" t="s">
        <v>752</v>
      </c>
      <c r="Z206" s="675" t="str">
        <f t="shared" ca="1" si="48"/>
        <v/>
      </c>
      <c r="AA206" s="128">
        <f ca="1">IF($C206="S",IF($Z206="CP",$X206,IF($Z206="RA",(($X206)*QCI!$AA$3),0)),SomaAgrup)</f>
        <v>0</v>
      </c>
      <c r="AB206" s="129">
        <f t="shared" ca="1" si="49"/>
        <v>0</v>
      </c>
      <c r="AC206" s="566" t="e" cm="1">
        <f t="array" aca="1" ref="AC206" ca="1">IF($N206=""," ",
IF(AND($C206&lt;&gt;"S",OR($R206="",$R206="(digite a descrição aqui)")),"DESCRIÇÃO",
IF(AND($C206="S",OR($Q206&lt;&gt;"",$T206&gt;0,$U206&gt;0),$P206=""),"FONTE",
IF(AND($C206="S",$P206&lt;&gt;"",OR($T206&gt;0,$U206&gt;0),$Q206=""),"CÓDIGO",
IF(AND($C206="S",$P206&lt;&gt;"",$Q206&lt;&gt;"",$R206="(Código não identificado nas referências)"),"CÓDIGO N/ID",
IF(AND($C206="S",OR($R206="",$R206="(digite a descrição aqui)"),OR($Q206&lt;&gt;"",$T206&gt;0,$U206&gt;0)),"DESCRIÇÃO",
IF(AND($C206="S",$P206&lt;&gt;"",$Q206&lt;&gt;"",$S206=""),"UNIDADE",
IF(AND($C206="S",$P206&lt;&gt;"",$Q206&lt;&gt;"",$U206=0),"SEM CUSTO",
IF(AND(_xlfn.SINGLE(TIPOORCAMENTO)="Licitado",$AL206=0,$AN206&gt;0),"SEM PREÇO",
IF(AND($C206="S",$P206&lt;&gt;"",$Q206&lt;&gt;"",$U206&gt;0,$V206=0),"BDI",
IF(OR(AND(TIPOORCAMENTO="Proposto",LEFT($O$8,5)&lt;&gt;"(N/D:",$AG206&lt;&gt;"",ORÇAMENTO.CustoUnitario&gt;$AG206),AND(TIPOORCAMENTO="LICITADO",ORÇAMENTO.PrecoUnitarioLicitado&gt;$AN206)),"ACIMA REF.",
IF(AND($C206="S",$P206&lt;&gt;"",$Q206&lt;&gt;"",$T206=0,$U206&gt;0),"QUANT.",
IF(AND(Import.TipoArredondamento="TransfereGOV",$L206="F",$C206="S",LEN($Q206)&gt;13),"Código &gt;13",
IF(AND(Import.TipoArredondamento="TransfereGOV",$L206="F",$C206&lt;&gt;"S",LEN($R206)&gt;100),"Descrição &gt;100",
IF(AND(Import.TipoArredondamento="TransfereGOV",$L206="F",$C206="S",LEN($R206)&gt;500),"Descrição &gt;500",
IF(AND(Import.TipoArredondamento="TransfereGOV",$L206="F",$C206="S",LEFT(TRIM(UPPER($P206)),6)&lt;&gt;"SINAPI",ISNA(VLOOKUP(TRIM(UPPER($S206)),ListaTgov.Unidades,1,FALSE))),"Unid. Não Disp",
" "))))))))))))))))</f>
        <v>#NAME?</v>
      </c>
      <c r="AD206" s="675">
        <f ca="1">IF(C206&lt;=CRONO.NivelExibicao,MAX($AD$15:OFFSET(AD206,-1,0))+IF($C206&lt;&gt;1,1,MAX(1,COUNTIF(QCI!$A$13:$A$15,OFFSET($E206,-1,0)))),"")</f>
        <v>27</v>
      </c>
      <c r="AE206" s="671" t="b">
        <f ca="1">IF(AND($C206="S",ORÇAMENTO.CodBarra&lt;&gt;""),IF(ORÇAMENTO.Fonte="",ORÇAMENTO.CodBarra,CONCATENATE(ORÇAMENTO.Fonte," ",ORÇAMENTO.CodBarra)))</f>
        <v>0</v>
      </c>
      <c r="AF206" s="674" t="str">
        <f ca="1">IF(ISERROR(INDIRECT(ORÇAMENTO.BancoRef)),"(abra o arquivo 'Referência "&amp;Excel_BuiltIn_Database&amp;".xlsm)",IF(OR($C206&lt;&gt;"S",ORÇAMENTO.CodBarra=""),"(Sem Código)",IF(ISERROR(MATCH($AE206,INDIRECT(ORÇAMENTO.BancoRef),0)),"(Código não identificado nas referências)",MATCH($AE206,INDIRECT(ORÇAMENTO.BancoRef),0))))</f>
        <v>(abra o arquivo 'Referência 09-2025.xlsm)</v>
      </c>
      <c r="AG206" s="429">
        <f ca="1">ROUND(IF(DESONERACAO="sim",REFERENCIA.Desonerado,REFERENCIA.NaoDesonerado),2)</f>
        <v>0</v>
      </c>
      <c r="AH206" s="430">
        <f t="shared" ca="1" si="50"/>
        <v>0.24740000000000001</v>
      </c>
      <c r="AJ206" s="699"/>
      <c r="AL206" s="440"/>
      <c r="AM206" s="337">
        <f t="shared" ca="1" si="0"/>
        <v>0</v>
      </c>
      <c r="AN206" s="471">
        <f t="shared" ca="1" si="51"/>
        <v>0</v>
      </c>
    </row>
    <row r="207" spans="1:40" s="675" customFormat="1" ht="13.9" customHeight="1" x14ac:dyDescent="0.2">
      <c r="A207" s="675" t="str">
        <f t="shared" si="37"/>
        <v>S</v>
      </c>
      <c r="B207" s="675">
        <f t="shared" ca="1" si="38"/>
        <v>2</v>
      </c>
      <c r="C207" s="675" t="str">
        <f t="shared" ca="1" si="39"/>
        <v>S</v>
      </c>
      <c r="D207" s="675">
        <f t="shared" ca="1" si="40"/>
        <v>0</v>
      </c>
      <c r="E207" s="675">
        <f ca="1">IF($C207=1,OFFSET(E207,-1,0)+MAX(1,COUNTIF(QCI!$A$13:$A$15,OFFSET(ORÇAMENTO!E207,-1,0))),OFFSET(E207,-1,0))</f>
        <v>1</v>
      </c>
      <c r="F207" s="675">
        <f t="shared" ca="1" si="41"/>
        <v>26</v>
      </c>
      <c r="G207" s="675">
        <f t="shared" ca="1" si="42"/>
        <v>0</v>
      </c>
      <c r="H207" s="675">
        <f t="shared" ca="1" si="43"/>
        <v>0</v>
      </c>
      <c r="I207" s="675">
        <f t="shared" ca="1" si="44"/>
        <v>0</v>
      </c>
      <c r="J207" s="675">
        <f t="shared" ca="1" si="68"/>
        <v>0</v>
      </c>
      <c r="K207" s="675">
        <f ca="1">IF(OR($C207="S",$C207=0),0,MATCH(OFFSET($D207,0,$C207)+IF($C207&lt;&gt;1,1,COUNTIF(QCI!$A$13:$A$15,ORÇAMENTO!E207)),OFFSET($D207,1,$C207,ROW($C$231)-ROW($C207)),0))</f>
        <v>0</v>
      </c>
      <c r="L207" s="115" t="str">
        <f t="shared" ca="1" si="45"/>
        <v/>
      </c>
      <c r="M207" s="116" t="s">
        <v>706</v>
      </c>
      <c r="N207" s="117" t="str">
        <f t="shared" ca="1" si="46"/>
        <v>Serviço</v>
      </c>
      <c r="O207" s="118" t="str">
        <f t="shared" ca="1" si="47"/>
        <v>-</v>
      </c>
      <c r="P207" s="119" t="s">
        <v>1066</v>
      </c>
      <c r="Q207" s="696" t="s">
        <v>1079</v>
      </c>
      <c r="R207" s="121" t="str">
        <f ca="1">IF($C207="S",REFERENCIA.Descricao,"(digite a descrição aqui)")</f>
        <v>(abra o arquivo 'Referência 09-2025.xlsm)</v>
      </c>
      <c r="S207" s="122" t="str">
        <f ca="1">REFERENCIA.Unidade</f>
        <v>-</v>
      </c>
      <c r="T207" s="123">
        <f ca="1">OFFSET(CÁLCULO!H$15,ROW($T207)-ROW(T$15),0)</f>
        <v>16</v>
      </c>
      <c r="U207" s="124">
        <f ca="1">ROUND(IF(DESONERACAO="sim",REFERENCIA.Desonerado,REFERENCIA.NaoDesonerado),2)</f>
        <v>0</v>
      </c>
      <c r="V207" s="125" t="s">
        <v>664</v>
      </c>
      <c r="W207" s="123">
        <f ca="1">IF($C207="S",ROUND(IF(TIPOORCAMENTO="Proposto",ORÇAMENTO.CustoUnitario*(1+$AH207),ORÇAMENTO.PrecoUnitarioLicitado),15-13*$AF$10),0)</f>
        <v>0</v>
      </c>
      <c r="X207" s="126" cm="1">
        <f t="array" aca="1" ref="X207" ca="1">IF($C207="S",IF(OR(Import.TipoArredondamento&lt;&gt;"TransfereGOV",ACOMPANHAMENTO="BM"),VTOTAL1,SUM(OFFSET(CÁLCULO!$AA$15,ROW($X207)-ROW($X$15),1):OFFSET(CÁLCULO!$AL$15,ROW($X207)-ROW($X$15),-1))),IF($C207=0,0,ROUND(SomaAgrup,15-13*$AF$11)))</f>
        <v>0</v>
      </c>
      <c r="Y207" s="127" t="s">
        <v>752</v>
      </c>
      <c r="Z207" s="675" t="str">
        <f t="shared" ca="1" si="48"/>
        <v/>
      </c>
      <c r="AA207" s="128">
        <f ca="1">IF($C207="S",IF($Z207="CP",$X207,IF($Z207="RA",(($X207)*QCI!$AA$3),0)),SomaAgrup)</f>
        <v>0</v>
      </c>
      <c r="AB207" s="129">
        <f t="shared" ca="1" si="49"/>
        <v>0</v>
      </c>
      <c r="AC207" s="566" t="str" cm="1">
        <f t="array" aca="1" ref="AC207" ca="1">IF($N207=""," ",
IF(AND($C207&lt;&gt;"S",OR($R207="",$R207="(digite a descrição aqui)")),"DESCRIÇÃO",
IF(AND($C207="S",OR($Q207&lt;&gt;"",$T207&gt;0,$U207&gt;0),$P207=""),"FONTE",
IF(AND($C207="S",$P207&lt;&gt;"",OR($T207&gt;0,$U207&gt;0),$Q207=""),"CÓDIGO",
IF(AND($C207="S",$P207&lt;&gt;"",$Q207&lt;&gt;"",$R207="(Código não identificado nas referências)"),"CÓDIGO N/ID",
IF(AND($C207="S",OR($R207="",$R207="(digite a descrição aqui)"),OR($Q207&lt;&gt;"",$T207&gt;0,$U207&gt;0)),"DESCRIÇÃO",
IF(AND($C207="S",$P207&lt;&gt;"",$Q207&lt;&gt;"",$S207=""),"UNIDADE",
IF(AND($C207="S",$P207&lt;&gt;"",$Q207&lt;&gt;"",$U207=0),"SEM CUSTO",
IF(AND(_xlfn.SINGLE(TIPOORCAMENTO)="Licitado",$AL207=0,$AN207&gt;0),"SEM PREÇO",
IF(AND($C207="S",$P207&lt;&gt;"",$Q207&lt;&gt;"",$U207&gt;0,$V207=0),"BDI",
IF(OR(AND(TIPOORCAMENTO="Proposto",LEFT($O$8,5)&lt;&gt;"(N/D:",$AG207&lt;&gt;"",ORÇAMENTO.CustoUnitario&gt;$AG207),AND(TIPOORCAMENTO="LICITADO",ORÇAMENTO.PrecoUnitarioLicitado&gt;$AN207)),"ACIMA REF.",
IF(AND($C207="S",$P207&lt;&gt;"",$Q207&lt;&gt;"",$T207=0,$U207&gt;0),"QUANT.",
IF(AND(Import.TipoArredondamento="TransfereGOV",$L207="F",$C207="S",LEN($Q207)&gt;13),"Código &gt;13",
IF(AND(Import.TipoArredondamento="TransfereGOV",$L207="F",$C207&lt;&gt;"S",LEN($R207)&gt;100),"Descrição &gt;100",
IF(AND(Import.TipoArredondamento="TransfereGOV",$L207="F",$C207="S",LEN($R207)&gt;500),"Descrição &gt;500",
IF(AND(Import.TipoArredondamento="TransfereGOV",$L207="F",$C207="S",LEFT(TRIM(UPPER($P207)),6)&lt;&gt;"SINAPI",ISNA(VLOOKUP(TRIM(UPPER($S207)),ListaTgov.Unidades,1,FALSE))),"Unid. Não Disp",
" "))))))))))))))))</f>
        <v>SEM CUSTO</v>
      </c>
      <c r="AD207" s="675" t="str">
        <f ca="1">IF(C207&lt;=CRONO.NivelExibicao,MAX($AD$15:OFFSET(AD207,-1,0))+IF($C207&lt;&gt;1,1,MAX(1,COUNTIF(QCI!$A$13:$A$15,OFFSET($E207,-1,0)))),"")</f>
        <v/>
      </c>
      <c r="AE207" s="671" t="str">
        <f ca="1">IF(AND($C207="S",ORÇAMENTO.CodBarra&lt;&gt;""),IF(ORÇAMENTO.Fonte="",ORÇAMENTO.CodBarra,CONCATENATE(ORÇAMENTO.Fonte," ",ORÇAMENTO.CodBarra)))</f>
        <v>SEINFRA ED-50847</v>
      </c>
      <c r="AF207" s="674" t="str">
        <f ca="1">IF(ISERROR(INDIRECT(ORÇAMENTO.BancoRef)),"(abra o arquivo 'Referência "&amp;Excel_BuiltIn_Database&amp;".xlsm)",IF(OR($C207&lt;&gt;"S",ORÇAMENTO.CodBarra=""),"(Sem Código)",IF(ISERROR(MATCH($AE207,INDIRECT(ORÇAMENTO.BancoRef),0)),"(Código não identificado nas referências)",MATCH($AE207,INDIRECT(ORÇAMENTO.BancoRef),0))))</f>
        <v>(abra o arquivo 'Referência 09-2025.xlsm)</v>
      </c>
      <c r="AG207" s="429">
        <f ca="1">ROUND(IF(DESONERACAO="sim",REFERENCIA.Desonerado,REFERENCIA.NaoDesonerado),2)</f>
        <v>0</v>
      </c>
      <c r="AH207" s="430">
        <f t="shared" ca="1" si="50"/>
        <v>0.24740000000000001</v>
      </c>
      <c r="AJ207" s="699">
        <v>16</v>
      </c>
      <c r="AL207" s="440"/>
      <c r="AM207" s="337">
        <f t="shared" ca="1" si="0"/>
        <v>0</v>
      </c>
      <c r="AN207" s="471">
        <f t="shared" ca="1" si="51"/>
        <v>0</v>
      </c>
    </row>
    <row r="208" spans="1:40" s="675" customFormat="1" x14ac:dyDescent="0.2">
      <c r="A208" s="675" t="str">
        <f t="shared" si="37"/>
        <v>S</v>
      </c>
      <c r="B208" s="675">
        <f t="shared" ca="1" si="38"/>
        <v>2</v>
      </c>
      <c r="C208" s="675" t="str">
        <f t="shared" ca="1" si="39"/>
        <v>S</v>
      </c>
      <c r="D208" s="675">
        <f t="shared" ca="1" si="40"/>
        <v>0</v>
      </c>
      <c r="E208" s="675">
        <f ca="1">IF($C208=1,OFFSET(E208,-1,0)+MAX(1,COUNTIF(QCI!$A$13:$A$15,OFFSET(ORÇAMENTO!E208,-1,0))),OFFSET(E208,-1,0))</f>
        <v>1</v>
      </c>
      <c r="F208" s="675">
        <f t="shared" ca="1" si="41"/>
        <v>26</v>
      </c>
      <c r="G208" s="675">
        <f t="shared" ca="1" si="42"/>
        <v>0</v>
      </c>
      <c r="H208" s="675">
        <f t="shared" ca="1" si="43"/>
        <v>0</v>
      </c>
      <c r="I208" s="675">
        <f t="shared" ca="1" si="44"/>
        <v>0</v>
      </c>
      <c r="J208" s="675">
        <f t="shared" ca="1" si="68"/>
        <v>0</v>
      </c>
      <c r="K208" s="675">
        <f ca="1">IF(OR($C208="S",$C208=0),0,MATCH(OFFSET($D208,0,$C208)+IF($C208&lt;&gt;1,1,COUNTIF(QCI!$A$13:$A$15,ORÇAMENTO!E208)),OFFSET($D208,1,$C208,ROW($C$231)-ROW($C208)),0))</f>
        <v>0</v>
      </c>
      <c r="L208" s="115" t="str">
        <f t="shared" ca="1" si="45"/>
        <v/>
      </c>
      <c r="M208" s="116" t="s">
        <v>706</v>
      </c>
      <c r="N208" s="117" t="str">
        <f t="shared" ca="1" si="46"/>
        <v>Serviço</v>
      </c>
      <c r="O208" s="118" t="str">
        <f t="shared" ca="1" si="47"/>
        <v>-</v>
      </c>
      <c r="P208" s="119" t="s">
        <v>968</v>
      </c>
      <c r="Q208" s="696" t="s">
        <v>1045</v>
      </c>
      <c r="R208" s="121" t="str">
        <f ca="1">IF($C208="S",REFERENCIA.Descricao,"(digite a descrição aqui)")</f>
        <v>(abra o arquivo 'Referência 09-2025.xlsm)</v>
      </c>
      <c r="S208" s="122" t="str">
        <f ca="1">REFERENCIA.Unidade</f>
        <v>-</v>
      </c>
      <c r="T208" s="123">
        <f ca="1">OFFSET(CÁLCULO!H$15,ROW($T208)-ROW(T$15),0)</f>
        <v>1</v>
      </c>
      <c r="U208" s="124">
        <f ca="1">ROUND(IF(DESONERACAO="sim",REFERENCIA.Desonerado,REFERENCIA.NaoDesonerado),2)</f>
        <v>0</v>
      </c>
      <c r="V208" s="125" t="s">
        <v>664</v>
      </c>
      <c r="W208" s="123">
        <f ca="1">IF($C208="S",ROUND(IF(TIPOORCAMENTO="Proposto",ORÇAMENTO.CustoUnitario*(1+$AH208),ORÇAMENTO.PrecoUnitarioLicitado),15-13*$AF$10),0)</f>
        <v>0</v>
      </c>
      <c r="X208" s="126" cm="1">
        <f t="array" aca="1" ref="X208" ca="1">IF($C208="S",IF(OR(Import.TipoArredondamento&lt;&gt;"TransfereGOV",ACOMPANHAMENTO="BM"),VTOTAL1,SUM(OFFSET(CÁLCULO!$AA$15,ROW($X208)-ROW($X$15),1):OFFSET(CÁLCULO!$AL$15,ROW($X208)-ROW($X$15),-1))),IF($C208=0,0,ROUND(SomaAgrup,15-13*$AF$11)))</f>
        <v>0</v>
      </c>
      <c r="Y208" s="127" t="s">
        <v>752</v>
      </c>
      <c r="Z208" s="675" t="str">
        <f t="shared" ca="1" si="48"/>
        <v/>
      </c>
      <c r="AA208" s="128">
        <f ca="1">IF($C208="S",IF($Z208="CP",$X208,IF($Z208="RA",(($X208)*QCI!$AA$3),0)),SomaAgrup)</f>
        <v>0</v>
      </c>
      <c r="AB208" s="129">
        <f t="shared" ca="1" si="49"/>
        <v>0</v>
      </c>
      <c r="AC208" s="566" t="str" cm="1">
        <f t="array" aca="1" ref="AC208" ca="1">IF($N208=""," ",
IF(AND($C208&lt;&gt;"S",OR($R208="",$R208="(digite a descrição aqui)")),"DESCRIÇÃO",
IF(AND($C208="S",OR($Q208&lt;&gt;"",$T208&gt;0,$U208&gt;0),$P208=""),"FONTE",
IF(AND($C208="S",$P208&lt;&gt;"",OR($T208&gt;0,$U208&gt;0),$Q208=""),"CÓDIGO",
IF(AND($C208="S",$P208&lt;&gt;"",$Q208&lt;&gt;"",$R208="(Código não identificado nas referências)"),"CÓDIGO N/ID",
IF(AND($C208="S",OR($R208="",$R208="(digite a descrição aqui)"),OR($Q208&lt;&gt;"",$T208&gt;0,$U208&gt;0)),"DESCRIÇÃO",
IF(AND($C208="S",$P208&lt;&gt;"",$Q208&lt;&gt;"",$S208=""),"UNIDADE",
IF(AND($C208="S",$P208&lt;&gt;"",$Q208&lt;&gt;"",$U208=0),"SEM CUSTO",
IF(AND(_xlfn.SINGLE(TIPOORCAMENTO)="Licitado",$AL208=0,$AN208&gt;0),"SEM PREÇO",
IF(AND($C208="S",$P208&lt;&gt;"",$Q208&lt;&gt;"",$U208&gt;0,$V208=0),"BDI",
IF(OR(AND(TIPOORCAMENTO="Proposto",LEFT($O$8,5)&lt;&gt;"(N/D:",$AG208&lt;&gt;"",ORÇAMENTO.CustoUnitario&gt;$AG208),AND(TIPOORCAMENTO="LICITADO",ORÇAMENTO.PrecoUnitarioLicitado&gt;$AN208)),"ACIMA REF.",
IF(AND($C208="S",$P208&lt;&gt;"",$Q208&lt;&gt;"",$T208=0,$U208&gt;0),"QUANT.",
IF(AND(Import.TipoArredondamento="TransfereGOV",$L208="F",$C208="S",LEN($Q208)&gt;13),"Código &gt;13",
IF(AND(Import.TipoArredondamento="TransfereGOV",$L208="F",$C208&lt;&gt;"S",LEN($R208)&gt;100),"Descrição &gt;100",
IF(AND(Import.TipoArredondamento="TransfereGOV",$L208="F",$C208="S",LEN($R208)&gt;500),"Descrição &gt;500",
IF(AND(Import.TipoArredondamento="TransfereGOV",$L208="F",$C208="S",LEFT(TRIM(UPPER($P208)),6)&lt;&gt;"SINAPI",ISNA(VLOOKUP(TRIM(UPPER($S208)),ListaTgov.Unidades,1,FALSE))),"Unid. Não Disp",
" "))))))))))))))))</f>
        <v>SEM CUSTO</v>
      </c>
      <c r="AD208" s="675" t="str">
        <f ca="1">IF(C208&lt;=CRONO.NivelExibicao,MAX($AD$15:OFFSET(AD208,-1,0))+IF($C208&lt;&gt;1,1,MAX(1,COUNTIF(QCI!$A$13:$A$15,OFFSET($E208,-1,0)))),"")</f>
        <v/>
      </c>
      <c r="AE208" s="671" t="str">
        <f ca="1">IF(AND($C208="S",ORÇAMENTO.CodBarra&lt;&gt;""),IF(ORÇAMENTO.Fonte="",ORÇAMENTO.CodBarra,CONCATENATE(ORÇAMENTO.Fonte," ",ORÇAMENTO.CodBarra)))</f>
        <v>COPASA 65004184</v>
      </c>
      <c r="AF208" s="674" t="str">
        <f ca="1">IF(ISERROR(INDIRECT(ORÇAMENTO.BancoRef)),"(abra o arquivo 'Referência "&amp;Excel_BuiltIn_Database&amp;".xlsm)",IF(OR($C208&lt;&gt;"S",ORÇAMENTO.CodBarra=""),"(Sem Código)",IF(ISERROR(MATCH($AE208,INDIRECT(ORÇAMENTO.BancoRef),0)),"(Código não identificado nas referências)",MATCH($AE208,INDIRECT(ORÇAMENTO.BancoRef),0))))</f>
        <v>(abra o arquivo 'Referência 09-2025.xlsm)</v>
      </c>
      <c r="AG208" s="429">
        <f ca="1">ROUND(IF(DESONERACAO="sim",REFERENCIA.Desonerado,REFERENCIA.NaoDesonerado),2)</f>
        <v>0</v>
      </c>
      <c r="AH208" s="430">
        <f t="shared" ca="1" si="50"/>
        <v>0.24740000000000001</v>
      </c>
      <c r="AJ208" s="699">
        <v>1</v>
      </c>
      <c r="AL208" s="440"/>
      <c r="AM208" s="337">
        <f t="shared" ca="1" si="0"/>
        <v>0</v>
      </c>
      <c r="AN208" s="471">
        <f t="shared" ca="1" si="51"/>
        <v>0</v>
      </c>
    </row>
    <row r="209" spans="1:40" s="675" customFormat="1" ht="13.9" customHeight="1" x14ac:dyDescent="0.2">
      <c r="A209" s="675" t="str">
        <f t="shared" si="37"/>
        <v>S</v>
      </c>
      <c r="B209" s="675">
        <f t="shared" ca="1" si="38"/>
        <v>2</v>
      </c>
      <c r="C209" s="675" t="str">
        <f t="shared" ca="1" si="39"/>
        <v>S</v>
      </c>
      <c r="D209" s="675">
        <f t="shared" ca="1" si="40"/>
        <v>0</v>
      </c>
      <c r="E209" s="675">
        <f ca="1">IF($C209=1,OFFSET(E209,-1,0)+MAX(1,COUNTIF(QCI!$A$13:$A$15,OFFSET(ORÇAMENTO!E209,-1,0))),OFFSET(E209,-1,0))</f>
        <v>1</v>
      </c>
      <c r="F209" s="675">
        <f t="shared" ca="1" si="41"/>
        <v>26</v>
      </c>
      <c r="G209" s="675">
        <f t="shared" ca="1" si="42"/>
        <v>0</v>
      </c>
      <c r="H209" s="675">
        <f t="shared" ca="1" si="43"/>
        <v>0</v>
      </c>
      <c r="I209" s="675">
        <f t="shared" ca="1" si="44"/>
        <v>0</v>
      </c>
      <c r="J209" s="675">
        <f t="shared" ca="1" si="68"/>
        <v>0</v>
      </c>
      <c r="K209" s="675">
        <f ca="1">IF(OR($C209="S",$C209=0),0,MATCH(OFFSET($D209,0,$C209)+IF($C209&lt;&gt;1,1,COUNTIF(QCI!$A$13:$A$15,ORÇAMENTO!E209)),OFFSET($D209,1,$C209,ROW($C$231)-ROW($C209)),0))</f>
        <v>0</v>
      </c>
      <c r="L209" s="115" t="str">
        <f t="shared" ca="1" si="45"/>
        <v/>
      </c>
      <c r="M209" s="116" t="s">
        <v>706</v>
      </c>
      <c r="N209" s="117" t="str">
        <f t="shared" ca="1" si="46"/>
        <v>Serviço</v>
      </c>
      <c r="O209" s="118" t="str">
        <f t="shared" ca="1" si="47"/>
        <v>-</v>
      </c>
      <c r="P209" s="119" t="s">
        <v>969</v>
      </c>
      <c r="Q209" s="696" t="s">
        <v>1047</v>
      </c>
      <c r="R209" s="121" t="str">
        <f ca="1">IF($C209="S",REFERENCIA.Descricao,"(digite a descrição aqui)")</f>
        <v>(abra o arquivo 'Referência 09-2025.xlsm)</v>
      </c>
      <c r="S209" s="122" t="str">
        <f ca="1">REFERENCIA.Unidade</f>
        <v>-</v>
      </c>
      <c r="T209" s="123">
        <f ca="1">OFFSET(CÁLCULO!H$15,ROW($T209)-ROW(T$15),0)</f>
        <v>1</v>
      </c>
      <c r="U209" s="124">
        <f ca="1">ROUND(IF(DESONERACAO="sim",REFERENCIA.Desonerado,REFERENCIA.NaoDesonerado),2)</f>
        <v>0</v>
      </c>
      <c r="V209" s="125" t="s">
        <v>664</v>
      </c>
      <c r="W209" s="123">
        <f ca="1">IF($C209="S",ROUND(IF(TIPOORCAMENTO="Proposto",ORÇAMENTO.CustoUnitario*(1+$AH209),ORÇAMENTO.PrecoUnitarioLicitado),15-13*$AF$10),0)</f>
        <v>0</v>
      </c>
      <c r="X209" s="126" cm="1">
        <f t="array" aca="1" ref="X209" ca="1">IF($C209="S",IF(OR(Import.TipoArredondamento&lt;&gt;"TransfereGOV",ACOMPANHAMENTO="BM"),VTOTAL1,SUM(OFFSET(CÁLCULO!$AA$15,ROW($X209)-ROW($X$15),1):OFFSET(CÁLCULO!$AL$15,ROW($X209)-ROW($X$15),-1))),IF($C209=0,0,ROUND(SomaAgrup,15-13*$AF$11)))</f>
        <v>0</v>
      </c>
      <c r="Y209" s="127" t="s">
        <v>752</v>
      </c>
      <c r="Z209" s="675" t="str">
        <f t="shared" ca="1" si="48"/>
        <v/>
      </c>
      <c r="AA209" s="128">
        <f ca="1">IF($C209="S",IF($Z209="CP",$X209,IF($Z209="RA",(($X209)*QCI!$AA$3),0)),SomaAgrup)</f>
        <v>0</v>
      </c>
      <c r="AB209" s="129">
        <f t="shared" ca="1" si="49"/>
        <v>0</v>
      </c>
      <c r="AC209" s="566" t="str" cm="1">
        <f t="array" aca="1" ref="AC209" ca="1">IF($N209=""," ",
IF(AND($C209&lt;&gt;"S",OR($R209="",$R209="(digite a descrição aqui)")),"DESCRIÇÃO",
IF(AND($C209="S",OR($Q209&lt;&gt;"",$T209&gt;0,$U209&gt;0),$P209=""),"FONTE",
IF(AND($C209="S",$P209&lt;&gt;"",OR($T209&gt;0,$U209&gt;0),$Q209=""),"CÓDIGO",
IF(AND($C209="S",$P209&lt;&gt;"",$Q209&lt;&gt;"",$R209="(Código não identificado nas referências)"),"CÓDIGO N/ID",
IF(AND($C209="S",OR($R209="",$R209="(digite a descrição aqui)"),OR($Q209&lt;&gt;"",$T209&gt;0,$U209&gt;0)),"DESCRIÇÃO",
IF(AND($C209="S",$P209&lt;&gt;"",$Q209&lt;&gt;"",$S209=""),"UNIDADE",
IF(AND($C209="S",$P209&lt;&gt;"",$Q209&lt;&gt;"",$U209=0),"SEM CUSTO",
IF(AND(_xlfn.SINGLE(TIPOORCAMENTO)="Licitado",$AL209=0,$AN209&gt;0),"SEM PREÇO",
IF(AND($C209="S",$P209&lt;&gt;"",$Q209&lt;&gt;"",$U209&gt;0,$V209=0),"BDI",
IF(OR(AND(TIPOORCAMENTO="Proposto",LEFT($O$8,5)&lt;&gt;"(N/D:",$AG209&lt;&gt;"",ORÇAMENTO.CustoUnitario&gt;$AG209),AND(TIPOORCAMENTO="LICITADO",ORÇAMENTO.PrecoUnitarioLicitado&gt;$AN209)),"ACIMA REF.",
IF(AND($C209="S",$P209&lt;&gt;"",$Q209&lt;&gt;"",$T209=0,$U209&gt;0),"QUANT.",
IF(AND(Import.TipoArredondamento="TransfereGOV",$L209="F",$C209="S",LEN($Q209)&gt;13),"Código &gt;13",
IF(AND(Import.TipoArredondamento="TransfereGOV",$L209="F",$C209&lt;&gt;"S",LEN($R209)&gt;100),"Descrição &gt;100",
IF(AND(Import.TipoArredondamento="TransfereGOV",$L209="F",$C209="S",LEN($R209)&gt;500),"Descrição &gt;500",
IF(AND(Import.TipoArredondamento="TransfereGOV",$L209="F",$C209="S",LEFT(TRIM(UPPER($P209)),6)&lt;&gt;"SINAPI",ISNA(VLOOKUP(TRIM(UPPER($S209)),ListaTgov.Unidades,1,FALSE))),"Unid. Não Disp",
" "))))))))))))))))</f>
        <v>SEM CUSTO</v>
      </c>
      <c r="AD209" s="675" t="str">
        <f ca="1">IF(C209&lt;=CRONO.NivelExibicao,MAX($AD$15:OFFSET(AD209,-1,0))+IF($C209&lt;&gt;1,1,MAX(1,COUNTIF(QCI!$A$13:$A$15,OFFSET($E209,-1,0)))),"")</f>
        <v/>
      </c>
      <c r="AE209" s="671" t="str">
        <f ca="1">IF(AND($C209="S",ORÇAMENTO.CodBarra&lt;&gt;""),IF(ORÇAMENTO.Fonte="",ORÇAMENTO.CodBarra,CONCATENATE(ORÇAMENTO.Fonte," ",ORÇAMENTO.CodBarra)))</f>
        <v>SINAPI-I 11299</v>
      </c>
      <c r="AF209" s="674" t="str">
        <f ca="1">IF(ISERROR(INDIRECT(ORÇAMENTO.BancoRef)),"(abra o arquivo 'Referência "&amp;Excel_BuiltIn_Database&amp;".xlsm)",IF(OR($C209&lt;&gt;"S",ORÇAMENTO.CodBarra=""),"(Sem Código)",IF(ISERROR(MATCH($AE209,INDIRECT(ORÇAMENTO.BancoRef),0)),"(Código não identificado nas referências)",MATCH($AE209,INDIRECT(ORÇAMENTO.BancoRef),0))))</f>
        <v>(abra o arquivo 'Referência 09-2025.xlsm)</v>
      </c>
      <c r="AG209" s="429">
        <f ca="1">ROUND(IF(DESONERACAO="sim",REFERENCIA.Desonerado,REFERENCIA.NaoDesonerado),2)</f>
        <v>0</v>
      </c>
      <c r="AH209" s="430">
        <f t="shared" ca="1" si="50"/>
        <v>0.24740000000000001</v>
      </c>
      <c r="AJ209" s="699">
        <v>1</v>
      </c>
      <c r="AL209" s="440"/>
      <c r="AM209" s="337">
        <f t="shared" ca="1" si="0"/>
        <v>0</v>
      </c>
      <c r="AN209" s="471">
        <f t="shared" ca="1" si="51"/>
        <v>0</v>
      </c>
    </row>
    <row r="210" spans="1:40" s="675" customFormat="1" x14ac:dyDescent="0.2">
      <c r="A210" s="675">
        <f t="shared" si="37"/>
        <v>2</v>
      </c>
      <c r="B210" s="675">
        <f t="shared" ca="1" si="38"/>
        <v>2</v>
      </c>
      <c r="C210" s="675">
        <f t="shared" ca="1" si="39"/>
        <v>2</v>
      </c>
      <c r="D210" s="675">
        <f t="shared" ca="1" si="40"/>
        <v>8</v>
      </c>
      <c r="E210" s="675">
        <f ca="1">IF($C210=1,OFFSET(E210,-1,0)+MAX(1,COUNTIF(QCI!$A$13:$A$15,OFFSET(ORÇAMENTO!E210,-1,0))),OFFSET(E210,-1,0))</f>
        <v>1</v>
      </c>
      <c r="F210" s="675">
        <f t="shared" ca="1" si="41"/>
        <v>27</v>
      </c>
      <c r="G210" s="675">
        <f t="shared" ca="1" si="42"/>
        <v>0</v>
      </c>
      <c r="H210" s="675">
        <f t="shared" ca="1" si="43"/>
        <v>0</v>
      </c>
      <c r="I210" s="675">
        <f t="shared" ca="1" si="44"/>
        <v>0</v>
      </c>
      <c r="J210" s="675">
        <f t="shared" ca="1" si="68"/>
        <v>21</v>
      </c>
      <c r="K210" s="675">
        <f ca="1">IF(OR($C210="S",$C210=0),0,MATCH(OFFSET($D210,0,$C210)+IF($C210&lt;&gt;1,1,COUNTIF(QCI!$A$13:$A$15,ORÇAMENTO!E210)),OFFSET($D210,1,$C210,ROW($C$231)-ROW($C210)),0))</f>
        <v>8</v>
      </c>
      <c r="L210" s="115" t="str">
        <f t="shared" ca="1" si="45"/>
        <v>F</v>
      </c>
      <c r="M210" s="116" t="s">
        <v>703</v>
      </c>
      <c r="N210" s="117" t="str">
        <f t="shared" ca="1" si="46"/>
        <v>Nível 2</v>
      </c>
      <c r="O210" s="118" t="str">
        <f t="shared" ca="1" si="47"/>
        <v>1.27.</v>
      </c>
      <c r="P210" s="119" t="s">
        <v>751</v>
      </c>
      <c r="Q210" s="120"/>
      <c r="R210" s="121" t="s">
        <v>1091</v>
      </c>
      <c r="S210" s="122" t="str">
        <f ca="1">REFERENCIA.Unidade</f>
        <v>-</v>
      </c>
      <c r="T210" s="123">
        <f ca="1">OFFSET(CÁLCULO!H$15,ROW($T210)-ROW(T$15),0)</f>
        <v>0</v>
      </c>
      <c r="U210" s="124">
        <f ca="1">ROUND(IF(DESONERACAO="sim",REFERENCIA.Desonerado,REFERENCIA.NaoDesonerado),2)</f>
        <v>0</v>
      </c>
      <c r="V210" s="125" t="s">
        <v>664</v>
      </c>
      <c r="W210" s="123">
        <f ca="1">IF($C210="S",ROUND(IF(TIPOORCAMENTO="Proposto",ORÇAMENTO.CustoUnitario*(1+$AH210),ORÇAMENTO.PrecoUnitarioLicitado),15-13*$AF$10),0)</f>
        <v>0</v>
      </c>
      <c r="X210" s="126" cm="1">
        <f t="array" aca="1" ref="X210" ca="1">IF($C210="S",IF(OR(Import.TipoArredondamento&lt;&gt;"TransfereGOV",ACOMPANHAMENTO="BM"),VTOTAL1,SUM(OFFSET(CÁLCULO!$AA$15,ROW($X210)-ROW($X$15),1):OFFSET(CÁLCULO!$AL$15,ROW($X210)-ROW($X$15),-1))),IF($C210=0,0,ROUND(SomaAgrup,15-13*$AF$11)))</f>
        <v>0</v>
      </c>
      <c r="Y210" s="127" t="s">
        <v>752</v>
      </c>
      <c r="Z210" s="675" t="str">
        <f t="shared" ca="1" si="48"/>
        <v/>
      </c>
      <c r="AA210" s="128">
        <f ca="1">IF($C210="S",IF($Z210="CP",$X210,IF($Z210="RA",(($X210)*QCI!$AA$3),0)),SomaAgrup)</f>
        <v>0</v>
      </c>
      <c r="AB210" s="129">
        <f t="shared" ca="1" si="49"/>
        <v>0</v>
      </c>
      <c r="AC210" s="566" t="e" cm="1">
        <f t="array" aca="1" ref="AC210" ca="1">IF($N210=""," ",
IF(AND($C210&lt;&gt;"S",OR($R210="",$R210="(digite a descrição aqui)")),"DESCRIÇÃO",
IF(AND($C210="S",OR($Q210&lt;&gt;"",$T210&gt;0,$U210&gt;0),$P210=""),"FONTE",
IF(AND($C210="S",$P210&lt;&gt;"",OR($T210&gt;0,$U210&gt;0),$Q210=""),"CÓDIGO",
IF(AND($C210="S",$P210&lt;&gt;"",$Q210&lt;&gt;"",$R210="(Código não identificado nas referências)"),"CÓDIGO N/ID",
IF(AND($C210="S",OR($R210="",$R210="(digite a descrição aqui)"),OR($Q210&lt;&gt;"",$T210&gt;0,$U210&gt;0)),"DESCRIÇÃO",
IF(AND($C210="S",$P210&lt;&gt;"",$Q210&lt;&gt;"",$S210=""),"UNIDADE",
IF(AND($C210="S",$P210&lt;&gt;"",$Q210&lt;&gt;"",$U210=0),"SEM CUSTO",
IF(AND(_xlfn.SINGLE(TIPOORCAMENTO)="Licitado",$AL210=0,$AN210&gt;0),"SEM PREÇO",
IF(AND($C210="S",$P210&lt;&gt;"",$Q210&lt;&gt;"",$U210&gt;0,$V210=0),"BDI",
IF(OR(AND(TIPOORCAMENTO="Proposto",LEFT($O$8,5)&lt;&gt;"(N/D:",$AG210&lt;&gt;"",ORÇAMENTO.CustoUnitario&gt;$AG210),AND(TIPOORCAMENTO="LICITADO",ORÇAMENTO.PrecoUnitarioLicitado&gt;$AN210)),"ACIMA REF.",
IF(AND($C210="S",$P210&lt;&gt;"",$Q210&lt;&gt;"",$T210=0,$U210&gt;0),"QUANT.",
IF(AND(Import.TipoArredondamento="TransfereGOV",$L210="F",$C210="S",LEN($Q210)&gt;13),"Código &gt;13",
IF(AND(Import.TipoArredondamento="TransfereGOV",$L210="F",$C210&lt;&gt;"S",LEN($R210)&gt;100),"Descrição &gt;100",
IF(AND(Import.TipoArredondamento="TransfereGOV",$L210="F",$C210="S",LEN($R210)&gt;500),"Descrição &gt;500",
IF(AND(Import.TipoArredondamento="TransfereGOV",$L210="F",$C210="S",LEFT(TRIM(UPPER($P210)),6)&lt;&gt;"SINAPI",ISNA(VLOOKUP(TRIM(UPPER($S210)),ListaTgov.Unidades,1,FALSE))),"Unid. Não Disp",
" "))))))))))))))))</f>
        <v>#NAME?</v>
      </c>
      <c r="AD210" s="675">
        <f ca="1">IF(C210&lt;=CRONO.NivelExibicao,MAX($AD$15:OFFSET(AD210,-1,0))+IF($C210&lt;&gt;1,1,MAX(1,COUNTIF(QCI!$A$13:$A$15,OFFSET($E210,-1,0)))),"")</f>
        <v>28</v>
      </c>
      <c r="AE210" s="671" t="b">
        <f ca="1">IF(AND($C210="S",ORÇAMENTO.CodBarra&lt;&gt;""),IF(ORÇAMENTO.Fonte="",ORÇAMENTO.CodBarra,CONCATENATE(ORÇAMENTO.Fonte," ",ORÇAMENTO.CodBarra)))</f>
        <v>0</v>
      </c>
      <c r="AF210" s="674" t="str">
        <f ca="1">IF(ISERROR(INDIRECT(ORÇAMENTO.BancoRef)),"(abra o arquivo 'Referência "&amp;Excel_BuiltIn_Database&amp;".xlsm)",IF(OR($C210&lt;&gt;"S",ORÇAMENTO.CodBarra=""),"(Sem Código)",IF(ISERROR(MATCH($AE210,INDIRECT(ORÇAMENTO.BancoRef),0)),"(Código não identificado nas referências)",MATCH($AE210,INDIRECT(ORÇAMENTO.BancoRef),0))))</f>
        <v>(abra o arquivo 'Referência 09-2025.xlsm)</v>
      </c>
      <c r="AG210" s="429">
        <f ca="1">ROUND(IF(DESONERACAO="sim",REFERENCIA.Desonerado,REFERENCIA.NaoDesonerado),2)</f>
        <v>0</v>
      </c>
      <c r="AH210" s="430">
        <f t="shared" ca="1" si="50"/>
        <v>0.24740000000000001</v>
      </c>
      <c r="AJ210" s="699"/>
      <c r="AL210" s="440"/>
      <c r="AM210" s="337">
        <f t="shared" ca="1" si="0"/>
        <v>0</v>
      </c>
      <c r="AN210" s="471">
        <f t="shared" ca="1" si="51"/>
        <v>0</v>
      </c>
    </row>
    <row r="211" spans="1:40" s="675" customFormat="1" ht="13.9" customHeight="1" x14ac:dyDescent="0.2">
      <c r="A211" s="675" t="str">
        <f t="shared" si="37"/>
        <v>S</v>
      </c>
      <c r="B211" s="675">
        <f t="shared" ca="1" si="38"/>
        <v>2</v>
      </c>
      <c r="C211" s="675" t="str">
        <f t="shared" ca="1" si="39"/>
        <v>S</v>
      </c>
      <c r="D211" s="675">
        <f t="shared" ca="1" si="40"/>
        <v>0</v>
      </c>
      <c r="E211" s="675">
        <f ca="1">IF($C211=1,OFFSET(E211,-1,0)+MAX(1,COUNTIF(QCI!$A$13:$A$15,OFFSET(ORÇAMENTO!E211,-1,0))),OFFSET(E211,-1,0))</f>
        <v>1</v>
      </c>
      <c r="F211" s="675">
        <f t="shared" ca="1" si="41"/>
        <v>27</v>
      </c>
      <c r="G211" s="675">
        <f t="shared" ca="1" si="42"/>
        <v>0</v>
      </c>
      <c r="H211" s="675">
        <f t="shared" ca="1" si="43"/>
        <v>0</v>
      </c>
      <c r="I211" s="675">
        <f t="shared" ca="1" si="44"/>
        <v>0</v>
      </c>
      <c r="J211" s="675">
        <f t="shared" ca="1" si="68"/>
        <v>0</v>
      </c>
      <c r="K211" s="675">
        <f ca="1">IF(OR($C211="S",$C211=0),0,MATCH(OFFSET($D211,0,$C211)+IF($C211&lt;&gt;1,1,COUNTIF(QCI!$A$13:$A$15,ORÇAMENTO!E211)),OFFSET($D211,1,$C211,ROW($C$231)-ROW($C211)),0))</f>
        <v>0</v>
      </c>
      <c r="L211" s="115" t="str">
        <f t="shared" ca="1" si="45"/>
        <v/>
      </c>
      <c r="M211" s="116" t="s">
        <v>706</v>
      </c>
      <c r="N211" s="117" t="str">
        <f t="shared" ca="1" si="46"/>
        <v>Serviço</v>
      </c>
      <c r="O211" s="118" t="str">
        <f t="shared" ca="1" si="47"/>
        <v>-</v>
      </c>
      <c r="P211" s="119" t="s">
        <v>751</v>
      </c>
      <c r="Q211" s="697" t="s">
        <v>1081</v>
      </c>
      <c r="R211" s="121" t="str">
        <f ca="1">IF($C211="S",REFERENCIA.Descricao,"(digite a descrição aqui)")</f>
        <v>(abra o arquivo 'Referência 09-2025.xlsm)</v>
      </c>
      <c r="S211" s="122" t="str">
        <f ca="1">REFERENCIA.Unidade</f>
        <v>-</v>
      </c>
      <c r="T211" s="123">
        <f ca="1">OFFSET(CÁLCULO!H$15,ROW($T211)-ROW(T$15),0)</f>
        <v>0.66</v>
      </c>
      <c r="U211" s="124">
        <f ca="1">ROUND(IF(DESONERACAO="sim",REFERENCIA.Desonerado,REFERENCIA.NaoDesonerado),2)</f>
        <v>0</v>
      </c>
      <c r="V211" s="125" t="s">
        <v>664</v>
      </c>
      <c r="W211" s="123">
        <f ca="1">IF($C211="S",ROUND(IF(TIPOORCAMENTO="Proposto",ORÇAMENTO.CustoUnitario*(1+$AH211),ORÇAMENTO.PrecoUnitarioLicitado),15-13*$AF$10),0)</f>
        <v>0</v>
      </c>
      <c r="X211" s="126" cm="1">
        <f t="array" aca="1" ref="X211" ca="1">IF($C211="S",IF(OR(Import.TipoArredondamento&lt;&gt;"TransfereGOV",ACOMPANHAMENTO="BM"),VTOTAL1,SUM(OFFSET(CÁLCULO!$AA$15,ROW($X211)-ROW($X$15),1):OFFSET(CÁLCULO!$AL$15,ROW($X211)-ROW($X$15),-1))),IF($C211=0,0,ROUND(SomaAgrup,15-13*$AF$11)))</f>
        <v>0</v>
      </c>
      <c r="Y211" s="127" t="s">
        <v>752</v>
      </c>
      <c r="Z211" s="675" t="str">
        <f t="shared" ca="1" si="48"/>
        <v/>
      </c>
      <c r="AA211" s="128">
        <f ca="1">IF($C211="S",IF($Z211="CP",$X211,IF($Z211="RA",(($X211)*QCI!$AA$3),0)),SomaAgrup)</f>
        <v>0</v>
      </c>
      <c r="AB211" s="129">
        <f t="shared" ca="1" si="49"/>
        <v>0</v>
      </c>
      <c r="AC211" s="566" t="str" cm="1">
        <f t="array" aca="1" ref="AC211" ca="1">IF($N211=""," ",
IF(AND($C211&lt;&gt;"S",OR($R211="",$R211="(digite a descrição aqui)")),"DESCRIÇÃO",
IF(AND($C211="S",OR($Q211&lt;&gt;"",$T211&gt;0,$U211&gt;0),$P211=""),"FONTE",
IF(AND($C211="S",$P211&lt;&gt;"",OR($T211&gt;0,$U211&gt;0),$Q211=""),"CÓDIGO",
IF(AND($C211="S",$P211&lt;&gt;"",$Q211&lt;&gt;"",$R211="(Código não identificado nas referências)"),"CÓDIGO N/ID",
IF(AND($C211="S",OR($R211="",$R211="(digite a descrição aqui)"),OR($Q211&lt;&gt;"",$T211&gt;0,$U211&gt;0)),"DESCRIÇÃO",
IF(AND($C211="S",$P211&lt;&gt;"",$Q211&lt;&gt;"",$S211=""),"UNIDADE",
IF(AND($C211="S",$P211&lt;&gt;"",$Q211&lt;&gt;"",$U211=0),"SEM CUSTO",
IF(AND(_xlfn.SINGLE(TIPOORCAMENTO)="Licitado",$AL211=0,$AN211&gt;0),"SEM PREÇO",
IF(AND($C211="S",$P211&lt;&gt;"",$Q211&lt;&gt;"",$U211&gt;0,$V211=0),"BDI",
IF(OR(AND(TIPOORCAMENTO="Proposto",LEFT($O$8,5)&lt;&gt;"(N/D:",$AG211&lt;&gt;"",ORÇAMENTO.CustoUnitario&gt;$AG211),AND(TIPOORCAMENTO="LICITADO",ORÇAMENTO.PrecoUnitarioLicitado&gt;$AN211)),"ACIMA REF.",
IF(AND($C211="S",$P211&lt;&gt;"",$Q211&lt;&gt;"",$T211=0,$U211&gt;0),"QUANT.",
IF(AND(Import.TipoArredondamento="TransfereGOV",$L211="F",$C211="S",LEN($Q211)&gt;13),"Código &gt;13",
IF(AND(Import.TipoArredondamento="TransfereGOV",$L211="F",$C211&lt;&gt;"S",LEN($R211)&gt;100),"Descrição &gt;100",
IF(AND(Import.TipoArredondamento="TransfereGOV",$L211="F",$C211="S",LEN($R211)&gt;500),"Descrição &gt;500",
IF(AND(Import.TipoArredondamento="TransfereGOV",$L211="F",$C211="S",LEFT(TRIM(UPPER($P211)),6)&lt;&gt;"SINAPI",ISNA(VLOOKUP(TRIM(UPPER($S211)),ListaTgov.Unidades,1,FALSE))),"Unid. Não Disp",
" "))))))))))))))))</f>
        <v>SEM CUSTO</v>
      </c>
      <c r="AD211" s="675" t="str">
        <f ca="1">IF(C211&lt;=CRONO.NivelExibicao,MAX($AD$15:OFFSET(AD211,-1,0))+IF($C211&lt;&gt;1,1,MAX(1,COUNTIF(QCI!$A$13:$A$15,OFFSET($E211,-1,0)))),"")</f>
        <v/>
      </c>
      <c r="AE211" s="671" t="str">
        <f ca="1">IF(AND($C211="S",ORÇAMENTO.CodBarra&lt;&gt;""),IF(ORÇAMENTO.Fonte="",ORÇAMENTO.CodBarra,CONCATENATE(ORÇAMENTO.Fonte," ",ORÇAMENTO.CodBarra)))</f>
        <v>SINAPI 94990</v>
      </c>
      <c r="AF211" s="674" t="str">
        <f ca="1">IF(ISERROR(INDIRECT(ORÇAMENTO.BancoRef)),"(abra o arquivo 'Referência "&amp;Excel_BuiltIn_Database&amp;".xlsm)",IF(OR($C211&lt;&gt;"S",ORÇAMENTO.CodBarra=""),"(Sem Código)",IF(ISERROR(MATCH($AE211,INDIRECT(ORÇAMENTO.BancoRef),0)),"(Código não identificado nas referências)",MATCH($AE211,INDIRECT(ORÇAMENTO.BancoRef),0))))</f>
        <v>(abra o arquivo 'Referência 09-2025.xlsm)</v>
      </c>
      <c r="AG211" s="429">
        <f ca="1">ROUND(IF(DESONERACAO="sim",REFERENCIA.Desonerado,REFERENCIA.NaoDesonerado),2)</f>
        <v>0</v>
      </c>
      <c r="AH211" s="430">
        <f t="shared" ca="1" si="50"/>
        <v>0.24740000000000001</v>
      </c>
      <c r="AJ211" s="699">
        <v>0.66</v>
      </c>
      <c r="AL211" s="440"/>
      <c r="AM211" s="337">
        <f t="shared" ca="1" si="0"/>
        <v>0</v>
      </c>
      <c r="AN211" s="471">
        <f t="shared" ca="1" si="51"/>
        <v>0</v>
      </c>
    </row>
    <row r="212" spans="1:40" s="675" customFormat="1" x14ac:dyDescent="0.2">
      <c r="A212" s="675" t="str">
        <f t="shared" si="37"/>
        <v>S</v>
      </c>
      <c r="B212" s="675">
        <f t="shared" ca="1" si="38"/>
        <v>2</v>
      </c>
      <c r="C212" s="675" t="str">
        <f t="shared" ca="1" si="39"/>
        <v>S</v>
      </c>
      <c r="D212" s="675">
        <f t="shared" ca="1" si="40"/>
        <v>0</v>
      </c>
      <c r="E212" s="675">
        <f ca="1">IF($C212=1,OFFSET(E212,-1,0)+MAX(1,COUNTIF(QCI!$A$13:$A$15,OFFSET(ORÇAMENTO!E212,-1,0))),OFFSET(E212,-1,0))</f>
        <v>1</v>
      </c>
      <c r="F212" s="675">
        <f t="shared" ca="1" si="41"/>
        <v>27</v>
      </c>
      <c r="G212" s="675">
        <f t="shared" ca="1" si="42"/>
        <v>0</v>
      </c>
      <c r="H212" s="675">
        <f t="shared" ca="1" si="43"/>
        <v>0</v>
      </c>
      <c r="I212" s="675">
        <f t="shared" ca="1" si="44"/>
        <v>0</v>
      </c>
      <c r="J212" s="675">
        <f t="shared" ca="1" si="68"/>
        <v>0</v>
      </c>
      <c r="K212" s="675">
        <f ca="1">IF(OR($C212="S",$C212=0),0,MATCH(OFFSET($D212,0,$C212)+IF($C212&lt;&gt;1,1,COUNTIF(QCI!$A$13:$A$15,ORÇAMENTO!E212)),OFFSET($D212,1,$C212,ROW($C$231)-ROW($C212)),0))</f>
        <v>0</v>
      </c>
      <c r="L212" s="115" t="str">
        <f t="shared" ca="1" si="45"/>
        <v/>
      </c>
      <c r="M212" s="116" t="s">
        <v>706</v>
      </c>
      <c r="N212" s="117" t="str">
        <f t="shared" ca="1" si="46"/>
        <v>Serviço</v>
      </c>
      <c r="O212" s="118" t="str">
        <f t="shared" ca="1" si="47"/>
        <v>-</v>
      </c>
      <c r="P212" s="119" t="s">
        <v>968</v>
      </c>
      <c r="Q212" s="697" t="s">
        <v>1082</v>
      </c>
      <c r="R212" s="121" t="str">
        <f ca="1">IF($C212="S",REFERENCIA.Descricao,"(digite a descrição aqui)")</f>
        <v>(abra o arquivo 'Referência 09-2025.xlsm)</v>
      </c>
      <c r="S212" s="122" t="str">
        <f ca="1">REFERENCIA.Unidade</f>
        <v>-</v>
      </c>
      <c r="T212" s="123">
        <f ca="1">OFFSET(CÁLCULO!H$15,ROW($T212)-ROW(T$15),0)</f>
        <v>634.45000000000005</v>
      </c>
      <c r="U212" s="124">
        <f ca="1">ROUND(IF(DESONERACAO="sim",REFERENCIA.Desonerado,REFERENCIA.NaoDesonerado),2)</f>
        <v>0</v>
      </c>
      <c r="V212" s="125" t="s">
        <v>664</v>
      </c>
      <c r="W212" s="123">
        <f ca="1">IF($C212="S",ROUND(IF(TIPOORCAMENTO="Proposto",ORÇAMENTO.CustoUnitario*(1+$AH212),ORÇAMENTO.PrecoUnitarioLicitado),15-13*$AF$10),0)</f>
        <v>0</v>
      </c>
      <c r="X212" s="126" cm="1">
        <f t="array" aca="1" ref="X212" ca="1">IF($C212="S",IF(OR(Import.TipoArredondamento&lt;&gt;"TransfereGOV",ACOMPANHAMENTO="BM"),VTOTAL1,SUM(OFFSET(CÁLCULO!$AA$15,ROW($X212)-ROW($X$15),1):OFFSET(CÁLCULO!$AL$15,ROW($X212)-ROW($X$15),-1))),IF($C212=0,0,ROUND(SomaAgrup,15-13*$AF$11)))</f>
        <v>0</v>
      </c>
      <c r="Y212" s="127" t="s">
        <v>752</v>
      </c>
      <c r="Z212" s="675" t="str">
        <f t="shared" ca="1" si="48"/>
        <v/>
      </c>
      <c r="AA212" s="128">
        <f ca="1">IF($C212="S",IF($Z212="CP",$X212,IF($Z212="RA",(($X212)*QCI!$AA$3),0)),SomaAgrup)</f>
        <v>0</v>
      </c>
      <c r="AB212" s="129">
        <f t="shared" ca="1" si="49"/>
        <v>0</v>
      </c>
      <c r="AC212" s="566" t="str" cm="1">
        <f t="array" aca="1" ref="AC212" ca="1">IF($N212=""," ",
IF(AND($C212&lt;&gt;"S",OR($R212="",$R212="(digite a descrição aqui)")),"DESCRIÇÃO",
IF(AND($C212="S",OR($Q212&lt;&gt;"",$T212&gt;0,$U212&gt;0),$P212=""),"FONTE",
IF(AND($C212="S",$P212&lt;&gt;"",OR($T212&gt;0,$U212&gt;0),$Q212=""),"CÓDIGO",
IF(AND($C212="S",$P212&lt;&gt;"",$Q212&lt;&gt;"",$R212="(Código não identificado nas referências)"),"CÓDIGO N/ID",
IF(AND($C212="S",OR($R212="",$R212="(digite a descrição aqui)"),OR($Q212&lt;&gt;"",$T212&gt;0,$U212&gt;0)),"DESCRIÇÃO",
IF(AND($C212="S",$P212&lt;&gt;"",$Q212&lt;&gt;"",$S212=""),"UNIDADE",
IF(AND($C212="S",$P212&lt;&gt;"",$Q212&lt;&gt;"",$U212=0),"SEM CUSTO",
IF(AND(_xlfn.SINGLE(TIPOORCAMENTO)="Licitado",$AL212=0,$AN212&gt;0),"SEM PREÇO",
IF(AND($C212="S",$P212&lt;&gt;"",$Q212&lt;&gt;"",$U212&gt;0,$V212=0),"BDI",
IF(OR(AND(TIPOORCAMENTO="Proposto",LEFT($O$8,5)&lt;&gt;"(N/D:",$AG212&lt;&gt;"",ORÇAMENTO.CustoUnitario&gt;$AG212),AND(TIPOORCAMENTO="LICITADO",ORÇAMENTO.PrecoUnitarioLicitado&gt;$AN212)),"ACIMA REF.",
IF(AND($C212="S",$P212&lt;&gt;"",$Q212&lt;&gt;"",$T212=0,$U212&gt;0),"QUANT.",
IF(AND(Import.TipoArredondamento="TransfereGOV",$L212="F",$C212="S",LEN($Q212)&gt;13),"Código &gt;13",
IF(AND(Import.TipoArredondamento="TransfereGOV",$L212="F",$C212&lt;&gt;"S",LEN($R212)&gt;100),"Descrição &gt;100",
IF(AND(Import.TipoArredondamento="TransfereGOV",$L212="F",$C212="S",LEN($R212)&gt;500),"Descrição &gt;500",
IF(AND(Import.TipoArredondamento="TransfereGOV",$L212="F",$C212="S",LEFT(TRIM(UPPER($P212)),6)&lt;&gt;"SINAPI",ISNA(VLOOKUP(TRIM(UPPER($S212)),ListaTgov.Unidades,1,FALSE))),"Unid. Não Disp",
" "))))))))))))))))</f>
        <v>SEM CUSTO</v>
      </c>
      <c r="AD212" s="675" t="str">
        <f ca="1">IF(C212&lt;=CRONO.NivelExibicao,MAX($AD$15:OFFSET(AD212,-1,0))+IF($C212&lt;&gt;1,1,MAX(1,COUNTIF(QCI!$A$13:$A$15,OFFSET($E212,-1,0)))),"")</f>
        <v/>
      </c>
      <c r="AE212" s="671" t="str">
        <f ca="1">IF(AND($C212="S",ORÇAMENTO.CodBarra&lt;&gt;""),IF(ORÇAMENTO.Fonte="",ORÇAMENTO.CodBarra,CONCATENATE(ORÇAMENTO.Fonte," ",ORÇAMENTO.CodBarra)))</f>
        <v>COPASA 65000403</v>
      </c>
      <c r="AF212" s="674" t="str">
        <f ca="1">IF(ISERROR(INDIRECT(ORÇAMENTO.BancoRef)),"(abra o arquivo 'Referência "&amp;Excel_BuiltIn_Database&amp;".xlsm)",IF(OR($C212&lt;&gt;"S",ORÇAMENTO.CodBarra=""),"(Sem Código)",IF(ISERROR(MATCH($AE212,INDIRECT(ORÇAMENTO.BancoRef),0)),"(Código não identificado nas referências)",MATCH($AE212,INDIRECT(ORÇAMENTO.BancoRef),0))))</f>
        <v>(abra o arquivo 'Referência 09-2025.xlsm)</v>
      </c>
      <c r="AG212" s="429">
        <f ca="1">ROUND(IF(DESONERACAO="sim",REFERENCIA.Desonerado,REFERENCIA.NaoDesonerado),2)</f>
        <v>0</v>
      </c>
      <c r="AH212" s="430">
        <f t="shared" ca="1" si="50"/>
        <v>0.24740000000000001</v>
      </c>
      <c r="AJ212" s="699">
        <v>634.45000000000005</v>
      </c>
      <c r="AL212" s="440"/>
      <c r="AM212" s="337">
        <f t="shared" ca="1" si="0"/>
        <v>0</v>
      </c>
      <c r="AN212" s="471">
        <f t="shared" ca="1" si="51"/>
        <v>0</v>
      </c>
    </row>
    <row r="213" spans="1:40" s="675" customFormat="1" ht="13.9" customHeight="1" x14ac:dyDescent="0.2">
      <c r="A213" s="675" t="str">
        <f t="shared" si="37"/>
        <v>S</v>
      </c>
      <c r="B213" s="675">
        <f t="shared" ca="1" si="38"/>
        <v>2</v>
      </c>
      <c r="C213" s="675" t="str">
        <f t="shared" ca="1" si="39"/>
        <v>S</v>
      </c>
      <c r="D213" s="675">
        <f t="shared" ca="1" si="40"/>
        <v>0</v>
      </c>
      <c r="E213" s="675">
        <f ca="1">IF($C213=1,OFFSET(E213,-1,0)+MAX(1,COUNTIF(QCI!$A$13:$A$15,OFFSET(ORÇAMENTO!E213,-1,0))),OFFSET(E213,-1,0))</f>
        <v>1</v>
      </c>
      <c r="F213" s="675">
        <f t="shared" ca="1" si="41"/>
        <v>27</v>
      </c>
      <c r="G213" s="675">
        <f t="shared" ca="1" si="42"/>
        <v>0</v>
      </c>
      <c r="H213" s="675">
        <f t="shared" ca="1" si="43"/>
        <v>0</v>
      </c>
      <c r="I213" s="675">
        <f t="shared" ca="1" si="44"/>
        <v>0</v>
      </c>
      <c r="J213" s="675">
        <f t="shared" ca="1" si="68"/>
        <v>0</v>
      </c>
      <c r="K213" s="675">
        <f ca="1">IF(OR($C213="S",$C213=0),0,MATCH(OFFSET($D213,0,$C213)+IF($C213&lt;&gt;1,1,COUNTIF(QCI!$A$13:$A$15,ORÇAMENTO!E213)),OFFSET($D213,1,$C213,ROW($C$231)-ROW($C213)),0))</f>
        <v>0</v>
      </c>
      <c r="L213" s="115" t="str">
        <f t="shared" ca="1" si="45"/>
        <v/>
      </c>
      <c r="M213" s="116" t="s">
        <v>706</v>
      </c>
      <c r="N213" s="117" t="str">
        <f t="shared" ca="1" si="46"/>
        <v>Serviço</v>
      </c>
      <c r="O213" s="118" t="str">
        <f t="shared" ca="1" si="47"/>
        <v>-</v>
      </c>
      <c r="P213" s="119" t="s">
        <v>968</v>
      </c>
      <c r="Q213" s="697" t="s">
        <v>1083</v>
      </c>
      <c r="R213" s="121" t="str">
        <f ca="1">IF($C213="S",REFERENCIA.Descricao,"(digite a descrição aqui)")</f>
        <v>(abra o arquivo 'Referência 09-2025.xlsm)</v>
      </c>
      <c r="S213" s="122" t="str">
        <f ca="1">REFERENCIA.Unidade</f>
        <v>-</v>
      </c>
      <c r="T213" s="123">
        <f ca="1">OFFSET(CÁLCULO!H$15,ROW($T213)-ROW(T$15),0)</f>
        <v>1</v>
      </c>
      <c r="U213" s="124">
        <f ca="1">ROUND(IF(DESONERACAO="sim",REFERENCIA.Desonerado,REFERENCIA.NaoDesonerado),2)</f>
        <v>0</v>
      </c>
      <c r="V213" s="125" t="s">
        <v>664</v>
      </c>
      <c r="W213" s="123">
        <f ca="1">IF($C213="S",ROUND(IF(TIPOORCAMENTO="Proposto",ORÇAMENTO.CustoUnitario*(1+$AH213),ORÇAMENTO.PrecoUnitarioLicitado),15-13*$AF$10),0)</f>
        <v>0</v>
      </c>
      <c r="X213" s="126" cm="1">
        <f t="array" aca="1" ref="X213" ca="1">IF($C213="S",IF(OR(Import.TipoArredondamento&lt;&gt;"TransfereGOV",ACOMPANHAMENTO="BM"),VTOTAL1,SUM(OFFSET(CÁLCULO!$AA$15,ROW($X213)-ROW($X$15),1):OFFSET(CÁLCULO!$AL$15,ROW($X213)-ROW($X$15),-1))),IF($C213=0,0,ROUND(SomaAgrup,15-13*$AF$11)))</f>
        <v>0</v>
      </c>
      <c r="Y213" s="127" t="s">
        <v>752</v>
      </c>
      <c r="Z213" s="675" t="str">
        <f t="shared" ca="1" si="48"/>
        <v/>
      </c>
      <c r="AA213" s="128">
        <f ca="1">IF($C213="S",IF($Z213="CP",$X213,IF($Z213="RA",(($X213)*QCI!$AA$3),0)),SomaAgrup)</f>
        <v>0</v>
      </c>
      <c r="AB213" s="129">
        <f t="shared" ca="1" si="49"/>
        <v>0</v>
      </c>
      <c r="AC213" s="566" t="str" cm="1">
        <f t="array" aca="1" ref="AC213" ca="1">IF($N213=""," ",
IF(AND($C213&lt;&gt;"S",OR($R213="",$R213="(digite a descrição aqui)")),"DESCRIÇÃO",
IF(AND($C213="S",OR($Q213&lt;&gt;"",$T213&gt;0,$U213&gt;0),$P213=""),"FONTE",
IF(AND($C213="S",$P213&lt;&gt;"",OR($T213&gt;0,$U213&gt;0),$Q213=""),"CÓDIGO",
IF(AND($C213="S",$P213&lt;&gt;"",$Q213&lt;&gt;"",$R213="(Código não identificado nas referências)"),"CÓDIGO N/ID",
IF(AND($C213="S",OR($R213="",$R213="(digite a descrição aqui)"),OR($Q213&lt;&gt;"",$T213&gt;0,$U213&gt;0)),"DESCRIÇÃO",
IF(AND($C213="S",$P213&lt;&gt;"",$Q213&lt;&gt;"",$S213=""),"UNIDADE",
IF(AND($C213="S",$P213&lt;&gt;"",$Q213&lt;&gt;"",$U213=0),"SEM CUSTO",
IF(AND(_xlfn.SINGLE(TIPOORCAMENTO)="Licitado",$AL213=0,$AN213&gt;0),"SEM PREÇO",
IF(AND($C213="S",$P213&lt;&gt;"",$Q213&lt;&gt;"",$U213&gt;0,$V213=0),"BDI",
IF(OR(AND(TIPOORCAMENTO="Proposto",LEFT($O$8,5)&lt;&gt;"(N/D:",$AG213&lt;&gt;"",ORÇAMENTO.CustoUnitario&gt;$AG213),AND(TIPOORCAMENTO="LICITADO",ORÇAMENTO.PrecoUnitarioLicitado&gt;$AN213)),"ACIMA REF.",
IF(AND($C213="S",$P213&lt;&gt;"",$Q213&lt;&gt;"",$T213=0,$U213&gt;0),"QUANT.",
IF(AND(Import.TipoArredondamento="TransfereGOV",$L213="F",$C213="S",LEN($Q213)&gt;13),"Código &gt;13",
IF(AND(Import.TipoArredondamento="TransfereGOV",$L213="F",$C213&lt;&gt;"S",LEN($R213)&gt;100),"Descrição &gt;100",
IF(AND(Import.TipoArredondamento="TransfereGOV",$L213="F",$C213="S",LEN($R213)&gt;500),"Descrição &gt;500",
IF(AND(Import.TipoArredondamento="TransfereGOV",$L213="F",$C213="S",LEFT(TRIM(UPPER($P213)),6)&lt;&gt;"SINAPI",ISNA(VLOOKUP(TRIM(UPPER($S213)),ListaTgov.Unidades,1,FALSE))),"Unid. Não Disp",
" "))))))))))))))))</f>
        <v>SEM CUSTO</v>
      </c>
      <c r="AD213" s="675" t="str">
        <f ca="1">IF(C213&lt;=CRONO.NivelExibicao,MAX($AD$15:OFFSET(AD213,-1,0))+IF($C213&lt;&gt;1,1,MAX(1,COUNTIF(QCI!$A$13:$A$15,OFFSET($E213,-1,0)))),"")</f>
        <v/>
      </c>
      <c r="AE213" s="671" t="str">
        <f ca="1">IF(AND($C213="S",ORÇAMENTO.CodBarra&lt;&gt;""),IF(ORÇAMENTO.Fonte="",ORÇAMENTO.CodBarra,CONCATENATE(ORÇAMENTO.Fonte," ",ORÇAMENTO.CodBarra)))</f>
        <v>COPASA 65002366</v>
      </c>
      <c r="AF213" s="674" t="str">
        <f ca="1">IF(ISERROR(INDIRECT(ORÇAMENTO.BancoRef)),"(abra o arquivo 'Referência "&amp;Excel_BuiltIn_Database&amp;".xlsm)",IF(OR($C213&lt;&gt;"S",ORÇAMENTO.CodBarra=""),"(Sem Código)",IF(ISERROR(MATCH($AE213,INDIRECT(ORÇAMENTO.BancoRef),0)),"(Código não identificado nas referências)",MATCH($AE213,INDIRECT(ORÇAMENTO.BancoRef),0))))</f>
        <v>(abra o arquivo 'Referência 09-2025.xlsm)</v>
      </c>
      <c r="AG213" s="429">
        <f ca="1">ROUND(IF(DESONERACAO="sim",REFERENCIA.Desonerado,REFERENCIA.NaoDesonerado),2)</f>
        <v>0</v>
      </c>
      <c r="AH213" s="430">
        <f t="shared" ca="1" si="50"/>
        <v>0.24740000000000001</v>
      </c>
      <c r="AJ213" s="699">
        <v>1</v>
      </c>
      <c r="AL213" s="440"/>
      <c r="AM213" s="337">
        <f t="shared" ca="1" si="0"/>
        <v>0</v>
      </c>
      <c r="AN213" s="471">
        <f t="shared" ca="1" si="51"/>
        <v>0</v>
      </c>
    </row>
    <row r="214" spans="1:40" s="675" customFormat="1" ht="13.9" customHeight="1" x14ac:dyDescent="0.2">
      <c r="A214" s="675" t="str">
        <f t="shared" si="37"/>
        <v>S</v>
      </c>
      <c r="B214" s="675">
        <f t="shared" ca="1" si="38"/>
        <v>2</v>
      </c>
      <c r="C214" s="675" t="str">
        <f t="shared" ca="1" si="39"/>
        <v>S</v>
      </c>
      <c r="D214" s="675">
        <f t="shared" ca="1" si="40"/>
        <v>0</v>
      </c>
      <c r="E214" s="675">
        <f ca="1">IF($C214=1,OFFSET(E214,-1,0)+MAX(1,COUNTIF(QCI!$A$13:$A$15,OFFSET(ORÇAMENTO!E214,-1,0))),OFFSET(E214,-1,0))</f>
        <v>1</v>
      </c>
      <c r="F214" s="675">
        <f t="shared" ca="1" si="41"/>
        <v>27</v>
      </c>
      <c r="G214" s="675">
        <f t="shared" ca="1" si="42"/>
        <v>0</v>
      </c>
      <c r="H214" s="675">
        <f t="shared" ca="1" si="43"/>
        <v>0</v>
      </c>
      <c r="I214" s="675">
        <f t="shared" ca="1" si="44"/>
        <v>0</v>
      </c>
      <c r="J214" s="675">
        <f t="shared" ca="1" si="68"/>
        <v>0</v>
      </c>
      <c r="K214" s="675">
        <f ca="1">IF(OR($C214="S",$C214=0),0,MATCH(OFFSET($D214,0,$C214)+IF($C214&lt;&gt;1,1,COUNTIF(QCI!$A$13:$A$15,ORÇAMENTO!E214)),OFFSET($D214,1,$C214,ROW($C$231)-ROW($C214)),0))</f>
        <v>0</v>
      </c>
      <c r="L214" s="115" t="str">
        <f t="shared" ca="1" si="45"/>
        <v/>
      </c>
      <c r="M214" s="116" t="s">
        <v>706</v>
      </c>
      <c r="N214" s="117" t="str">
        <f t="shared" ca="1" si="46"/>
        <v>Serviço</v>
      </c>
      <c r="O214" s="118" t="str">
        <f t="shared" ca="1" si="47"/>
        <v>-</v>
      </c>
      <c r="P214" s="119" t="s">
        <v>968</v>
      </c>
      <c r="Q214" s="697" t="s">
        <v>1084</v>
      </c>
      <c r="R214" s="121" t="str">
        <f ca="1">IF($C214="S",REFERENCIA.Descricao,"(digite a descrição aqui)")</f>
        <v>(abra o arquivo 'Referência 09-2025.xlsm)</v>
      </c>
      <c r="S214" s="122" t="str">
        <f ca="1">REFERENCIA.Unidade</f>
        <v>-</v>
      </c>
      <c r="T214" s="123">
        <f ca="1">OFFSET(CÁLCULO!H$15,ROW($T214)-ROW(T$15),0)</f>
        <v>16</v>
      </c>
      <c r="U214" s="124">
        <f ca="1">ROUND(IF(DESONERACAO="sim",REFERENCIA.Desonerado,REFERENCIA.NaoDesonerado),2)</f>
        <v>0</v>
      </c>
      <c r="V214" s="125" t="s">
        <v>664</v>
      </c>
      <c r="W214" s="123">
        <f ca="1">IF($C214="S",ROUND(IF(TIPOORCAMENTO="Proposto",ORÇAMENTO.CustoUnitario*(1+$AH214),ORÇAMENTO.PrecoUnitarioLicitado),15-13*$AF$10),0)</f>
        <v>0</v>
      </c>
      <c r="X214" s="126" cm="1">
        <f t="array" aca="1" ref="X214" ca="1">IF($C214="S",IF(OR(Import.TipoArredondamento&lt;&gt;"TransfereGOV",ACOMPANHAMENTO="BM"),VTOTAL1,SUM(OFFSET(CÁLCULO!$AA$15,ROW($X214)-ROW($X$15),1):OFFSET(CÁLCULO!$AL$15,ROW($X214)-ROW($X$15),-1))),IF($C214=0,0,ROUND(SomaAgrup,15-13*$AF$11)))</f>
        <v>0</v>
      </c>
      <c r="Y214" s="127" t="s">
        <v>752</v>
      </c>
      <c r="Z214" s="675" t="str">
        <f t="shared" ca="1" si="48"/>
        <v/>
      </c>
      <c r="AA214" s="128">
        <f ca="1">IF($C214="S",IF($Z214="CP",$X214,IF($Z214="RA",(($X214)*QCI!$AA$3),0)),SomaAgrup)</f>
        <v>0</v>
      </c>
      <c r="AB214" s="129">
        <f t="shared" ca="1" si="49"/>
        <v>0</v>
      </c>
      <c r="AC214" s="566" t="str" cm="1">
        <f t="array" aca="1" ref="AC214" ca="1">IF($N214=""," ",
IF(AND($C214&lt;&gt;"S",OR($R214="",$R214="(digite a descrição aqui)")),"DESCRIÇÃO",
IF(AND($C214="S",OR($Q214&lt;&gt;"",$T214&gt;0,$U214&gt;0),$P214=""),"FONTE",
IF(AND($C214="S",$P214&lt;&gt;"",OR($T214&gt;0,$U214&gt;0),$Q214=""),"CÓDIGO",
IF(AND($C214="S",$P214&lt;&gt;"",$Q214&lt;&gt;"",$R214="(Código não identificado nas referências)"),"CÓDIGO N/ID",
IF(AND($C214="S",OR($R214="",$R214="(digite a descrição aqui)"),OR($Q214&lt;&gt;"",$T214&gt;0,$U214&gt;0)),"DESCRIÇÃO",
IF(AND($C214="S",$P214&lt;&gt;"",$Q214&lt;&gt;"",$S214=""),"UNIDADE",
IF(AND($C214="S",$P214&lt;&gt;"",$Q214&lt;&gt;"",$U214=0),"SEM CUSTO",
IF(AND(_xlfn.SINGLE(TIPOORCAMENTO)="Licitado",$AL214=0,$AN214&gt;0),"SEM PREÇO",
IF(AND($C214="S",$P214&lt;&gt;"",$Q214&lt;&gt;"",$U214&gt;0,$V214=0),"BDI",
IF(OR(AND(TIPOORCAMENTO="Proposto",LEFT($O$8,5)&lt;&gt;"(N/D:",$AG214&lt;&gt;"",ORÇAMENTO.CustoUnitario&gt;$AG214),AND(TIPOORCAMENTO="LICITADO",ORÇAMENTO.PrecoUnitarioLicitado&gt;$AN214)),"ACIMA REF.",
IF(AND($C214="S",$P214&lt;&gt;"",$Q214&lt;&gt;"",$T214=0,$U214&gt;0),"QUANT.",
IF(AND(Import.TipoArredondamento="TransfereGOV",$L214="F",$C214="S",LEN($Q214)&gt;13),"Código &gt;13",
IF(AND(Import.TipoArredondamento="TransfereGOV",$L214="F",$C214&lt;&gt;"S",LEN($R214)&gt;100),"Descrição &gt;100",
IF(AND(Import.TipoArredondamento="TransfereGOV",$L214="F",$C214="S",LEN($R214)&gt;500),"Descrição &gt;500",
IF(AND(Import.TipoArredondamento="TransfereGOV",$L214="F",$C214="S",LEFT(TRIM(UPPER($P214)),6)&lt;&gt;"SINAPI",ISNA(VLOOKUP(TRIM(UPPER($S214)),ListaTgov.Unidades,1,FALSE))),"Unid. Não Disp",
" "))))))))))))))))</f>
        <v>SEM CUSTO</v>
      </c>
      <c r="AD214" s="675" t="str">
        <f ca="1">IF(C214&lt;=CRONO.NivelExibicao,MAX($AD$15:OFFSET(AD214,-1,0))+IF($C214&lt;&gt;1,1,MAX(1,COUNTIF(QCI!$A$13:$A$15,OFFSET($E214,-1,0)))),"")</f>
        <v/>
      </c>
      <c r="AE214" s="671" t="str">
        <f ca="1">IF(AND($C214="S",ORÇAMENTO.CodBarra&lt;&gt;""),IF(ORÇAMENTO.Fonte="",ORÇAMENTO.CodBarra,CONCATENATE(ORÇAMENTO.Fonte," ",ORÇAMENTO.CodBarra)))</f>
        <v>COPASA 65001138</v>
      </c>
      <c r="AF214" s="674" t="str">
        <f ca="1">IF(ISERROR(INDIRECT(ORÇAMENTO.BancoRef)),"(abra o arquivo 'Referência "&amp;Excel_BuiltIn_Database&amp;".xlsm)",IF(OR($C214&lt;&gt;"S",ORÇAMENTO.CodBarra=""),"(Sem Código)",IF(ISERROR(MATCH($AE214,INDIRECT(ORÇAMENTO.BancoRef),0)),"(Código não identificado nas referências)",MATCH($AE214,INDIRECT(ORÇAMENTO.BancoRef),0))))</f>
        <v>(abra o arquivo 'Referência 09-2025.xlsm)</v>
      </c>
      <c r="AG214" s="429">
        <f ca="1">ROUND(IF(DESONERACAO="sim",REFERENCIA.Desonerado,REFERENCIA.NaoDesonerado),2)</f>
        <v>0</v>
      </c>
      <c r="AH214" s="430">
        <f t="shared" ca="1" si="50"/>
        <v>0.24740000000000001</v>
      </c>
      <c r="AJ214" s="699">
        <v>16</v>
      </c>
      <c r="AL214" s="440"/>
      <c r="AM214" s="337">
        <f t="shared" ca="1" si="0"/>
        <v>0</v>
      </c>
      <c r="AN214" s="471">
        <f t="shared" ca="1" si="51"/>
        <v>0</v>
      </c>
    </row>
    <row r="215" spans="1:40" s="675" customFormat="1" ht="13.9" customHeight="1" x14ac:dyDescent="0.2">
      <c r="A215" s="675" t="str">
        <f t="shared" si="37"/>
        <v>S</v>
      </c>
      <c r="B215" s="675">
        <f t="shared" ca="1" si="38"/>
        <v>2</v>
      </c>
      <c r="C215" s="675" t="str">
        <f t="shared" ca="1" si="39"/>
        <v>S</v>
      </c>
      <c r="D215" s="675">
        <f t="shared" ca="1" si="40"/>
        <v>0</v>
      </c>
      <c r="E215" s="675">
        <f ca="1">IF($C215=1,OFFSET(E215,-1,0)+MAX(1,COUNTIF(QCI!$A$13:$A$15,OFFSET(ORÇAMENTO!E215,-1,0))),OFFSET(E215,-1,0))</f>
        <v>1</v>
      </c>
      <c r="F215" s="675">
        <f t="shared" ca="1" si="41"/>
        <v>27</v>
      </c>
      <c r="G215" s="675">
        <f t="shared" ca="1" si="42"/>
        <v>0</v>
      </c>
      <c r="H215" s="675">
        <f t="shared" ca="1" si="43"/>
        <v>0</v>
      </c>
      <c r="I215" s="675">
        <f t="shared" ca="1" si="44"/>
        <v>0</v>
      </c>
      <c r="J215" s="675">
        <f t="shared" ca="1" si="68"/>
        <v>0</v>
      </c>
      <c r="K215" s="675">
        <f ca="1">IF(OR($C215="S",$C215=0),0,MATCH(OFFSET($D215,0,$C215)+IF($C215&lt;&gt;1,1,COUNTIF(QCI!$A$13:$A$15,ORÇAMENTO!E215)),OFFSET($D215,1,$C215,ROW($C$231)-ROW($C215)),0))</f>
        <v>0</v>
      </c>
      <c r="L215" s="115" t="str">
        <f t="shared" ca="1" si="45"/>
        <v/>
      </c>
      <c r="M215" s="116" t="s">
        <v>706</v>
      </c>
      <c r="N215" s="117" t="str">
        <f t="shared" ca="1" si="46"/>
        <v>Serviço</v>
      </c>
      <c r="O215" s="118" t="str">
        <f t="shared" ca="1" si="47"/>
        <v>-</v>
      </c>
      <c r="P215" s="119" t="s">
        <v>968</v>
      </c>
      <c r="Q215" s="697" t="s">
        <v>1085</v>
      </c>
      <c r="R215" s="121" t="str">
        <f ca="1">IF($C215="S",REFERENCIA.Descricao,"(digite a descrição aqui)")</f>
        <v>(abra o arquivo 'Referência 09-2025.xlsm)</v>
      </c>
      <c r="S215" s="122" t="str">
        <f ca="1">REFERENCIA.Unidade</f>
        <v>-</v>
      </c>
      <c r="T215" s="123">
        <f ca="1">OFFSET(CÁLCULO!H$15,ROW($T215)-ROW(T$15),0)</f>
        <v>4.4000000000000004</v>
      </c>
      <c r="U215" s="124">
        <f ca="1">ROUND(IF(DESONERACAO="sim",REFERENCIA.Desonerado,REFERENCIA.NaoDesonerado),2)</f>
        <v>0</v>
      </c>
      <c r="V215" s="125" t="s">
        <v>664</v>
      </c>
      <c r="W215" s="123">
        <f ca="1">IF($C215="S",ROUND(IF(TIPOORCAMENTO="Proposto",ORÇAMENTO.CustoUnitario*(1+$AH215),ORÇAMENTO.PrecoUnitarioLicitado),15-13*$AF$10),0)</f>
        <v>0</v>
      </c>
      <c r="X215" s="126" cm="1">
        <f t="array" aca="1" ref="X215" ca="1">IF($C215="S",IF(OR(Import.TipoArredondamento&lt;&gt;"TransfereGOV",ACOMPANHAMENTO="BM"),VTOTAL1,SUM(OFFSET(CÁLCULO!$AA$15,ROW($X215)-ROW($X$15),1):OFFSET(CÁLCULO!$AL$15,ROW($X215)-ROW($X$15),-1))),IF($C215=0,0,ROUND(SomaAgrup,15-13*$AF$11)))</f>
        <v>0</v>
      </c>
      <c r="Y215" s="127" t="s">
        <v>752</v>
      </c>
      <c r="Z215" s="675" t="str">
        <f t="shared" ca="1" si="48"/>
        <v/>
      </c>
      <c r="AA215" s="128">
        <f ca="1">IF($C215="S",IF($Z215="CP",$X215,IF($Z215="RA",(($X215)*QCI!$AA$3),0)),SomaAgrup)</f>
        <v>0</v>
      </c>
      <c r="AB215" s="129">
        <f t="shared" ca="1" si="49"/>
        <v>0</v>
      </c>
      <c r="AC215" s="566" t="str" cm="1">
        <f t="array" aca="1" ref="AC215" ca="1">IF($N215=""," ",
IF(AND($C215&lt;&gt;"S",OR($R215="",$R215="(digite a descrição aqui)")),"DESCRIÇÃO",
IF(AND($C215="S",OR($Q215&lt;&gt;"",$T215&gt;0,$U215&gt;0),$P215=""),"FONTE",
IF(AND($C215="S",$P215&lt;&gt;"",OR($T215&gt;0,$U215&gt;0),$Q215=""),"CÓDIGO",
IF(AND($C215="S",$P215&lt;&gt;"",$Q215&lt;&gt;"",$R215="(Código não identificado nas referências)"),"CÓDIGO N/ID",
IF(AND($C215="S",OR($R215="",$R215="(digite a descrição aqui)"),OR($Q215&lt;&gt;"",$T215&gt;0,$U215&gt;0)),"DESCRIÇÃO",
IF(AND($C215="S",$P215&lt;&gt;"",$Q215&lt;&gt;"",$S215=""),"UNIDADE",
IF(AND($C215="S",$P215&lt;&gt;"",$Q215&lt;&gt;"",$U215=0),"SEM CUSTO",
IF(AND(_xlfn.SINGLE(TIPOORCAMENTO)="Licitado",$AL215=0,$AN215&gt;0),"SEM PREÇO",
IF(AND($C215="S",$P215&lt;&gt;"",$Q215&lt;&gt;"",$U215&gt;0,$V215=0),"BDI",
IF(OR(AND(TIPOORCAMENTO="Proposto",LEFT($O$8,5)&lt;&gt;"(N/D:",$AG215&lt;&gt;"",ORÇAMENTO.CustoUnitario&gt;$AG215),AND(TIPOORCAMENTO="LICITADO",ORÇAMENTO.PrecoUnitarioLicitado&gt;$AN215)),"ACIMA REF.",
IF(AND($C215="S",$P215&lt;&gt;"",$Q215&lt;&gt;"",$T215=0,$U215&gt;0),"QUANT.",
IF(AND(Import.TipoArredondamento="TransfereGOV",$L215="F",$C215="S",LEN($Q215)&gt;13),"Código &gt;13",
IF(AND(Import.TipoArredondamento="TransfereGOV",$L215="F",$C215&lt;&gt;"S",LEN($R215)&gt;100),"Descrição &gt;100",
IF(AND(Import.TipoArredondamento="TransfereGOV",$L215="F",$C215="S",LEN($R215)&gt;500),"Descrição &gt;500",
IF(AND(Import.TipoArredondamento="TransfereGOV",$L215="F",$C215="S",LEFT(TRIM(UPPER($P215)),6)&lt;&gt;"SINAPI",ISNA(VLOOKUP(TRIM(UPPER($S215)),ListaTgov.Unidades,1,FALSE))),"Unid. Não Disp",
" "))))))))))))))))</f>
        <v>SEM CUSTO</v>
      </c>
      <c r="AD215" s="675" t="str">
        <f ca="1">IF(C215&lt;=CRONO.NivelExibicao,MAX($AD$15:OFFSET(AD215,-1,0))+IF($C215&lt;&gt;1,1,MAX(1,COUNTIF(QCI!$A$13:$A$15,OFFSET($E215,-1,0)))),"")</f>
        <v/>
      </c>
      <c r="AE215" s="671" t="str">
        <f ca="1">IF(AND($C215="S",ORÇAMENTO.CodBarra&lt;&gt;""),IF(ORÇAMENTO.Fonte="",ORÇAMENTO.CodBarra,CONCATENATE(ORÇAMENTO.Fonte," ",ORÇAMENTO.CodBarra)))</f>
        <v>COPASA 65001132</v>
      </c>
      <c r="AF215" s="674" t="str">
        <f ca="1">IF(ISERROR(INDIRECT(ORÇAMENTO.BancoRef)),"(abra o arquivo 'Referência "&amp;Excel_BuiltIn_Database&amp;".xlsm)",IF(OR($C215&lt;&gt;"S",ORÇAMENTO.CodBarra=""),"(Sem Código)",IF(ISERROR(MATCH($AE215,INDIRECT(ORÇAMENTO.BancoRef),0)),"(Código não identificado nas referências)",MATCH($AE215,INDIRECT(ORÇAMENTO.BancoRef),0))))</f>
        <v>(abra o arquivo 'Referência 09-2025.xlsm)</v>
      </c>
      <c r="AG215" s="429">
        <f ca="1">ROUND(IF(DESONERACAO="sim",REFERENCIA.Desonerado,REFERENCIA.NaoDesonerado),2)</f>
        <v>0</v>
      </c>
      <c r="AH215" s="430">
        <f t="shared" ca="1" si="50"/>
        <v>0.24740000000000001</v>
      </c>
      <c r="AJ215" s="699">
        <v>4.4000000000000004</v>
      </c>
      <c r="AL215" s="440"/>
      <c r="AM215" s="337">
        <f t="shared" ca="1" si="0"/>
        <v>0</v>
      </c>
      <c r="AN215" s="471">
        <f t="shared" ca="1" si="51"/>
        <v>0</v>
      </c>
    </row>
    <row r="216" spans="1:40" s="675" customFormat="1" ht="13.9" customHeight="1" x14ac:dyDescent="0.2">
      <c r="A216" s="675" t="str">
        <f t="shared" si="37"/>
        <v>S</v>
      </c>
      <c r="B216" s="675">
        <f t="shared" ca="1" si="38"/>
        <v>2</v>
      </c>
      <c r="C216" s="675" t="str">
        <f t="shared" ca="1" si="39"/>
        <v>S</v>
      </c>
      <c r="D216" s="675">
        <f t="shared" ca="1" si="40"/>
        <v>0</v>
      </c>
      <c r="E216" s="675">
        <f ca="1">IF($C216=1,OFFSET(E216,-1,0)+MAX(1,COUNTIF(QCI!$A$13:$A$15,OFFSET(ORÇAMENTO!E216,-1,0))),OFFSET(E216,-1,0))</f>
        <v>1</v>
      </c>
      <c r="F216" s="675">
        <f t="shared" ca="1" si="41"/>
        <v>27</v>
      </c>
      <c r="G216" s="675">
        <f t="shared" ca="1" si="42"/>
        <v>0</v>
      </c>
      <c r="H216" s="675">
        <f t="shared" ca="1" si="43"/>
        <v>0</v>
      </c>
      <c r="I216" s="675">
        <f t="shared" ca="1" si="44"/>
        <v>0</v>
      </c>
      <c r="J216" s="675">
        <f t="shared" ca="1" si="68"/>
        <v>0</v>
      </c>
      <c r="K216" s="675">
        <f ca="1">IF(OR($C216="S",$C216=0),0,MATCH(OFFSET($D216,0,$C216)+IF($C216&lt;&gt;1,1,COUNTIF(QCI!$A$13:$A$15,ORÇAMENTO!E216)),OFFSET($D216,1,$C216,ROW($C$231)-ROW($C216)),0))</f>
        <v>0</v>
      </c>
      <c r="L216" s="115" t="str">
        <f t="shared" ca="1" si="45"/>
        <v/>
      </c>
      <c r="M216" s="116" t="s">
        <v>706</v>
      </c>
      <c r="N216" s="117" t="str">
        <f t="shared" ca="1" si="46"/>
        <v>Serviço</v>
      </c>
      <c r="O216" s="118" t="str">
        <f t="shared" ca="1" si="47"/>
        <v>-</v>
      </c>
      <c r="P216" s="119" t="s">
        <v>1066</v>
      </c>
      <c r="Q216" s="697" t="s">
        <v>1086</v>
      </c>
      <c r="R216" s="121" t="str">
        <f ca="1">IF($C216="S",REFERENCIA.Descricao,"(digite a descrição aqui)")</f>
        <v>(abra o arquivo 'Referência 09-2025.xlsm)</v>
      </c>
      <c r="S216" s="122" t="str">
        <f ca="1">REFERENCIA.Unidade</f>
        <v>-</v>
      </c>
      <c r="T216" s="123">
        <f ca="1">OFFSET(CÁLCULO!H$15,ROW($T216)-ROW(T$15),0)</f>
        <v>4</v>
      </c>
      <c r="U216" s="124">
        <f ca="1">ROUND(IF(DESONERACAO="sim",REFERENCIA.Desonerado,REFERENCIA.NaoDesonerado),2)</f>
        <v>0</v>
      </c>
      <c r="V216" s="125" t="s">
        <v>664</v>
      </c>
      <c r="W216" s="123">
        <f ca="1">IF($C216="S",ROUND(IF(TIPOORCAMENTO="Proposto",ORÇAMENTO.CustoUnitario*(1+$AH216),ORÇAMENTO.PrecoUnitarioLicitado),15-13*$AF$10),0)</f>
        <v>0</v>
      </c>
      <c r="X216" s="126" cm="1">
        <f t="array" aca="1" ref="X216" ca="1">IF($C216="S",IF(OR(Import.TipoArredondamento&lt;&gt;"TransfereGOV",ACOMPANHAMENTO="BM"),VTOTAL1,SUM(OFFSET(CÁLCULO!$AA$15,ROW($X216)-ROW($X$15),1):OFFSET(CÁLCULO!$AL$15,ROW($X216)-ROW($X$15),-1))),IF($C216=0,0,ROUND(SomaAgrup,15-13*$AF$11)))</f>
        <v>0</v>
      </c>
      <c r="Y216" s="127" t="s">
        <v>752</v>
      </c>
      <c r="Z216" s="675" t="str">
        <f t="shared" ca="1" si="48"/>
        <v/>
      </c>
      <c r="AA216" s="128">
        <f ca="1">IF($C216="S",IF($Z216="CP",$X216,IF($Z216="RA",(($X216)*QCI!$AA$3),0)),SomaAgrup)</f>
        <v>0</v>
      </c>
      <c r="AB216" s="129">
        <f t="shared" ca="1" si="49"/>
        <v>0</v>
      </c>
      <c r="AC216" s="566" t="str" cm="1">
        <f t="array" aca="1" ref="AC216" ca="1">IF($N216=""," ",
IF(AND($C216&lt;&gt;"S",OR($R216="",$R216="(digite a descrição aqui)")),"DESCRIÇÃO",
IF(AND($C216="S",OR($Q216&lt;&gt;"",$T216&gt;0,$U216&gt;0),$P216=""),"FONTE",
IF(AND($C216="S",$P216&lt;&gt;"",OR($T216&gt;0,$U216&gt;0),$Q216=""),"CÓDIGO",
IF(AND($C216="S",$P216&lt;&gt;"",$Q216&lt;&gt;"",$R216="(Código não identificado nas referências)"),"CÓDIGO N/ID",
IF(AND($C216="S",OR($R216="",$R216="(digite a descrição aqui)"),OR($Q216&lt;&gt;"",$T216&gt;0,$U216&gt;0)),"DESCRIÇÃO",
IF(AND($C216="S",$P216&lt;&gt;"",$Q216&lt;&gt;"",$S216=""),"UNIDADE",
IF(AND($C216="S",$P216&lt;&gt;"",$Q216&lt;&gt;"",$U216=0),"SEM CUSTO",
IF(AND(_xlfn.SINGLE(TIPOORCAMENTO)="Licitado",$AL216=0,$AN216&gt;0),"SEM PREÇO",
IF(AND($C216="S",$P216&lt;&gt;"",$Q216&lt;&gt;"",$U216&gt;0,$V216=0),"BDI",
IF(OR(AND(TIPOORCAMENTO="Proposto",LEFT($O$8,5)&lt;&gt;"(N/D:",$AG216&lt;&gt;"",ORÇAMENTO.CustoUnitario&gt;$AG216),AND(TIPOORCAMENTO="LICITADO",ORÇAMENTO.PrecoUnitarioLicitado&gt;$AN216)),"ACIMA REF.",
IF(AND($C216="S",$P216&lt;&gt;"",$Q216&lt;&gt;"",$T216=0,$U216&gt;0),"QUANT.",
IF(AND(Import.TipoArredondamento="TransfereGOV",$L216="F",$C216="S",LEN($Q216)&gt;13),"Código &gt;13",
IF(AND(Import.TipoArredondamento="TransfereGOV",$L216="F",$C216&lt;&gt;"S",LEN($R216)&gt;100),"Descrição &gt;100",
IF(AND(Import.TipoArredondamento="TransfereGOV",$L216="F",$C216="S",LEN($R216)&gt;500),"Descrição &gt;500",
IF(AND(Import.TipoArredondamento="TransfereGOV",$L216="F",$C216="S",LEFT(TRIM(UPPER($P216)),6)&lt;&gt;"SINAPI",ISNA(VLOOKUP(TRIM(UPPER($S216)),ListaTgov.Unidades,1,FALSE))),"Unid. Não Disp",
" "))))))))))))))))</f>
        <v>SEM CUSTO</v>
      </c>
      <c r="AD216" s="675" t="str">
        <f ca="1">IF(C216&lt;=CRONO.NivelExibicao,MAX($AD$15:OFFSET(AD216,-1,0))+IF($C216&lt;&gt;1,1,MAX(1,COUNTIF(QCI!$A$13:$A$15,OFFSET($E216,-1,0)))),"")</f>
        <v/>
      </c>
      <c r="AE216" s="671" t="str">
        <f ca="1">IF(AND($C216="S",ORÇAMENTO.CodBarra&lt;&gt;""),IF(ORÇAMENTO.Fonte="",ORÇAMENTO.CodBarra,CONCATENATE(ORÇAMENTO.Fonte," ",ORÇAMENTO.CodBarra)))</f>
        <v>SEINFRA ED-50949</v>
      </c>
      <c r="AF216" s="674" t="str">
        <f ca="1">IF(ISERROR(INDIRECT(ORÇAMENTO.BancoRef)),"(abra o arquivo 'Referência "&amp;Excel_BuiltIn_Database&amp;".xlsm)",IF(OR($C216&lt;&gt;"S",ORÇAMENTO.CodBarra=""),"(Sem Código)",IF(ISERROR(MATCH($AE216,INDIRECT(ORÇAMENTO.BancoRef),0)),"(Código não identificado nas referências)",MATCH($AE216,INDIRECT(ORÇAMENTO.BancoRef),0))))</f>
        <v>(abra o arquivo 'Referência 09-2025.xlsm)</v>
      </c>
      <c r="AG216" s="429">
        <f ca="1">ROUND(IF(DESONERACAO="sim",REFERENCIA.Desonerado,REFERENCIA.NaoDesonerado),2)</f>
        <v>0</v>
      </c>
      <c r="AH216" s="430">
        <f t="shared" ca="1" si="50"/>
        <v>0.24740000000000001</v>
      </c>
      <c r="AJ216" s="699">
        <v>4</v>
      </c>
      <c r="AL216" s="440"/>
      <c r="AM216" s="337">
        <f t="shared" ca="1" si="0"/>
        <v>0</v>
      </c>
      <c r="AN216" s="471">
        <f t="shared" ca="1" si="51"/>
        <v>0</v>
      </c>
    </row>
    <row r="217" spans="1:40" s="675" customFormat="1" ht="13.9" customHeight="1" x14ac:dyDescent="0.2">
      <c r="A217" s="675" t="str">
        <f t="shared" si="37"/>
        <v>S</v>
      </c>
      <c r="B217" s="675">
        <f t="shared" ca="1" si="38"/>
        <v>2</v>
      </c>
      <c r="C217" s="675" t="str">
        <f t="shared" ca="1" si="39"/>
        <v>S</v>
      </c>
      <c r="D217" s="675">
        <f t="shared" ca="1" si="40"/>
        <v>0</v>
      </c>
      <c r="E217" s="675">
        <f ca="1">IF($C217=1,OFFSET(E217,-1,0)+MAX(1,COUNTIF(QCI!$A$13:$A$15,OFFSET(ORÇAMENTO!E217,-1,0))),OFFSET(E217,-1,0))</f>
        <v>1</v>
      </c>
      <c r="F217" s="675">
        <f t="shared" ca="1" si="41"/>
        <v>27</v>
      </c>
      <c r="G217" s="675">
        <f t="shared" ca="1" si="42"/>
        <v>0</v>
      </c>
      <c r="H217" s="675">
        <f t="shared" ca="1" si="43"/>
        <v>0</v>
      </c>
      <c r="I217" s="675">
        <f t="shared" ca="1" si="44"/>
        <v>0</v>
      </c>
      <c r="J217" s="675">
        <f t="shared" ca="1" si="68"/>
        <v>0</v>
      </c>
      <c r="K217" s="675">
        <f ca="1">IF(OR($C217="S",$C217=0),0,MATCH(OFFSET($D217,0,$C217)+IF($C217&lt;&gt;1,1,COUNTIF(QCI!$A$13:$A$15,ORÇAMENTO!E217)),OFFSET($D217,1,$C217,ROW($C$231)-ROW($C217)),0))</f>
        <v>0</v>
      </c>
      <c r="L217" s="115" t="str">
        <f t="shared" ca="1" si="45"/>
        <v/>
      </c>
      <c r="M217" s="116" t="s">
        <v>706</v>
      </c>
      <c r="N217" s="117" t="str">
        <f t="shared" ca="1" si="46"/>
        <v>Serviço</v>
      </c>
      <c r="O217" s="118" t="str">
        <f t="shared" ca="1" si="47"/>
        <v>-</v>
      </c>
      <c r="P217" s="119" t="s">
        <v>1066</v>
      </c>
      <c r="Q217" s="697" t="s">
        <v>1087</v>
      </c>
      <c r="R217" s="121" t="str">
        <f ca="1">IF($C217="S",REFERENCIA.Descricao,"(digite a descrição aqui)")</f>
        <v>(abra o arquivo 'Referência 09-2025.xlsm)</v>
      </c>
      <c r="S217" s="122" t="str">
        <f ca="1">REFERENCIA.Unidade</f>
        <v>-</v>
      </c>
      <c r="T217" s="123">
        <f ca="1">OFFSET(CÁLCULO!H$15,ROW($T217)-ROW(T$15),0)</f>
        <v>1.2</v>
      </c>
      <c r="U217" s="124">
        <f ca="1">ROUND(IF(DESONERACAO="sim",REFERENCIA.Desonerado,REFERENCIA.NaoDesonerado),2)</f>
        <v>0</v>
      </c>
      <c r="V217" s="125" t="s">
        <v>664</v>
      </c>
      <c r="W217" s="123">
        <f ca="1">IF($C217="S",ROUND(IF(TIPOORCAMENTO="Proposto",ORÇAMENTO.CustoUnitario*(1+$AH217),ORÇAMENTO.PrecoUnitarioLicitado),15-13*$AF$10),0)</f>
        <v>0</v>
      </c>
      <c r="X217" s="126" cm="1">
        <f t="array" aca="1" ref="X217" ca="1">IF($C217="S",IF(OR(Import.TipoArredondamento&lt;&gt;"TransfereGOV",ACOMPANHAMENTO="BM"),VTOTAL1,SUM(OFFSET(CÁLCULO!$AA$15,ROW($X217)-ROW($X$15),1):OFFSET(CÁLCULO!$AL$15,ROW($X217)-ROW($X$15),-1))),IF($C217=0,0,ROUND(SomaAgrup,15-13*$AF$11)))</f>
        <v>0</v>
      </c>
      <c r="Y217" s="127" t="s">
        <v>752</v>
      </c>
      <c r="Z217" s="675" t="str">
        <f t="shared" ca="1" si="48"/>
        <v/>
      </c>
      <c r="AA217" s="128">
        <f ca="1">IF($C217="S",IF($Z217="CP",$X217,IF($Z217="RA",(($X217)*QCI!$AA$3),0)),SomaAgrup)</f>
        <v>0</v>
      </c>
      <c r="AB217" s="129">
        <f t="shared" ca="1" si="49"/>
        <v>0</v>
      </c>
      <c r="AC217" s="566" t="str" cm="1">
        <f t="array" aca="1" ref="AC217" ca="1">IF($N217=""," ",
IF(AND($C217&lt;&gt;"S",OR($R217="",$R217="(digite a descrição aqui)")),"DESCRIÇÃO",
IF(AND($C217="S",OR($Q217&lt;&gt;"",$T217&gt;0,$U217&gt;0),$P217=""),"FONTE",
IF(AND($C217="S",$P217&lt;&gt;"",OR($T217&gt;0,$U217&gt;0),$Q217=""),"CÓDIGO",
IF(AND($C217="S",$P217&lt;&gt;"",$Q217&lt;&gt;"",$R217="(Código não identificado nas referências)"),"CÓDIGO N/ID",
IF(AND($C217="S",OR($R217="",$R217="(digite a descrição aqui)"),OR($Q217&lt;&gt;"",$T217&gt;0,$U217&gt;0)),"DESCRIÇÃO",
IF(AND($C217="S",$P217&lt;&gt;"",$Q217&lt;&gt;"",$S217=""),"UNIDADE",
IF(AND($C217="S",$P217&lt;&gt;"",$Q217&lt;&gt;"",$U217=0),"SEM CUSTO",
IF(AND(_xlfn.SINGLE(TIPOORCAMENTO)="Licitado",$AL217=0,$AN217&gt;0),"SEM PREÇO",
IF(AND($C217="S",$P217&lt;&gt;"",$Q217&lt;&gt;"",$U217&gt;0,$V217=0),"BDI",
IF(OR(AND(TIPOORCAMENTO="Proposto",LEFT($O$8,5)&lt;&gt;"(N/D:",$AG217&lt;&gt;"",ORÇAMENTO.CustoUnitario&gt;$AG217),AND(TIPOORCAMENTO="LICITADO",ORÇAMENTO.PrecoUnitarioLicitado&gt;$AN217)),"ACIMA REF.",
IF(AND($C217="S",$P217&lt;&gt;"",$Q217&lt;&gt;"",$T217=0,$U217&gt;0),"QUANT.",
IF(AND(Import.TipoArredondamento="TransfereGOV",$L217="F",$C217="S",LEN($Q217)&gt;13),"Código &gt;13",
IF(AND(Import.TipoArredondamento="TransfereGOV",$L217="F",$C217&lt;&gt;"S",LEN($R217)&gt;100),"Descrição &gt;100",
IF(AND(Import.TipoArredondamento="TransfereGOV",$L217="F",$C217="S",LEN($R217)&gt;500),"Descrição &gt;500",
IF(AND(Import.TipoArredondamento="TransfereGOV",$L217="F",$C217="S",LEFT(TRIM(UPPER($P217)),6)&lt;&gt;"SINAPI",ISNA(VLOOKUP(TRIM(UPPER($S217)),ListaTgov.Unidades,1,FALSE))),"Unid. Não Disp",
" "))))))))))))))))</f>
        <v>SEM CUSTO</v>
      </c>
      <c r="AD217" s="675" t="str">
        <f ca="1">IF(C217&lt;=CRONO.NivelExibicao,MAX($AD$15:OFFSET(AD217,-1,0))+IF($C217&lt;&gt;1,1,MAX(1,COUNTIF(QCI!$A$13:$A$15,OFFSET($E217,-1,0)))),"")</f>
        <v/>
      </c>
      <c r="AE217" s="671" t="str">
        <f ca="1">IF(AND($C217="S",ORÇAMENTO.CodBarra&lt;&gt;""),IF(ORÇAMENTO.Fonte="",ORÇAMENTO.CodBarra,CONCATENATE(ORÇAMENTO.Fonte," ",ORÇAMENTO.CodBarra)))</f>
        <v>SEINFRA ED-50846</v>
      </c>
      <c r="AF217" s="674" t="str">
        <f ca="1">IF(ISERROR(INDIRECT(ORÇAMENTO.BancoRef)),"(abra o arquivo 'Referência "&amp;Excel_BuiltIn_Database&amp;".xlsm)",IF(OR($C217&lt;&gt;"S",ORÇAMENTO.CodBarra=""),"(Sem Código)",IF(ISERROR(MATCH($AE217,INDIRECT(ORÇAMENTO.BancoRef),0)),"(Código não identificado nas referências)",MATCH($AE217,INDIRECT(ORÇAMENTO.BancoRef),0))))</f>
        <v>(abra o arquivo 'Referência 09-2025.xlsm)</v>
      </c>
      <c r="AG217" s="429">
        <f ca="1">ROUND(IF(DESONERACAO="sim",REFERENCIA.Desonerado,REFERENCIA.NaoDesonerado),2)</f>
        <v>0</v>
      </c>
      <c r="AH217" s="430">
        <f t="shared" ca="1" si="50"/>
        <v>0.24740000000000001</v>
      </c>
      <c r="AJ217" s="699">
        <v>1.2</v>
      </c>
      <c r="AL217" s="440"/>
      <c r="AM217" s="337">
        <f t="shared" ca="1" si="0"/>
        <v>0</v>
      </c>
      <c r="AN217" s="471">
        <f t="shared" ca="1" si="51"/>
        <v>0</v>
      </c>
    </row>
    <row r="218" spans="1:40" s="675" customFormat="1" x14ac:dyDescent="0.2">
      <c r="A218" s="675">
        <f t="shared" si="37"/>
        <v>2</v>
      </c>
      <c r="B218" s="675">
        <f t="shared" ca="1" si="38"/>
        <v>2</v>
      </c>
      <c r="C218" s="675">
        <f t="shared" ca="1" si="39"/>
        <v>2</v>
      </c>
      <c r="D218" s="675">
        <f t="shared" ca="1" si="40"/>
        <v>3</v>
      </c>
      <c r="E218" s="675">
        <f ca="1">IF($C218=1,OFFSET(E218,-1,0)+MAX(1,COUNTIF(QCI!$A$13:$A$15,OFFSET(ORÇAMENTO!E218,-1,0))),OFFSET(E218,-1,0))</f>
        <v>1</v>
      </c>
      <c r="F218" s="675">
        <f t="shared" ca="1" si="41"/>
        <v>28</v>
      </c>
      <c r="G218" s="675">
        <f t="shared" ca="1" si="42"/>
        <v>0</v>
      </c>
      <c r="H218" s="675">
        <f t="shared" ca="1" si="43"/>
        <v>0</v>
      </c>
      <c r="I218" s="675">
        <f t="shared" ca="1" si="44"/>
        <v>0</v>
      </c>
      <c r="J218" s="675">
        <f t="shared" ca="1" si="68"/>
        <v>13</v>
      </c>
      <c r="K218" s="675">
        <f ca="1">IF(OR($C218="S",$C218=0),0,MATCH(OFFSET($D218,0,$C218)+IF($C218&lt;&gt;1,1,COUNTIF(QCI!$A$13:$A$15,ORÇAMENTO!E218)),OFFSET($D218,1,$C218,ROW($C$231)-ROW($C218)),0))</f>
        <v>3</v>
      </c>
      <c r="L218" s="115" t="str">
        <f t="shared" ca="1" si="45"/>
        <v>F</v>
      </c>
      <c r="M218" s="116" t="s">
        <v>703</v>
      </c>
      <c r="N218" s="117" t="str">
        <f t="shared" ca="1" si="46"/>
        <v>Nível 2</v>
      </c>
      <c r="O218" s="118" t="str">
        <f t="shared" ca="1" si="47"/>
        <v>1.28.</v>
      </c>
      <c r="P218" s="119" t="s">
        <v>751</v>
      </c>
      <c r="Q218" s="120"/>
      <c r="R218" s="121" t="s">
        <v>1092</v>
      </c>
      <c r="S218" s="122" t="str">
        <f ca="1">REFERENCIA.Unidade</f>
        <v>-</v>
      </c>
      <c r="T218" s="123">
        <f ca="1">OFFSET(CÁLCULO!H$15,ROW($T218)-ROW(T$15),0)</f>
        <v>0</v>
      </c>
      <c r="U218" s="124">
        <f ca="1">ROUND(IF(DESONERACAO="sim",REFERENCIA.Desonerado,REFERENCIA.NaoDesonerado),2)</f>
        <v>0</v>
      </c>
      <c r="V218" s="125" t="s">
        <v>664</v>
      </c>
      <c r="W218" s="123">
        <f ca="1">IF($C218="S",ROUND(IF(TIPOORCAMENTO="Proposto",ORÇAMENTO.CustoUnitario*(1+$AH218),ORÇAMENTO.PrecoUnitarioLicitado),15-13*$AF$10),0)</f>
        <v>0</v>
      </c>
      <c r="X218" s="126" cm="1">
        <f t="array" aca="1" ref="X218" ca="1">IF($C218="S",IF(OR(Import.TipoArredondamento&lt;&gt;"TransfereGOV",ACOMPANHAMENTO="BM"),VTOTAL1,SUM(OFFSET(CÁLCULO!$AA$15,ROW($X218)-ROW($X$15),1):OFFSET(CÁLCULO!$AL$15,ROW($X218)-ROW($X$15),-1))),IF($C218=0,0,ROUND(SomaAgrup,15-13*$AF$11)))</f>
        <v>0</v>
      </c>
      <c r="Y218" s="127" t="s">
        <v>752</v>
      </c>
      <c r="Z218" s="675" t="str">
        <f t="shared" ca="1" si="48"/>
        <v/>
      </c>
      <c r="AA218" s="128">
        <f ca="1">IF($C218="S",IF($Z218="CP",$X218,IF($Z218="RA",(($X218)*QCI!$AA$3),0)),SomaAgrup)</f>
        <v>0</v>
      </c>
      <c r="AB218" s="129">
        <f t="shared" ca="1" si="49"/>
        <v>0</v>
      </c>
      <c r="AC218" s="566" t="e" cm="1">
        <f t="array" aca="1" ref="AC218" ca="1">IF($N218=""," ",
IF(AND($C218&lt;&gt;"S",OR($R218="",$R218="(digite a descrição aqui)")),"DESCRIÇÃO",
IF(AND($C218="S",OR($Q218&lt;&gt;"",$T218&gt;0,$U218&gt;0),$P218=""),"FONTE",
IF(AND($C218="S",$P218&lt;&gt;"",OR($T218&gt;0,$U218&gt;0),$Q218=""),"CÓDIGO",
IF(AND($C218="S",$P218&lt;&gt;"",$Q218&lt;&gt;"",$R218="(Código não identificado nas referências)"),"CÓDIGO N/ID",
IF(AND($C218="S",OR($R218="",$R218="(digite a descrição aqui)"),OR($Q218&lt;&gt;"",$T218&gt;0,$U218&gt;0)),"DESCRIÇÃO",
IF(AND($C218="S",$P218&lt;&gt;"",$Q218&lt;&gt;"",$S218=""),"UNIDADE",
IF(AND($C218="S",$P218&lt;&gt;"",$Q218&lt;&gt;"",$U218=0),"SEM CUSTO",
IF(AND(_xlfn.SINGLE(TIPOORCAMENTO)="Licitado",$AL218=0,$AN218&gt;0),"SEM PREÇO",
IF(AND($C218="S",$P218&lt;&gt;"",$Q218&lt;&gt;"",$U218&gt;0,$V218=0),"BDI",
IF(OR(AND(TIPOORCAMENTO="Proposto",LEFT($O$8,5)&lt;&gt;"(N/D:",$AG218&lt;&gt;"",ORÇAMENTO.CustoUnitario&gt;$AG218),AND(TIPOORCAMENTO="LICITADO",ORÇAMENTO.PrecoUnitarioLicitado&gt;$AN218)),"ACIMA REF.",
IF(AND($C218="S",$P218&lt;&gt;"",$Q218&lt;&gt;"",$T218=0,$U218&gt;0),"QUANT.",
IF(AND(Import.TipoArredondamento="TransfereGOV",$L218="F",$C218="S",LEN($Q218)&gt;13),"Código &gt;13",
IF(AND(Import.TipoArredondamento="TransfereGOV",$L218="F",$C218&lt;&gt;"S",LEN($R218)&gt;100),"Descrição &gt;100",
IF(AND(Import.TipoArredondamento="TransfereGOV",$L218="F",$C218="S",LEN($R218)&gt;500),"Descrição &gt;500",
IF(AND(Import.TipoArredondamento="TransfereGOV",$L218="F",$C218="S",LEFT(TRIM(UPPER($P218)),6)&lt;&gt;"SINAPI",ISNA(VLOOKUP(TRIM(UPPER($S218)),ListaTgov.Unidades,1,FALSE))),"Unid. Não Disp",
" "))))))))))))))))</f>
        <v>#NAME?</v>
      </c>
      <c r="AD218" s="675">
        <f ca="1">IF(C218&lt;=CRONO.NivelExibicao,MAX($AD$15:OFFSET(AD218,-1,0))+IF($C218&lt;&gt;1,1,MAX(1,COUNTIF(QCI!$A$13:$A$15,OFFSET($E218,-1,0)))),"")</f>
        <v>29</v>
      </c>
      <c r="AE218" s="671" t="b">
        <f ca="1">IF(AND($C218="S",ORÇAMENTO.CodBarra&lt;&gt;""),IF(ORÇAMENTO.Fonte="",ORÇAMENTO.CodBarra,CONCATENATE(ORÇAMENTO.Fonte," ",ORÇAMENTO.CodBarra)))</f>
        <v>0</v>
      </c>
      <c r="AF218" s="674" t="str">
        <f ca="1">IF(ISERROR(INDIRECT(ORÇAMENTO.BancoRef)),"(abra o arquivo 'Referência "&amp;Excel_BuiltIn_Database&amp;".xlsm)",IF(OR($C218&lt;&gt;"S",ORÇAMENTO.CodBarra=""),"(Sem Código)",IF(ISERROR(MATCH($AE218,INDIRECT(ORÇAMENTO.BancoRef),0)),"(Código não identificado nas referências)",MATCH($AE218,INDIRECT(ORÇAMENTO.BancoRef),0))))</f>
        <v>(abra o arquivo 'Referência 09-2025.xlsm)</v>
      </c>
      <c r="AG218" s="429">
        <f ca="1">ROUND(IF(DESONERACAO="sim",REFERENCIA.Desonerado,REFERENCIA.NaoDesonerado),2)</f>
        <v>0</v>
      </c>
      <c r="AH218" s="430">
        <f t="shared" ca="1" si="50"/>
        <v>0.24740000000000001</v>
      </c>
      <c r="AJ218" s="699"/>
      <c r="AL218" s="440"/>
      <c r="AM218" s="337">
        <f t="shared" ca="1" si="0"/>
        <v>0</v>
      </c>
      <c r="AN218" s="471">
        <f t="shared" ca="1" si="51"/>
        <v>0</v>
      </c>
    </row>
    <row r="219" spans="1:40" s="675" customFormat="1" ht="13.9" customHeight="1" x14ac:dyDescent="0.2">
      <c r="A219" s="675" t="str">
        <f t="shared" si="37"/>
        <v>S</v>
      </c>
      <c r="B219" s="675">
        <f t="shared" ca="1" si="38"/>
        <v>2</v>
      </c>
      <c r="C219" s="675" t="str">
        <f t="shared" ca="1" si="39"/>
        <v>S</v>
      </c>
      <c r="D219" s="675">
        <f t="shared" ca="1" si="40"/>
        <v>0</v>
      </c>
      <c r="E219" s="675">
        <f ca="1">IF($C219=1,OFFSET(E219,-1,0)+MAX(1,COUNTIF(QCI!$A$13:$A$15,OFFSET(ORÇAMENTO!E219,-1,0))),OFFSET(E219,-1,0))</f>
        <v>1</v>
      </c>
      <c r="F219" s="675">
        <f t="shared" ca="1" si="41"/>
        <v>28</v>
      </c>
      <c r="G219" s="675">
        <f t="shared" ca="1" si="42"/>
        <v>0</v>
      </c>
      <c r="H219" s="675">
        <f t="shared" ca="1" si="43"/>
        <v>0</v>
      </c>
      <c r="I219" s="675">
        <f t="shared" ca="1" si="44"/>
        <v>0</v>
      </c>
      <c r="J219" s="675">
        <f t="shared" ca="1" si="68"/>
        <v>0</v>
      </c>
      <c r="K219" s="675">
        <f ca="1">IF(OR($C219="S",$C219=0),0,MATCH(OFFSET($D219,0,$C219)+IF($C219&lt;&gt;1,1,COUNTIF(QCI!$A$13:$A$15,ORÇAMENTO!E219)),OFFSET($D219,1,$C219,ROW($C$231)-ROW($C219)),0))</f>
        <v>0</v>
      </c>
      <c r="L219" s="115" t="str">
        <f t="shared" ca="1" si="45"/>
        <v/>
      </c>
      <c r="M219" s="116" t="s">
        <v>706</v>
      </c>
      <c r="N219" s="117" t="str">
        <f t="shared" ca="1" si="46"/>
        <v>Serviço</v>
      </c>
      <c r="O219" s="118" t="str">
        <f t="shared" ca="1" si="47"/>
        <v>-</v>
      </c>
      <c r="P219" s="119" t="s">
        <v>751</v>
      </c>
      <c r="Q219" s="698" t="s">
        <v>1089</v>
      </c>
      <c r="R219" s="121" t="str">
        <f ca="1">IF($C219="S",REFERENCIA.Descricao,"(digite a descrição aqui)")</f>
        <v>(abra o arquivo 'Referência 09-2025.xlsm)</v>
      </c>
      <c r="S219" s="122" t="str">
        <f ca="1">REFERENCIA.Unidade</f>
        <v>-</v>
      </c>
      <c r="T219" s="123">
        <f ca="1">OFFSET(CÁLCULO!H$15,ROW($T219)-ROW(T$15),0)</f>
        <v>66.239999999999995</v>
      </c>
      <c r="U219" s="124">
        <f ca="1">ROUND(IF(DESONERACAO="sim",REFERENCIA.Desonerado,REFERENCIA.NaoDesonerado),2)</f>
        <v>0</v>
      </c>
      <c r="V219" s="125" t="s">
        <v>664</v>
      </c>
      <c r="W219" s="123">
        <f ca="1">IF($C219="S",ROUND(IF(TIPOORCAMENTO="Proposto",ORÇAMENTO.CustoUnitario*(1+$AH219),ORÇAMENTO.PrecoUnitarioLicitado),15-13*$AF$10),0)</f>
        <v>0</v>
      </c>
      <c r="X219" s="126" cm="1">
        <f t="array" aca="1" ref="X219" ca="1">IF($C219="S",IF(OR(Import.TipoArredondamento&lt;&gt;"TransfereGOV",ACOMPANHAMENTO="BM"),VTOTAL1,SUM(OFFSET(CÁLCULO!$AA$15,ROW($X219)-ROW($X$15),1):OFFSET(CÁLCULO!$AL$15,ROW($X219)-ROW($X$15),-1))),IF($C219=0,0,ROUND(SomaAgrup,15-13*$AF$11)))</f>
        <v>0</v>
      </c>
      <c r="Y219" s="127" t="s">
        <v>752</v>
      </c>
      <c r="Z219" s="675" t="str">
        <f t="shared" ca="1" si="48"/>
        <v/>
      </c>
      <c r="AA219" s="128">
        <f ca="1">IF($C219="S",IF($Z219="CP",$X219,IF($Z219="RA",(($X219)*QCI!$AA$3),0)),SomaAgrup)</f>
        <v>0</v>
      </c>
      <c r="AB219" s="129">
        <f t="shared" ca="1" si="49"/>
        <v>0</v>
      </c>
      <c r="AC219" s="566" t="str" cm="1">
        <f t="array" aca="1" ref="AC219" ca="1">IF($N219=""," ",
IF(AND($C219&lt;&gt;"S",OR($R219="",$R219="(digite a descrição aqui)")),"DESCRIÇÃO",
IF(AND($C219="S",OR($Q219&lt;&gt;"",$T219&gt;0,$U219&gt;0),$P219=""),"FONTE",
IF(AND($C219="S",$P219&lt;&gt;"",OR($T219&gt;0,$U219&gt;0),$Q219=""),"CÓDIGO",
IF(AND($C219="S",$P219&lt;&gt;"",$Q219&lt;&gt;"",$R219="(Código não identificado nas referências)"),"CÓDIGO N/ID",
IF(AND($C219="S",OR($R219="",$R219="(digite a descrição aqui)"),OR($Q219&lt;&gt;"",$T219&gt;0,$U219&gt;0)),"DESCRIÇÃO",
IF(AND($C219="S",$P219&lt;&gt;"",$Q219&lt;&gt;"",$S219=""),"UNIDADE",
IF(AND($C219="S",$P219&lt;&gt;"",$Q219&lt;&gt;"",$U219=0),"SEM CUSTO",
IF(AND(_xlfn.SINGLE(TIPOORCAMENTO)="Licitado",$AL219=0,$AN219&gt;0),"SEM PREÇO",
IF(AND($C219="S",$P219&lt;&gt;"",$Q219&lt;&gt;"",$U219&gt;0,$V219=0),"BDI",
IF(OR(AND(TIPOORCAMENTO="Proposto",LEFT($O$8,5)&lt;&gt;"(N/D:",$AG219&lt;&gt;"",ORÇAMENTO.CustoUnitario&gt;$AG219),AND(TIPOORCAMENTO="LICITADO",ORÇAMENTO.PrecoUnitarioLicitado&gt;$AN219)),"ACIMA REF.",
IF(AND($C219="S",$P219&lt;&gt;"",$Q219&lt;&gt;"",$T219=0,$U219&gt;0),"QUANT.",
IF(AND(Import.TipoArredondamento="TransfereGOV",$L219="F",$C219="S",LEN($Q219)&gt;13),"Código &gt;13",
IF(AND(Import.TipoArredondamento="TransfereGOV",$L219="F",$C219&lt;&gt;"S",LEN($R219)&gt;100),"Descrição &gt;100",
IF(AND(Import.TipoArredondamento="TransfereGOV",$L219="F",$C219="S",LEN($R219)&gt;500),"Descrição &gt;500",
IF(AND(Import.TipoArredondamento="TransfereGOV",$L219="F",$C219="S",LEFT(TRIM(UPPER($P219)),6)&lt;&gt;"SINAPI",ISNA(VLOOKUP(TRIM(UPPER($S219)),ListaTgov.Unidades,1,FALSE))),"Unid. Não Disp",
" "))))))))))))))))</f>
        <v>SEM CUSTO</v>
      </c>
      <c r="AD219" s="675" t="str">
        <f ca="1">IF(C219&lt;=CRONO.NivelExibicao,MAX($AD$15:OFFSET(AD219,-1,0))+IF($C219&lt;&gt;1,1,MAX(1,COUNTIF(QCI!$A$13:$A$15,OFFSET($E219,-1,0)))),"")</f>
        <v/>
      </c>
      <c r="AE219" s="671" t="str">
        <f ca="1">IF(AND($C219="S",ORÇAMENTO.CodBarra&lt;&gt;""),IF(ORÇAMENTO.Fonte="",ORÇAMENTO.CodBarra,CONCATENATE(ORÇAMENTO.Fonte," ",ORÇAMENTO.CodBarra)))</f>
        <v>SINAPI 87794</v>
      </c>
      <c r="AF219" s="674" t="str">
        <f ca="1">IF(ISERROR(INDIRECT(ORÇAMENTO.BancoRef)),"(abra o arquivo 'Referência "&amp;Excel_BuiltIn_Database&amp;".xlsm)",IF(OR($C219&lt;&gt;"S",ORÇAMENTO.CodBarra=""),"(Sem Código)",IF(ISERROR(MATCH($AE219,INDIRECT(ORÇAMENTO.BancoRef),0)),"(Código não identificado nas referências)",MATCH($AE219,INDIRECT(ORÇAMENTO.BancoRef),0))))</f>
        <v>(abra o arquivo 'Referência 09-2025.xlsm)</v>
      </c>
      <c r="AG219" s="429">
        <f ca="1">ROUND(IF(DESONERACAO="sim",REFERENCIA.Desonerado,REFERENCIA.NaoDesonerado),2)</f>
        <v>0</v>
      </c>
      <c r="AH219" s="430">
        <f t="shared" ca="1" si="50"/>
        <v>0.24740000000000001</v>
      </c>
      <c r="AJ219" s="699">
        <v>66.239999999999995</v>
      </c>
      <c r="AL219" s="440"/>
      <c r="AM219" s="337">
        <f t="shared" ca="1" si="0"/>
        <v>0</v>
      </c>
      <c r="AN219" s="471">
        <f t="shared" ca="1" si="51"/>
        <v>0</v>
      </c>
    </row>
    <row r="220" spans="1:40" s="675" customFormat="1" ht="13.9" customHeight="1" x14ac:dyDescent="0.2">
      <c r="A220" s="675" t="str">
        <f t="shared" si="37"/>
        <v>S</v>
      </c>
      <c r="B220" s="675">
        <f t="shared" ca="1" si="38"/>
        <v>2</v>
      </c>
      <c r="C220" s="675" t="str">
        <f t="shared" ca="1" si="39"/>
        <v>S</v>
      </c>
      <c r="D220" s="675">
        <f t="shared" ca="1" si="40"/>
        <v>0</v>
      </c>
      <c r="E220" s="675">
        <f ca="1">IF($C220=1,OFFSET(E220,-1,0)+MAX(1,COUNTIF(QCI!$A$13:$A$15,OFFSET(ORÇAMENTO!E220,-1,0))),OFFSET(E220,-1,0))</f>
        <v>1</v>
      </c>
      <c r="F220" s="675">
        <f t="shared" ca="1" si="41"/>
        <v>28</v>
      </c>
      <c r="G220" s="675">
        <f t="shared" ca="1" si="42"/>
        <v>0</v>
      </c>
      <c r="H220" s="675">
        <f t="shared" ca="1" si="43"/>
        <v>0</v>
      </c>
      <c r="I220" s="675">
        <f t="shared" ca="1" si="44"/>
        <v>0</v>
      </c>
      <c r="J220" s="675">
        <f t="shared" ca="1" si="68"/>
        <v>0</v>
      </c>
      <c r="K220" s="675">
        <f ca="1">IF(OR($C220="S",$C220=0),0,MATCH(OFFSET($D220,0,$C220)+IF($C220&lt;&gt;1,1,COUNTIF(QCI!$A$13:$A$15,ORÇAMENTO!E220)),OFFSET($D220,1,$C220,ROW($C$231)-ROW($C220)),0))</f>
        <v>0</v>
      </c>
      <c r="L220" s="115" t="str">
        <f t="shared" ca="1" si="45"/>
        <v/>
      </c>
      <c r="M220" s="116" t="s">
        <v>706</v>
      </c>
      <c r="N220" s="117" t="str">
        <f t="shared" ca="1" si="46"/>
        <v>Serviço</v>
      </c>
      <c r="O220" s="118" t="str">
        <f t="shared" ca="1" si="47"/>
        <v>-</v>
      </c>
      <c r="P220" s="119" t="s">
        <v>968</v>
      </c>
      <c r="Q220" s="698" t="s">
        <v>1090</v>
      </c>
      <c r="R220" s="121" t="str">
        <f ca="1">IF($C220="S",REFERENCIA.Descricao,"(digite a descrição aqui)")</f>
        <v>(abra o arquivo 'Referência 09-2025.xlsm)</v>
      </c>
      <c r="S220" s="122" t="str">
        <f ca="1">REFERENCIA.Unidade</f>
        <v>-</v>
      </c>
      <c r="T220" s="123">
        <f ca="1">OFFSET(CÁLCULO!H$15,ROW($T220)-ROW(T$15),0)</f>
        <v>112.48</v>
      </c>
      <c r="U220" s="124">
        <f ca="1">ROUND(IF(DESONERACAO="sim",REFERENCIA.Desonerado,REFERENCIA.NaoDesonerado),2)</f>
        <v>0</v>
      </c>
      <c r="V220" s="125" t="s">
        <v>664</v>
      </c>
      <c r="W220" s="123">
        <f ca="1">IF($C220="S",ROUND(IF(TIPOORCAMENTO="Proposto",ORÇAMENTO.CustoUnitario*(1+$AH220),ORÇAMENTO.PrecoUnitarioLicitado),15-13*$AF$10),0)</f>
        <v>0</v>
      </c>
      <c r="X220" s="126" cm="1">
        <f t="array" aca="1" ref="X220" ca="1">IF($C220="S",IF(OR(Import.TipoArredondamento&lt;&gt;"TransfereGOV",ACOMPANHAMENTO="BM"),VTOTAL1,SUM(OFFSET(CÁLCULO!$AA$15,ROW($X220)-ROW($X$15),1):OFFSET(CÁLCULO!$AL$15,ROW($X220)-ROW($X$15),-1))),IF($C220=0,0,ROUND(SomaAgrup,15-13*$AF$11)))</f>
        <v>0</v>
      </c>
      <c r="Y220" s="127" t="s">
        <v>752</v>
      </c>
      <c r="Z220" s="675" t="str">
        <f t="shared" ca="1" si="48"/>
        <v/>
      </c>
      <c r="AA220" s="128">
        <f ca="1">IF($C220="S",IF($Z220="CP",$X220,IF($Z220="RA",(($X220)*QCI!$AA$3),0)),SomaAgrup)</f>
        <v>0</v>
      </c>
      <c r="AB220" s="129">
        <f t="shared" ca="1" si="49"/>
        <v>0</v>
      </c>
      <c r="AC220" s="566" t="str" cm="1">
        <f t="array" aca="1" ref="AC220" ca="1">IF($N220=""," ",
IF(AND($C220&lt;&gt;"S",OR($R220="",$R220="(digite a descrição aqui)")),"DESCRIÇÃO",
IF(AND($C220="S",OR($Q220&lt;&gt;"",$T220&gt;0,$U220&gt;0),$P220=""),"FONTE",
IF(AND($C220="S",$P220&lt;&gt;"",OR($T220&gt;0,$U220&gt;0),$Q220=""),"CÓDIGO",
IF(AND($C220="S",$P220&lt;&gt;"",$Q220&lt;&gt;"",$R220="(Código não identificado nas referências)"),"CÓDIGO N/ID",
IF(AND($C220="S",OR($R220="",$R220="(digite a descrição aqui)"),OR($Q220&lt;&gt;"",$T220&gt;0,$U220&gt;0)),"DESCRIÇÃO",
IF(AND($C220="S",$P220&lt;&gt;"",$Q220&lt;&gt;"",$S220=""),"UNIDADE",
IF(AND($C220="S",$P220&lt;&gt;"",$Q220&lt;&gt;"",$U220=0),"SEM CUSTO",
IF(AND(_xlfn.SINGLE(TIPOORCAMENTO)="Licitado",$AL220=0,$AN220&gt;0),"SEM PREÇO",
IF(AND($C220="S",$P220&lt;&gt;"",$Q220&lt;&gt;"",$U220&gt;0,$V220=0),"BDI",
IF(OR(AND(TIPOORCAMENTO="Proposto",LEFT($O$8,5)&lt;&gt;"(N/D:",$AG220&lt;&gt;"",ORÇAMENTO.CustoUnitario&gt;$AG220),AND(TIPOORCAMENTO="LICITADO",ORÇAMENTO.PrecoUnitarioLicitado&gt;$AN220)),"ACIMA REF.",
IF(AND($C220="S",$P220&lt;&gt;"",$Q220&lt;&gt;"",$T220=0,$U220&gt;0),"QUANT.",
IF(AND(Import.TipoArredondamento="TransfereGOV",$L220="F",$C220="S",LEN($Q220)&gt;13),"Código &gt;13",
IF(AND(Import.TipoArredondamento="TransfereGOV",$L220="F",$C220&lt;&gt;"S",LEN($R220)&gt;100),"Descrição &gt;100",
IF(AND(Import.TipoArredondamento="TransfereGOV",$L220="F",$C220="S",LEN($R220)&gt;500),"Descrição &gt;500",
IF(AND(Import.TipoArredondamento="TransfereGOV",$L220="F",$C220="S",LEFT(TRIM(UPPER($P220)),6)&lt;&gt;"SINAPI",ISNA(VLOOKUP(TRIM(UPPER($S220)),ListaTgov.Unidades,1,FALSE))),"Unid. Não Disp",
" "))))))))))))))))</f>
        <v>SEM CUSTO</v>
      </c>
      <c r="AD220" s="675" t="str">
        <f ca="1">IF(C220&lt;=CRONO.NivelExibicao,MAX($AD$15:OFFSET(AD220,-1,0))+IF($C220&lt;&gt;1,1,MAX(1,COUNTIF(QCI!$A$13:$A$15,OFFSET($E220,-1,0)))),"")</f>
        <v/>
      </c>
      <c r="AE220" s="671" t="str">
        <f ca="1">IF(AND($C220="S",ORÇAMENTO.CodBarra&lt;&gt;""),IF(ORÇAMENTO.Fonte="",ORÇAMENTO.CodBarra,CONCATENATE(ORÇAMENTO.Fonte," ",ORÇAMENTO.CodBarra)))</f>
        <v>COPASA 65004834</v>
      </c>
      <c r="AF220" s="674" t="str">
        <f ca="1">IF(ISERROR(INDIRECT(ORÇAMENTO.BancoRef)),"(abra o arquivo 'Referência "&amp;Excel_BuiltIn_Database&amp;".xlsm)",IF(OR($C220&lt;&gt;"S",ORÇAMENTO.CodBarra=""),"(Sem Código)",IF(ISERROR(MATCH($AE220,INDIRECT(ORÇAMENTO.BancoRef),0)),"(Código não identificado nas referências)",MATCH($AE220,INDIRECT(ORÇAMENTO.BancoRef),0))))</f>
        <v>(abra o arquivo 'Referência 09-2025.xlsm)</v>
      </c>
      <c r="AG220" s="429">
        <f ca="1">ROUND(IF(DESONERACAO="sim",REFERENCIA.Desonerado,REFERENCIA.NaoDesonerado),2)</f>
        <v>0</v>
      </c>
      <c r="AH220" s="430">
        <f t="shared" ca="1" si="50"/>
        <v>0.24740000000000001</v>
      </c>
      <c r="AJ220" s="699">
        <v>112.48</v>
      </c>
      <c r="AL220" s="440"/>
      <c r="AM220" s="337">
        <f t="shared" ca="1" si="0"/>
        <v>0</v>
      </c>
      <c r="AN220" s="471">
        <f t="shared" ca="1" si="51"/>
        <v>0</v>
      </c>
    </row>
    <row r="221" spans="1:40" s="720" customFormat="1" x14ac:dyDescent="0.2">
      <c r="A221" s="720">
        <f t="shared" si="37"/>
        <v>2</v>
      </c>
      <c r="B221" s="720">
        <f t="shared" ca="1" si="38"/>
        <v>2</v>
      </c>
      <c r="C221" s="720">
        <f t="shared" ca="1" si="39"/>
        <v>2</v>
      </c>
      <c r="D221" s="720">
        <f t="shared" ca="1" si="40"/>
        <v>2</v>
      </c>
      <c r="E221" s="720">
        <f ca="1">IF($C221=1,OFFSET(E221,-1,0)+MAX(1,COUNTIF(QCI!$A$13:$A$15,OFFSET(ORÇAMENTO!E221,-1,0))),OFFSET(E221,-1,0))</f>
        <v>1</v>
      </c>
      <c r="F221" s="720">
        <f t="shared" ca="1" si="41"/>
        <v>29</v>
      </c>
      <c r="G221" s="720">
        <f t="shared" ca="1" si="42"/>
        <v>0</v>
      </c>
      <c r="H221" s="720">
        <f t="shared" ca="1" si="43"/>
        <v>0</v>
      </c>
      <c r="I221" s="720">
        <f t="shared" ca="1" si="44"/>
        <v>0</v>
      </c>
      <c r="J221" s="720">
        <f t="shared" ca="1" si="68"/>
        <v>10</v>
      </c>
      <c r="K221" s="720">
        <f ca="1">IF(OR($C221="S",$C221=0),0,MATCH(OFFSET($D221,0,$C221)+IF($C221&lt;&gt;1,1,COUNTIF(QCI!$A$13:$A$15,ORÇAMENTO!E221)),OFFSET($D221,1,$C221,ROW($C$231)-ROW($C221)),0))</f>
        <v>2</v>
      </c>
      <c r="L221" s="115" t="str">
        <f t="shared" ca="1" si="45"/>
        <v>F</v>
      </c>
      <c r="M221" s="116" t="s">
        <v>703</v>
      </c>
      <c r="N221" s="117" t="str">
        <f t="shared" ca="1" si="46"/>
        <v>Nível 2</v>
      </c>
      <c r="O221" s="118" t="str">
        <f t="shared" ca="1" si="47"/>
        <v>1.29.</v>
      </c>
      <c r="P221" s="119" t="s">
        <v>751</v>
      </c>
      <c r="Q221" s="120"/>
      <c r="R221" s="121" t="s">
        <v>1165</v>
      </c>
      <c r="S221" s="122" t="str">
        <f ca="1">REFERENCIA.Unidade</f>
        <v>-</v>
      </c>
      <c r="T221" s="123">
        <f ca="1">OFFSET(CÁLCULO!H$15,ROW($T221)-ROW(T$15),0)</f>
        <v>0</v>
      </c>
      <c r="U221" s="124"/>
      <c r="V221" s="125" t="s">
        <v>664</v>
      </c>
      <c r="W221" s="123">
        <f ca="1">IF($C221="S",ROUND(IF(TIPOORCAMENTO="Proposto",ORÇAMENTO.CustoUnitario*(1+$AH221),ORÇAMENTO.PrecoUnitarioLicitado),15-13*$AF$10),0)</f>
        <v>0</v>
      </c>
      <c r="X221" s="126" cm="1">
        <f t="array" aca="1" ref="X221" ca="1">IF($C221="S",IF(OR(Import.TipoArredondamento&lt;&gt;"TransfereGOV",ACOMPANHAMENTO="BM"),VTOTAL1,SUM(OFFSET(CÁLCULO!$AA$15,ROW($X221)-ROW($X$15),1):OFFSET(CÁLCULO!$AL$15,ROW($X221)-ROW($X$15),-1))),IF($C221=0,0,ROUND(SomaAgrup,15-13*$AF$11)))</f>
        <v>0</v>
      </c>
      <c r="Y221" s="127" t="s">
        <v>752</v>
      </c>
      <c r="Z221" s="720" t="str">
        <f t="shared" ca="1" si="48"/>
        <v/>
      </c>
      <c r="AA221" s="128">
        <f ca="1">IF($C221="S",IF($Z221="CP",$X221,IF($Z221="RA",(($X221)*QCI!$AA$3),0)),SomaAgrup)</f>
        <v>0</v>
      </c>
      <c r="AB221" s="129">
        <f t="shared" ca="1" si="49"/>
        <v>0</v>
      </c>
      <c r="AC221" s="566" t="e" cm="1">
        <f t="array" aca="1" ref="AC221" ca="1">IF($N221=""," ",
IF(AND($C221&lt;&gt;"S",OR($R221="",$R221="(digite a descrição aqui)")),"DESCRIÇÃO",
IF(AND($C221="S",OR($Q221&lt;&gt;"",$T221&gt;0,$U221&gt;0),$P221=""),"FONTE",
IF(AND($C221="S",$P221&lt;&gt;"",OR($T221&gt;0,$U221&gt;0),$Q221=""),"CÓDIGO",
IF(AND($C221="S",$P221&lt;&gt;"",$Q221&lt;&gt;"",$R221="(Código não identificado nas referências)"),"CÓDIGO N/ID",
IF(AND($C221="S",OR($R221="",$R221="(digite a descrição aqui)"),OR($Q221&lt;&gt;"",$T221&gt;0,$U221&gt;0)),"DESCRIÇÃO",
IF(AND($C221="S",$P221&lt;&gt;"",$Q221&lt;&gt;"",$S221=""),"UNIDADE",
IF(AND($C221="S",$P221&lt;&gt;"",$Q221&lt;&gt;"",$U221=0),"SEM CUSTO",
IF(AND(_xlfn.SINGLE(TIPOORCAMENTO)="Licitado",$AL221=0,$AN221&gt;0),"SEM PREÇO",
IF(AND($C221="S",$P221&lt;&gt;"",$Q221&lt;&gt;"",$U221&gt;0,$V221=0),"BDI",
IF(OR(AND(TIPOORCAMENTO="Proposto",LEFT($O$8,5)&lt;&gt;"(N/D:",$AG221&lt;&gt;"",ORÇAMENTO.CustoUnitario&gt;$AG221),AND(TIPOORCAMENTO="LICITADO",ORÇAMENTO.PrecoUnitarioLicitado&gt;$AN221)),"ACIMA REF.",
IF(AND($C221="S",$P221&lt;&gt;"",$Q221&lt;&gt;"",$T221=0,$U221&gt;0),"QUANT.",
IF(AND(Import.TipoArredondamento="TransfereGOV",$L221="F",$C221="S",LEN($Q221)&gt;13),"Código &gt;13",
IF(AND(Import.TipoArredondamento="TransfereGOV",$L221="F",$C221&lt;&gt;"S",LEN($R221)&gt;100),"Descrição &gt;100",
IF(AND(Import.TipoArredondamento="TransfereGOV",$L221="F",$C221="S",LEN($R221)&gt;500),"Descrição &gt;500",
IF(AND(Import.TipoArredondamento="TransfereGOV",$L221="F",$C221="S",LEFT(TRIM(UPPER($P221)),6)&lt;&gt;"SINAPI",ISNA(VLOOKUP(TRIM(UPPER($S221)),ListaTgov.Unidades,1,FALSE))),"Unid. Não Disp",
" "))))))))))))))))</f>
        <v>#NAME?</v>
      </c>
      <c r="AD221" s="720">
        <f ca="1">IF(C221&lt;=CRONO.NivelExibicao,MAX($AD$15:OFFSET(AD221,-1,0))+IF($C221&lt;&gt;1,1,MAX(1,COUNTIF(QCI!$A$13:$A$15,OFFSET($E221,-1,0)))),"")</f>
        <v>30</v>
      </c>
      <c r="AE221" s="718" t="b">
        <f ca="1">IF(AND($C221="S",ORÇAMENTO.CodBarra&lt;&gt;""),IF(ORÇAMENTO.Fonte="",ORÇAMENTO.CodBarra,CONCATENATE(ORÇAMENTO.Fonte," ",ORÇAMENTO.CodBarra)))</f>
        <v>0</v>
      </c>
      <c r="AF221" s="719" t="str">
        <f ca="1">IF(ISERROR(INDIRECT(ORÇAMENTO.BancoRef)),"(abra o arquivo 'Referência "&amp;Excel_BuiltIn_Database&amp;".xlsm)",IF(OR($C221&lt;&gt;"S",ORÇAMENTO.CodBarra=""),"(Sem Código)",IF(ISERROR(MATCH($AE221,INDIRECT(ORÇAMENTO.BancoRef),0)),"(Código não identificado nas referências)",MATCH($AE221,INDIRECT(ORÇAMENTO.BancoRef),0))))</f>
        <v>(abra o arquivo 'Referência 09-2025.xlsm)</v>
      </c>
      <c r="AG221" s="429">
        <f ca="1">ROUND(IF(DESONERACAO="sim",REFERENCIA.Desonerado,REFERENCIA.NaoDesonerado),2)</f>
        <v>0</v>
      </c>
      <c r="AH221" s="430">
        <f t="shared" ca="1" si="50"/>
        <v>0.24740000000000001</v>
      </c>
      <c r="AJ221" s="699"/>
      <c r="AL221" s="440"/>
      <c r="AM221" s="337">
        <f t="shared" ca="1" si="0"/>
        <v>0</v>
      </c>
      <c r="AN221" s="471">
        <f t="shared" ca="1" si="51"/>
        <v>0</v>
      </c>
    </row>
    <row r="222" spans="1:40" s="720" customFormat="1" ht="63.75" x14ac:dyDescent="0.2">
      <c r="A222" s="720" t="str">
        <f t="shared" si="37"/>
        <v>S</v>
      </c>
      <c r="B222" s="720">
        <f t="shared" ca="1" si="38"/>
        <v>2</v>
      </c>
      <c r="C222" s="720" t="str">
        <f t="shared" ca="1" si="39"/>
        <v>S</v>
      </c>
      <c r="D222" s="720">
        <f t="shared" ca="1" si="40"/>
        <v>0</v>
      </c>
      <c r="E222" s="720">
        <f ca="1">IF($C222=1,OFFSET(E222,-1,0)+MAX(1,COUNTIF(QCI!$A$13:$A$15,OFFSET(ORÇAMENTO!E222,-1,0))),OFFSET(E222,-1,0))</f>
        <v>1</v>
      </c>
      <c r="F222" s="720">
        <f t="shared" ca="1" si="41"/>
        <v>29</v>
      </c>
      <c r="G222" s="720">
        <f t="shared" ca="1" si="42"/>
        <v>0</v>
      </c>
      <c r="H222" s="720">
        <f t="shared" ca="1" si="43"/>
        <v>0</v>
      </c>
      <c r="I222" s="720">
        <f t="shared" ca="1" si="44"/>
        <v>0</v>
      </c>
      <c r="J222" s="720">
        <f t="shared" ca="1" si="68"/>
        <v>0</v>
      </c>
      <c r="K222" s="720">
        <f ca="1">IF(OR($C222="S",$C222=0),0,MATCH(OFFSET($D222,0,$C222)+IF($C222&lt;&gt;1,1,COUNTIF(QCI!$A$13:$A$15,ORÇAMENTO!E222)),OFFSET($D222,1,$C222,ROW($C$231)-ROW($C222)),0))</f>
        <v>0</v>
      </c>
      <c r="L222" s="115" t="str">
        <f t="shared" ca="1" si="45"/>
        <v/>
      </c>
      <c r="M222" s="116" t="s">
        <v>706</v>
      </c>
      <c r="N222" s="117" t="str">
        <f t="shared" ca="1" si="46"/>
        <v>Serviço</v>
      </c>
      <c r="O222" s="118" t="str">
        <f t="shared" ca="1" si="47"/>
        <v>-</v>
      </c>
      <c r="P222" s="119" t="s">
        <v>994</v>
      </c>
      <c r="Q222" s="120" t="s">
        <v>1139</v>
      </c>
      <c r="R222" s="121" t="str">
        <f ca="1">IF($C222="S",REFERENCIA.Descricao,"(digite a descrição aqui)")</f>
        <v>(abra o arquivo 'Referência 09-2025.xlsm)</v>
      </c>
      <c r="S222" s="122" t="str">
        <f ca="1">REFERENCIA.Unidade</f>
        <v>-</v>
      </c>
      <c r="T222" s="123">
        <f ca="1">OFFSET(CÁLCULO!H$15,ROW($T222)-ROW(T$15),0)</f>
        <v>1</v>
      </c>
      <c r="U222" s="124">
        <f ca="1">AG222</f>
        <v>0</v>
      </c>
      <c r="V222" s="125" t="s">
        <v>664</v>
      </c>
      <c r="W222" s="123">
        <f ca="1">IF($C222="S",ROUND(IF(TIPOORCAMENTO="Proposto",ORÇAMENTO.CustoUnitario*(1+$AH222),ORÇAMENTO.PrecoUnitarioLicitado),15-13*$AF$10),0)</f>
        <v>0</v>
      </c>
      <c r="X222" s="126" cm="1">
        <f t="array" aca="1" ref="X222" ca="1">IF($C222="S",IF(OR(Import.TipoArredondamento&lt;&gt;"TransfereGOV",ACOMPANHAMENTO="BM"),VTOTAL1,SUM(OFFSET(CÁLCULO!$AA$15,ROW($X222)-ROW($X$15),1):OFFSET(CÁLCULO!$AL$15,ROW($X222)-ROW($X$15),-1))),IF($C222=0,0,ROUND(SomaAgrup,15-13*$AF$11)))</f>
        <v>0</v>
      </c>
      <c r="Y222" s="127" t="s">
        <v>752</v>
      </c>
      <c r="Z222" s="720" t="str">
        <f t="shared" ca="1" si="48"/>
        <v/>
      </c>
      <c r="AA222" s="128">
        <f ca="1">IF($C222="S",IF($Z222="CP",$X222,IF($Z222="RA",(($X222)*QCI!$AA$3),0)),SomaAgrup)</f>
        <v>0</v>
      </c>
      <c r="AB222" s="129">
        <f t="shared" ca="1" si="49"/>
        <v>0</v>
      </c>
      <c r="AC222" s="566" t="str" cm="1">
        <f t="array" aca="1" ref="AC222" ca="1">IF($N222=""," ",
IF(AND($C222&lt;&gt;"S",OR($R222="",$R222="(digite a descrição aqui)")),"DESCRIÇÃO",
IF(AND($C222="S",OR($Q222&lt;&gt;"",$T222&gt;0,$U222&gt;0),$P222=""),"FONTE",
IF(AND($C222="S",$P222&lt;&gt;"",OR($T222&gt;0,$U222&gt;0),$Q222=""),"CÓDIGO",
IF(AND($C222="S",$P222&lt;&gt;"",$Q222&lt;&gt;"",$R222="(Código não identificado nas referências)"),"CÓDIGO N/ID",
IF(AND($C222="S",OR($R222="",$R222="(digite a descrição aqui)"),OR($Q222&lt;&gt;"",$T222&gt;0,$U222&gt;0)),"DESCRIÇÃO",
IF(AND($C222="S",$P222&lt;&gt;"",$Q222&lt;&gt;"",$S222=""),"UNIDADE",
IF(AND($C222="S",$P222&lt;&gt;"",$Q222&lt;&gt;"",$U222=0),"SEM CUSTO",
IF(AND(_xlfn.SINGLE(TIPOORCAMENTO)="Licitado",$AL222=0,$AN222&gt;0),"SEM PREÇO",
IF(AND($C222="S",$P222&lt;&gt;"",$Q222&lt;&gt;"",$U222&gt;0,$V222=0),"BDI",
IF(OR(AND(TIPOORCAMENTO="Proposto",LEFT($O$8,5)&lt;&gt;"(N/D:",$AG222&lt;&gt;"",ORÇAMENTO.CustoUnitario&gt;$AG222),AND(TIPOORCAMENTO="LICITADO",ORÇAMENTO.PrecoUnitarioLicitado&gt;$AN222)),"ACIMA REF.",
IF(AND($C222="S",$P222&lt;&gt;"",$Q222&lt;&gt;"",$T222=0,$U222&gt;0),"QUANT.",
IF(AND(Import.TipoArredondamento="TransfereGOV",$L222="F",$C222="S",LEN($Q222)&gt;13),"Código &gt;13",
IF(AND(Import.TipoArredondamento="TransfereGOV",$L222="F",$C222&lt;&gt;"S",LEN($R222)&gt;100),"Descrição &gt;100",
IF(AND(Import.TipoArredondamento="TransfereGOV",$L222="F",$C222="S",LEN($R222)&gt;500),"Descrição &gt;500",
IF(AND(Import.TipoArredondamento="TransfereGOV",$L222="F",$C222="S",LEFT(TRIM(UPPER($P222)),6)&lt;&gt;"SINAPI",ISNA(VLOOKUP(TRIM(UPPER($S222)),ListaTgov.Unidades,1,FALSE))),"Unid. Não Disp",
" "))))))))))))))))</f>
        <v>SEM CUSTO</v>
      </c>
      <c r="AD222" s="720" t="str">
        <f ca="1">IF(C222&lt;=CRONO.NivelExibicao,MAX($AD$15:OFFSET(AD222,-1,0))+IF($C222&lt;&gt;1,1,MAX(1,COUNTIF(QCI!$A$13:$A$15,OFFSET($E222,-1,0)))),"")</f>
        <v/>
      </c>
      <c r="AE222" s="718" t="str">
        <f ca="1">IF(AND($C222="S",ORÇAMENTO.CodBarra&lt;&gt;""),IF(ORÇAMENTO.Fonte="",ORÇAMENTO.CodBarra,CONCATENATE(ORÇAMENTO.Fonte," ",ORÇAMENTO.CodBarra)))</f>
        <v>Composição 002</v>
      </c>
      <c r="AF222" s="719" t="str">
        <f ca="1">IF(ISERROR(INDIRECT(ORÇAMENTO.BancoRef)),"(abra o arquivo 'Referência "&amp;Excel_BuiltIn_Database&amp;".xlsm)",IF(OR($C222&lt;&gt;"S",ORÇAMENTO.CodBarra=""),"(Sem Código)",IF(ISERROR(MATCH($AE222,INDIRECT(ORÇAMENTO.BancoRef),0)),"(Código não identificado nas referências)",MATCH($AE222,INDIRECT(ORÇAMENTO.BancoRef),0))))</f>
        <v>(abra o arquivo 'Referência 09-2025.xlsm)</v>
      </c>
      <c r="AG222" s="429">
        <f ca="1">ROUND(IF(DESONERACAO="sim",REFERENCIA.Desonerado,REFERENCIA.NaoDesonerado),2)</f>
        <v>0</v>
      </c>
      <c r="AH222" s="430">
        <f t="shared" ca="1" si="50"/>
        <v>0.24740000000000001</v>
      </c>
      <c r="AJ222" s="699">
        <v>1</v>
      </c>
      <c r="AL222" s="440"/>
      <c r="AM222" s="337">
        <f t="shared" ca="1" si="0"/>
        <v>0</v>
      </c>
      <c r="AN222" s="471">
        <f t="shared" ca="1" si="51"/>
        <v>0</v>
      </c>
    </row>
    <row r="223" spans="1:40" s="720" customFormat="1" x14ac:dyDescent="0.2">
      <c r="A223" s="720">
        <f t="shared" si="37"/>
        <v>2</v>
      </c>
      <c r="B223" s="720">
        <f t="shared" ca="1" si="38"/>
        <v>2</v>
      </c>
      <c r="C223" s="720">
        <f t="shared" ca="1" si="39"/>
        <v>2</v>
      </c>
      <c r="D223" s="720">
        <f t="shared" ca="1" si="40"/>
        <v>3</v>
      </c>
      <c r="E223" s="720">
        <f ca="1">IF($C223=1,OFFSET(E223,-1,0)+MAX(1,COUNTIF(QCI!$A$13:$A$15,OFFSET(ORÇAMENTO!E223,-1,0))),OFFSET(E223,-1,0))</f>
        <v>1</v>
      </c>
      <c r="F223" s="720">
        <f t="shared" ca="1" si="41"/>
        <v>30</v>
      </c>
      <c r="G223" s="720">
        <f t="shared" ca="1" si="42"/>
        <v>0</v>
      </c>
      <c r="H223" s="720">
        <f t="shared" ca="1" si="43"/>
        <v>0</v>
      </c>
      <c r="I223" s="720">
        <f t="shared" ca="1" si="44"/>
        <v>0</v>
      </c>
      <c r="J223" s="720">
        <f t="shared" ca="1" si="68"/>
        <v>8</v>
      </c>
      <c r="K223" s="720">
        <f ca="1">IF(OR($C223="S",$C223=0),0,MATCH(OFFSET($D223,0,$C223)+IF($C223&lt;&gt;1,1,COUNTIF(QCI!$A$13:$A$15,ORÇAMENTO!E223)),OFFSET($D223,1,$C223,ROW($C$231)-ROW($C223)),0))</f>
        <v>3</v>
      </c>
      <c r="L223" s="115" t="str">
        <f t="shared" ca="1" si="45"/>
        <v>F</v>
      </c>
      <c r="M223" s="116" t="s">
        <v>703</v>
      </c>
      <c r="N223" s="117" t="str">
        <f t="shared" ca="1" si="46"/>
        <v>Nível 2</v>
      </c>
      <c r="O223" s="118" t="str">
        <f t="shared" ca="1" si="47"/>
        <v>1.30.</v>
      </c>
      <c r="P223" s="119" t="s">
        <v>751</v>
      </c>
      <c r="Q223" s="120"/>
      <c r="R223" s="121" t="s">
        <v>1167</v>
      </c>
      <c r="S223" s="122" t="str">
        <f ca="1">REFERENCIA.Unidade</f>
        <v>-</v>
      </c>
      <c r="T223" s="123">
        <f ca="1">OFFSET(CÁLCULO!H$15,ROW($T223)-ROW(T$15),0)</f>
        <v>0</v>
      </c>
      <c r="U223" s="124"/>
      <c r="V223" s="125" t="s">
        <v>664</v>
      </c>
      <c r="W223" s="123">
        <f ca="1">IF($C223="S",ROUND(IF(TIPOORCAMENTO="Proposto",ORÇAMENTO.CustoUnitario*(1+$AH223),ORÇAMENTO.PrecoUnitarioLicitado),15-13*$AF$10),0)</f>
        <v>0</v>
      </c>
      <c r="X223" s="126" cm="1">
        <f t="array" aca="1" ref="X223" ca="1">IF($C223="S",IF(OR(Import.TipoArredondamento&lt;&gt;"TransfereGOV",ACOMPANHAMENTO="BM"),VTOTAL1,SUM(OFFSET(CÁLCULO!$AA$15,ROW($X223)-ROW($X$15),1):OFFSET(CÁLCULO!$AL$15,ROW($X223)-ROW($X$15),-1))),IF($C223=0,0,ROUND(SomaAgrup,15-13*$AF$11)))</f>
        <v>0</v>
      </c>
      <c r="Y223" s="127" t="s">
        <v>752</v>
      </c>
      <c r="Z223" s="720" t="str">
        <f t="shared" ca="1" si="48"/>
        <v/>
      </c>
      <c r="AA223" s="128">
        <f ca="1">IF($C223="S",IF($Z223="CP",$X223,IF($Z223="RA",(($X223)*QCI!$AA$3),0)),SomaAgrup)</f>
        <v>0</v>
      </c>
      <c r="AB223" s="129">
        <f t="shared" ca="1" si="49"/>
        <v>0</v>
      </c>
      <c r="AC223" s="566" t="e" cm="1">
        <f t="array" aca="1" ref="AC223" ca="1">IF($N223=""," ",
IF(AND($C223&lt;&gt;"S",OR($R223="",$R223="(digite a descrição aqui)")),"DESCRIÇÃO",
IF(AND($C223="S",OR($Q223&lt;&gt;"",$T223&gt;0,$U223&gt;0),$P223=""),"FONTE",
IF(AND($C223="S",$P223&lt;&gt;"",OR($T223&gt;0,$U223&gt;0),$Q223=""),"CÓDIGO",
IF(AND($C223="S",$P223&lt;&gt;"",$Q223&lt;&gt;"",$R223="(Código não identificado nas referências)"),"CÓDIGO N/ID",
IF(AND($C223="S",OR($R223="",$R223="(digite a descrição aqui)"),OR($Q223&lt;&gt;"",$T223&gt;0,$U223&gt;0)),"DESCRIÇÃO",
IF(AND($C223="S",$P223&lt;&gt;"",$Q223&lt;&gt;"",$S223=""),"UNIDADE",
IF(AND($C223="S",$P223&lt;&gt;"",$Q223&lt;&gt;"",$U223=0),"SEM CUSTO",
IF(AND(_xlfn.SINGLE(TIPOORCAMENTO)="Licitado",$AL223=0,$AN223&gt;0),"SEM PREÇO",
IF(AND($C223="S",$P223&lt;&gt;"",$Q223&lt;&gt;"",$U223&gt;0,$V223=0),"BDI",
IF(OR(AND(TIPOORCAMENTO="Proposto",LEFT($O$8,5)&lt;&gt;"(N/D:",$AG223&lt;&gt;"",ORÇAMENTO.CustoUnitario&gt;$AG223),AND(TIPOORCAMENTO="LICITADO",ORÇAMENTO.PrecoUnitarioLicitado&gt;$AN223)),"ACIMA REF.",
IF(AND($C223="S",$P223&lt;&gt;"",$Q223&lt;&gt;"",$T223=0,$U223&gt;0),"QUANT.",
IF(AND(Import.TipoArredondamento="TransfereGOV",$L223="F",$C223="S",LEN($Q223)&gt;13),"Código &gt;13",
IF(AND(Import.TipoArredondamento="TransfereGOV",$L223="F",$C223&lt;&gt;"S",LEN($R223)&gt;100),"Descrição &gt;100",
IF(AND(Import.TipoArredondamento="TransfereGOV",$L223="F",$C223="S",LEN($R223)&gt;500),"Descrição &gt;500",
IF(AND(Import.TipoArredondamento="TransfereGOV",$L223="F",$C223="S",LEFT(TRIM(UPPER($P223)),6)&lt;&gt;"SINAPI",ISNA(VLOOKUP(TRIM(UPPER($S223)),ListaTgov.Unidades,1,FALSE))),"Unid. Não Disp",
" "))))))))))))))))</f>
        <v>#NAME?</v>
      </c>
      <c r="AD223" s="720">
        <f ca="1">IF(C223&lt;=CRONO.NivelExibicao,MAX($AD$15:OFFSET(AD223,-1,0))+IF($C223&lt;&gt;1,1,MAX(1,COUNTIF(QCI!$A$13:$A$15,OFFSET($E223,-1,0)))),"")</f>
        <v>31</v>
      </c>
      <c r="AE223" s="718" t="b">
        <f ca="1">IF(AND($C223="S",ORÇAMENTO.CodBarra&lt;&gt;""),IF(ORÇAMENTO.Fonte="",ORÇAMENTO.CodBarra,CONCATENATE(ORÇAMENTO.Fonte," ",ORÇAMENTO.CodBarra)))</f>
        <v>0</v>
      </c>
      <c r="AF223" s="719" t="str">
        <f ca="1">IF(ISERROR(INDIRECT(ORÇAMENTO.BancoRef)),"(abra o arquivo 'Referência "&amp;Excel_BuiltIn_Database&amp;".xlsm)",IF(OR($C223&lt;&gt;"S",ORÇAMENTO.CodBarra=""),"(Sem Código)",IF(ISERROR(MATCH($AE223,INDIRECT(ORÇAMENTO.BancoRef),0)),"(Código não identificado nas referências)",MATCH($AE223,INDIRECT(ORÇAMENTO.BancoRef),0))))</f>
        <v>(abra o arquivo 'Referência 09-2025.xlsm)</v>
      </c>
      <c r="AG223" s="429">
        <f ca="1">ROUND(IF(DESONERACAO="sim",REFERENCIA.Desonerado,REFERENCIA.NaoDesonerado),2)</f>
        <v>0</v>
      </c>
      <c r="AH223" s="430">
        <f t="shared" ca="1" si="50"/>
        <v>0.24740000000000001</v>
      </c>
      <c r="AJ223" s="699"/>
      <c r="AL223" s="440"/>
      <c r="AM223" s="337">
        <f t="shared" ca="1" si="0"/>
        <v>0</v>
      </c>
      <c r="AN223" s="471">
        <f t="shared" ca="1" si="51"/>
        <v>0</v>
      </c>
    </row>
    <row r="224" spans="1:40" s="720" customFormat="1" ht="25.5" x14ac:dyDescent="0.2">
      <c r="A224" s="720" t="str">
        <f t="shared" si="37"/>
        <v>S</v>
      </c>
      <c r="B224" s="720">
        <f t="shared" ca="1" si="38"/>
        <v>2</v>
      </c>
      <c r="C224" s="720" t="str">
        <f t="shared" ca="1" si="39"/>
        <v>S</v>
      </c>
      <c r="D224" s="720">
        <f t="shared" ca="1" si="40"/>
        <v>0</v>
      </c>
      <c r="E224" s="720">
        <f ca="1">IF($C224=1,OFFSET(E224,-1,0)+MAX(1,COUNTIF(QCI!$A$13:$A$15,OFFSET(ORÇAMENTO!E224,-1,0))),OFFSET(E224,-1,0))</f>
        <v>1</v>
      </c>
      <c r="F224" s="720">
        <f t="shared" ca="1" si="41"/>
        <v>30</v>
      </c>
      <c r="G224" s="720">
        <f t="shared" ca="1" si="42"/>
        <v>0</v>
      </c>
      <c r="H224" s="720">
        <f t="shared" ca="1" si="43"/>
        <v>0</v>
      </c>
      <c r="I224" s="720">
        <f t="shared" ca="1" si="44"/>
        <v>0</v>
      </c>
      <c r="J224" s="720">
        <f t="shared" ca="1" si="68"/>
        <v>0</v>
      </c>
      <c r="K224" s="720">
        <f ca="1">IF(OR($C224="S",$C224=0),0,MATCH(OFFSET($D224,0,$C224)+IF($C224&lt;&gt;1,1,COUNTIF(QCI!$A$13:$A$15,ORÇAMENTO!E224)),OFFSET($D224,1,$C224,ROW($C$231)-ROW($C224)),0))</f>
        <v>0</v>
      </c>
      <c r="L224" s="115" t="str">
        <f t="shared" ca="1" si="45"/>
        <v/>
      </c>
      <c r="M224" s="116" t="s">
        <v>706</v>
      </c>
      <c r="N224" s="117" t="str">
        <f t="shared" ca="1" si="46"/>
        <v>Serviço</v>
      </c>
      <c r="O224" s="118" t="str">
        <f t="shared" ca="1" si="47"/>
        <v>-</v>
      </c>
      <c r="P224" s="119" t="s">
        <v>968</v>
      </c>
      <c r="Q224" s="120" t="s">
        <v>1168</v>
      </c>
      <c r="R224" s="121" t="str">
        <f ca="1">IF($C224="S",REFERENCIA.Descricao,"(digite a descrição aqui)")</f>
        <v>(abra o arquivo 'Referência 09-2025.xlsm)</v>
      </c>
      <c r="S224" s="122" t="str">
        <f ca="1">REFERENCIA.Unidade</f>
        <v>-</v>
      </c>
      <c r="T224" s="123">
        <f ca="1">OFFSET(CÁLCULO!H$15,ROW($T224)-ROW(T$15),0)</f>
        <v>100</v>
      </c>
      <c r="U224" s="124">
        <f ca="1">AG224</f>
        <v>0</v>
      </c>
      <c r="V224" s="125" t="s">
        <v>664</v>
      </c>
      <c r="W224" s="123">
        <f ca="1">IF($C224="S",ROUND(IF(TIPOORCAMENTO="Proposto",ORÇAMENTO.CustoUnitario*(1+$AH224),ORÇAMENTO.PrecoUnitarioLicitado),15-13*$AF$10),0)</f>
        <v>0</v>
      </c>
      <c r="X224" s="126" cm="1">
        <f t="array" aca="1" ref="X224" ca="1">IF($C224="S",IF(OR(Import.TipoArredondamento&lt;&gt;"TransfereGOV",ACOMPANHAMENTO="BM"),VTOTAL1,SUM(OFFSET(CÁLCULO!$AA$15,ROW($X224)-ROW($X$15),1):OFFSET(CÁLCULO!$AL$15,ROW($X224)-ROW($X$15),-1))),IF($C224=0,0,ROUND(SomaAgrup,15-13*$AF$11)))</f>
        <v>0</v>
      </c>
      <c r="Y224" s="127" t="s">
        <v>752</v>
      </c>
      <c r="Z224" s="720" t="str">
        <f t="shared" ca="1" si="48"/>
        <v/>
      </c>
      <c r="AA224" s="128">
        <f ca="1">IF($C224="S",IF($Z224="CP",$X224,IF($Z224="RA",(($X224)*QCI!$AA$3),0)),SomaAgrup)</f>
        <v>0</v>
      </c>
      <c r="AB224" s="129">
        <f t="shared" ca="1" si="49"/>
        <v>0</v>
      </c>
      <c r="AC224" s="566" t="str" cm="1">
        <f t="array" aca="1" ref="AC224" ca="1">IF($N224=""," ",
IF(AND($C224&lt;&gt;"S",OR($R224="",$R224="(digite a descrição aqui)")),"DESCRIÇÃO",
IF(AND($C224="S",OR($Q224&lt;&gt;"",$T224&gt;0,$U224&gt;0),$P224=""),"FONTE",
IF(AND($C224="S",$P224&lt;&gt;"",OR($T224&gt;0,$U224&gt;0),$Q224=""),"CÓDIGO",
IF(AND($C224="S",$P224&lt;&gt;"",$Q224&lt;&gt;"",$R224="(Código não identificado nas referências)"),"CÓDIGO N/ID",
IF(AND($C224="S",OR($R224="",$R224="(digite a descrição aqui)"),OR($Q224&lt;&gt;"",$T224&gt;0,$U224&gt;0)),"DESCRIÇÃO",
IF(AND($C224="S",$P224&lt;&gt;"",$Q224&lt;&gt;"",$S224=""),"UNIDADE",
IF(AND($C224="S",$P224&lt;&gt;"",$Q224&lt;&gt;"",$U224=0),"SEM CUSTO",
IF(AND(_xlfn.SINGLE(TIPOORCAMENTO)="Licitado",$AL224=0,$AN224&gt;0),"SEM PREÇO",
IF(AND($C224="S",$P224&lt;&gt;"",$Q224&lt;&gt;"",$U224&gt;0,$V224=0),"BDI",
IF(OR(AND(TIPOORCAMENTO="Proposto",LEFT($O$8,5)&lt;&gt;"(N/D:",$AG224&lt;&gt;"",ORÇAMENTO.CustoUnitario&gt;$AG224),AND(TIPOORCAMENTO="LICITADO",ORÇAMENTO.PrecoUnitarioLicitado&gt;$AN224)),"ACIMA REF.",
IF(AND($C224="S",$P224&lt;&gt;"",$Q224&lt;&gt;"",$T224=0,$U224&gt;0),"QUANT.",
IF(AND(Import.TipoArredondamento="TransfereGOV",$L224="F",$C224="S",LEN($Q224)&gt;13),"Código &gt;13",
IF(AND(Import.TipoArredondamento="TransfereGOV",$L224="F",$C224&lt;&gt;"S",LEN($R224)&gt;100),"Descrição &gt;100",
IF(AND(Import.TipoArredondamento="TransfereGOV",$L224="F",$C224="S",LEN($R224)&gt;500),"Descrição &gt;500",
IF(AND(Import.TipoArredondamento="TransfereGOV",$L224="F",$C224="S",LEFT(TRIM(UPPER($P224)),6)&lt;&gt;"SINAPI",ISNA(VLOOKUP(TRIM(UPPER($S224)),ListaTgov.Unidades,1,FALSE))),"Unid. Não Disp",
" "))))))))))))))))</f>
        <v>SEM CUSTO</v>
      </c>
      <c r="AD224" s="720" t="str">
        <f ca="1">IF(C224&lt;=CRONO.NivelExibicao,MAX($AD$15:OFFSET(AD224,-1,0))+IF($C224&lt;&gt;1,1,MAX(1,COUNTIF(QCI!$A$13:$A$15,OFFSET($E224,-1,0)))),"")</f>
        <v/>
      </c>
      <c r="AE224" s="718" t="str">
        <f ca="1">IF(AND($C224="S",ORÇAMENTO.CodBarra&lt;&gt;""),IF(ORÇAMENTO.Fonte="",ORÇAMENTO.CodBarra,CONCATENATE(ORÇAMENTO.Fonte," ",ORÇAMENTO.CodBarra)))</f>
        <v>COPASA 65000076</v>
      </c>
      <c r="AF224" s="719" t="str">
        <f ca="1">IF(ISERROR(INDIRECT(ORÇAMENTO.BancoRef)),"(abra o arquivo 'Referência "&amp;Excel_BuiltIn_Database&amp;".xlsm)",IF(OR($C224&lt;&gt;"S",ORÇAMENTO.CodBarra=""),"(Sem Código)",IF(ISERROR(MATCH($AE224,INDIRECT(ORÇAMENTO.BancoRef),0)),"(Código não identificado nas referências)",MATCH($AE224,INDIRECT(ORÇAMENTO.BancoRef),0))))</f>
        <v>(abra o arquivo 'Referência 09-2025.xlsm)</v>
      </c>
      <c r="AG224" s="429">
        <f ca="1">ROUND(IF(DESONERACAO="sim",REFERENCIA.Desonerado,REFERENCIA.NaoDesonerado),2)</f>
        <v>0</v>
      </c>
      <c r="AH224" s="430">
        <f t="shared" ca="1" si="50"/>
        <v>0.24740000000000001</v>
      </c>
      <c r="AJ224" s="699">
        <v>100</v>
      </c>
      <c r="AL224" s="440"/>
      <c r="AM224" s="337">
        <f t="shared" ca="1" si="0"/>
        <v>0</v>
      </c>
      <c r="AN224" s="471">
        <f t="shared" ca="1" si="51"/>
        <v>0</v>
      </c>
    </row>
    <row r="225" spans="1:40" s="720" customFormat="1" ht="25.5" x14ac:dyDescent="0.2">
      <c r="A225" s="720" t="str">
        <f t="shared" si="37"/>
        <v>S</v>
      </c>
      <c r="B225" s="720">
        <f t="shared" ca="1" si="38"/>
        <v>2</v>
      </c>
      <c r="C225" s="720" t="str">
        <f t="shared" ca="1" si="39"/>
        <v>S</v>
      </c>
      <c r="D225" s="720">
        <f t="shared" ca="1" si="40"/>
        <v>0</v>
      </c>
      <c r="E225" s="720">
        <f ca="1">IF($C225=1,OFFSET(E225,-1,0)+MAX(1,COUNTIF(QCI!$A$13:$A$15,OFFSET(ORÇAMENTO!E225,-1,0))),OFFSET(E225,-1,0))</f>
        <v>1</v>
      </c>
      <c r="F225" s="720">
        <f t="shared" ca="1" si="41"/>
        <v>30</v>
      </c>
      <c r="G225" s="720">
        <f t="shared" ca="1" si="42"/>
        <v>0</v>
      </c>
      <c r="H225" s="720">
        <f t="shared" ca="1" si="43"/>
        <v>0</v>
      </c>
      <c r="I225" s="720">
        <f t="shared" ca="1" si="44"/>
        <v>0</v>
      </c>
      <c r="J225" s="720">
        <f t="shared" ca="1" si="68"/>
        <v>0</v>
      </c>
      <c r="K225" s="720">
        <f ca="1">IF(OR($C225="S",$C225=0),0,MATCH(OFFSET($D225,0,$C225)+IF($C225&lt;&gt;1,1,COUNTIF(QCI!$A$13:$A$15,ORÇAMENTO!E225)),OFFSET($D225,1,$C225,ROW($C$231)-ROW($C225)),0))</f>
        <v>0</v>
      </c>
      <c r="L225" s="115" t="str">
        <f t="shared" ca="1" si="45"/>
        <v/>
      </c>
      <c r="M225" s="116" t="s">
        <v>706</v>
      </c>
      <c r="N225" s="117" t="str">
        <f t="shared" ca="1" si="46"/>
        <v>Serviço</v>
      </c>
      <c r="O225" s="118" t="str">
        <f t="shared" ca="1" si="47"/>
        <v>-</v>
      </c>
      <c r="P225" s="119" t="s">
        <v>968</v>
      </c>
      <c r="Q225" s="120" t="s">
        <v>1169</v>
      </c>
      <c r="R225" s="121" t="str">
        <f ca="1">IF($C225="S",REFERENCIA.Descricao,"(digite a descrição aqui)")</f>
        <v>(abra o arquivo 'Referência 09-2025.xlsm)</v>
      </c>
      <c r="S225" s="122" t="str">
        <f ca="1">REFERENCIA.Unidade</f>
        <v>-</v>
      </c>
      <c r="T225" s="123">
        <f ca="1">OFFSET(CÁLCULO!H$15,ROW($T225)-ROW(T$15),0)</f>
        <v>100</v>
      </c>
      <c r="U225" s="124">
        <f ca="1">AG225</f>
        <v>0</v>
      </c>
      <c r="V225" s="125" t="s">
        <v>664</v>
      </c>
      <c r="W225" s="123">
        <f ca="1">IF($C225="S",ROUND(IF(TIPOORCAMENTO="Proposto",ORÇAMENTO.CustoUnitario*(1+$AH225),ORÇAMENTO.PrecoUnitarioLicitado),15-13*$AF$10),0)</f>
        <v>0</v>
      </c>
      <c r="X225" s="126" cm="1">
        <f t="array" aca="1" ref="X225" ca="1">IF($C225="S",IF(OR(Import.TipoArredondamento&lt;&gt;"TransfereGOV",ACOMPANHAMENTO="BM"),VTOTAL1,SUM(OFFSET(CÁLCULO!$AA$15,ROW($X225)-ROW($X$15),1):OFFSET(CÁLCULO!$AL$15,ROW($X225)-ROW($X$15),-1))),IF($C225=0,0,ROUND(SomaAgrup,15-13*$AF$11)))</f>
        <v>0</v>
      </c>
      <c r="Y225" s="127" t="s">
        <v>752</v>
      </c>
      <c r="Z225" s="720" t="str">
        <f t="shared" ca="1" si="48"/>
        <v/>
      </c>
      <c r="AA225" s="128">
        <f ca="1">IF($C225="S",IF($Z225="CP",$X225,IF($Z225="RA",(($X225)*QCI!$AA$3),0)),SomaAgrup)</f>
        <v>0</v>
      </c>
      <c r="AB225" s="129">
        <f t="shared" ca="1" si="49"/>
        <v>0</v>
      </c>
      <c r="AC225" s="566" t="str" cm="1">
        <f t="array" aca="1" ref="AC225" ca="1">IF($N225=""," ",
IF(AND($C225&lt;&gt;"S",OR($R225="",$R225="(digite a descrição aqui)")),"DESCRIÇÃO",
IF(AND($C225="S",OR($Q225&lt;&gt;"",$T225&gt;0,$U225&gt;0),$P225=""),"FONTE",
IF(AND($C225="S",$P225&lt;&gt;"",OR($T225&gt;0,$U225&gt;0),$Q225=""),"CÓDIGO",
IF(AND($C225="S",$P225&lt;&gt;"",$Q225&lt;&gt;"",$R225="(Código não identificado nas referências)"),"CÓDIGO N/ID",
IF(AND($C225="S",OR($R225="",$R225="(digite a descrição aqui)"),OR($Q225&lt;&gt;"",$T225&gt;0,$U225&gt;0)),"DESCRIÇÃO",
IF(AND($C225="S",$P225&lt;&gt;"",$Q225&lt;&gt;"",$S225=""),"UNIDADE",
IF(AND($C225="S",$P225&lt;&gt;"",$Q225&lt;&gt;"",$U225=0),"SEM CUSTO",
IF(AND(_xlfn.SINGLE(TIPOORCAMENTO)="Licitado",$AL225=0,$AN225&gt;0),"SEM PREÇO",
IF(AND($C225="S",$P225&lt;&gt;"",$Q225&lt;&gt;"",$U225&gt;0,$V225=0),"BDI",
IF(OR(AND(TIPOORCAMENTO="Proposto",LEFT($O$8,5)&lt;&gt;"(N/D:",$AG225&lt;&gt;"",ORÇAMENTO.CustoUnitario&gt;$AG225),AND(TIPOORCAMENTO="LICITADO",ORÇAMENTO.PrecoUnitarioLicitado&gt;$AN225)),"ACIMA REF.",
IF(AND($C225="S",$P225&lt;&gt;"",$Q225&lt;&gt;"",$T225=0,$U225&gt;0),"QUANT.",
IF(AND(Import.TipoArredondamento="TransfereGOV",$L225="F",$C225="S",LEN($Q225)&gt;13),"Código &gt;13",
IF(AND(Import.TipoArredondamento="TransfereGOV",$L225="F",$C225&lt;&gt;"S",LEN($R225)&gt;100),"Descrição &gt;100",
IF(AND(Import.TipoArredondamento="TransfereGOV",$L225="F",$C225="S",LEN($R225)&gt;500),"Descrição &gt;500",
IF(AND(Import.TipoArredondamento="TransfereGOV",$L225="F",$C225="S",LEFT(TRIM(UPPER($P225)),6)&lt;&gt;"SINAPI",ISNA(VLOOKUP(TRIM(UPPER($S225)),ListaTgov.Unidades,1,FALSE))),"Unid. Não Disp",
" "))))))))))))))))</f>
        <v>SEM CUSTO</v>
      </c>
      <c r="AD225" s="720" t="str">
        <f ca="1">IF(C225&lt;=CRONO.NivelExibicao,MAX($AD$15:OFFSET(AD225,-1,0))+IF($C225&lt;&gt;1,1,MAX(1,COUNTIF(QCI!$A$13:$A$15,OFFSET($E225,-1,0)))),"")</f>
        <v/>
      </c>
      <c r="AE225" s="718" t="str">
        <f ca="1">IF(AND($C225="S",ORÇAMENTO.CodBarra&lt;&gt;""),IF(ORÇAMENTO.Fonte="",ORÇAMENTO.CodBarra,CONCATENATE(ORÇAMENTO.Fonte," ",ORÇAMENTO.CodBarra)))</f>
        <v>COPASA 65003581</v>
      </c>
      <c r="AF225" s="719" t="str">
        <f ca="1">IF(ISERROR(INDIRECT(ORÇAMENTO.BancoRef)),"(abra o arquivo 'Referência "&amp;Excel_BuiltIn_Database&amp;".xlsm)",IF(OR($C225&lt;&gt;"S",ORÇAMENTO.CodBarra=""),"(Sem Código)",IF(ISERROR(MATCH($AE225,INDIRECT(ORÇAMENTO.BancoRef),0)),"(Código não identificado nas referências)",MATCH($AE225,INDIRECT(ORÇAMENTO.BancoRef),0))))</f>
        <v>(abra o arquivo 'Referência 09-2025.xlsm)</v>
      </c>
      <c r="AG225" s="429">
        <f ca="1">ROUND(IF(DESONERACAO="sim",REFERENCIA.Desonerado,REFERENCIA.NaoDesonerado),2)</f>
        <v>0</v>
      </c>
      <c r="AH225" s="430">
        <f t="shared" ca="1" si="50"/>
        <v>0.24740000000000001</v>
      </c>
      <c r="AJ225" s="699">
        <v>100</v>
      </c>
      <c r="AL225" s="440"/>
      <c r="AM225" s="337">
        <f t="shared" ca="1" si="0"/>
        <v>0</v>
      </c>
      <c r="AN225" s="471">
        <f t="shared" ca="1" si="51"/>
        <v>0</v>
      </c>
    </row>
    <row r="226" spans="1:40" s="675" customFormat="1" x14ac:dyDescent="0.2">
      <c r="A226" s="675">
        <f t="shared" si="37"/>
        <v>2</v>
      </c>
      <c r="B226" s="675">
        <f t="shared" ca="1" si="38"/>
        <v>2</v>
      </c>
      <c r="C226" s="675">
        <f t="shared" ca="1" si="39"/>
        <v>2</v>
      </c>
      <c r="D226" s="675">
        <f t="shared" ca="1" si="40"/>
        <v>1</v>
      </c>
      <c r="E226" s="675">
        <f ca="1">IF($C226=1,OFFSET(E226,-1,0)+MAX(1,COUNTIF(QCI!$A$13:$A$15,OFFSET(ORÇAMENTO!E226,-1,0))),OFFSET(E226,-1,0))</f>
        <v>1</v>
      </c>
      <c r="F226" s="675">
        <f t="shared" ca="1" si="41"/>
        <v>31</v>
      </c>
      <c r="G226" s="675">
        <f t="shared" ca="1" si="42"/>
        <v>0</v>
      </c>
      <c r="H226" s="675">
        <f t="shared" ca="1" si="43"/>
        <v>0</v>
      </c>
      <c r="I226" s="675">
        <f t="shared" ca="1" si="44"/>
        <v>0</v>
      </c>
      <c r="J226" s="675">
        <f t="shared" ca="1" si="68"/>
        <v>5</v>
      </c>
      <c r="K226" s="675">
        <f ca="1">IF(OR($C226="S",$C226=0),0,MATCH(OFFSET($D226,0,$C226)+IF($C226&lt;&gt;1,1,COUNTIF(QCI!$A$13:$A$15,ORÇAMENTO!E226)),OFFSET($D226,1,$C226,ROW($C$231)-ROW($C226)),0))</f>
        <v>1</v>
      </c>
      <c r="L226" s="115" t="str">
        <f t="shared" ca="1" si="45"/>
        <v>F</v>
      </c>
      <c r="M226" s="116" t="s">
        <v>703</v>
      </c>
      <c r="N226" s="117" t="str">
        <f t="shared" ca="1" si="46"/>
        <v>Nível 2</v>
      </c>
      <c r="O226" s="118" t="str">
        <f t="shared" ca="1" si="47"/>
        <v>1.31.</v>
      </c>
      <c r="P226" s="119" t="s">
        <v>751</v>
      </c>
      <c r="Q226" s="120"/>
      <c r="R226" s="121" t="s">
        <v>1129</v>
      </c>
      <c r="S226" s="122" t="str">
        <f ca="1">REFERENCIA.Unidade</f>
        <v>-</v>
      </c>
      <c r="T226" s="123">
        <f ca="1">OFFSET(CÁLCULO!H$15,ROW($T226)-ROW(T$15),0)</f>
        <v>0</v>
      </c>
      <c r="U226" s="124">
        <f ca="1">ROUND(IF(DESONERACAO="sim",REFERENCIA.Desonerado,REFERENCIA.NaoDesonerado),2)</f>
        <v>0</v>
      </c>
      <c r="V226" s="125" t="s">
        <v>664</v>
      </c>
      <c r="W226" s="123">
        <f ca="1">IF($C226="S",ROUND(IF(TIPOORCAMENTO="Proposto",ORÇAMENTO.CustoUnitario*(1+$AH226),ORÇAMENTO.PrecoUnitarioLicitado),15-13*$AF$10),0)</f>
        <v>0</v>
      </c>
      <c r="X226" s="126" cm="1">
        <f t="array" aca="1" ref="X226" ca="1">IF($C226="S",IF(OR(Import.TipoArredondamento&lt;&gt;"TransfereGOV",ACOMPANHAMENTO="BM"),VTOTAL1,SUM(OFFSET(CÁLCULO!$AA$15,ROW($X226)-ROW($X$15),1):OFFSET(CÁLCULO!$AL$15,ROW($X226)-ROW($X$15),-1))),IF($C226=0,0,ROUND(SomaAgrup,15-13*$AF$11)))</f>
        <v>0</v>
      </c>
      <c r="Y226" s="127" t="s">
        <v>752</v>
      </c>
      <c r="Z226" s="675" t="str">
        <f t="shared" ca="1" si="48"/>
        <v/>
      </c>
      <c r="AA226" s="128">
        <f ca="1">IF($C226="S",IF($Z226="CP",$X226,IF($Z226="RA",(($X226)*QCI!$AA$3),0)),SomaAgrup)</f>
        <v>0</v>
      </c>
      <c r="AB226" s="129">
        <f t="shared" ca="1" si="49"/>
        <v>0</v>
      </c>
      <c r="AC226" s="566" t="e" cm="1">
        <f t="array" aca="1" ref="AC226" ca="1">IF($N226=""," ",
IF(AND($C226&lt;&gt;"S",OR($R226="",$R226="(digite a descrição aqui)")),"DESCRIÇÃO",
IF(AND($C226="S",OR($Q226&lt;&gt;"",$T226&gt;0,$U226&gt;0),$P226=""),"FONTE",
IF(AND($C226="S",$P226&lt;&gt;"",OR($T226&gt;0,$U226&gt;0),$Q226=""),"CÓDIGO",
IF(AND($C226="S",$P226&lt;&gt;"",$Q226&lt;&gt;"",$R226="(Código não identificado nas referências)"),"CÓDIGO N/ID",
IF(AND($C226="S",OR($R226="",$R226="(digite a descrição aqui)"),OR($Q226&lt;&gt;"",$T226&gt;0,$U226&gt;0)),"DESCRIÇÃO",
IF(AND($C226="S",$P226&lt;&gt;"",$Q226&lt;&gt;"",$S226=""),"UNIDADE",
IF(AND($C226="S",$P226&lt;&gt;"",$Q226&lt;&gt;"",$U226=0),"SEM CUSTO",
IF(AND(_xlfn.SINGLE(TIPOORCAMENTO)="Licitado",$AL226=0,$AN226&gt;0),"SEM PREÇO",
IF(AND($C226="S",$P226&lt;&gt;"",$Q226&lt;&gt;"",$U226&gt;0,$V226=0),"BDI",
IF(OR(AND(TIPOORCAMENTO="Proposto",LEFT($O$8,5)&lt;&gt;"(N/D:",$AG226&lt;&gt;"",ORÇAMENTO.CustoUnitario&gt;$AG226),AND(TIPOORCAMENTO="LICITADO",ORÇAMENTO.PrecoUnitarioLicitado&gt;$AN226)),"ACIMA REF.",
IF(AND($C226="S",$P226&lt;&gt;"",$Q226&lt;&gt;"",$T226=0,$U226&gt;0),"QUANT.",
IF(AND(Import.TipoArredondamento="TransfereGOV",$L226="F",$C226="S",LEN($Q226)&gt;13),"Código &gt;13",
IF(AND(Import.TipoArredondamento="TransfereGOV",$L226="F",$C226&lt;&gt;"S",LEN($R226)&gt;100),"Descrição &gt;100",
IF(AND(Import.TipoArredondamento="TransfereGOV",$L226="F",$C226="S",LEN($R226)&gt;500),"Descrição &gt;500",
IF(AND(Import.TipoArredondamento="TransfereGOV",$L226="F",$C226="S",LEFT(TRIM(UPPER($P226)),6)&lt;&gt;"SINAPI",ISNA(VLOOKUP(TRIM(UPPER($S226)),ListaTgov.Unidades,1,FALSE))),"Unid. Não Disp",
" "))))))))))))))))</f>
        <v>#NAME?</v>
      </c>
      <c r="AD226" s="675">
        <f ca="1">IF(C226&lt;=CRONO.NivelExibicao,MAX($AD$15:OFFSET(AD226,-1,0))+IF($C226&lt;&gt;1,1,MAX(1,COUNTIF(QCI!$A$13:$A$15,OFFSET($E226,-1,0)))),"")</f>
        <v>32</v>
      </c>
      <c r="AE226" s="671" t="b">
        <f ca="1">IF(AND($C226="S",ORÇAMENTO.CodBarra&lt;&gt;""),IF(ORÇAMENTO.Fonte="",ORÇAMENTO.CodBarra,CONCATENATE(ORÇAMENTO.Fonte," ",ORÇAMENTO.CodBarra)))</f>
        <v>0</v>
      </c>
      <c r="AF226" s="674" t="str">
        <f ca="1">IF(ISERROR(INDIRECT(ORÇAMENTO.BancoRef)),"(abra o arquivo 'Referência "&amp;Excel_BuiltIn_Database&amp;".xlsm)",IF(OR($C226&lt;&gt;"S",ORÇAMENTO.CodBarra=""),"(Sem Código)",IF(ISERROR(MATCH($AE226,INDIRECT(ORÇAMENTO.BancoRef),0)),"(Código não identificado nas referências)",MATCH($AE226,INDIRECT(ORÇAMENTO.BancoRef),0))))</f>
        <v>(abra o arquivo 'Referência 09-2025.xlsm)</v>
      </c>
      <c r="AG226" s="429">
        <f ca="1">ROUND(IF(DESONERACAO="sim",REFERENCIA.Desonerado,REFERENCIA.NaoDesonerado),2)</f>
        <v>0</v>
      </c>
      <c r="AH226" s="430">
        <f t="shared" ca="1" si="50"/>
        <v>0.24740000000000001</v>
      </c>
      <c r="AJ226" s="699"/>
      <c r="AL226" s="440"/>
      <c r="AM226" s="337">
        <f t="shared" ca="1" si="0"/>
        <v>0</v>
      </c>
      <c r="AN226" s="471">
        <f t="shared" ca="1" si="51"/>
        <v>0</v>
      </c>
    </row>
    <row r="227" spans="1:40" s="708" customFormat="1" x14ac:dyDescent="0.2">
      <c r="A227" s="708">
        <f t="shared" si="37"/>
        <v>2</v>
      </c>
      <c r="B227" s="708">
        <f t="shared" ca="1" si="38"/>
        <v>2</v>
      </c>
      <c r="C227" s="708">
        <f t="shared" ca="1" si="39"/>
        <v>2</v>
      </c>
      <c r="D227" s="708">
        <f t="shared" ca="1" si="40"/>
        <v>4</v>
      </c>
      <c r="E227" s="708">
        <f ca="1">IF($C227=1,OFFSET(E227,-1,0)+MAX(1,COUNTIF(QCI!$A$13:$A$15,OFFSET(ORÇAMENTO!E227,-1,0))),OFFSET(E227,-1,0))</f>
        <v>1</v>
      </c>
      <c r="F227" s="708">
        <f t="shared" ca="1" si="41"/>
        <v>32</v>
      </c>
      <c r="G227" s="708">
        <f t="shared" ca="1" si="42"/>
        <v>0</v>
      </c>
      <c r="H227" s="708">
        <f t="shared" ca="1" si="43"/>
        <v>0</v>
      </c>
      <c r="I227" s="708">
        <f t="shared" ca="1" si="44"/>
        <v>0</v>
      </c>
      <c r="J227" s="708">
        <f t="shared" ca="1" si="68"/>
        <v>4</v>
      </c>
      <c r="K227" s="708" t="e">
        <f ca="1">IF(OR($C227="S",$C227=0),0,MATCH(OFFSET($D227,0,$C227)+IF($C227&lt;&gt;1,1,COUNTIF(QCI!$A$13:$A$15,ORÇAMENTO!E227)),OFFSET($D227,1,$C227,ROW($C$231)-ROW($C227)),0))</f>
        <v>#N/A</v>
      </c>
      <c r="L227" s="115" t="str">
        <f t="shared" ca="1" si="45"/>
        <v>F</v>
      </c>
      <c r="M227" s="116" t="s">
        <v>703</v>
      </c>
      <c r="N227" s="117" t="str">
        <f t="shared" ca="1" si="46"/>
        <v>Nível 2</v>
      </c>
      <c r="O227" s="118" t="str">
        <f t="shared" ca="1" si="47"/>
        <v>1.32.</v>
      </c>
      <c r="P227" s="119" t="s">
        <v>751</v>
      </c>
      <c r="Q227" s="120"/>
      <c r="R227" s="121" t="s">
        <v>1130</v>
      </c>
      <c r="S227" s="122" t="str">
        <f ca="1">REFERENCIA.Unidade</f>
        <v>-</v>
      </c>
      <c r="T227" s="123">
        <f ca="1">OFFSET(CÁLCULO!H$15,ROW($T227)-ROW(T$15),0)</f>
        <v>0</v>
      </c>
      <c r="U227" s="124"/>
      <c r="V227" s="125" t="s">
        <v>664</v>
      </c>
      <c r="W227" s="123">
        <f ca="1">IF($C227="S",ROUND(IF(TIPOORCAMENTO="Proposto",ORÇAMENTO.CustoUnitario*(1+$AH227),ORÇAMENTO.PrecoUnitarioLicitado),15-13*$AF$10),0)</f>
        <v>0</v>
      </c>
      <c r="X227" s="126" cm="1">
        <f t="array" aca="1" ref="X227" ca="1">IF($C227="S",IF(OR(Import.TipoArredondamento&lt;&gt;"TransfereGOV",ACOMPANHAMENTO="BM"),VTOTAL1,SUM(OFFSET(CÁLCULO!$AA$15,ROW($X227)-ROW($X$15),1):OFFSET(CÁLCULO!$AL$15,ROW($X227)-ROW($X$15),-1))),IF($C227=0,0,ROUND(SomaAgrup,15-13*$AF$11)))</f>
        <v>0</v>
      </c>
      <c r="Y227" s="127" t="s">
        <v>752</v>
      </c>
      <c r="Z227" s="708" t="str">
        <f t="shared" ca="1" si="48"/>
        <v/>
      </c>
      <c r="AA227" s="128">
        <f ca="1">IF($C227="S",IF($Z227="CP",$X227,IF($Z227="RA",(($X227)*QCI!$AA$3),0)),SomaAgrup)</f>
        <v>0</v>
      </c>
      <c r="AB227" s="129">
        <f t="shared" ca="1" si="49"/>
        <v>0</v>
      </c>
      <c r="AC227" s="566" t="e" cm="1">
        <f t="array" aca="1" ref="AC227" ca="1">IF($N227=""," ",
IF(AND($C227&lt;&gt;"S",OR($R227="",$R227="(digite a descrição aqui)")),"DESCRIÇÃO",
IF(AND($C227="S",OR($Q227&lt;&gt;"",$T227&gt;0,$U227&gt;0),$P227=""),"FONTE",
IF(AND($C227="S",$P227&lt;&gt;"",OR($T227&gt;0,$U227&gt;0),$Q227=""),"CÓDIGO",
IF(AND($C227="S",$P227&lt;&gt;"",$Q227&lt;&gt;"",$R227="(Código não identificado nas referências)"),"CÓDIGO N/ID",
IF(AND($C227="S",OR($R227="",$R227="(digite a descrição aqui)"),OR($Q227&lt;&gt;"",$T227&gt;0,$U227&gt;0)),"DESCRIÇÃO",
IF(AND($C227="S",$P227&lt;&gt;"",$Q227&lt;&gt;"",$S227=""),"UNIDADE",
IF(AND($C227="S",$P227&lt;&gt;"",$Q227&lt;&gt;"",$U227=0),"SEM CUSTO",
IF(AND(_xlfn.SINGLE(TIPOORCAMENTO)="Licitado",$AL227=0,$AN227&gt;0),"SEM PREÇO",
IF(AND($C227="S",$P227&lt;&gt;"",$Q227&lt;&gt;"",$U227&gt;0,$V227=0),"BDI",
IF(OR(AND(TIPOORCAMENTO="Proposto",LEFT($O$8,5)&lt;&gt;"(N/D:",$AG227&lt;&gt;"",ORÇAMENTO.CustoUnitario&gt;$AG227),AND(TIPOORCAMENTO="LICITADO",ORÇAMENTO.PrecoUnitarioLicitado&gt;$AN227)),"ACIMA REF.",
IF(AND($C227="S",$P227&lt;&gt;"",$Q227&lt;&gt;"",$T227=0,$U227&gt;0),"QUANT.",
IF(AND(Import.TipoArredondamento="TransfereGOV",$L227="F",$C227="S",LEN($Q227)&gt;13),"Código &gt;13",
IF(AND(Import.TipoArredondamento="TransfereGOV",$L227="F",$C227&lt;&gt;"S",LEN($R227)&gt;100),"Descrição &gt;100",
IF(AND(Import.TipoArredondamento="TransfereGOV",$L227="F",$C227="S",LEN($R227)&gt;500),"Descrição &gt;500",
IF(AND(Import.TipoArredondamento="TransfereGOV",$L227="F",$C227="S",LEFT(TRIM(UPPER($P227)),6)&lt;&gt;"SINAPI",ISNA(VLOOKUP(TRIM(UPPER($S227)),ListaTgov.Unidades,1,FALSE))),"Unid. Não Disp",
" "))))))))))))))))</f>
        <v>#NAME?</v>
      </c>
      <c r="AD227" s="708">
        <f ca="1">IF(C227&lt;=CRONO.NivelExibicao,MAX($AD$15:OFFSET(AD227,-1,0))+IF($C227&lt;&gt;1,1,MAX(1,COUNTIF(QCI!$A$13:$A$15,OFFSET($E227,-1,0)))),"")</f>
        <v>33</v>
      </c>
      <c r="AE227" s="706" t="b">
        <f ca="1">IF(AND($C227="S",ORÇAMENTO.CodBarra&lt;&gt;""),IF(ORÇAMENTO.Fonte="",ORÇAMENTO.CodBarra,CONCATENATE(ORÇAMENTO.Fonte," ",ORÇAMENTO.CodBarra)))</f>
        <v>0</v>
      </c>
      <c r="AF227" s="707" t="str">
        <f ca="1">IF(ISERROR(INDIRECT(ORÇAMENTO.BancoRef)),"(abra o arquivo 'Referência "&amp;Excel_BuiltIn_Database&amp;".xlsm)",IF(OR($C227&lt;&gt;"S",ORÇAMENTO.CodBarra=""),"(Sem Código)",IF(ISERROR(MATCH($AE227,INDIRECT(ORÇAMENTO.BancoRef),0)),"(Código não identificado nas referências)",MATCH($AE227,INDIRECT(ORÇAMENTO.BancoRef),0))))</f>
        <v>(abra o arquivo 'Referência 09-2025.xlsm)</v>
      </c>
      <c r="AG227" s="429">
        <f ca="1">ROUND(IF(DESONERACAO="sim",REFERENCIA.Desonerado,REFERENCIA.NaoDesonerado),2)</f>
        <v>0</v>
      </c>
      <c r="AH227" s="430">
        <f t="shared" ca="1" si="50"/>
        <v>0.24740000000000001</v>
      </c>
      <c r="AJ227" s="699"/>
      <c r="AL227" s="440"/>
      <c r="AM227" s="337">
        <f t="shared" ca="1" si="0"/>
        <v>0</v>
      </c>
      <c r="AN227" s="471">
        <f t="shared" ca="1" si="51"/>
        <v>0</v>
      </c>
    </row>
    <row r="228" spans="1:40" s="708" customFormat="1" x14ac:dyDescent="0.2">
      <c r="A228" s="708" t="str">
        <f t="shared" si="37"/>
        <v>S</v>
      </c>
      <c r="B228" s="708">
        <f t="shared" ca="1" si="38"/>
        <v>2</v>
      </c>
      <c r="C228" s="708" t="str">
        <f t="shared" ca="1" si="39"/>
        <v>S</v>
      </c>
      <c r="D228" s="708">
        <f t="shared" ca="1" si="40"/>
        <v>0</v>
      </c>
      <c r="E228" s="708">
        <f ca="1">IF($C228=1,OFFSET(E228,-1,0)+MAX(1,COUNTIF(QCI!$A$13:$A$15,OFFSET(ORÇAMENTO!E228,-1,0))),OFFSET(E228,-1,0))</f>
        <v>1</v>
      </c>
      <c r="F228" s="708">
        <f t="shared" ca="1" si="41"/>
        <v>32</v>
      </c>
      <c r="G228" s="708">
        <f t="shared" ca="1" si="42"/>
        <v>0</v>
      </c>
      <c r="H228" s="708">
        <f t="shared" ca="1" si="43"/>
        <v>0</v>
      </c>
      <c r="I228" s="708">
        <f t="shared" ca="1" si="44"/>
        <v>0</v>
      </c>
      <c r="J228" s="708">
        <f t="shared" ca="1" si="68"/>
        <v>0</v>
      </c>
      <c r="K228" s="708">
        <f ca="1">IF(OR($C228="S",$C228=0),0,MATCH(OFFSET($D228,0,$C228)+IF($C228&lt;&gt;1,1,COUNTIF(QCI!$A$13:$A$15,ORÇAMENTO!E228)),OFFSET($D228,1,$C228,ROW($C$231)-ROW($C228)),0))</f>
        <v>0</v>
      </c>
      <c r="L228" s="115" t="str">
        <f t="shared" ca="1" si="45"/>
        <v/>
      </c>
      <c r="M228" s="116" t="s">
        <v>706</v>
      </c>
      <c r="N228" s="117" t="str">
        <f t="shared" ca="1" si="46"/>
        <v>Serviço</v>
      </c>
      <c r="O228" s="118" t="str">
        <f t="shared" ca="1" si="47"/>
        <v>-</v>
      </c>
      <c r="P228" s="119" t="s">
        <v>968</v>
      </c>
      <c r="Q228" s="120" t="s">
        <v>1131</v>
      </c>
      <c r="R228" s="121" t="str">
        <f ca="1">IF($C228="S",REFERENCIA.Descricao,"(digite a descrição aqui)")</f>
        <v>(abra o arquivo 'Referência 09-2025.xlsm)</v>
      </c>
      <c r="S228" s="122" t="str">
        <f ca="1">REFERENCIA.Unidade</f>
        <v>-</v>
      </c>
      <c r="T228" s="123">
        <f ca="1">OFFSET(CÁLCULO!H$15,ROW($T228)-ROW(T$15),0)</f>
        <v>1.2</v>
      </c>
      <c r="U228" s="124">
        <f ca="1">ROUND(IF(DESONERACAO="sim",REFERENCIA.Desonerado,REFERENCIA.NaoDesonerado),2)</f>
        <v>0</v>
      </c>
      <c r="V228" s="125" t="s">
        <v>664</v>
      </c>
      <c r="W228" s="123">
        <f ca="1">IF($C228="S",ROUND(IF(TIPOORCAMENTO="Proposto",ORÇAMENTO.CustoUnitario*(1+$AH228),ORÇAMENTO.PrecoUnitarioLicitado),15-13*$AF$10),0)</f>
        <v>0</v>
      </c>
      <c r="X228" s="126" cm="1">
        <f t="array" aca="1" ref="X228" ca="1">IF($C228="S",IF(OR(Import.TipoArredondamento&lt;&gt;"TransfereGOV",ACOMPANHAMENTO="BM"),VTOTAL1,SUM(OFFSET(CÁLCULO!$AA$15,ROW($X228)-ROW($X$15),1):OFFSET(CÁLCULO!$AL$15,ROW($X228)-ROW($X$15),-1))),IF($C228=0,0,ROUND(SomaAgrup,15-13*$AF$11)))</f>
        <v>0</v>
      </c>
      <c r="Y228" s="127" t="s">
        <v>752</v>
      </c>
      <c r="Z228" s="708" t="str">
        <f t="shared" ca="1" si="48"/>
        <v/>
      </c>
      <c r="AA228" s="128">
        <f ca="1">IF($C228="S",IF($Z228="CP",$X228,IF($Z228="RA",(($X228)*QCI!$AA$3),0)),SomaAgrup)</f>
        <v>0</v>
      </c>
      <c r="AB228" s="129">
        <f t="shared" ca="1" si="49"/>
        <v>0</v>
      </c>
      <c r="AC228" s="566" t="str" cm="1">
        <f t="array" aca="1" ref="AC228" ca="1">IF($N228=""," ",
IF(AND($C228&lt;&gt;"S",OR($R228="",$R228="(digite a descrição aqui)")),"DESCRIÇÃO",
IF(AND($C228="S",OR($Q228&lt;&gt;"",$T228&gt;0,$U228&gt;0),$P228=""),"FONTE",
IF(AND($C228="S",$P228&lt;&gt;"",OR($T228&gt;0,$U228&gt;0),$Q228=""),"CÓDIGO",
IF(AND($C228="S",$P228&lt;&gt;"",$Q228&lt;&gt;"",$R228="(Código não identificado nas referências)"),"CÓDIGO N/ID",
IF(AND($C228="S",OR($R228="",$R228="(digite a descrição aqui)"),OR($Q228&lt;&gt;"",$T228&gt;0,$U228&gt;0)),"DESCRIÇÃO",
IF(AND($C228="S",$P228&lt;&gt;"",$Q228&lt;&gt;"",$S228=""),"UNIDADE",
IF(AND($C228="S",$P228&lt;&gt;"",$Q228&lt;&gt;"",$U228=0),"SEM CUSTO",
IF(AND(_xlfn.SINGLE(TIPOORCAMENTO)="Licitado",$AL228=0,$AN228&gt;0),"SEM PREÇO",
IF(AND($C228="S",$P228&lt;&gt;"",$Q228&lt;&gt;"",$U228&gt;0,$V228=0),"BDI",
IF(OR(AND(TIPOORCAMENTO="Proposto",LEFT($O$8,5)&lt;&gt;"(N/D:",$AG228&lt;&gt;"",ORÇAMENTO.CustoUnitario&gt;$AG228),AND(TIPOORCAMENTO="LICITADO",ORÇAMENTO.PrecoUnitarioLicitado&gt;$AN228)),"ACIMA REF.",
IF(AND($C228="S",$P228&lt;&gt;"",$Q228&lt;&gt;"",$T228=0,$U228&gt;0),"QUANT.",
IF(AND(Import.TipoArredondamento="TransfereGOV",$L228="F",$C228="S",LEN($Q228)&gt;13),"Código &gt;13",
IF(AND(Import.TipoArredondamento="TransfereGOV",$L228="F",$C228&lt;&gt;"S",LEN($R228)&gt;100),"Descrição &gt;100",
IF(AND(Import.TipoArredondamento="TransfereGOV",$L228="F",$C228="S",LEN($R228)&gt;500),"Descrição &gt;500",
IF(AND(Import.TipoArredondamento="TransfereGOV",$L228="F",$C228="S",LEFT(TRIM(UPPER($P228)),6)&lt;&gt;"SINAPI",ISNA(VLOOKUP(TRIM(UPPER($S228)),ListaTgov.Unidades,1,FALSE))),"Unid. Não Disp",
" "))))))))))))))))</f>
        <v>SEM CUSTO</v>
      </c>
      <c r="AD228" s="708" t="str">
        <f ca="1">IF(C228&lt;=CRONO.NivelExibicao,MAX($AD$15:OFFSET(AD228,-1,0))+IF($C228&lt;&gt;1,1,MAX(1,COUNTIF(QCI!$A$13:$A$15,OFFSET($E228,-1,0)))),"")</f>
        <v/>
      </c>
      <c r="AE228" s="706" t="str">
        <f ca="1">IF(AND($C228="S",ORÇAMENTO.CodBarra&lt;&gt;""),IF(ORÇAMENTO.Fonte="",ORÇAMENTO.CodBarra,CONCATENATE(ORÇAMENTO.Fonte," ",ORÇAMENTO.CodBarra)))</f>
        <v>COPASA 65001149</v>
      </c>
      <c r="AF228" s="707" t="str">
        <f ca="1">IF(ISERROR(INDIRECT(ORÇAMENTO.BancoRef)),"(abra o arquivo 'Referência "&amp;Excel_BuiltIn_Database&amp;".xlsm)",IF(OR($C228&lt;&gt;"S",ORÇAMENTO.CodBarra=""),"(Sem Código)",IF(ISERROR(MATCH($AE228,INDIRECT(ORÇAMENTO.BancoRef),0)),"(Código não identificado nas referências)",MATCH($AE228,INDIRECT(ORÇAMENTO.BancoRef),0))))</f>
        <v>(abra o arquivo 'Referência 09-2025.xlsm)</v>
      </c>
      <c r="AG228" s="429">
        <f ca="1">ROUND(IF(DESONERACAO="sim",REFERENCIA.Desonerado,REFERENCIA.NaoDesonerado),2)</f>
        <v>0</v>
      </c>
      <c r="AH228" s="430">
        <f t="shared" ca="1" si="50"/>
        <v>0.24740000000000001</v>
      </c>
      <c r="AJ228" s="699">
        <v>1.2</v>
      </c>
      <c r="AL228" s="440"/>
      <c r="AM228" s="337">
        <f t="shared" ca="1" si="0"/>
        <v>0</v>
      </c>
      <c r="AN228" s="471">
        <f t="shared" ca="1" si="51"/>
        <v>0</v>
      </c>
    </row>
    <row r="229" spans="1:40" s="711" customFormat="1" x14ac:dyDescent="0.2">
      <c r="A229" s="711" t="str">
        <f>CHOOSE(1+LOG(1+2*(ORÇAMENTO.Nivel="Meta")+4*(ORÇAMENTO.Nivel="Nível 2")+8*(ORÇAMENTO.Nivel="Nível 3")+16*(ORÇAMENTO.Nivel="Nível 4")+32*(ORÇAMENTO.Nivel="Serviço"),2),0,1,2,3,4,"S")</f>
        <v>S</v>
      </c>
      <c r="B229" s="711">
        <f ca="1">IF(OR(C229="s",C229=0),OFFSET(B229,-1,0),C229)</f>
        <v>2</v>
      </c>
      <c r="C229" s="711" t="str">
        <f ca="1">IF(OFFSET(C229,-1,0)="L",1,IF(OFFSET(C229,-1,0)=1,2,IF(OR(A229="s",A229=0),"S",IF(AND(OFFSET(C229,-1,0)=2,A229=4),3,IF(AND(OR(OFFSET(C229,-1,0)="s",OFFSET(C229,-1,0)=0),A229&lt;&gt;"s",A229&gt;OFFSET(B229,-1,0)),OFFSET(B229,-1,0),A229)))))</f>
        <v>S</v>
      </c>
      <c r="D229" s="711">
        <f ca="1">IF(OR(C229="S",C229=0),0,IF(ISERROR(K229),J229,SMALL(J229:K229,1)))</f>
        <v>0</v>
      </c>
      <c r="E229" s="711">
        <f ca="1">IF($C229=1,OFFSET(E229,-1,0)+MAX(1,COUNTIF(QCI!$A$13:$A$15,OFFSET(ORÇAMENTO!E229,-1,0))),OFFSET(E229,-1,0))</f>
        <v>1</v>
      </c>
      <c r="F229" s="711">
        <f ca="1">IF($C229=1,0,IF($C229=2,OFFSET(F229,-1,0)+1,OFFSET(F229,-1,0)))</f>
        <v>32</v>
      </c>
      <c r="G229" s="711">
        <f ca="1">IF(AND($C229&lt;=2,$C229&lt;&gt;0),0,IF($C229=3,OFFSET(G229,-1,0)+1,OFFSET(G229,-1,0)))</f>
        <v>0</v>
      </c>
      <c r="H229" s="711">
        <f ca="1">IF(AND($C229&lt;=3,$C229&lt;&gt;0),0,IF($C229=4,OFFSET(H229,-1,0)+1,OFFSET(H229,-1,0)))</f>
        <v>0</v>
      </c>
      <c r="I229" s="711">
        <f ca="1">IF(AND($C229&lt;=4,$C229&lt;&gt;0),0,IF(AND($C229="S",$X229&gt;0),OFFSET(I229,-1,0)+1,OFFSET(I229,-1,0)))</f>
        <v>0</v>
      </c>
      <c r="J229" s="711">
        <f t="shared" ca="1" si="68"/>
        <v>0</v>
      </c>
      <c r="K229" s="711">
        <f ca="1">IF(OR($C229="S",$C229=0),0,MATCH(OFFSET($D229,0,$C229)+IF($C229&lt;&gt;1,1,COUNTIF(QCI!$A$13:$A$15,ORÇAMENTO!E229)),OFFSET($D229,1,$C229,ROW($C$231)-ROW($C229)),0))</f>
        <v>0</v>
      </c>
      <c r="L229" s="115" t="str">
        <f ca="1">IF(OR($X229&gt;0,$C229=1,$C229=2,$C229=3,$C229=4),"F","")</f>
        <v/>
      </c>
      <c r="M229" s="116" t="s">
        <v>706</v>
      </c>
      <c r="N229" s="117" t="str">
        <f ca="1">CHOOSE(1+LOG(1+2*(C229=1)+4*(C229=2)+8*(C229=3)+16*(C229=4)+32*(C229="S"),2),"","Meta","Nível 2","Nível 3","Nível 4","Serviço")</f>
        <v>Serviço</v>
      </c>
      <c r="O229" s="118" t="str">
        <f ca="1">IF(OR($C229=0,$L229=""),"-",CONCATENATE(E229&amp;".",IF(AND($A$5&gt;=2,$C229&gt;=2),F229&amp;".",""),IF(AND($A$5&gt;=3,$C229&gt;=3),G229&amp;".",""),IF(AND($A$5&gt;=4,$C229&gt;=4),H229&amp;".",""),IF($C229="S",I229&amp;".","")))</f>
        <v>-</v>
      </c>
      <c r="P229" s="119" t="s">
        <v>968</v>
      </c>
      <c r="Q229" s="120" t="s">
        <v>1134</v>
      </c>
      <c r="R229" s="121" t="str">
        <f ca="1">IF($C229="S",REFERENCIA.Descricao,"(digite a descrição aqui)")</f>
        <v>(abra o arquivo 'Referência 09-2025.xlsm)</v>
      </c>
      <c r="S229" s="122" t="str">
        <f ca="1">REFERENCIA.Unidade</f>
        <v>-</v>
      </c>
      <c r="T229" s="123">
        <f ca="1">OFFSET(CÁLCULO!H$15,ROW($T229)-ROW(T$15),0)</f>
        <v>2.89</v>
      </c>
      <c r="U229" s="124">
        <f ca="1">ROUND(IF(DESONERACAO="sim",REFERENCIA.Desonerado,REFERENCIA.NaoDesonerado),2)</f>
        <v>0</v>
      </c>
      <c r="V229" s="125" t="s">
        <v>664</v>
      </c>
      <c r="W229" s="123">
        <f ca="1">IF($C229="S",ROUND(IF(TIPOORCAMENTO="Proposto",ORÇAMENTO.CustoUnitario*(1+$AH229),ORÇAMENTO.PrecoUnitarioLicitado),15-13*$AF$10),0)</f>
        <v>0</v>
      </c>
      <c r="X229" s="126" cm="1">
        <f t="array" aca="1" ref="X229" ca="1">IF($C229="S",IF(OR(Import.TipoArredondamento&lt;&gt;"TransfereGOV",ACOMPANHAMENTO="BM"),VTOTAL1,SUM(OFFSET(CÁLCULO!$AA$15,ROW($X229)-ROW($X$15),1):OFFSET(CÁLCULO!$AL$15,ROW($X229)-ROW($X$15),-1))),IF($C229=0,0,ROUND(SomaAgrup,15-13*$AF$11)))</f>
        <v>0</v>
      </c>
      <c r="Y229" s="127" t="s">
        <v>752</v>
      </c>
      <c r="Z229" s="711" t="str">
        <f ca="1">IF(AND($C229="S",$X229&gt;0),IF(ISBLANK($Y229),"RA",LEFT($Y229,2)),"")</f>
        <v/>
      </c>
      <c r="AA229" s="128">
        <f ca="1">IF($C229="S",IF($Z229="CP",$X229,IF($Z229="RA",(($X229)*QCI!$AA$3),0)),SomaAgrup)</f>
        <v>0</v>
      </c>
      <c r="AB229" s="129">
        <f ca="1">IF($C229="S",IF($Z229="OU",ROUND($X229,2),0),SomaAgrup)</f>
        <v>0</v>
      </c>
      <c r="AC229" s="566" t="str" cm="1">
        <f t="array" aca="1" ref="AC229" ca="1">IF($N229=""," ",
IF(AND($C229&lt;&gt;"S",OR($R229="",$R229="(digite a descrição aqui)")),"DESCRIÇÃO",
IF(AND($C229="S",OR($Q229&lt;&gt;"",$T229&gt;0,$U229&gt;0),$P229=""),"FONTE",
IF(AND($C229="S",$P229&lt;&gt;"",OR($T229&gt;0,$U229&gt;0),$Q229=""),"CÓDIGO",
IF(AND($C229="S",$P229&lt;&gt;"",$Q229&lt;&gt;"",$R229="(Código não identificado nas referências)"),"CÓDIGO N/ID",
IF(AND($C229="S",OR($R229="",$R229="(digite a descrição aqui)"),OR($Q229&lt;&gt;"",$T229&gt;0,$U229&gt;0)),"DESCRIÇÃO",
IF(AND($C229="S",$P229&lt;&gt;"",$Q229&lt;&gt;"",$S229=""),"UNIDADE",
IF(AND($C229="S",$P229&lt;&gt;"",$Q229&lt;&gt;"",$U229=0),"SEM CUSTO",
IF(AND(_xlfn.SINGLE(TIPOORCAMENTO)="Licitado",$AL229=0,$AN229&gt;0),"SEM PREÇO",
IF(AND($C229="S",$P229&lt;&gt;"",$Q229&lt;&gt;"",$U229&gt;0,$V229=0),"BDI",
IF(OR(AND(TIPOORCAMENTO="Proposto",LEFT($O$8,5)&lt;&gt;"(N/D:",$AG229&lt;&gt;"",ORÇAMENTO.CustoUnitario&gt;$AG229),AND(TIPOORCAMENTO="LICITADO",ORÇAMENTO.PrecoUnitarioLicitado&gt;$AN229)),"ACIMA REF.",
IF(AND($C229="S",$P229&lt;&gt;"",$Q229&lt;&gt;"",$T229=0,$U229&gt;0),"QUANT.",
IF(AND(Import.TipoArredondamento="TransfereGOV",$L229="F",$C229="S",LEN($Q229)&gt;13),"Código &gt;13",
IF(AND(Import.TipoArredondamento="TransfereGOV",$L229="F",$C229&lt;&gt;"S",LEN($R229)&gt;100),"Descrição &gt;100",
IF(AND(Import.TipoArredondamento="TransfereGOV",$L229="F",$C229="S",LEN($R229)&gt;500),"Descrição &gt;500",
IF(AND(Import.TipoArredondamento="TransfereGOV",$L229="F",$C229="S",LEFT(TRIM(UPPER($P229)),6)&lt;&gt;"SINAPI",ISNA(VLOOKUP(TRIM(UPPER($S229)),ListaTgov.Unidades,1,FALSE))),"Unid. Não Disp",
" "))))))))))))))))</f>
        <v>SEM CUSTO</v>
      </c>
      <c r="AD229" s="711" t="str">
        <f ca="1">IF(C229&lt;=CRONO.NivelExibicao,MAX($AD$15:OFFSET(AD229,-1,0))+IF($C229&lt;&gt;1,1,MAX(1,COUNTIF(QCI!$A$13:$A$15,OFFSET($E229,-1,0)))),"")</f>
        <v/>
      </c>
      <c r="AE229" s="709" t="str">
        <f ca="1">IF(AND($C229="S",ORÇAMENTO.CodBarra&lt;&gt;""),IF(ORÇAMENTO.Fonte="",ORÇAMENTO.CodBarra,CONCATENATE(ORÇAMENTO.Fonte," ",ORÇAMENTO.CodBarra)))</f>
        <v>COPASA 65001150</v>
      </c>
      <c r="AF229" s="710" t="str">
        <f ca="1">IF(ISERROR(INDIRECT(ORÇAMENTO.BancoRef)),"(abra o arquivo 'Referência "&amp;Excel_BuiltIn_Database&amp;".xlsm)",IF(OR($C229&lt;&gt;"S",ORÇAMENTO.CodBarra=""),"(Sem Código)",IF(ISERROR(MATCH($AE229,INDIRECT(ORÇAMENTO.BancoRef),0)),"(Código não identificado nas referências)",MATCH($AE229,INDIRECT(ORÇAMENTO.BancoRef),0))))</f>
        <v>(abra o arquivo 'Referência 09-2025.xlsm)</v>
      </c>
      <c r="AG229" s="429">
        <f ca="1">ROUND(IF(DESONERACAO="sim",REFERENCIA.Desonerado,REFERENCIA.NaoDesonerado),2)</f>
        <v>0</v>
      </c>
      <c r="AH229" s="430">
        <f ca="1">ROUND(IF(ISNUMBER(ORÇAMENTO.OpcaoBDI),ORÇAMENTO.OpcaoBDI,IF(LEFT(ORÇAMENTO.OpcaoBDI,3)="BDI",HLOOKUP(ORÇAMENTO.OpcaoBDI,$F$4:$H$5,2,FALSE),0)),15-11*$AF$9)</f>
        <v>0.24740000000000001</v>
      </c>
      <c r="AJ229" s="699">
        <v>2.89</v>
      </c>
      <c r="AL229" s="440"/>
      <c r="AM229" s="337">
        <f t="shared" ca="1" si="0"/>
        <v>0</v>
      </c>
      <c r="AN229" s="471">
        <f ca="1">ROUND(ORÇAMENTO.CustoUnitario*(1+$AH229),2)</f>
        <v>0</v>
      </c>
    </row>
    <row r="230" spans="1:40" s="708" customFormat="1" ht="25.5" x14ac:dyDescent="0.2">
      <c r="A230" s="708" t="str">
        <f t="shared" si="37"/>
        <v>S</v>
      </c>
      <c r="B230" s="708">
        <f t="shared" ca="1" si="38"/>
        <v>2</v>
      </c>
      <c r="C230" s="708" t="str">
        <f t="shared" ca="1" si="39"/>
        <v>S</v>
      </c>
      <c r="D230" s="708">
        <f t="shared" ca="1" si="40"/>
        <v>0</v>
      </c>
      <c r="E230" s="708">
        <f ca="1">IF($C230=1,OFFSET(E230,-1,0)+MAX(1,COUNTIF(QCI!$A$13:$A$15,OFFSET(ORÇAMENTO!E230,-1,0))),OFFSET(E230,-1,0))</f>
        <v>1</v>
      </c>
      <c r="F230" s="708">
        <f t="shared" ca="1" si="41"/>
        <v>32</v>
      </c>
      <c r="G230" s="708">
        <f t="shared" ca="1" si="42"/>
        <v>0</v>
      </c>
      <c r="H230" s="708">
        <f t="shared" ca="1" si="43"/>
        <v>0</v>
      </c>
      <c r="I230" s="708">
        <f t="shared" ca="1" si="44"/>
        <v>0</v>
      </c>
      <c r="J230" s="708">
        <f t="shared" ca="1" si="68"/>
        <v>0</v>
      </c>
      <c r="K230" s="708">
        <f ca="1">IF(OR($C230="S",$C230=0),0,MATCH(OFFSET($D230,0,$C230)+IF($C230&lt;&gt;1,1,COUNTIF(QCI!$A$13:$A$15,ORÇAMENTO!E230)),OFFSET($D230,1,$C230,ROW($C$231)-ROW($C230)),0))</f>
        <v>0</v>
      </c>
      <c r="L230" s="115" t="str">
        <f t="shared" ca="1" si="45"/>
        <v/>
      </c>
      <c r="M230" s="116" t="s">
        <v>706</v>
      </c>
      <c r="N230" s="117" t="str">
        <f t="shared" ca="1" si="46"/>
        <v>Serviço</v>
      </c>
      <c r="O230" s="118" t="str">
        <f t="shared" ca="1" si="47"/>
        <v>-</v>
      </c>
      <c r="P230" s="119" t="s">
        <v>968</v>
      </c>
      <c r="Q230" s="120" t="s">
        <v>1132</v>
      </c>
      <c r="R230" s="121" t="str">
        <f ca="1">IF($C230="S",REFERENCIA.Descricao,"(digite a descrição aqui)")</f>
        <v>(abra o arquivo 'Referência 09-2025.xlsm)</v>
      </c>
      <c r="S230" s="122" t="str">
        <f ca="1">REFERENCIA.Unidade</f>
        <v>-</v>
      </c>
      <c r="T230" s="123">
        <f ca="1">OFFSET(CÁLCULO!H$15,ROW($T230)-ROW(T$15),0)</f>
        <v>2</v>
      </c>
      <c r="U230" s="124">
        <f ca="1">ROUND(IF(DESONERACAO="sim",REFERENCIA.Desonerado,REFERENCIA.NaoDesonerado),2)</f>
        <v>0</v>
      </c>
      <c r="V230" s="125" t="s">
        <v>664</v>
      </c>
      <c r="W230" s="123">
        <f ca="1">IF($C230="S",ROUND(IF(TIPOORCAMENTO="Proposto",ORÇAMENTO.CustoUnitario*(1+$AH230),ORÇAMENTO.PrecoUnitarioLicitado),15-13*$AF$10),0)</f>
        <v>0</v>
      </c>
      <c r="X230" s="126" cm="1">
        <f t="array" aca="1" ref="X230" ca="1">IF($C230="S",IF(OR(Import.TipoArredondamento&lt;&gt;"TransfereGOV",ACOMPANHAMENTO="BM"),VTOTAL1,SUM(OFFSET(CÁLCULO!$AA$15,ROW($X230)-ROW($X$15),1):OFFSET(CÁLCULO!$AL$15,ROW($X230)-ROW($X$15),-1))),IF($C230=0,0,ROUND(SomaAgrup,15-13*$AF$11)))</f>
        <v>0</v>
      </c>
      <c r="Y230" s="127" t="s">
        <v>752</v>
      </c>
      <c r="Z230" s="708" t="str">
        <f t="shared" ca="1" si="48"/>
        <v/>
      </c>
      <c r="AA230" s="128">
        <f ca="1">IF($C230="S",IF($Z230="CP",$X230,IF($Z230="RA",(($X230)*QCI!$AA$3),0)),SomaAgrup)</f>
        <v>0</v>
      </c>
      <c r="AB230" s="129">
        <f t="shared" ca="1" si="49"/>
        <v>0</v>
      </c>
      <c r="AC230" s="566" t="str" cm="1">
        <f t="array" aca="1" ref="AC230" ca="1">IF($N230=""," ",
IF(AND($C230&lt;&gt;"S",OR($R230="",$R230="(digite a descrição aqui)")),"DESCRIÇÃO",
IF(AND($C230="S",OR($Q230&lt;&gt;"",$T230&gt;0,$U230&gt;0),$P230=""),"FONTE",
IF(AND($C230="S",$P230&lt;&gt;"",OR($T230&gt;0,$U230&gt;0),$Q230=""),"CÓDIGO",
IF(AND($C230="S",$P230&lt;&gt;"",$Q230&lt;&gt;"",$R230="(Código não identificado nas referências)"),"CÓDIGO N/ID",
IF(AND($C230="S",OR($R230="",$R230="(digite a descrição aqui)"),OR($Q230&lt;&gt;"",$T230&gt;0,$U230&gt;0)),"DESCRIÇÃO",
IF(AND($C230="S",$P230&lt;&gt;"",$Q230&lt;&gt;"",$S230=""),"UNIDADE",
IF(AND($C230="S",$P230&lt;&gt;"",$Q230&lt;&gt;"",$U230=0),"SEM CUSTO",
IF(AND(_xlfn.SINGLE(TIPOORCAMENTO)="Licitado",$AL230=0,$AN230&gt;0),"SEM PREÇO",
IF(AND($C230="S",$P230&lt;&gt;"",$Q230&lt;&gt;"",$U230&gt;0,$V230=0),"BDI",
IF(OR(AND(TIPOORCAMENTO="Proposto",LEFT($O$8,5)&lt;&gt;"(N/D:",$AG230&lt;&gt;"",ORÇAMENTO.CustoUnitario&gt;$AG230),AND(TIPOORCAMENTO="LICITADO",ORÇAMENTO.PrecoUnitarioLicitado&gt;$AN230)),"ACIMA REF.",
IF(AND($C230="S",$P230&lt;&gt;"",$Q230&lt;&gt;"",$T230=0,$U230&gt;0),"QUANT.",
IF(AND(Import.TipoArredondamento="TransfereGOV",$L230="F",$C230="S",LEN($Q230)&gt;13),"Código &gt;13",
IF(AND(Import.TipoArredondamento="TransfereGOV",$L230="F",$C230&lt;&gt;"S",LEN($R230)&gt;100),"Descrição &gt;100",
IF(AND(Import.TipoArredondamento="TransfereGOV",$L230="F",$C230="S",LEN($R230)&gt;500),"Descrição &gt;500",
IF(AND(Import.TipoArredondamento="TransfereGOV",$L230="F",$C230="S",LEFT(TRIM(UPPER($P230)),6)&lt;&gt;"SINAPI",ISNA(VLOOKUP(TRIM(UPPER($S230)),ListaTgov.Unidades,1,FALSE))),"Unid. Não Disp",
" "))))))))))))))))</f>
        <v>SEM CUSTO</v>
      </c>
      <c r="AD230" s="708" t="str">
        <f ca="1">IF(C230&lt;=CRONO.NivelExibicao,MAX($AD$15:OFFSET(AD230,-1,0))+IF($C230&lt;&gt;1,1,MAX(1,COUNTIF(QCI!$A$13:$A$15,OFFSET($E230,-1,0)))),"")</f>
        <v/>
      </c>
      <c r="AE230" s="706" t="str">
        <f ca="1">IF(AND($C230="S",ORÇAMENTO.CodBarra&lt;&gt;""),IF(ORÇAMENTO.Fonte="",ORÇAMENTO.CodBarra,CONCATENATE(ORÇAMENTO.Fonte," ",ORÇAMENTO.CodBarra)))</f>
        <v>COPASA 65001205</v>
      </c>
      <c r="AF230" s="707" t="str">
        <f ca="1">IF(ISERROR(INDIRECT(ORÇAMENTO.BancoRef)),"(abra o arquivo 'Referência "&amp;Excel_BuiltIn_Database&amp;".xlsm)",IF(OR($C230&lt;&gt;"S",ORÇAMENTO.CodBarra=""),"(Sem Código)",IF(ISERROR(MATCH($AE230,INDIRECT(ORÇAMENTO.BancoRef),0)),"(Código não identificado nas referências)",MATCH($AE230,INDIRECT(ORÇAMENTO.BancoRef),0))))</f>
        <v>(abra o arquivo 'Referência 09-2025.xlsm)</v>
      </c>
      <c r="AG230" s="429">
        <f ca="1">ROUND(IF(DESONERACAO="sim",REFERENCIA.Desonerado,REFERENCIA.NaoDesonerado),2)</f>
        <v>0</v>
      </c>
      <c r="AH230" s="430">
        <f t="shared" ca="1" si="50"/>
        <v>0.24740000000000001</v>
      </c>
      <c r="AJ230" s="699">
        <v>2</v>
      </c>
      <c r="AL230" s="440"/>
      <c r="AM230" s="337">
        <f t="shared" ca="1" si="0"/>
        <v>0</v>
      </c>
      <c r="AN230" s="471">
        <f t="shared" ca="1" si="51"/>
        <v>0</v>
      </c>
    </row>
    <row r="231" spans="1:40" ht="5.0999999999999996" customHeight="1" x14ac:dyDescent="0.2">
      <c r="A231">
        <v>-1</v>
      </c>
      <c r="C231">
        <v>-1</v>
      </c>
      <c r="E231">
        <v>0</v>
      </c>
      <c r="F231">
        <v>0</v>
      </c>
      <c r="G231">
        <v>0</v>
      </c>
      <c r="H231">
        <v>0</v>
      </c>
      <c r="I231">
        <v>0</v>
      </c>
      <c r="L231" s="115" t="s">
        <v>537</v>
      </c>
      <c r="M231" s="617"/>
      <c r="N231" s="425"/>
      <c r="O231" s="617"/>
      <c r="P231" s="618"/>
      <c r="Q231" s="618"/>
      <c r="R231" s="618"/>
      <c r="S231" s="618"/>
      <c r="T231" s="618"/>
      <c r="U231" s="618"/>
      <c r="V231" s="618"/>
      <c r="W231" s="618"/>
      <c r="X231" s="425"/>
      <c r="Y231" s="425"/>
      <c r="AC231" s="566" t="str" cm="1">
        <f t="array" ref="AC231">IF($N231=""," ",
IF(AND($C231&lt;&gt;"S",OR($R231="",$R231="(digite a descrição aqui)")),"DESCRIÇÃO",
IF(AND($C231="S",OR($Q231&lt;&gt;"",$T231&gt;0,$U231&gt;0),$P231=""),"FONTE",
IF(AND($C231="S",$P231&lt;&gt;"",OR($T231&gt;0,$U231&gt;0),$Q231=""),"CÓDIGO",
IF(AND($C231="S",$P231&lt;&gt;"",$Q231&lt;&gt;"",$R231="(Código não identificado nas referências)"),"CÓDIGO N/ID",
IF(AND($C231="S",OR($R231="",$R231="(digite a descrição aqui)"),OR($Q231&lt;&gt;"",$T231&gt;0,$U231&gt;0)),"DESCRIÇÃO",
IF(AND($C231="S",$P231&lt;&gt;"",$Q231&lt;&gt;"",$S231=""),"UNIDADE",
IF(AND($C231="S",$P231&lt;&gt;"",$Q231&lt;&gt;"",$U231=0),"SEM CUSTO",
IF(AND(_xlfn.SINGLE(TIPOORCAMENTO)="Licitado",$AL231=0,$AN231&gt;0),"SEM PREÇO",
IF(AND($C231="S",$P231&lt;&gt;"",$Q231&lt;&gt;"",$U231&gt;0,$V231=0),"BDI",
IF(OR(AND(TIPOORCAMENTO="Proposto",LEFT($O$8,5)&lt;&gt;"(N/D:",$AG231&lt;&gt;"",ORÇAMENTO.CustoUnitario&gt;$AG231),AND(TIPOORCAMENTO="LICITADO",ORÇAMENTO.PrecoUnitarioLicitado&gt;$AN231)),"ACIMA REF.",
IF(AND($C231="S",$P231&lt;&gt;"",$Q231&lt;&gt;"",$T231=0,$U231&gt;0),"QUANT.",
IF(AND(Import.TipoArredondamento="TransfereGOV",$L231="F",$C231="S",LEN($Q231)&gt;13),"Código &gt;13",
IF(AND(Import.TipoArredondamento="TransfereGOV",$L231="F",$C231&lt;&gt;"S",LEN($R231)&gt;100),"Descrição &gt;100",
IF(AND(Import.TipoArredondamento="TransfereGOV",$L231="F",$C231="S",LEN($R231)&gt;500),"Descrição &gt;500",
IF(AND(Import.TipoArredondamento="TransfereGOV",$L231="F",$C231="S",LEFT(TRIM(UPPER($P231)),6)&lt;&gt;"SINAPI",ISNA(VLOOKUP(TRIM(UPPER($S231)),ListaTgov.Unidades,1,FALSE))),"Unid. Não Disp",
" "))))))))))))))))</f>
        <v xml:space="preserve"> </v>
      </c>
      <c r="AG231" s="619"/>
      <c r="AH231" s="420"/>
      <c r="AJ231" s="426"/>
      <c r="AL231" s="619"/>
      <c r="AM231" s="620"/>
      <c r="AN231" s="420"/>
    </row>
    <row r="234" spans="1:40" ht="14.25" x14ac:dyDescent="0.2">
      <c r="O234" s="135" t="s">
        <v>754</v>
      </c>
      <c r="Q234" s="761" t="s">
        <v>755</v>
      </c>
      <c r="R234" s="761"/>
      <c r="S234" s="761"/>
      <c r="T234" s="761"/>
      <c r="U234" s="761"/>
      <c r="V234" s="761"/>
      <c r="W234" s="761"/>
      <c r="X234" s="761"/>
    </row>
    <row r="236" spans="1:40" ht="14.25" x14ac:dyDescent="0.2">
      <c r="O236" s="136" t="s">
        <v>690</v>
      </c>
      <c r="X236" s="4"/>
    </row>
    <row r="237" spans="1:40" ht="12.75" customHeight="1" x14ac:dyDescent="0.2">
      <c r="O237" s="762"/>
      <c r="P237" s="762"/>
      <c r="Q237" s="762"/>
      <c r="R237" s="762"/>
      <c r="S237" s="762"/>
      <c r="T237" s="762"/>
      <c r="U237" s="762"/>
      <c r="V237" s="762"/>
      <c r="W237" s="762"/>
      <c r="X237" s="762"/>
    </row>
    <row r="238" spans="1:40" x14ac:dyDescent="0.2">
      <c r="O238" s="762"/>
      <c r="P238" s="762"/>
      <c r="Q238" s="762"/>
      <c r="R238" s="762"/>
      <c r="S238" s="762"/>
      <c r="T238" s="762"/>
      <c r="U238" s="762"/>
      <c r="V238" s="762"/>
      <c r="W238" s="762"/>
      <c r="X238" s="762"/>
    </row>
    <row r="239" spans="1:40" x14ac:dyDescent="0.2">
      <c r="O239" s="762"/>
      <c r="P239" s="762"/>
      <c r="Q239" s="762"/>
      <c r="R239" s="762"/>
      <c r="S239" s="762"/>
      <c r="T239" s="762"/>
      <c r="U239" s="762"/>
      <c r="V239" s="762"/>
      <c r="W239" s="762"/>
      <c r="X239" s="762"/>
    </row>
    <row r="240" spans="1:40" ht="14.25" x14ac:dyDescent="0.2">
      <c r="O240" s="444"/>
      <c r="P240" s="444"/>
      <c r="Q240" s="444"/>
      <c r="R240" s="444"/>
      <c r="S240" s="444"/>
      <c r="T240" s="444"/>
      <c r="U240" s="444"/>
      <c r="V240" s="444"/>
      <c r="W240" s="444"/>
      <c r="X240" s="444"/>
      <c r="Y240" s="444"/>
      <c r="Z240" s="137"/>
      <c r="AA240" s="137"/>
      <c r="AB240" s="137"/>
    </row>
    <row r="241" spans="15:28" ht="15" x14ac:dyDescent="0.25">
      <c r="O241" s="763"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41" s="763"/>
      <c r="Q241" s="763"/>
      <c r="R241" s="763"/>
      <c r="S241" s="763"/>
      <c r="T241" s="763"/>
      <c r="U241" s="763"/>
      <c r="V241" s="763"/>
      <c r="W241" s="763"/>
      <c r="X241" s="763"/>
      <c r="Y241" s="138"/>
      <c r="Z241" s="138"/>
      <c r="AA241" s="138"/>
      <c r="AB241" s="138"/>
    </row>
    <row r="242" spans="15:28" ht="15" customHeight="1" x14ac:dyDescent="0.25">
      <c r="O242" s="765" t="s">
        <v>756</v>
      </c>
      <c r="P242" s="765"/>
      <c r="Q242" s="765"/>
      <c r="R242" s="765"/>
      <c r="S242" s="765"/>
      <c r="T242" s="765"/>
      <c r="U242" s="765"/>
      <c r="V242" s="765"/>
      <c r="W242" s="765"/>
      <c r="X242" s="765"/>
      <c r="Y242" s="138"/>
      <c r="Z242" s="138"/>
      <c r="AA242" s="138"/>
      <c r="AB242" s="138"/>
    </row>
    <row r="244" spans="15:28" ht="30" customHeight="1" x14ac:dyDescent="0.2">
      <c r="O244" s="764" t="str">
        <f>Import.Município</f>
        <v>PASSOS/MG</v>
      </c>
      <c r="P244" s="764"/>
      <c r="Q244" s="764"/>
      <c r="S244" s="461"/>
      <c r="T244" s="461"/>
      <c r="U244" s="461"/>
      <c r="V244" s="461"/>
      <c r="W244" s="418"/>
    </row>
    <row r="245" spans="15:28" x14ac:dyDescent="0.2">
      <c r="O245" s="9" t="s">
        <v>694</v>
      </c>
      <c r="S245" s="182" t="s">
        <v>697</v>
      </c>
      <c r="T245" s="182"/>
      <c r="U245" s="182"/>
      <c r="V245" s="182"/>
    </row>
    <row r="246" spans="15:28" x14ac:dyDescent="0.2">
      <c r="S246" s="77" t="s">
        <v>240</v>
      </c>
      <c r="T246" s="78" t="str">
        <f t="array" ref="T246:T248">Import.RespOrçamento</f>
        <v>LUCAS REZENDE CARVALHO</v>
      </c>
      <c r="V246" s="79"/>
    </row>
    <row r="247" spans="15:28" x14ac:dyDescent="0.2">
      <c r="O247" s="758">
        <f>DADOS!$C$25</f>
        <v>45945</v>
      </c>
      <c r="P247" s="758"/>
      <c r="Q247" s="758"/>
      <c r="S247" s="77" t="s">
        <v>243</v>
      </c>
      <c r="T247" s="78" t="str">
        <v>126.061/D</v>
      </c>
      <c r="U247" s="79"/>
      <c r="V247" s="79"/>
    </row>
    <row r="248" spans="15:28" x14ac:dyDescent="0.2">
      <c r="O248" s="141" t="s">
        <v>695</v>
      </c>
      <c r="P248" s="1"/>
      <c r="Q248" s="1"/>
      <c r="S248" s="77" t="s">
        <v>246</v>
      </c>
      <c r="T248" s="78" t="str">
        <v>MG20253685005</v>
      </c>
      <c r="U248" s="79"/>
      <c r="V248" s="79"/>
    </row>
  </sheetData>
  <sheetProtection algorithmName="SHA-512" hashValue="KZ4soWbFsbK9GBQsILlH5R1XGeB9JpqMrpG2bJQAn0At1kvoATdQYo4I4mIjhpDt5qxSxbs9FmcfNNEC2gnWaw==" saltValue="P/G0PuVg9lCSEVeIUq0XIA==" spinCount="100000" sheet="1" objects="1" scenarios="1" autoFilter="0"/>
  <autoFilter ref="L15:L231" xr:uid="{00000000-0001-0000-0400-000000000000}"/>
  <mergeCells count="24">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O247:Q247"/>
    <mergeCell ref="O15:R15"/>
    <mergeCell ref="Q234:X234"/>
    <mergeCell ref="O237:X239"/>
    <mergeCell ref="O241:X241"/>
    <mergeCell ref="O244:Q244"/>
    <mergeCell ref="O242:X242"/>
  </mergeCells>
  <phoneticPr fontId="38" type="noConversion"/>
  <conditionalFormatting sqref="M14 M36:M43 M156:M163 M141 M123:M130 M211:M230 M71:M73">
    <cfRule type="cellIs" dxfId="865" priority="30972" stopIfTrue="1" operator="notEqual">
      <formula>$N14</formula>
    </cfRule>
  </conditionalFormatting>
  <conditionalFormatting sqref="N14:O14 R14 W14 N36:O43 R36:R43 W36:X43 W211:X220 N156:O163 R156:R163 W156:X163 W71:X73 R141 N141:O141 W141:X141 N123:O130 R123:R130 W123:X130 W227:W230 X230 W226:X226 N211:O230 R211:R230 W221:W225 N71:O73 R71:R73">
    <cfRule type="expression" dxfId="864" priority="30973" stopIfTrue="1">
      <formula>$C14=1</formula>
    </cfRule>
    <cfRule type="expression" dxfId="863" priority="30974" stopIfTrue="1">
      <formula>OR($C14=0,$C14=2,$C14=3,$C14=4)</formula>
    </cfRule>
  </conditionalFormatting>
  <conditionalFormatting sqref="U14:V14 U36:V43 U156:V163 U141:V141 U123:V130 U211:V230 U71:V73">
    <cfRule type="expression" dxfId="862" priority="30975" stopIfTrue="1">
      <formula>$C14=1</formula>
    </cfRule>
    <cfRule type="expression" dxfId="861" priority="30976" stopIfTrue="1">
      <formula>OR($C14=0,$C14=2,$C14=3,$C14=4)</formula>
    </cfRule>
    <cfRule type="expression" dxfId="860" priority="30977" stopIfTrue="1">
      <formula>AND(TIPOORCAMENTO="Licitado",$C14&lt;&gt;"L",$C14&lt;&gt;-1)</formula>
    </cfRule>
  </conditionalFormatting>
  <conditionalFormatting sqref="P14:Q14 S14:T14 Y14 AG14:AH14 P36:Q43 S36:T43 Y36:Y43 AG36:AH43 P156:Q163 S156:T163 Y156:Y163 AG156:AH163 AG141:AH141 Y141 S141:T141 P141:Q141 P123:Q130 S123:T130 Y123:Y130 AG123:AH130 P211:Q230 S211:T230 Y211:Y230 AG211:AH230 P71:Q73 S71:T73 Y71:Y73 AG71:AH73">
    <cfRule type="expression" dxfId="859" priority="30978" stopIfTrue="1">
      <formula>$C14=1</formula>
    </cfRule>
    <cfRule type="expression" dxfId="858" priority="30979" stopIfTrue="1">
      <formula>OR($C14=0,$C14=2,$C14=3,$C14=4)</formula>
    </cfRule>
  </conditionalFormatting>
  <conditionalFormatting sqref="AJ7:AJ231">
    <cfRule type="expression" dxfId="857" priority="30980" stopIfTrue="1">
      <formula>OR(ACOMPANHAMENTO&lt;&gt;"BM",TIPOORCAMENTO="Licitado")</formula>
    </cfRule>
    <cfRule type="expression" dxfId="856" priority="30981" stopIfTrue="1">
      <formula>$C7=1</formula>
    </cfRule>
    <cfRule type="expression" dxfId="855" priority="30982" stopIfTrue="1">
      <formula>OR(AND(ISNUMBER($C7),$C7=0),$C7=2,$C7=3,$C7=4)</formula>
    </cfRule>
  </conditionalFormatting>
  <conditionalFormatting sqref="AL7:AL231">
    <cfRule type="expression" dxfId="854" priority="30983" stopIfTrue="1">
      <formula>TIPOORCAMENTO="PROPOSTO"</formula>
    </cfRule>
    <cfRule type="expression" dxfId="853" priority="30984" stopIfTrue="1">
      <formula>$C7=1</formula>
    </cfRule>
    <cfRule type="expression" dxfId="852" priority="30985" stopIfTrue="1">
      <formula>OR(AND(ISNUMBER($C7),$C7=0),$C7=2,$C7=3,$C7=4)</formula>
    </cfRule>
  </conditionalFormatting>
  <conditionalFormatting sqref="O8:P8">
    <cfRule type="expression" dxfId="851" priority="30989" stopIfTrue="1">
      <formula>ISERROR(INDIRECT($F$9))</formula>
    </cfRule>
  </conditionalFormatting>
  <conditionalFormatting sqref="S7:V8">
    <cfRule type="expression" dxfId="850" priority="30990" stopIfTrue="1">
      <formula>TIPOORCAMENTO="Proposto"</formula>
    </cfRule>
  </conditionalFormatting>
  <conditionalFormatting sqref="S9:V9">
    <cfRule type="expression" dxfId="849" priority="30937" stopIfTrue="1">
      <formula>TIPOORCAMENTO="Proposto"</formula>
    </cfRule>
  </conditionalFormatting>
  <conditionalFormatting sqref="AM7:AN231">
    <cfRule type="expression" dxfId="848" priority="30986" stopIfTrue="1">
      <formula>TIPOORCAMENTO="PROPOSTO"</formula>
    </cfRule>
    <cfRule type="expression" dxfId="847" priority="30987" stopIfTrue="1">
      <formula>$C7=1</formula>
    </cfRule>
    <cfRule type="expression" dxfId="846" priority="30988" stopIfTrue="1">
      <formula>OR(AND(ISNUMBER($C7),$C7=0),$C7=2,$C7=3,$C7=4)</formula>
    </cfRule>
  </conditionalFormatting>
  <conditionalFormatting sqref="R14 R36:R43 R211:R218 R141">
    <cfRule type="beginsWith" dxfId="845" priority="18282" operator="beginsWith" text="(">
      <formula>LEFT(R14,LEN("("))="("</formula>
    </cfRule>
  </conditionalFormatting>
  <conditionalFormatting sqref="X14">
    <cfRule type="expression" dxfId="844" priority="16562" stopIfTrue="1">
      <formula>$C14=1</formula>
    </cfRule>
    <cfRule type="expression" dxfId="843" priority="16563" stopIfTrue="1">
      <formula>OR($C14=0,$C14=2,$C14=3,$C14=4)</formula>
    </cfRule>
  </conditionalFormatting>
  <conditionalFormatting sqref="AC11">
    <cfRule type="cellIs" dxfId="842" priority="7397" operator="equal">
      <formula>"OK"</formula>
    </cfRule>
  </conditionalFormatting>
  <conditionalFormatting sqref="M16:M24">
    <cfRule type="cellIs" dxfId="841" priority="622" stopIfTrue="1" operator="notEqual">
      <formula>$N16</formula>
    </cfRule>
  </conditionalFormatting>
  <conditionalFormatting sqref="N16:O24 R16:R24 W16:W24">
    <cfRule type="expression" dxfId="840" priority="623" stopIfTrue="1">
      <formula>$C16=1</formula>
    </cfRule>
    <cfRule type="expression" dxfId="839" priority="624" stopIfTrue="1">
      <formula>OR($C16=0,$C16=2,$C16=3,$C16=4)</formula>
    </cfRule>
  </conditionalFormatting>
  <conditionalFormatting sqref="U16:V24">
    <cfRule type="expression" dxfId="838" priority="625" stopIfTrue="1">
      <formula>$C16=1</formula>
    </cfRule>
    <cfRule type="expression" dxfId="837" priority="626" stopIfTrue="1">
      <formula>OR($C16=0,$C16=2,$C16=3,$C16=4)</formula>
    </cfRule>
    <cfRule type="expression" dxfId="836" priority="627" stopIfTrue="1">
      <formula>AND(TIPOORCAMENTO="Licitado",$C16&lt;&gt;"L",$C16&lt;&gt;-1)</formula>
    </cfRule>
  </conditionalFormatting>
  <conditionalFormatting sqref="P16:Q24 S16:T24 Y16:Y24 AG16:AH24">
    <cfRule type="expression" dxfId="835" priority="628" stopIfTrue="1">
      <formula>$C16=1</formula>
    </cfRule>
    <cfRule type="expression" dxfId="834" priority="629" stopIfTrue="1">
      <formula>OR($C16=0,$C16=2,$C16=3,$C16=4)</formula>
    </cfRule>
  </conditionalFormatting>
  <conditionalFormatting sqref="R16:R24">
    <cfRule type="beginsWith" dxfId="833" priority="621" operator="beginsWith" text="(">
      <formula>LEFT(R16,LEN("("))="("</formula>
    </cfRule>
  </conditionalFormatting>
  <conditionalFormatting sqref="X16:X24">
    <cfRule type="expression" dxfId="832" priority="619" stopIfTrue="1">
      <formula>$C16=1</formula>
    </cfRule>
    <cfRule type="expression" dxfId="831" priority="620" stopIfTrue="1">
      <formula>OR($C16=0,$C16=2,$C16=3,$C16=4)</formula>
    </cfRule>
  </conditionalFormatting>
  <conditionalFormatting sqref="M25 M28:M35">
    <cfRule type="cellIs" dxfId="830" priority="611" stopIfTrue="1" operator="notEqual">
      <formula>$N25</formula>
    </cfRule>
  </conditionalFormatting>
  <conditionalFormatting sqref="N25:O25 R25 W25 W28:W35 R28:R35 N28:O35">
    <cfRule type="expression" dxfId="829" priority="612" stopIfTrue="1">
      <formula>$C25=1</formula>
    </cfRule>
    <cfRule type="expression" dxfId="828" priority="613" stopIfTrue="1">
      <formula>OR($C25=0,$C25=2,$C25=3,$C25=4)</formula>
    </cfRule>
  </conditionalFormatting>
  <conditionalFormatting sqref="U25:V25 U28:V35">
    <cfRule type="expression" dxfId="827" priority="614" stopIfTrue="1">
      <formula>$C25=1</formula>
    </cfRule>
    <cfRule type="expression" dxfId="826" priority="615" stopIfTrue="1">
      <formula>OR($C25=0,$C25=2,$C25=3,$C25=4)</formula>
    </cfRule>
    <cfRule type="expression" dxfId="825" priority="616" stopIfTrue="1">
      <formula>AND(TIPOORCAMENTO="Licitado",$C25&lt;&gt;"L",$C25&lt;&gt;-1)</formula>
    </cfRule>
  </conditionalFormatting>
  <conditionalFormatting sqref="P25:Q25 S25:T25 Y25 AG25:AH25 AG28:AH35 Y28:Y35 S28:T35 P28:Q35">
    <cfRule type="expression" dxfId="824" priority="617" stopIfTrue="1">
      <formula>$C25=1</formula>
    </cfRule>
    <cfRule type="expression" dxfId="823" priority="618" stopIfTrue="1">
      <formula>OR($C25=0,$C25=2,$C25=3,$C25=4)</formula>
    </cfRule>
  </conditionalFormatting>
  <conditionalFormatting sqref="R25 R28:R35">
    <cfRule type="beginsWith" dxfId="822" priority="610" operator="beginsWith" text="(">
      <formula>LEFT(R25,LEN("("))="("</formula>
    </cfRule>
  </conditionalFormatting>
  <conditionalFormatting sqref="X25 X28:X35">
    <cfRule type="expression" dxfId="821" priority="608" stopIfTrue="1">
      <formula>$C25=1</formula>
    </cfRule>
    <cfRule type="expression" dxfId="820" priority="609" stopIfTrue="1">
      <formula>OR($C25=0,$C25=2,$C25=3,$C25=4)</formula>
    </cfRule>
  </conditionalFormatting>
  <conditionalFormatting sqref="M44:M52">
    <cfRule type="cellIs" dxfId="819" priority="589" stopIfTrue="1" operator="notEqual">
      <formula>$N44</formula>
    </cfRule>
  </conditionalFormatting>
  <conditionalFormatting sqref="N44:O52 R44:R52 W44:W52">
    <cfRule type="expression" dxfId="818" priority="590" stopIfTrue="1">
      <formula>$C44=1</formula>
    </cfRule>
    <cfRule type="expression" dxfId="817" priority="591" stopIfTrue="1">
      <formula>OR($C44=0,$C44=2,$C44=3,$C44=4)</formula>
    </cfRule>
  </conditionalFormatting>
  <conditionalFormatting sqref="U44:V52">
    <cfRule type="expression" dxfId="816" priority="592" stopIfTrue="1">
      <formula>$C44=1</formula>
    </cfRule>
    <cfRule type="expression" dxfId="815" priority="593" stopIfTrue="1">
      <formula>OR($C44=0,$C44=2,$C44=3,$C44=4)</formula>
    </cfRule>
    <cfRule type="expression" dxfId="814" priority="594" stopIfTrue="1">
      <formula>AND(TIPOORCAMENTO="Licitado",$C44&lt;&gt;"L",$C44&lt;&gt;-1)</formula>
    </cfRule>
  </conditionalFormatting>
  <conditionalFormatting sqref="P44:Q52 S44:T52 Y44:Y52 AG44:AH52">
    <cfRule type="expression" dxfId="813" priority="595" stopIfTrue="1">
      <formula>$C44=1</formula>
    </cfRule>
    <cfRule type="expression" dxfId="812" priority="596" stopIfTrue="1">
      <formula>OR($C44=0,$C44=2,$C44=3,$C44=4)</formula>
    </cfRule>
  </conditionalFormatting>
  <conditionalFormatting sqref="R44:R52">
    <cfRule type="beginsWith" dxfId="811" priority="588" operator="beginsWith" text="(">
      <formula>LEFT(R44,LEN("("))="("</formula>
    </cfRule>
  </conditionalFormatting>
  <conditionalFormatting sqref="X44:X52">
    <cfRule type="expression" dxfId="810" priority="586" stopIfTrue="1">
      <formula>$C44=1</formula>
    </cfRule>
    <cfRule type="expression" dxfId="809" priority="587" stopIfTrue="1">
      <formula>OR($C44=0,$C44=2,$C44=3,$C44=4)</formula>
    </cfRule>
  </conditionalFormatting>
  <conditionalFormatting sqref="M53:M61">
    <cfRule type="cellIs" dxfId="808" priority="578" stopIfTrue="1" operator="notEqual">
      <formula>$N53</formula>
    </cfRule>
  </conditionalFormatting>
  <conditionalFormatting sqref="N53:O61 R53:R61 W53:W61">
    <cfRule type="expression" dxfId="807" priority="579" stopIfTrue="1">
      <formula>$C53=1</formula>
    </cfRule>
    <cfRule type="expression" dxfId="806" priority="580" stopIfTrue="1">
      <formula>OR($C53=0,$C53=2,$C53=3,$C53=4)</formula>
    </cfRule>
  </conditionalFormatting>
  <conditionalFormatting sqref="U53:V61">
    <cfRule type="expression" dxfId="805" priority="581" stopIfTrue="1">
      <formula>$C53=1</formula>
    </cfRule>
    <cfRule type="expression" dxfId="804" priority="582" stopIfTrue="1">
      <formula>OR($C53=0,$C53=2,$C53=3,$C53=4)</formula>
    </cfRule>
    <cfRule type="expression" dxfId="803" priority="583" stopIfTrue="1">
      <formula>AND(TIPOORCAMENTO="Licitado",$C53&lt;&gt;"L",$C53&lt;&gt;-1)</formula>
    </cfRule>
  </conditionalFormatting>
  <conditionalFormatting sqref="P53:Q61 S53:T61 Y53:Y61 AG53:AH61">
    <cfRule type="expression" dxfId="802" priority="584" stopIfTrue="1">
      <formula>$C53=1</formula>
    </cfRule>
    <cfRule type="expression" dxfId="801" priority="585" stopIfTrue="1">
      <formula>OR($C53=0,$C53=2,$C53=3,$C53=4)</formula>
    </cfRule>
  </conditionalFormatting>
  <conditionalFormatting sqref="R53:R61">
    <cfRule type="beginsWith" dxfId="800" priority="577" operator="beginsWith" text="(">
      <formula>LEFT(R53,LEN("("))="("</formula>
    </cfRule>
  </conditionalFormatting>
  <conditionalFormatting sqref="X53:X61">
    <cfRule type="expression" dxfId="799" priority="575" stopIfTrue="1">
      <formula>$C53=1</formula>
    </cfRule>
    <cfRule type="expression" dxfId="798" priority="576" stopIfTrue="1">
      <formula>OR($C53=0,$C53=2,$C53=3,$C53=4)</formula>
    </cfRule>
  </conditionalFormatting>
  <conditionalFormatting sqref="M62:M70">
    <cfRule type="cellIs" dxfId="797" priority="567" stopIfTrue="1" operator="notEqual">
      <formula>$N62</formula>
    </cfRule>
  </conditionalFormatting>
  <conditionalFormatting sqref="N62:O70 R62:R70 W62:W70">
    <cfRule type="expression" dxfId="796" priority="568" stopIfTrue="1">
      <formula>$C62=1</formula>
    </cfRule>
    <cfRule type="expression" dxfId="795" priority="569" stopIfTrue="1">
      <formula>OR($C62=0,$C62=2,$C62=3,$C62=4)</formula>
    </cfRule>
  </conditionalFormatting>
  <conditionalFormatting sqref="U62:V70">
    <cfRule type="expression" dxfId="794" priority="570" stopIfTrue="1">
      <formula>$C62=1</formula>
    </cfRule>
    <cfRule type="expression" dxfId="793" priority="571" stopIfTrue="1">
      <formula>OR($C62=0,$C62=2,$C62=3,$C62=4)</formula>
    </cfRule>
    <cfRule type="expression" dxfId="792" priority="572" stopIfTrue="1">
      <formula>AND(TIPOORCAMENTO="Licitado",$C62&lt;&gt;"L",$C62&lt;&gt;-1)</formula>
    </cfRule>
  </conditionalFormatting>
  <conditionalFormatting sqref="P62:Q70 S62:T70 Y62:Y70 AG62:AH70">
    <cfRule type="expression" dxfId="791" priority="573" stopIfTrue="1">
      <formula>$C62=1</formula>
    </cfRule>
    <cfRule type="expression" dxfId="790" priority="574" stopIfTrue="1">
      <formula>OR($C62=0,$C62=2,$C62=3,$C62=4)</formula>
    </cfRule>
  </conditionalFormatting>
  <conditionalFormatting sqref="R62:R70">
    <cfRule type="beginsWith" dxfId="789" priority="566" operator="beginsWith" text="(">
      <formula>LEFT(R62,LEN("("))="("</formula>
    </cfRule>
  </conditionalFormatting>
  <conditionalFormatting sqref="X62:X70">
    <cfRule type="expression" dxfId="788" priority="564" stopIfTrue="1">
      <formula>$C62=1</formula>
    </cfRule>
    <cfRule type="expression" dxfId="787" priority="565" stopIfTrue="1">
      <formula>OR($C62=0,$C62=2,$C62=3,$C62=4)</formula>
    </cfRule>
  </conditionalFormatting>
  <conditionalFormatting sqref="R71:R73">
    <cfRule type="beginsWith" dxfId="786" priority="555" operator="beginsWith" text="(">
      <formula>LEFT(R71,LEN("("))="("</formula>
    </cfRule>
  </conditionalFormatting>
  <conditionalFormatting sqref="M74:M80">
    <cfRule type="cellIs" dxfId="785" priority="534" stopIfTrue="1" operator="notEqual">
      <formula>$N74</formula>
    </cfRule>
  </conditionalFormatting>
  <conditionalFormatting sqref="W74:W80 R74:R80 N74:O80">
    <cfRule type="expression" dxfId="784" priority="535" stopIfTrue="1">
      <formula>$C74=1</formula>
    </cfRule>
    <cfRule type="expression" dxfId="783" priority="536" stopIfTrue="1">
      <formula>OR($C74=0,$C74=2,$C74=3,$C74=4)</formula>
    </cfRule>
  </conditionalFormatting>
  <conditionalFormatting sqref="U74:V80">
    <cfRule type="expression" dxfId="782" priority="537" stopIfTrue="1">
      <formula>$C74=1</formula>
    </cfRule>
    <cfRule type="expression" dxfId="781" priority="538" stopIfTrue="1">
      <formula>OR($C74=0,$C74=2,$C74=3,$C74=4)</formula>
    </cfRule>
    <cfRule type="expression" dxfId="780" priority="539" stopIfTrue="1">
      <formula>AND(TIPOORCAMENTO="Licitado",$C74&lt;&gt;"L",$C74&lt;&gt;-1)</formula>
    </cfRule>
  </conditionalFormatting>
  <conditionalFormatting sqref="AG74:AH80 Y74:Y80 S74:T80 P74:Q80">
    <cfRule type="expression" dxfId="779" priority="540" stopIfTrue="1">
      <formula>$C74=1</formula>
    </cfRule>
    <cfRule type="expression" dxfId="778" priority="541" stopIfTrue="1">
      <formula>OR($C74=0,$C74=2,$C74=3,$C74=4)</formula>
    </cfRule>
  </conditionalFormatting>
  <conditionalFormatting sqref="R74:R80">
    <cfRule type="beginsWith" dxfId="777" priority="533" operator="beginsWith" text="(">
      <formula>LEFT(R74,LEN("("))="("</formula>
    </cfRule>
  </conditionalFormatting>
  <conditionalFormatting sqref="X74:X80">
    <cfRule type="expression" dxfId="776" priority="531" stopIfTrue="1">
      <formula>$C74=1</formula>
    </cfRule>
    <cfRule type="expression" dxfId="775" priority="532" stopIfTrue="1">
      <formula>OR($C74=0,$C74=2,$C74=3,$C74=4)</formula>
    </cfRule>
  </conditionalFormatting>
  <conditionalFormatting sqref="M81 M84:M91">
    <cfRule type="cellIs" dxfId="774" priority="523" stopIfTrue="1" operator="notEqual">
      <formula>$N81</formula>
    </cfRule>
  </conditionalFormatting>
  <conditionalFormatting sqref="N81:O81 R81 W81 W84:W91 R84:R91 N84:O91">
    <cfRule type="expression" dxfId="773" priority="524" stopIfTrue="1">
      <formula>$C81=1</formula>
    </cfRule>
    <cfRule type="expression" dxfId="772" priority="525" stopIfTrue="1">
      <formula>OR($C81=0,$C81=2,$C81=3,$C81=4)</formula>
    </cfRule>
  </conditionalFormatting>
  <conditionalFormatting sqref="U81:V81 U84:V91">
    <cfRule type="expression" dxfId="771" priority="526" stopIfTrue="1">
      <formula>$C81=1</formula>
    </cfRule>
    <cfRule type="expression" dxfId="770" priority="527" stopIfTrue="1">
      <formula>OR($C81=0,$C81=2,$C81=3,$C81=4)</formula>
    </cfRule>
    <cfRule type="expression" dxfId="769" priority="528" stopIfTrue="1">
      <formula>AND(TIPOORCAMENTO="Licitado",$C81&lt;&gt;"L",$C81&lt;&gt;-1)</formula>
    </cfRule>
  </conditionalFormatting>
  <conditionalFormatting sqref="P81:Q81 S81:T81 Y81 AG81:AH81 AG84:AH91 Y84:Y91 S84:T91 P84:Q91">
    <cfRule type="expression" dxfId="768" priority="529" stopIfTrue="1">
      <formula>$C81=1</formula>
    </cfRule>
    <cfRule type="expression" dxfId="767" priority="530" stopIfTrue="1">
      <formula>OR($C81=0,$C81=2,$C81=3,$C81=4)</formula>
    </cfRule>
  </conditionalFormatting>
  <conditionalFormatting sqref="R81 R84:R91">
    <cfRule type="beginsWith" dxfId="766" priority="522" operator="beginsWith" text="(">
      <formula>LEFT(R81,LEN("("))="("</formula>
    </cfRule>
  </conditionalFormatting>
  <conditionalFormatting sqref="X81 X84:X91">
    <cfRule type="expression" dxfId="765" priority="520" stopIfTrue="1">
      <formula>$C81=1</formula>
    </cfRule>
    <cfRule type="expression" dxfId="764" priority="521" stopIfTrue="1">
      <formula>OR($C81=0,$C81=2,$C81=3,$C81=4)</formula>
    </cfRule>
  </conditionalFormatting>
  <conditionalFormatting sqref="M92:M97 M113 M109:M110">
    <cfRule type="cellIs" dxfId="763" priority="512" stopIfTrue="1" operator="notEqual">
      <formula>$N92</formula>
    </cfRule>
  </conditionalFormatting>
  <conditionalFormatting sqref="N92:O97 R92:R97 W92:W97 W113 R113 N113:O113 W109:W110 R109:R110 N109:O110">
    <cfRule type="expression" dxfId="762" priority="513" stopIfTrue="1">
      <formula>$C92=1</formula>
    </cfRule>
    <cfRule type="expression" dxfId="761" priority="514" stopIfTrue="1">
      <formula>OR($C92=0,$C92=2,$C92=3,$C92=4)</formula>
    </cfRule>
  </conditionalFormatting>
  <conditionalFormatting sqref="U92:V97 U113:V113 U109:V110">
    <cfRule type="expression" dxfId="760" priority="515" stopIfTrue="1">
      <formula>$C92=1</formula>
    </cfRule>
    <cfRule type="expression" dxfId="759" priority="516" stopIfTrue="1">
      <formula>OR($C92=0,$C92=2,$C92=3,$C92=4)</formula>
    </cfRule>
    <cfRule type="expression" dxfId="758" priority="517" stopIfTrue="1">
      <formula>AND(TIPOORCAMENTO="Licitado",$C92&lt;&gt;"L",$C92&lt;&gt;-1)</formula>
    </cfRule>
  </conditionalFormatting>
  <conditionalFormatting sqref="P92:Q97 S92:T97 Y92:Y97 AG92:AH97 AG113:AH113 Y113 S113:T113 P113:Q113 AG109:AH110 Y109:Y110 S109:T110 P109:Q110">
    <cfRule type="expression" dxfId="757" priority="518" stopIfTrue="1">
      <formula>$C92=1</formula>
    </cfRule>
    <cfRule type="expression" dxfId="756" priority="519" stopIfTrue="1">
      <formula>OR($C92=0,$C92=2,$C92=3,$C92=4)</formula>
    </cfRule>
  </conditionalFormatting>
  <conditionalFormatting sqref="R92:R97 R113 R109:R110">
    <cfRule type="beginsWith" dxfId="755" priority="511" operator="beginsWith" text="(">
      <formula>LEFT(R92,LEN("("))="("</formula>
    </cfRule>
  </conditionalFormatting>
  <conditionalFormatting sqref="X92:X97 X113 X109:X110">
    <cfRule type="expression" dxfId="754" priority="509" stopIfTrue="1">
      <formula>$C92=1</formula>
    </cfRule>
    <cfRule type="expression" dxfId="753" priority="510" stopIfTrue="1">
      <formula>OR($C92=0,$C92=2,$C92=3,$C92=4)</formula>
    </cfRule>
  </conditionalFormatting>
  <conditionalFormatting sqref="M114:M122">
    <cfRule type="cellIs" dxfId="752" priority="501" stopIfTrue="1" operator="notEqual">
      <formula>$N114</formula>
    </cfRule>
  </conditionalFormatting>
  <conditionalFormatting sqref="N114:O122 R114:R122 W114:W122">
    <cfRule type="expression" dxfId="751" priority="502" stopIfTrue="1">
      <formula>$C114=1</formula>
    </cfRule>
    <cfRule type="expression" dxfId="750" priority="503" stopIfTrue="1">
      <formula>OR($C114=0,$C114=2,$C114=3,$C114=4)</formula>
    </cfRule>
  </conditionalFormatting>
  <conditionalFormatting sqref="U114:V122">
    <cfRule type="expression" dxfId="749" priority="504" stopIfTrue="1">
      <formula>$C114=1</formula>
    </cfRule>
    <cfRule type="expression" dxfId="748" priority="505" stopIfTrue="1">
      <formula>OR($C114=0,$C114=2,$C114=3,$C114=4)</formula>
    </cfRule>
    <cfRule type="expression" dxfId="747" priority="506" stopIfTrue="1">
      <formula>AND(TIPOORCAMENTO="Licitado",$C114&lt;&gt;"L",$C114&lt;&gt;-1)</formula>
    </cfRule>
  </conditionalFormatting>
  <conditionalFormatting sqref="P114:Q122 S114:T122 Y114:Y122 AG114:AH122">
    <cfRule type="expression" dxfId="746" priority="507" stopIfTrue="1">
      <formula>$C114=1</formula>
    </cfRule>
    <cfRule type="expression" dxfId="745" priority="508" stopIfTrue="1">
      <formula>OR($C114=0,$C114=2,$C114=3,$C114=4)</formula>
    </cfRule>
  </conditionalFormatting>
  <conditionalFormatting sqref="R114:R122">
    <cfRule type="beginsWith" dxfId="744" priority="500" operator="beginsWith" text="(">
      <formula>LEFT(R114,LEN("("))="("</formula>
    </cfRule>
  </conditionalFormatting>
  <conditionalFormatting sqref="X114:X122">
    <cfRule type="expression" dxfId="743" priority="498" stopIfTrue="1">
      <formula>$C114=1</formula>
    </cfRule>
    <cfRule type="expression" dxfId="742" priority="499" stopIfTrue="1">
      <formula>OR($C114=0,$C114=2,$C114=3,$C114=4)</formula>
    </cfRule>
  </conditionalFormatting>
  <conditionalFormatting sqref="R123:R130">
    <cfRule type="beginsWith" dxfId="741" priority="489" operator="beginsWith" text="(">
      <formula>LEFT(R123,LEN("("))="("</formula>
    </cfRule>
  </conditionalFormatting>
  <conditionalFormatting sqref="M131 M133:M140">
    <cfRule type="cellIs" dxfId="740" priority="479" stopIfTrue="1" operator="notEqual">
      <formula>$N131</formula>
    </cfRule>
  </conditionalFormatting>
  <conditionalFormatting sqref="W131 R131 N131:O131 N133:O140 R133:R140 W133:W140">
    <cfRule type="expression" dxfId="739" priority="480" stopIfTrue="1">
      <formula>$C131=1</formula>
    </cfRule>
    <cfRule type="expression" dxfId="738" priority="481" stopIfTrue="1">
      <formula>OR($C131=0,$C131=2,$C131=3,$C131=4)</formula>
    </cfRule>
  </conditionalFormatting>
  <conditionalFormatting sqref="U131:V131 U133:V140">
    <cfRule type="expression" dxfId="737" priority="482" stopIfTrue="1">
      <formula>$C131=1</formula>
    </cfRule>
    <cfRule type="expression" dxfId="736" priority="483" stopIfTrue="1">
      <formula>OR($C131=0,$C131=2,$C131=3,$C131=4)</formula>
    </cfRule>
    <cfRule type="expression" dxfId="735" priority="484" stopIfTrue="1">
      <formula>AND(TIPOORCAMENTO="Licitado",$C131&lt;&gt;"L",$C131&lt;&gt;-1)</formula>
    </cfRule>
  </conditionalFormatting>
  <conditionalFormatting sqref="AG131:AH131 Y131 S131:T131 P131:Q131 P133:Q140 S133:T140 Y133:Y140 AG133:AH140">
    <cfRule type="expression" dxfId="734" priority="485" stopIfTrue="1">
      <formula>$C131=1</formula>
    </cfRule>
    <cfRule type="expression" dxfId="733" priority="486" stopIfTrue="1">
      <formula>OR($C131=0,$C131=2,$C131=3,$C131=4)</formula>
    </cfRule>
  </conditionalFormatting>
  <conditionalFormatting sqref="R131 R133:R140">
    <cfRule type="beginsWith" dxfId="732" priority="478" operator="beginsWith" text="(">
      <formula>LEFT(R131,LEN("("))="("</formula>
    </cfRule>
  </conditionalFormatting>
  <conditionalFormatting sqref="X131 X133:X140">
    <cfRule type="expression" dxfId="731" priority="476" stopIfTrue="1">
      <formula>$C131=1</formula>
    </cfRule>
    <cfRule type="expression" dxfId="730" priority="477" stopIfTrue="1">
      <formula>OR($C131=0,$C131=2,$C131=3,$C131=4)</formula>
    </cfRule>
  </conditionalFormatting>
  <conditionalFormatting sqref="M164 M143:M145 M167:M169">
    <cfRule type="cellIs" dxfId="729" priority="468" stopIfTrue="1" operator="notEqual">
      <formula>$N143</formula>
    </cfRule>
  </conditionalFormatting>
  <conditionalFormatting sqref="N164:O164 R164 W164 W143:W145 R143:R145 N143:O145 W167:W169 R167:R169 N167:O169">
    <cfRule type="expression" dxfId="728" priority="469" stopIfTrue="1">
      <formula>$C143=1</formula>
    </cfRule>
    <cfRule type="expression" dxfId="727" priority="470" stopIfTrue="1">
      <formula>OR($C143=0,$C143=2,$C143=3,$C143=4)</formula>
    </cfRule>
  </conditionalFormatting>
  <conditionalFormatting sqref="U164:V164 U143:V145 U167:V169">
    <cfRule type="expression" dxfId="726" priority="471" stopIfTrue="1">
      <formula>$C143=1</formula>
    </cfRule>
    <cfRule type="expression" dxfId="725" priority="472" stopIfTrue="1">
      <formula>OR($C143=0,$C143=2,$C143=3,$C143=4)</formula>
    </cfRule>
    <cfRule type="expression" dxfId="724" priority="473" stopIfTrue="1">
      <formula>AND(TIPOORCAMENTO="Licitado",$C143&lt;&gt;"L",$C143&lt;&gt;-1)</formula>
    </cfRule>
  </conditionalFormatting>
  <conditionalFormatting sqref="P164:Q164 S164:T164 Y164 AG164:AH164 AG143:AH145 Y143:Y145 S143:T145 P143:Q145 AG167:AH169 Y167:Y169 S167:T169 P167:Q169">
    <cfRule type="expression" dxfId="723" priority="474" stopIfTrue="1">
      <formula>$C143=1</formula>
    </cfRule>
    <cfRule type="expression" dxfId="722" priority="475" stopIfTrue="1">
      <formula>OR($C143=0,$C143=2,$C143=3,$C143=4)</formula>
    </cfRule>
  </conditionalFormatting>
  <conditionalFormatting sqref="R164 R143:R145 R167:R169">
    <cfRule type="beginsWith" dxfId="721" priority="467" operator="beginsWith" text="(">
      <formula>LEFT(R143,LEN("("))="("</formula>
    </cfRule>
  </conditionalFormatting>
  <conditionalFormatting sqref="X164 X143:X145 X167:X169">
    <cfRule type="expression" dxfId="720" priority="465" stopIfTrue="1">
      <formula>$C143=1</formula>
    </cfRule>
    <cfRule type="expression" dxfId="719" priority="466" stopIfTrue="1">
      <formula>OR($C143=0,$C143=2,$C143=3,$C143=4)</formula>
    </cfRule>
  </conditionalFormatting>
  <conditionalFormatting sqref="M170:M173 M179:M182 M176">
    <cfRule type="cellIs" dxfId="718" priority="457" stopIfTrue="1" operator="notEqual">
      <formula>$N170</formula>
    </cfRule>
  </conditionalFormatting>
  <conditionalFormatting sqref="N170:O173 R170:R173 W170:W173 W179:W182 R179:R182 N179:O182 W176 R176 N176:O176">
    <cfRule type="expression" dxfId="717" priority="458" stopIfTrue="1">
      <formula>$C170=1</formula>
    </cfRule>
    <cfRule type="expression" dxfId="716" priority="459" stopIfTrue="1">
      <formula>OR($C170=0,$C170=2,$C170=3,$C170=4)</formula>
    </cfRule>
  </conditionalFormatting>
  <conditionalFormatting sqref="U170:V173 U179:V182 U176:V176">
    <cfRule type="expression" dxfId="715" priority="460" stopIfTrue="1">
      <formula>$C170=1</formula>
    </cfRule>
    <cfRule type="expression" dxfId="714" priority="461" stopIfTrue="1">
      <formula>OR($C170=0,$C170=2,$C170=3,$C170=4)</formula>
    </cfRule>
    <cfRule type="expression" dxfId="713" priority="462" stopIfTrue="1">
      <formula>AND(TIPOORCAMENTO="Licitado",$C170&lt;&gt;"L",$C170&lt;&gt;-1)</formula>
    </cfRule>
  </conditionalFormatting>
  <conditionalFormatting sqref="P170:Q173 S170:T173 Y170:Y173 AG170:AH173 AG179:AH182 Y179:Y182 S179:T182 P179:Q182 AG176:AH176 Y176 S176:T176 P176:Q176">
    <cfRule type="expression" dxfId="712" priority="463" stopIfTrue="1">
      <formula>$C170=1</formula>
    </cfRule>
    <cfRule type="expression" dxfId="711" priority="464" stopIfTrue="1">
      <formula>OR($C170=0,$C170=2,$C170=3,$C170=4)</formula>
    </cfRule>
  </conditionalFormatting>
  <conditionalFormatting sqref="R170:R173 R179:R182 R176">
    <cfRule type="beginsWith" dxfId="710" priority="456" operator="beginsWith" text="(">
      <formula>LEFT(R170,LEN("("))="("</formula>
    </cfRule>
  </conditionalFormatting>
  <conditionalFormatting sqref="X170:X173 X179:X182 X176">
    <cfRule type="expression" dxfId="709" priority="454" stopIfTrue="1">
      <formula>$C170=1</formula>
    </cfRule>
    <cfRule type="expression" dxfId="708" priority="455" stopIfTrue="1">
      <formula>OR($C170=0,$C170=2,$C170=3,$C170=4)</formula>
    </cfRule>
  </conditionalFormatting>
  <conditionalFormatting sqref="M183:M188 M190:M192">
    <cfRule type="cellIs" dxfId="707" priority="446" stopIfTrue="1" operator="notEqual">
      <formula>$N183</formula>
    </cfRule>
  </conditionalFormatting>
  <conditionalFormatting sqref="W183:W188 R183:R188 N183:O188 N190:O192 R190:R192 W190:W192">
    <cfRule type="expression" dxfId="706" priority="447" stopIfTrue="1">
      <formula>$C183=1</formula>
    </cfRule>
    <cfRule type="expression" dxfId="705" priority="448" stopIfTrue="1">
      <formula>OR($C183=0,$C183=2,$C183=3,$C183=4)</formula>
    </cfRule>
  </conditionalFormatting>
  <conditionalFormatting sqref="U183:V188 U190:V192">
    <cfRule type="expression" dxfId="704" priority="449" stopIfTrue="1">
      <formula>$C183=1</formula>
    </cfRule>
    <cfRule type="expression" dxfId="703" priority="450" stopIfTrue="1">
      <formula>OR($C183=0,$C183=2,$C183=3,$C183=4)</formula>
    </cfRule>
    <cfRule type="expression" dxfId="702" priority="451" stopIfTrue="1">
      <formula>AND(TIPOORCAMENTO="Licitado",$C183&lt;&gt;"L",$C183&lt;&gt;-1)</formula>
    </cfRule>
  </conditionalFormatting>
  <conditionalFormatting sqref="AG183:AH188 Y183:Y188 S183:T188 P183:Q188 P190:Q192 S190:T192 Y190:Y192 AG190:AH192">
    <cfRule type="expression" dxfId="701" priority="452" stopIfTrue="1">
      <formula>$C183=1</formula>
    </cfRule>
    <cfRule type="expression" dxfId="700" priority="453" stopIfTrue="1">
      <formula>OR($C183=0,$C183=2,$C183=3,$C183=4)</formula>
    </cfRule>
  </conditionalFormatting>
  <conditionalFormatting sqref="R183:R188 R190:R192">
    <cfRule type="beginsWith" dxfId="699" priority="445" operator="beginsWith" text="(">
      <formula>LEFT(R183,LEN("("))="("</formula>
    </cfRule>
  </conditionalFormatting>
  <conditionalFormatting sqref="X183:X188 X190:X192">
    <cfRule type="expression" dxfId="698" priority="443" stopIfTrue="1">
      <formula>$C183=1</formula>
    </cfRule>
    <cfRule type="expression" dxfId="697" priority="444" stopIfTrue="1">
      <formula>OR($C183=0,$C183=2,$C183=3,$C183=4)</formula>
    </cfRule>
  </conditionalFormatting>
  <conditionalFormatting sqref="M193:M201">
    <cfRule type="cellIs" dxfId="696" priority="435" stopIfTrue="1" operator="notEqual">
      <formula>$N193</formula>
    </cfRule>
  </conditionalFormatting>
  <conditionalFormatting sqref="N193:O201 R193:R201 W193:W201">
    <cfRule type="expression" dxfId="695" priority="436" stopIfTrue="1">
      <formula>$C193=1</formula>
    </cfRule>
    <cfRule type="expression" dxfId="694" priority="437" stopIfTrue="1">
      <formula>OR($C193=0,$C193=2,$C193=3,$C193=4)</formula>
    </cfRule>
  </conditionalFormatting>
  <conditionalFormatting sqref="U193:V201">
    <cfRule type="expression" dxfId="693" priority="438" stopIfTrue="1">
      <formula>$C193=1</formula>
    </cfRule>
    <cfRule type="expression" dxfId="692" priority="439" stopIfTrue="1">
      <formula>OR($C193=0,$C193=2,$C193=3,$C193=4)</formula>
    </cfRule>
    <cfRule type="expression" dxfId="691" priority="440" stopIfTrue="1">
      <formula>AND(TIPOORCAMENTO="Licitado",$C193&lt;&gt;"L",$C193&lt;&gt;-1)</formula>
    </cfRule>
  </conditionalFormatting>
  <conditionalFormatting sqref="P193:Q201 S193:T201 Y193:Y201 AG193:AH201">
    <cfRule type="expression" dxfId="690" priority="441" stopIfTrue="1">
      <formula>$C193=1</formula>
    </cfRule>
    <cfRule type="expression" dxfId="689" priority="442" stopIfTrue="1">
      <formula>OR($C193=0,$C193=2,$C193=3,$C193=4)</formula>
    </cfRule>
  </conditionalFormatting>
  <conditionalFormatting sqref="R193:R201">
    <cfRule type="beginsWith" dxfId="688" priority="434" operator="beginsWith" text="(">
      <formula>LEFT(R193,LEN("("))="("</formula>
    </cfRule>
  </conditionalFormatting>
  <conditionalFormatting sqref="X193:X201">
    <cfRule type="expression" dxfId="687" priority="432" stopIfTrue="1">
      <formula>$C193=1</formula>
    </cfRule>
    <cfRule type="expression" dxfId="686" priority="433" stopIfTrue="1">
      <formula>OR($C193=0,$C193=2,$C193=3,$C193=4)</formula>
    </cfRule>
  </conditionalFormatting>
  <conditionalFormatting sqref="M202:M210">
    <cfRule type="cellIs" dxfId="685" priority="424" stopIfTrue="1" operator="notEqual">
      <formula>$N202</formula>
    </cfRule>
  </conditionalFormatting>
  <conditionalFormatting sqref="N202:O210 R202:R210 W202:W210">
    <cfRule type="expression" dxfId="684" priority="425" stopIfTrue="1">
      <formula>$C202=1</formula>
    </cfRule>
    <cfRule type="expression" dxfId="683" priority="426" stopIfTrue="1">
      <formula>OR($C202=0,$C202=2,$C202=3,$C202=4)</formula>
    </cfRule>
  </conditionalFormatting>
  <conditionalFormatting sqref="U202:V210">
    <cfRule type="expression" dxfId="682" priority="427" stopIfTrue="1">
      <formula>$C202=1</formula>
    </cfRule>
    <cfRule type="expression" dxfId="681" priority="428" stopIfTrue="1">
      <formula>OR($C202=0,$C202=2,$C202=3,$C202=4)</formula>
    </cfRule>
    <cfRule type="expression" dxfId="680" priority="429" stopIfTrue="1">
      <formula>AND(TIPOORCAMENTO="Licitado",$C202&lt;&gt;"L",$C202&lt;&gt;-1)</formula>
    </cfRule>
  </conditionalFormatting>
  <conditionalFormatting sqref="P202:Q210 S202:T210 Y202:Y210 AG202:AH210">
    <cfRule type="expression" dxfId="679" priority="430" stopIfTrue="1">
      <formula>$C202=1</formula>
    </cfRule>
    <cfRule type="expression" dxfId="678" priority="431" stopIfTrue="1">
      <formula>OR($C202=0,$C202=2,$C202=3,$C202=4)</formula>
    </cfRule>
  </conditionalFormatting>
  <conditionalFormatting sqref="R202:R210">
    <cfRule type="beginsWith" dxfId="677" priority="423" operator="beginsWith" text="(">
      <formula>LEFT(R202,LEN("("))="("</formula>
    </cfRule>
  </conditionalFormatting>
  <conditionalFormatting sqref="X202:X210">
    <cfRule type="expression" dxfId="676" priority="421" stopIfTrue="1">
      <formula>$C202=1</formula>
    </cfRule>
    <cfRule type="expression" dxfId="675" priority="422" stopIfTrue="1">
      <formula>OR($C202=0,$C202=2,$C202=3,$C202=4)</formula>
    </cfRule>
  </conditionalFormatting>
  <conditionalFormatting sqref="R219:R220 R226">
    <cfRule type="beginsWith" dxfId="674" priority="401" operator="beginsWith" text="(">
      <formula>LEFT(R219,LEN("("))="("</formula>
    </cfRule>
  </conditionalFormatting>
  <conditionalFormatting sqref="M146:M154">
    <cfRule type="cellIs" dxfId="673" priority="281" stopIfTrue="1" operator="notEqual">
      <formula>$N146</formula>
    </cfRule>
  </conditionalFormatting>
  <conditionalFormatting sqref="N146:O154 R146:R154 W146:W154">
    <cfRule type="expression" dxfId="672" priority="282" stopIfTrue="1">
      <formula>$C146=1</formula>
    </cfRule>
    <cfRule type="expression" dxfId="671" priority="283" stopIfTrue="1">
      <formula>OR($C146=0,$C146=2,$C146=3,$C146=4)</formula>
    </cfRule>
  </conditionalFormatting>
  <conditionalFormatting sqref="U146:V154">
    <cfRule type="expression" dxfId="670" priority="284" stopIfTrue="1">
      <formula>$C146=1</formula>
    </cfRule>
    <cfRule type="expression" dxfId="669" priority="285" stopIfTrue="1">
      <formula>OR($C146=0,$C146=2,$C146=3,$C146=4)</formula>
    </cfRule>
    <cfRule type="expression" dxfId="668" priority="286" stopIfTrue="1">
      <formula>AND(TIPOORCAMENTO="Licitado",$C146&lt;&gt;"L",$C146&lt;&gt;-1)</formula>
    </cfRule>
  </conditionalFormatting>
  <conditionalFormatting sqref="P146:Q154 S146:T154 Y146:Y154 AG146:AH154">
    <cfRule type="expression" dxfId="667" priority="287" stopIfTrue="1">
      <formula>$C146=1</formula>
    </cfRule>
    <cfRule type="expression" dxfId="666" priority="288" stopIfTrue="1">
      <formula>OR($C146=0,$C146=2,$C146=3,$C146=4)</formula>
    </cfRule>
  </conditionalFormatting>
  <conditionalFormatting sqref="R146:R154">
    <cfRule type="beginsWith" dxfId="665" priority="280" operator="beginsWith" text="(">
      <formula>LEFT(R146,LEN("("))="("</formula>
    </cfRule>
  </conditionalFormatting>
  <conditionalFormatting sqref="X146:X154">
    <cfRule type="expression" dxfId="664" priority="278" stopIfTrue="1">
      <formula>$C146=1</formula>
    </cfRule>
    <cfRule type="expression" dxfId="663" priority="279" stopIfTrue="1">
      <formula>OR($C146=0,$C146=2,$C146=3,$C146=4)</formula>
    </cfRule>
  </conditionalFormatting>
  <conditionalFormatting sqref="M155">
    <cfRule type="cellIs" dxfId="662" priority="270" stopIfTrue="1" operator="notEqual">
      <formula>$N155</formula>
    </cfRule>
  </conditionalFormatting>
  <conditionalFormatting sqref="N155:O155 R155 W155">
    <cfRule type="expression" dxfId="661" priority="271" stopIfTrue="1">
      <formula>$C155=1</formula>
    </cfRule>
    <cfRule type="expression" dxfId="660" priority="272" stopIfTrue="1">
      <formula>OR($C155=0,$C155=2,$C155=3,$C155=4)</formula>
    </cfRule>
  </conditionalFormatting>
  <conditionalFormatting sqref="U155:V155">
    <cfRule type="expression" dxfId="659" priority="273" stopIfTrue="1">
      <formula>$C155=1</formula>
    </cfRule>
    <cfRule type="expression" dxfId="658" priority="274" stopIfTrue="1">
      <formula>OR($C155=0,$C155=2,$C155=3,$C155=4)</formula>
    </cfRule>
    <cfRule type="expression" dxfId="657" priority="275" stopIfTrue="1">
      <formula>AND(TIPOORCAMENTO="Licitado",$C155&lt;&gt;"L",$C155&lt;&gt;-1)</formula>
    </cfRule>
  </conditionalFormatting>
  <conditionalFormatting sqref="P155:Q155 S155:T155 Y155 AG155:AH155">
    <cfRule type="expression" dxfId="656" priority="276" stopIfTrue="1">
      <formula>$C155=1</formula>
    </cfRule>
    <cfRule type="expression" dxfId="655" priority="277" stopIfTrue="1">
      <formula>OR($C155=0,$C155=2,$C155=3,$C155=4)</formula>
    </cfRule>
  </conditionalFormatting>
  <conditionalFormatting sqref="R155">
    <cfRule type="beginsWith" dxfId="654" priority="269" operator="beginsWith" text="(">
      <formula>LEFT(R155,LEN("("))="("</formula>
    </cfRule>
  </conditionalFormatting>
  <conditionalFormatting sqref="X155">
    <cfRule type="expression" dxfId="653" priority="267" stopIfTrue="1">
      <formula>$C155=1</formula>
    </cfRule>
    <cfRule type="expression" dxfId="652" priority="268" stopIfTrue="1">
      <formula>OR($C155=0,$C155=2,$C155=3,$C155=4)</formula>
    </cfRule>
  </conditionalFormatting>
  <conditionalFormatting sqref="R156:R163">
    <cfRule type="beginsWith" dxfId="651" priority="258" operator="beginsWith" text="(">
      <formula>LEFT(R156,LEN("("))="("</formula>
    </cfRule>
  </conditionalFormatting>
  <conditionalFormatting sqref="M132">
    <cfRule type="cellIs" dxfId="650" priority="226" stopIfTrue="1" operator="notEqual">
      <formula>$N132</formula>
    </cfRule>
  </conditionalFormatting>
  <conditionalFormatting sqref="N132:O132 R132 W132">
    <cfRule type="expression" dxfId="649" priority="227" stopIfTrue="1">
      <formula>$C132=1</formula>
    </cfRule>
    <cfRule type="expression" dxfId="648" priority="228" stopIfTrue="1">
      <formula>OR($C132=0,$C132=2,$C132=3,$C132=4)</formula>
    </cfRule>
  </conditionalFormatting>
  <conditionalFormatting sqref="U132:V132">
    <cfRule type="expression" dxfId="647" priority="229" stopIfTrue="1">
      <formula>$C132=1</formula>
    </cfRule>
    <cfRule type="expression" dxfId="646" priority="230" stopIfTrue="1">
      <formula>OR($C132=0,$C132=2,$C132=3,$C132=4)</formula>
    </cfRule>
    <cfRule type="expression" dxfId="645" priority="231" stopIfTrue="1">
      <formula>AND(TIPOORCAMENTO="Licitado",$C132&lt;&gt;"L",$C132&lt;&gt;-1)</formula>
    </cfRule>
  </conditionalFormatting>
  <conditionalFormatting sqref="P132:Q132 S132:T132 Y132 AG132:AH132">
    <cfRule type="expression" dxfId="644" priority="232" stopIfTrue="1">
      <formula>$C132=1</formula>
    </cfRule>
    <cfRule type="expression" dxfId="643" priority="233" stopIfTrue="1">
      <formula>OR($C132=0,$C132=2,$C132=3,$C132=4)</formula>
    </cfRule>
  </conditionalFormatting>
  <conditionalFormatting sqref="R132">
    <cfRule type="beginsWith" dxfId="642" priority="225" operator="beginsWith" text="(">
      <formula>LEFT(R132,LEN("("))="("</formula>
    </cfRule>
  </conditionalFormatting>
  <conditionalFormatting sqref="X132">
    <cfRule type="expression" dxfId="641" priority="223" stopIfTrue="1">
      <formula>$C132=1</formula>
    </cfRule>
    <cfRule type="expression" dxfId="640" priority="224" stopIfTrue="1">
      <formula>OR($C132=0,$C132=2,$C132=3,$C132=4)</formula>
    </cfRule>
  </conditionalFormatting>
  <conditionalFormatting sqref="M142">
    <cfRule type="cellIs" dxfId="639" priority="204" stopIfTrue="1" operator="notEqual">
      <formula>$N142</formula>
    </cfRule>
  </conditionalFormatting>
  <conditionalFormatting sqref="N142:O142 R142 W142">
    <cfRule type="expression" dxfId="638" priority="205" stopIfTrue="1">
      <formula>$C142=1</formula>
    </cfRule>
    <cfRule type="expression" dxfId="637" priority="206" stopIfTrue="1">
      <formula>OR($C142=0,$C142=2,$C142=3,$C142=4)</formula>
    </cfRule>
  </conditionalFormatting>
  <conditionalFormatting sqref="U142:V142">
    <cfRule type="expression" dxfId="636" priority="207" stopIfTrue="1">
      <formula>$C142=1</formula>
    </cfRule>
    <cfRule type="expression" dxfId="635" priority="208" stopIfTrue="1">
      <formula>OR($C142=0,$C142=2,$C142=3,$C142=4)</formula>
    </cfRule>
    <cfRule type="expression" dxfId="634" priority="209" stopIfTrue="1">
      <formula>AND(TIPOORCAMENTO="Licitado",$C142&lt;&gt;"L",$C142&lt;&gt;-1)</formula>
    </cfRule>
  </conditionalFormatting>
  <conditionalFormatting sqref="P142:Q142 S142:T142 Y142 AG142:AH142">
    <cfRule type="expression" dxfId="633" priority="210" stopIfTrue="1">
      <formula>$C142=1</formula>
    </cfRule>
    <cfRule type="expression" dxfId="632" priority="211" stopIfTrue="1">
      <formula>OR($C142=0,$C142=2,$C142=3,$C142=4)</formula>
    </cfRule>
  </conditionalFormatting>
  <conditionalFormatting sqref="R142">
    <cfRule type="beginsWith" dxfId="631" priority="203" operator="beginsWith" text="(">
      <formula>LEFT(R142,LEN("("))="("</formula>
    </cfRule>
  </conditionalFormatting>
  <conditionalFormatting sqref="X142">
    <cfRule type="expression" dxfId="630" priority="201" stopIfTrue="1">
      <formula>$C142=1</formula>
    </cfRule>
    <cfRule type="expression" dxfId="629" priority="202" stopIfTrue="1">
      <formula>OR($C142=0,$C142=2,$C142=3,$C142=4)</formula>
    </cfRule>
  </conditionalFormatting>
  <conditionalFormatting sqref="R227:R228 R230">
    <cfRule type="beginsWith" dxfId="628" priority="200" operator="beginsWith" text="(">
      <formula>LEFT(R227,LEN("("))="("</formula>
    </cfRule>
  </conditionalFormatting>
  <conditionalFormatting sqref="X227:X228">
    <cfRule type="expression" dxfId="627" priority="198" stopIfTrue="1">
      <formula>$C227=1</formula>
    </cfRule>
    <cfRule type="expression" dxfId="626" priority="199" stopIfTrue="1">
      <formula>OR($C227=0,$C227=2,$C227=3,$C227=4)</formula>
    </cfRule>
  </conditionalFormatting>
  <conditionalFormatting sqref="R229">
    <cfRule type="beginsWith" dxfId="625" priority="197" operator="beginsWith" text="(">
      <formula>LEFT(R229,LEN("("))="("</formula>
    </cfRule>
  </conditionalFormatting>
  <conditionalFormatting sqref="X229">
    <cfRule type="expression" dxfId="624" priority="195" stopIfTrue="1">
      <formula>$C229=1</formula>
    </cfRule>
    <cfRule type="expression" dxfId="623" priority="196" stopIfTrue="1">
      <formula>OR($C229=0,$C229=2,$C229=3,$C229=4)</formula>
    </cfRule>
  </conditionalFormatting>
  <conditionalFormatting sqref="M177">
    <cfRule type="cellIs" dxfId="622" priority="187" stopIfTrue="1" operator="notEqual">
      <formula>$N177</formula>
    </cfRule>
  </conditionalFormatting>
  <conditionalFormatting sqref="N177:O177 R177 W177">
    <cfRule type="expression" dxfId="621" priority="188" stopIfTrue="1">
      <formula>$C177=1</formula>
    </cfRule>
    <cfRule type="expression" dxfId="620" priority="189" stopIfTrue="1">
      <formula>OR($C177=0,$C177=2,$C177=3,$C177=4)</formula>
    </cfRule>
  </conditionalFormatting>
  <conditionalFormatting sqref="U177:V177">
    <cfRule type="expression" dxfId="619" priority="190" stopIfTrue="1">
      <formula>$C177=1</formula>
    </cfRule>
    <cfRule type="expression" dxfId="618" priority="191" stopIfTrue="1">
      <formula>OR($C177=0,$C177=2,$C177=3,$C177=4)</formula>
    </cfRule>
    <cfRule type="expression" dxfId="617" priority="192" stopIfTrue="1">
      <formula>AND(TIPOORCAMENTO="Licitado",$C177&lt;&gt;"L",$C177&lt;&gt;-1)</formula>
    </cfRule>
  </conditionalFormatting>
  <conditionalFormatting sqref="P177:Q177 S177:T177 Y177 AG177:AH177">
    <cfRule type="expression" dxfId="616" priority="193" stopIfTrue="1">
      <formula>$C177=1</formula>
    </cfRule>
    <cfRule type="expression" dxfId="615" priority="194" stopIfTrue="1">
      <formula>OR($C177=0,$C177=2,$C177=3,$C177=4)</formula>
    </cfRule>
  </conditionalFormatting>
  <conditionalFormatting sqref="R177">
    <cfRule type="beginsWith" dxfId="614" priority="186" operator="beginsWith" text="(">
      <formula>LEFT(R177,LEN("("))="("</formula>
    </cfRule>
  </conditionalFormatting>
  <conditionalFormatting sqref="X177">
    <cfRule type="expression" dxfId="613" priority="184" stopIfTrue="1">
      <formula>$C177=1</formula>
    </cfRule>
    <cfRule type="expression" dxfId="612" priority="185" stopIfTrue="1">
      <formula>OR($C177=0,$C177=2,$C177=3,$C177=4)</formula>
    </cfRule>
  </conditionalFormatting>
  <conditionalFormatting sqref="M178">
    <cfRule type="cellIs" dxfId="611" priority="176" stopIfTrue="1" operator="notEqual">
      <formula>$N178</formula>
    </cfRule>
  </conditionalFormatting>
  <conditionalFormatting sqref="N178:O178 R178 W178">
    <cfRule type="expression" dxfId="610" priority="177" stopIfTrue="1">
      <formula>$C178=1</formula>
    </cfRule>
    <cfRule type="expression" dxfId="609" priority="178" stopIfTrue="1">
      <formula>OR($C178=0,$C178=2,$C178=3,$C178=4)</formula>
    </cfRule>
  </conditionalFormatting>
  <conditionalFormatting sqref="U178:V178">
    <cfRule type="expression" dxfId="608" priority="179" stopIfTrue="1">
      <formula>$C178=1</formula>
    </cfRule>
    <cfRule type="expression" dxfId="607" priority="180" stopIfTrue="1">
      <formula>OR($C178=0,$C178=2,$C178=3,$C178=4)</formula>
    </cfRule>
    <cfRule type="expression" dxfId="606" priority="181" stopIfTrue="1">
      <formula>AND(TIPOORCAMENTO="Licitado",$C178&lt;&gt;"L",$C178&lt;&gt;-1)</formula>
    </cfRule>
  </conditionalFormatting>
  <conditionalFormatting sqref="P178:Q178 S178:T178 Y178 AG178:AH178">
    <cfRule type="expression" dxfId="605" priority="182" stopIfTrue="1">
      <formula>$C178=1</formula>
    </cfRule>
    <cfRule type="expression" dxfId="604" priority="183" stopIfTrue="1">
      <formula>OR($C178=0,$C178=2,$C178=3,$C178=4)</formula>
    </cfRule>
  </conditionalFormatting>
  <conditionalFormatting sqref="R178">
    <cfRule type="beginsWith" dxfId="603" priority="175" operator="beginsWith" text="(">
      <formula>LEFT(R178,LEN("("))="("</formula>
    </cfRule>
  </conditionalFormatting>
  <conditionalFormatting sqref="X178">
    <cfRule type="expression" dxfId="602" priority="173" stopIfTrue="1">
      <formula>$C178=1</formula>
    </cfRule>
    <cfRule type="expression" dxfId="601" priority="174" stopIfTrue="1">
      <formula>OR($C178=0,$C178=2,$C178=3,$C178=4)</formula>
    </cfRule>
  </conditionalFormatting>
  <conditionalFormatting sqref="M174:M175">
    <cfRule type="cellIs" dxfId="600" priority="143" stopIfTrue="1" operator="notEqual">
      <formula>$N174</formula>
    </cfRule>
  </conditionalFormatting>
  <conditionalFormatting sqref="N174:O175 R174:R175 W174:W175">
    <cfRule type="expression" dxfId="599" priority="144" stopIfTrue="1">
      <formula>$C174=1</formula>
    </cfRule>
    <cfRule type="expression" dxfId="598" priority="145" stopIfTrue="1">
      <formula>OR($C174=0,$C174=2,$C174=3,$C174=4)</formula>
    </cfRule>
  </conditionalFormatting>
  <conditionalFormatting sqref="U174:V175">
    <cfRule type="expression" dxfId="597" priority="146" stopIfTrue="1">
      <formula>$C174=1</formula>
    </cfRule>
    <cfRule type="expression" dxfId="596" priority="147" stopIfTrue="1">
      <formula>OR($C174=0,$C174=2,$C174=3,$C174=4)</formula>
    </cfRule>
    <cfRule type="expression" dxfId="595" priority="148" stopIfTrue="1">
      <formula>AND(TIPOORCAMENTO="Licitado",$C174&lt;&gt;"L",$C174&lt;&gt;-1)</formula>
    </cfRule>
  </conditionalFormatting>
  <conditionalFormatting sqref="P174:Q175 S174:T175 Y174:Y175 AG174:AH175">
    <cfRule type="expression" dxfId="594" priority="149" stopIfTrue="1">
      <formula>$C174=1</formula>
    </cfRule>
    <cfRule type="expression" dxfId="593" priority="150" stopIfTrue="1">
      <formula>OR($C174=0,$C174=2,$C174=3,$C174=4)</formula>
    </cfRule>
  </conditionalFormatting>
  <conditionalFormatting sqref="R174:R175">
    <cfRule type="beginsWith" dxfId="592" priority="142" operator="beginsWith" text="(">
      <formula>LEFT(R174,LEN("("))="("</formula>
    </cfRule>
  </conditionalFormatting>
  <conditionalFormatting sqref="X174:X175">
    <cfRule type="expression" dxfId="591" priority="140" stopIfTrue="1">
      <formula>$C174=1</formula>
    </cfRule>
    <cfRule type="expression" dxfId="590" priority="141" stopIfTrue="1">
      <formula>OR($C174=0,$C174=2,$C174=3,$C174=4)</formula>
    </cfRule>
  </conditionalFormatting>
  <conditionalFormatting sqref="M189">
    <cfRule type="cellIs" dxfId="589" priority="132" stopIfTrue="1" operator="notEqual">
      <formula>$N189</formula>
    </cfRule>
  </conditionalFormatting>
  <conditionalFormatting sqref="N189:O189 R189 W189">
    <cfRule type="expression" dxfId="588" priority="133" stopIfTrue="1">
      <formula>$C189=1</formula>
    </cfRule>
    <cfRule type="expression" dxfId="587" priority="134" stopIfTrue="1">
      <formula>OR($C189=0,$C189=2,$C189=3,$C189=4)</formula>
    </cfRule>
  </conditionalFormatting>
  <conditionalFormatting sqref="U189:V189">
    <cfRule type="expression" dxfId="586" priority="135" stopIfTrue="1">
      <formula>$C189=1</formula>
    </cfRule>
    <cfRule type="expression" dxfId="585" priority="136" stopIfTrue="1">
      <formula>OR($C189=0,$C189=2,$C189=3,$C189=4)</formula>
    </cfRule>
    <cfRule type="expression" dxfId="584" priority="137" stopIfTrue="1">
      <formula>AND(TIPOORCAMENTO="Licitado",$C189&lt;&gt;"L",$C189&lt;&gt;-1)</formula>
    </cfRule>
  </conditionalFormatting>
  <conditionalFormatting sqref="P189:Q189 S189:T189 Y189 AG189:AH189">
    <cfRule type="expression" dxfId="583" priority="138" stopIfTrue="1">
      <formula>$C189=1</formula>
    </cfRule>
    <cfRule type="expression" dxfId="582" priority="139" stopIfTrue="1">
      <formula>OR($C189=0,$C189=2,$C189=3,$C189=4)</formula>
    </cfRule>
  </conditionalFormatting>
  <conditionalFormatting sqref="R189">
    <cfRule type="beginsWith" dxfId="581" priority="131" operator="beginsWith" text="(">
      <formula>LEFT(R189,LEN("("))="("</formula>
    </cfRule>
  </conditionalFormatting>
  <conditionalFormatting sqref="X189">
    <cfRule type="expression" dxfId="580" priority="129" stopIfTrue="1">
      <formula>$C189=1</formula>
    </cfRule>
    <cfRule type="expression" dxfId="579" priority="130" stopIfTrue="1">
      <formula>OR($C189=0,$C189=2,$C189=3,$C189=4)</formula>
    </cfRule>
  </conditionalFormatting>
  <conditionalFormatting sqref="M26:M27">
    <cfRule type="cellIs" dxfId="578" priority="121" stopIfTrue="1" operator="notEqual">
      <formula>$N26</formula>
    </cfRule>
  </conditionalFormatting>
  <conditionalFormatting sqref="N26:O27 R26:R27 W26:W27">
    <cfRule type="expression" dxfId="577" priority="122" stopIfTrue="1">
      <formula>$C26=1</formula>
    </cfRule>
    <cfRule type="expression" dxfId="576" priority="123" stopIfTrue="1">
      <formula>OR($C26=0,$C26=2,$C26=3,$C26=4)</formula>
    </cfRule>
  </conditionalFormatting>
  <conditionalFormatting sqref="U26:V27">
    <cfRule type="expression" dxfId="575" priority="124" stopIfTrue="1">
      <formula>$C26=1</formula>
    </cfRule>
    <cfRule type="expression" dxfId="574" priority="125" stopIfTrue="1">
      <formula>OR($C26=0,$C26=2,$C26=3,$C26=4)</formula>
    </cfRule>
    <cfRule type="expression" dxfId="573" priority="126" stopIfTrue="1">
      <formula>AND(TIPOORCAMENTO="Licitado",$C26&lt;&gt;"L",$C26&lt;&gt;-1)</formula>
    </cfRule>
  </conditionalFormatting>
  <conditionalFormatting sqref="P26:Q27 S26:T27 Y26:Y27 AG26:AH27">
    <cfRule type="expression" dxfId="572" priority="127" stopIfTrue="1">
      <formula>$C26=1</formula>
    </cfRule>
    <cfRule type="expression" dxfId="571" priority="128" stopIfTrue="1">
      <formula>OR($C26=0,$C26=2,$C26=3,$C26=4)</formula>
    </cfRule>
  </conditionalFormatting>
  <conditionalFormatting sqref="R26:R27">
    <cfRule type="beginsWith" dxfId="570" priority="120" operator="beginsWith" text="(">
      <formula>LEFT(R26,LEN("("))="("</formula>
    </cfRule>
  </conditionalFormatting>
  <conditionalFormatting sqref="X26:X27">
    <cfRule type="expression" dxfId="569" priority="118" stopIfTrue="1">
      <formula>$C26=1</formula>
    </cfRule>
    <cfRule type="expression" dxfId="568" priority="119" stopIfTrue="1">
      <formula>OR($C26=0,$C26=2,$C26=3,$C26=4)</formula>
    </cfRule>
  </conditionalFormatting>
  <conditionalFormatting sqref="M111:M112">
    <cfRule type="cellIs" dxfId="567" priority="99" stopIfTrue="1" operator="notEqual">
      <formula>$N111</formula>
    </cfRule>
  </conditionalFormatting>
  <conditionalFormatting sqref="N111:O112 R111:R112 W111:W112">
    <cfRule type="expression" dxfId="566" priority="100" stopIfTrue="1">
      <formula>$C111=1</formula>
    </cfRule>
    <cfRule type="expression" dxfId="565" priority="101" stopIfTrue="1">
      <formula>OR($C111=0,$C111=2,$C111=3,$C111=4)</formula>
    </cfRule>
  </conditionalFormatting>
  <conditionalFormatting sqref="U111:V112">
    <cfRule type="expression" dxfId="564" priority="102" stopIfTrue="1">
      <formula>$C111=1</formula>
    </cfRule>
    <cfRule type="expression" dxfId="563" priority="103" stopIfTrue="1">
      <formula>OR($C111=0,$C111=2,$C111=3,$C111=4)</formula>
    </cfRule>
    <cfRule type="expression" dxfId="562" priority="104" stopIfTrue="1">
      <formula>AND(TIPOORCAMENTO="Licitado",$C111&lt;&gt;"L",$C111&lt;&gt;-1)</formula>
    </cfRule>
  </conditionalFormatting>
  <conditionalFormatting sqref="P111:Q112 S111:T112 Y111:Y112 AG111:AH112">
    <cfRule type="expression" dxfId="561" priority="105" stopIfTrue="1">
      <formula>$C111=1</formula>
    </cfRule>
    <cfRule type="expression" dxfId="560" priority="106" stopIfTrue="1">
      <formula>OR($C111=0,$C111=2,$C111=3,$C111=4)</formula>
    </cfRule>
  </conditionalFormatting>
  <conditionalFormatting sqref="R111:R112">
    <cfRule type="beginsWith" dxfId="559" priority="98" operator="beginsWith" text="(">
      <formula>LEFT(R111,LEN("("))="("</formula>
    </cfRule>
  </conditionalFormatting>
  <conditionalFormatting sqref="X111:X112">
    <cfRule type="expression" dxfId="558" priority="96" stopIfTrue="1">
      <formula>$C111=1</formula>
    </cfRule>
    <cfRule type="expression" dxfId="557" priority="97" stopIfTrue="1">
      <formula>OR($C111=0,$C111=2,$C111=3,$C111=4)</formula>
    </cfRule>
  </conditionalFormatting>
  <conditionalFormatting sqref="M82:M83">
    <cfRule type="cellIs" dxfId="556" priority="88" stopIfTrue="1" operator="notEqual">
      <formula>$N82</formula>
    </cfRule>
  </conditionalFormatting>
  <conditionalFormatting sqref="N82:O83 R82:R83 W82:W83">
    <cfRule type="expression" dxfId="555" priority="89" stopIfTrue="1">
      <formula>$C82=1</formula>
    </cfRule>
    <cfRule type="expression" dxfId="554" priority="90" stopIfTrue="1">
      <formula>OR($C82=0,$C82=2,$C82=3,$C82=4)</formula>
    </cfRule>
  </conditionalFormatting>
  <conditionalFormatting sqref="U82:V83">
    <cfRule type="expression" dxfId="553" priority="91" stopIfTrue="1">
      <formula>$C82=1</formula>
    </cfRule>
    <cfRule type="expression" dxfId="552" priority="92" stopIfTrue="1">
      <formula>OR($C82=0,$C82=2,$C82=3,$C82=4)</formula>
    </cfRule>
    <cfRule type="expression" dxfId="551" priority="93" stopIfTrue="1">
      <formula>AND(TIPOORCAMENTO="Licitado",$C82&lt;&gt;"L",$C82&lt;&gt;-1)</formula>
    </cfRule>
  </conditionalFormatting>
  <conditionalFormatting sqref="P82:Q83 S82:T83 Y82:Y83 AG82:AH83">
    <cfRule type="expression" dxfId="550" priority="94" stopIfTrue="1">
      <formula>$C82=1</formula>
    </cfRule>
    <cfRule type="expression" dxfId="549" priority="95" stopIfTrue="1">
      <formula>OR($C82=0,$C82=2,$C82=3,$C82=4)</formula>
    </cfRule>
  </conditionalFormatting>
  <conditionalFormatting sqref="R82:R83">
    <cfRule type="beginsWith" dxfId="548" priority="87" operator="beginsWith" text="(">
      <formula>LEFT(R82,LEN("("))="("</formula>
    </cfRule>
  </conditionalFormatting>
  <conditionalFormatting sqref="X82:X83">
    <cfRule type="expression" dxfId="547" priority="85" stopIfTrue="1">
      <formula>$C82=1</formula>
    </cfRule>
    <cfRule type="expression" dxfId="546" priority="86" stopIfTrue="1">
      <formula>OR($C82=0,$C82=2,$C82=3,$C82=4)</formula>
    </cfRule>
  </conditionalFormatting>
  <conditionalFormatting sqref="R221:R223">
    <cfRule type="beginsWith" dxfId="545" priority="56" operator="beginsWith" text="(">
      <formula>LEFT(R221,LEN("("))="("</formula>
    </cfRule>
  </conditionalFormatting>
  <conditionalFormatting sqref="X221:X223">
    <cfRule type="expression" dxfId="544" priority="54" stopIfTrue="1">
      <formula>$C221=1</formula>
    </cfRule>
    <cfRule type="expression" dxfId="543" priority="55" stopIfTrue="1">
      <formula>OR($C221=0,$C221=2,$C221=3,$C221=4)</formula>
    </cfRule>
  </conditionalFormatting>
  <conditionalFormatting sqref="R224:R225">
    <cfRule type="beginsWith" dxfId="542" priority="53" operator="beginsWith" text="(">
      <formula>LEFT(R224,LEN("("))="("</formula>
    </cfRule>
  </conditionalFormatting>
  <conditionalFormatting sqref="X224:X225">
    <cfRule type="expression" dxfId="541" priority="51" stopIfTrue="1">
      <formula>$C224=1</formula>
    </cfRule>
    <cfRule type="expression" dxfId="540" priority="52" stopIfTrue="1">
      <formula>OR($C224=0,$C224=2,$C224=3,$C224=4)</formula>
    </cfRule>
  </conditionalFormatting>
  <conditionalFormatting sqref="M98 M100:M107">
    <cfRule type="cellIs" dxfId="539" priority="37" stopIfTrue="1" operator="notEqual">
      <formula>$N98</formula>
    </cfRule>
  </conditionalFormatting>
  <conditionalFormatting sqref="N98:O98 R98 W98 W100:W107 R100:R107 N100:O107">
    <cfRule type="expression" dxfId="538" priority="38" stopIfTrue="1">
      <formula>$C98=1</formula>
    </cfRule>
    <cfRule type="expression" dxfId="537" priority="39" stopIfTrue="1">
      <formula>OR($C98=0,$C98=2,$C98=3,$C98=4)</formula>
    </cfRule>
  </conditionalFormatting>
  <conditionalFormatting sqref="U98:V98 U100:V107">
    <cfRule type="expression" dxfId="536" priority="40" stopIfTrue="1">
      <formula>$C98=1</formula>
    </cfRule>
    <cfRule type="expression" dxfId="535" priority="41" stopIfTrue="1">
      <formula>OR($C98=0,$C98=2,$C98=3,$C98=4)</formula>
    </cfRule>
    <cfRule type="expression" dxfId="534" priority="42" stopIfTrue="1">
      <formula>AND(TIPOORCAMENTO="Licitado",$C98&lt;&gt;"L",$C98&lt;&gt;-1)</formula>
    </cfRule>
  </conditionalFormatting>
  <conditionalFormatting sqref="P98:Q98 S98:T98 Y98 AG98:AH98 AG100:AH107 Y100:Y107 S100:T107 P100:Q107">
    <cfRule type="expression" dxfId="533" priority="43" stopIfTrue="1">
      <formula>$C98=1</formula>
    </cfRule>
    <cfRule type="expression" dxfId="532" priority="44" stopIfTrue="1">
      <formula>OR($C98=0,$C98=2,$C98=3,$C98=4)</formula>
    </cfRule>
  </conditionalFormatting>
  <conditionalFormatting sqref="R98 R100:R107">
    <cfRule type="beginsWith" dxfId="531" priority="36" operator="beginsWith" text="(">
      <formula>LEFT(R98,LEN("("))="("</formula>
    </cfRule>
  </conditionalFormatting>
  <conditionalFormatting sqref="X98 X100:X107">
    <cfRule type="expression" dxfId="530" priority="34" stopIfTrue="1">
      <formula>$C98=1</formula>
    </cfRule>
    <cfRule type="expression" dxfId="529" priority="35" stopIfTrue="1">
      <formula>OR($C98=0,$C98=2,$C98=3,$C98=4)</formula>
    </cfRule>
  </conditionalFormatting>
  <conditionalFormatting sqref="M108">
    <cfRule type="cellIs" dxfId="528" priority="26" stopIfTrue="1" operator="notEqual">
      <formula>$N108</formula>
    </cfRule>
  </conditionalFormatting>
  <conditionalFormatting sqref="N108:O108 R108 W108">
    <cfRule type="expression" dxfId="527" priority="27" stopIfTrue="1">
      <formula>$C108=1</formula>
    </cfRule>
    <cfRule type="expression" dxfId="526" priority="28" stopIfTrue="1">
      <formula>OR($C108=0,$C108=2,$C108=3,$C108=4)</formula>
    </cfRule>
  </conditionalFormatting>
  <conditionalFormatting sqref="U108:V108">
    <cfRule type="expression" dxfId="525" priority="29" stopIfTrue="1">
      <formula>$C108=1</formula>
    </cfRule>
    <cfRule type="expression" dxfId="524" priority="30" stopIfTrue="1">
      <formula>OR($C108=0,$C108=2,$C108=3,$C108=4)</formula>
    </cfRule>
    <cfRule type="expression" dxfId="523" priority="31" stopIfTrue="1">
      <formula>AND(TIPOORCAMENTO="Licitado",$C108&lt;&gt;"L",$C108&lt;&gt;-1)</formula>
    </cfRule>
  </conditionalFormatting>
  <conditionalFormatting sqref="P108:Q108 S108:T108 Y108 AG108:AH108">
    <cfRule type="expression" dxfId="522" priority="32" stopIfTrue="1">
      <formula>$C108=1</formula>
    </cfRule>
    <cfRule type="expression" dxfId="521" priority="33" stopIfTrue="1">
      <formula>OR($C108=0,$C108=2,$C108=3,$C108=4)</formula>
    </cfRule>
  </conditionalFormatting>
  <conditionalFormatting sqref="R108">
    <cfRule type="beginsWith" dxfId="520" priority="25" operator="beginsWith" text="(">
      <formula>LEFT(R108,LEN("("))="("</formula>
    </cfRule>
  </conditionalFormatting>
  <conditionalFormatting sqref="X108">
    <cfRule type="expression" dxfId="519" priority="23" stopIfTrue="1">
      <formula>$C108=1</formula>
    </cfRule>
    <cfRule type="expression" dxfId="518" priority="24" stopIfTrue="1">
      <formula>OR($C108=0,$C108=2,$C108=3,$C108=4)</formula>
    </cfRule>
  </conditionalFormatting>
  <conditionalFormatting sqref="M99">
    <cfRule type="cellIs" dxfId="517" priority="15" stopIfTrue="1" operator="notEqual">
      <formula>$N99</formula>
    </cfRule>
  </conditionalFormatting>
  <conditionalFormatting sqref="N99:O99 R99 W99">
    <cfRule type="expression" dxfId="516" priority="16" stopIfTrue="1">
      <formula>$C99=1</formula>
    </cfRule>
    <cfRule type="expression" dxfId="515" priority="17" stopIfTrue="1">
      <formula>OR($C99=0,$C99=2,$C99=3,$C99=4)</formula>
    </cfRule>
  </conditionalFormatting>
  <conditionalFormatting sqref="U99:V99">
    <cfRule type="expression" dxfId="514" priority="18" stopIfTrue="1">
      <formula>$C99=1</formula>
    </cfRule>
    <cfRule type="expression" dxfId="513" priority="19" stopIfTrue="1">
      <formula>OR($C99=0,$C99=2,$C99=3,$C99=4)</formula>
    </cfRule>
    <cfRule type="expression" dxfId="512" priority="20" stopIfTrue="1">
      <formula>AND(TIPOORCAMENTO="Licitado",$C99&lt;&gt;"L",$C99&lt;&gt;-1)</formula>
    </cfRule>
  </conditionalFormatting>
  <conditionalFormatting sqref="P99:Q99 S99:T99 Y99 AG99:AH99">
    <cfRule type="expression" dxfId="511" priority="21" stopIfTrue="1">
      <formula>$C99=1</formula>
    </cfRule>
    <cfRule type="expression" dxfId="510" priority="22" stopIfTrue="1">
      <formula>OR($C99=0,$C99=2,$C99=3,$C99=4)</formula>
    </cfRule>
  </conditionalFormatting>
  <conditionalFormatting sqref="R99">
    <cfRule type="beginsWith" dxfId="509" priority="14" operator="beginsWith" text="(">
      <formula>LEFT(R99,LEN("("))="("</formula>
    </cfRule>
  </conditionalFormatting>
  <conditionalFormatting sqref="X99">
    <cfRule type="expression" dxfId="508" priority="12" stopIfTrue="1">
      <formula>$C99=1</formula>
    </cfRule>
    <cfRule type="expression" dxfId="507" priority="13" stopIfTrue="1">
      <formula>OR($C99=0,$C99=2,$C99=3,$C99=4)</formula>
    </cfRule>
  </conditionalFormatting>
  <conditionalFormatting sqref="M165:M166">
    <cfRule type="cellIs" dxfId="506" priority="4" stopIfTrue="1" operator="notEqual">
      <formula>$N165</formula>
    </cfRule>
  </conditionalFormatting>
  <conditionalFormatting sqref="N165:O166 R165:R166 W165:W166">
    <cfRule type="expression" dxfId="505" priority="5" stopIfTrue="1">
      <formula>$C165=1</formula>
    </cfRule>
    <cfRule type="expression" dxfId="504" priority="6" stopIfTrue="1">
      <formula>OR($C165=0,$C165=2,$C165=3,$C165=4)</formula>
    </cfRule>
  </conditionalFormatting>
  <conditionalFormatting sqref="U165:V166">
    <cfRule type="expression" dxfId="503" priority="7" stopIfTrue="1">
      <formula>$C165=1</formula>
    </cfRule>
    <cfRule type="expression" dxfId="502" priority="8" stopIfTrue="1">
      <formula>OR($C165=0,$C165=2,$C165=3,$C165=4)</formula>
    </cfRule>
    <cfRule type="expression" dxfId="501" priority="9" stopIfTrue="1">
      <formula>AND(TIPOORCAMENTO="Licitado",$C165&lt;&gt;"L",$C165&lt;&gt;-1)</formula>
    </cfRule>
  </conditionalFormatting>
  <conditionalFormatting sqref="P165:Q166 S165:T166 Y165:Y166 AG165:AH166">
    <cfRule type="expression" dxfId="500" priority="10" stopIfTrue="1">
      <formula>$C165=1</formula>
    </cfRule>
    <cfRule type="expression" dxfId="499" priority="11" stopIfTrue="1">
      <formula>OR($C165=0,$C165=2,$C165=3,$C165=4)</formula>
    </cfRule>
  </conditionalFormatting>
  <conditionalFormatting sqref="R165:R166">
    <cfRule type="beginsWith" dxfId="498" priority="3" operator="beginsWith" text="(">
      <formula>LEFT(R165,LEN("("))="("</formula>
    </cfRule>
  </conditionalFormatting>
  <conditionalFormatting sqref="X165:X166">
    <cfRule type="expression" dxfId="497" priority="1" stopIfTrue="1">
      <formula>$C165=1</formula>
    </cfRule>
    <cfRule type="expression" dxfId="496" priority="2" stopIfTrue="1">
      <formula>OR($C165=0,$C165=2,$C165=3,$C165=4)</formula>
    </cfRule>
  </conditionalFormatting>
  <dataValidations count="8">
    <dataValidation type="decimal" operator="greaterThan" allowBlank="1" showErrorMessage="1" error="Apenas números decimais maiores que zero." sqref="U14 AL14 AJ14 U16:U230 AL16:AL230 AJ16:AJ230" xr:uid="{00000000-0002-0000-0400-000000000000}">
      <formula1>0</formula1>
      <formula2>0</formula2>
    </dataValidation>
    <dataValidation type="list" allowBlank="1" sqref="P14 P16:P230"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30" xr:uid="{00000000-0002-0000-0400-000002000000}">
      <formula1>"RA,RP,CP,OU"</formula1>
      <formula2>0</formula2>
    </dataValidation>
    <dataValidation type="list" showErrorMessage="1" errorTitle="Erro de Entrada" error="Selecione somente os itens da lista." promptTitle="Nível:" prompt="Selecione na lista o nível de itemização da Planilha." sqref="M14 M16:M230" xr:uid="{00000000-0002-0000-0400-000004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230"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230" xr:uid="{00000000-0002-0000-0400-000006000000}"/>
    <dataValidation type="list" errorStyle="information" allowBlank="1" showInputMessage="1" prompt="Selecione uma sigla de unidade na lista suspensa." sqref="S14 S16:S230" xr:uid="{C5291EE7-CEB6-4383-A3D0-59315FB79EED}">
      <formula1>ListaTgov.Unidades</formula1>
    </dataValidation>
    <dataValidation type="list" errorStyle="warning" allowBlank="1" showErrorMessage="1" errorTitle="Aviso BDI" error="Selecione um dos 3 BDI da lista._x000a__x000a_Caso tenha mais de 3 BDI nesta Planilha Orçamentária digite apenas valor percentual." sqref="V14 V16:V230" xr:uid="{FEC1A507-6214-4B96-A2C3-3FFAFAF5E673}">
      <formula1>"BDI 1; BDI 2; BDI 3; 0,00%"</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&amp;LPMv3.12&amp;R&amp;P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66675</xdr:rowOff>
                  </from>
                  <to>
                    <xdr:col>19</xdr:col>
                    <xdr:colOff>904875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447675</xdr:colOff>
                    <xdr:row>9</xdr:row>
                    <xdr:rowOff>66675</xdr:rowOff>
                  </from>
                  <to>
                    <xdr:col>20</xdr:col>
                    <xdr:colOff>876300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295275</xdr:colOff>
                    <xdr:row>9</xdr:row>
                    <xdr:rowOff>66675</xdr:rowOff>
                  </from>
                  <to>
                    <xdr:col>21</xdr:col>
                    <xdr:colOff>714375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371475</xdr:colOff>
                    <xdr:row>9</xdr:row>
                    <xdr:rowOff>66675</xdr:rowOff>
                  </from>
                  <to>
                    <xdr:col>22</xdr:col>
                    <xdr:colOff>790575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447675</xdr:colOff>
                    <xdr:row>9</xdr:row>
                    <xdr:rowOff>47625</xdr:rowOff>
                  </from>
                  <to>
                    <xdr:col>23</xdr:col>
                    <xdr:colOff>876300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7"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7" t="str">
        <f t="shared" ref="A1" si="0">IF(D1="","","F")</f>
        <v/>
      </c>
      <c r="B1" t="e">
        <f ca="1">IF(OR(C1=" ",D1=""),"",CONCATENATE(C1,". ",D1))</f>
        <v>#REF!</v>
      </c>
      <c r="C1" s="183" t="e" cm="1">
        <f t="array" aca="1" ref="C1" ca="1">IF(OR(ROW(C1)=ROW(EVENTOS.firstrow)+1,AND(OFFSET(C1,-1,0)&lt;&gt;" ",OFFSET(C1,-1,1)&lt;&gt;"")),OFFSET(C1,-1,0)+1," ")</f>
        <v>#REF!</v>
      </c>
      <c r="D1" s="497"/>
      <c r="E1" s="621" cm="1">
        <f t="array" aca="1" ref="E1" ca="1">IF(AUTOEVENTO="Manual",ROUND(SUMPRODUCT((CÁLCULO!$M$15:$M$231=EVENTOS!$C1)*(OFFSET(CÁLCULO!$AA$15:$AA$231,0,E$13))),2),0)</f>
        <v>0</v>
      </c>
      <c r="F1" s="184">
        <f ca="1">IF(AUTOEVENTO="Manual",ROUND(SUMPRODUCT((CÁLCULO!$M$15:$M$231=EVENTOS!$C1)*(OFFSET(CÁLCULO!$AA$15,0,1):OFFSET(CÁLCULO!$AL$231,0,-1))),2),0)</f>
        <v>0</v>
      </c>
      <c r="G1" s="622" t="str">
        <f ca="1">IF(AND(D1=0,F1&gt;0),"NOME",
 IF(AND(D1&lt;&gt;0,$F$14&gt;0,F1=0),"VALOR",
 IF(AND(Import.TipoArredondamento="TransfereGOV",$A1="F",LEN(D1)&gt;100),"Nome &gt;100","")))</f>
        <v/>
      </c>
      <c r="H1" s="621" cm="1">
        <f t="array" aca="1" ref="H1" ca="1">IF(AUTOEVENTO="Manual",ROUND(SUMPRODUCT((CÁLCULO!$M$15:$M$231=EVENTOS!$C1)*(OFFSET(CÁLCULO!$AA$15:$AA$231,0,H$13))),2),0)</f>
        <v>0</v>
      </c>
      <c r="I1" s="621" cm="1">
        <f t="array" aca="1" ref="I1" ca="1">IF(AUTOEVENTO="Manual",ROUND(SUMPRODUCT((CÁLCULO!$M$15:$M$231=EVENTOS!$C1)*(OFFSET(CÁLCULO!$AA$15:$AA$231,0,I$13))),2),0)</f>
        <v>0</v>
      </c>
      <c r="J1" s="621" cm="1">
        <f t="array" aca="1" ref="J1" ca="1">IF(AUTOEVENTO="Manual",ROUND(SUMPRODUCT((CÁLCULO!$M$15:$M$231=EVENTOS!$C1)*(OFFSET(CÁLCULO!$AA$15:$AA$231,0,J$13))),2),0)</f>
        <v>0</v>
      </c>
      <c r="K1" s="621" cm="1">
        <f t="array" aca="1" ref="K1" ca="1">IF(AUTOEVENTO="Manual",ROUND(SUMPRODUCT((CÁLCULO!$M$15:$M$231=EVENTOS!$C1)*(OFFSET(CÁLCULO!$AA$15:$AA$231,0,K$13))),2),0)</f>
        <v>0</v>
      </c>
      <c r="L1" s="621" cm="1">
        <f t="array" aca="1" ref="L1" ca="1">IF(AUTOEVENTO="Manual",ROUND(SUMPRODUCT((CÁLCULO!$M$15:$M$231=EVENTOS!$C1)*(OFFSET(CÁLCULO!$AA$15:$AA$231,0,L$13))),2),0)</f>
        <v>0</v>
      </c>
      <c r="M1" s="621" cm="1">
        <f t="array" aca="1" ref="M1" ca="1">IF(AUTOEVENTO="Manual",ROUND(SUMPRODUCT((CÁLCULO!$M$15:$M$231=EVENTOS!$C1)*(OFFSET(CÁLCULO!$AA$15:$AA$231,0,M$13))),2),0)</f>
        <v>0</v>
      </c>
      <c r="N1" s="621" cm="1">
        <f t="array" aca="1" ref="N1" ca="1">IF(AUTOEVENTO="Manual",ROUND(SUMPRODUCT((CÁLCULO!$M$15:$M$231=EVENTOS!$C1)*(OFFSET(CÁLCULO!$AA$15:$AA$231,0,N$13))),2),0)</f>
        <v>0</v>
      </c>
      <c r="O1" s="621" cm="1">
        <f t="array" aca="1" ref="O1" ca="1">IF(AUTOEVENTO="Manual",ROUND(SUMPRODUCT((CÁLCULO!$M$15:$M$231=EVENTOS!$C1)*(OFFSET(CÁLCULO!$AA$15:$AA$231,0,O$13))),2),0)</f>
        <v>0</v>
      </c>
      <c r="P1" s="621" cm="1">
        <f t="array" aca="1" ref="P1" ca="1">IF(AUTOEVENTO="Manual",ROUND(SUMPRODUCT((CÁLCULO!$M$15:$M$231=EVENTOS!$C1)*(OFFSET(CÁLCULO!$AA$15:$AA$231,0,P$13))),2),0)</f>
        <v>0</v>
      </c>
      <c r="Q1" s="621" cm="1">
        <f t="array" aca="1" ref="Q1" ca="1">IF(AUTOEVENTO="Manual",ROUND(SUMPRODUCT((CÁLCULO!$M$15:$M$231=EVENTOS!$C1)*(OFFSET(CÁLCULO!$AA$15:$AA$231,0,Q$13))),2),0)</f>
        <v>0</v>
      </c>
      <c r="R1" s="621" cm="1">
        <f t="array" aca="1" ref="R1" ca="1">IF(AUTOEVENTO="Manual",ROUND(SUMPRODUCT((CÁLCULO!$M$15:$M$231=EVENTOS!$C1)*(OFFSET(CÁLCULO!$AA$15:$AA$231,0,R$13))),2),0)</f>
        <v>0</v>
      </c>
      <c r="S1" s="621" cm="1">
        <f t="array" aca="1" ref="S1" ca="1">IF(AUTOEVENTO="Manual",ROUND(SUMPRODUCT((CÁLCULO!$M$15:$M$231=EVENTOS!$C1)*(OFFSET(CÁLCULO!$AA$15:$AA$231,0,S$13))),2),0)</f>
        <v>0</v>
      </c>
      <c r="T1" s="621" cm="1">
        <f t="array" aca="1" ref="T1" ca="1">IF(AUTOEVENTO="Manual",ROUND(SUMPRODUCT((CÁLCULO!$M$15:$M$231=EVENTOS!$C1)*(OFFSET(CÁLCULO!$AA$15:$AA$231,0,T$13))),2),0)</f>
        <v>0</v>
      </c>
      <c r="U1" s="621" cm="1">
        <f t="array" aca="1" ref="U1" ca="1">IF(AUTOEVENTO="Manual",ROUND(SUMPRODUCT((CÁLCULO!$M$15:$M$231=EVENTOS!$C1)*(OFFSET(CÁLCULO!$AA$15:$AA$231,0,U$13))),2),0)</f>
        <v>0</v>
      </c>
      <c r="V1" s="621" cm="1">
        <f t="array" aca="1" ref="V1" ca="1">IF(AUTOEVENTO="Manual",ROUND(SUMPRODUCT((CÁLCULO!$M$15:$M$231=EVENTOS!$C1)*(OFFSET(CÁLCULO!$AA$15:$AA$231,0,V$13))),2),0)</f>
        <v>0</v>
      </c>
      <c r="W1" s="621" cm="1">
        <f t="array" aca="1" ref="W1" ca="1">IF(AUTOEVENTO="Manual",ROUND(SUMPRODUCT((CÁLCULO!$M$15:$M$231=EVENTOS!$C1)*(OFFSET(CÁLCULO!$AA$15:$AA$231,0,W$13))),2),0)</f>
        <v>0</v>
      </c>
      <c r="X1" s="621" cm="1">
        <f t="array" aca="1" ref="X1" ca="1">IF(AUTOEVENTO="Manual",ROUND(SUMPRODUCT((CÁLCULO!$M$15:$M$231=EVENTOS!$C1)*(OFFSET(CÁLCULO!$AA$15:$AA$231,0,X$13))),2),0)</f>
        <v>0</v>
      </c>
      <c r="Y1" s="621" cm="1">
        <f t="array" aca="1" ref="Y1" ca="1">IF(AUTOEVENTO="Manual",ROUND(SUMPRODUCT((CÁLCULO!$M$15:$M$231=EVENTOS!$C1)*(OFFSET(CÁLCULO!$AA$15:$AA$231,0,Y$13))),2),0)</f>
        <v>0</v>
      </c>
    </row>
    <row r="2" spans="1:26" ht="30" customHeight="1" x14ac:dyDescent="0.2">
      <c r="F2" s="82" t="s">
        <v>757</v>
      </c>
      <c r="O2" s="623" t="s">
        <v>758</v>
      </c>
      <c r="Y2" s="623" t="s">
        <v>758</v>
      </c>
    </row>
    <row r="4" spans="1:26" ht="12.75" customHeight="1" x14ac:dyDescent="0.2">
      <c r="C4" s="55" t="s">
        <v>653</v>
      </c>
      <c r="D4" s="97"/>
      <c r="E4" s="77"/>
      <c r="F4" s="209" t="s">
        <v>759</v>
      </c>
      <c r="G4" s="77"/>
      <c r="H4" s="485"/>
      <c r="I4" s="485"/>
      <c r="J4" s="485"/>
      <c r="K4" s="485"/>
      <c r="L4" s="485"/>
      <c r="N4" s="55" t="s">
        <v>651</v>
      </c>
      <c r="O4" s="505" t="s">
        <v>708</v>
      </c>
      <c r="P4" s="209" t="s">
        <v>759</v>
      </c>
      <c r="Q4" s="77"/>
      <c r="R4" s="485"/>
      <c r="S4" s="485"/>
      <c r="T4" s="485"/>
      <c r="U4" s="485"/>
      <c r="V4" s="485"/>
      <c r="X4" s="55" t="s">
        <v>651</v>
      </c>
      <c r="Y4" s="505" t="s">
        <v>708</v>
      </c>
    </row>
    <row r="5" spans="1:26" ht="12.75" customHeight="1" x14ac:dyDescent="0.2">
      <c r="C5" s="506" t="str">
        <f>Import.Proponente</f>
        <v>PREFEITURA MUNICIPAL DE PASSOS/MG</v>
      </c>
      <c r="D5" s="504"/>
      <c r="E5" s="504"/>
      <c r="F5" s="780" t="str">
        <f>Import.Apelido</f>
        <v>AMPLIAÇÃO DO SISTEMA DE ESGOTAMENTO SANITÁRIO</v>
      </c>
      <c r="G5" s="781"/>
      <c r="H5" s="781"/>
      <c r="I5" s="781"/>
      <c r="J5" s="781"/>
      <c r="K5" s="781"/>
      <c r="L5" s="781"/>
      <c r="M5" s="782"/>
      <c r="N5" s="56" t="str">
        <f>Import.CR</f>
        <v>0639.998-99</v>
      </c>
      <c r="O5" s="56" t="str">
        <f>Import.SICONV</f>
        <v>56000003291</v>
      </c>
      <c r="P5" s="780" t="str">
        <f>Import.Apelido</f>
        <v>AMPLIAÇÃO DO SISTEMA DE ESGOTAMENTO SANITÁRIO</v>
      </c>
      <c r="Q5" s="781"/>
      <c r="R5" s="781"/>
      <c r="S5" s="781"/>
      <c r="T5" s="781"/>
      <c r="U5" s="781"/>
      <c r="V5" s="781"/>
      <c r="W5" s="782"/>
      <c r="X5" s="56" t="str">
        <f>Import.CR</f>
        <v>0639.998-99</v>
      </c>
      <c r="Y5" s="56" t="str">
        <f>Import.SICONV</f>
        <v>56000003291</v>
      </c>
      <c r="Z5" t="s">
        <v>753</v>
      </c>
    </row>
    <row r="6" spans="1:26" ht="24.95" customHeight="1" x14ac:dyDescent="0.25">
      <c r="B6" t="s">
        <v>938</v>
      </c>
      <c r="C6" t="s">
        <v>760</v>
      </c>
      <c r="F6" s="522"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s="665" t="s">
        <v>941</v>
      </c>
    </row>
    <row r="8" spans="1:26" ht="16.5" thickBot="1" x14ac:dyDescent="0.3">
      <c r="B8" s="665" t="s">
        <v>942</v>
      </c>
      <c r="C8" s="776" t="s">
        <v>938</v>
      </c>
      <c r="D8" s="777"/>
      <c r="F8" s="522" t="str">
        <f>IF(ACOMPANHAMENTO="BM","",
 IF(Import.Eventos.Nível="","◄ Selecione a forma de definição dos agrupadores de eventos",
 IF(Import.Eventos.Nível="","◄ Selecione a forma de definição dos agrupadores de eventos","")))</f>
        <v/>
      </c>
    </row>
    <row r="9" spans="1:26" ht="12" customHeight="1" x14ac:dyDescent="0.2">
      <c r="B9" t="s">
        <v>940</v>
      </c>
    </row>
    <row r="10" spans="1:26" ht="33.75" customHeight="1" x14ac:dyDescent="0.2">
      <c r="C10" s="587">
        <f ca="1">COUNTIF($C$15:$C$65,"&gt;0")-1</f>
        <v>0</v>
      </c>
      <c r="D10" t="s">
        <v>753</v>
      </c>
      <c r="E10" s="778">
        <f ca="1">OFFSET(CÁLCULO!$P$12,0,EVENTOS!E$13)</f>
        <v>0</v>
      </c>
      <c r="F10" t="s">
        <v>753</v>
      </c>
      <c r="G10" s="773"/>
      <c r="H10" s="778">
        <f ca="1">OFFSET(CÁLCULO!$P$12,0,EVENTOS!H$13)</f>
        <v>0</v>
      </c>
      <c r="I10" s="778" t="str">
        <f ca="1">OFFSET(CÁLCULO!$P$12,0,EVENTOS!I$13)</f>
        <v>.</v>
      </c>
      <c r="J10" s="778" t="str">
        <f ca="1">OFFSET(CÁLCULO!$P$12,0,EVENTOS!J$13)</f>
        <v>.</v>
      </c>
      <c r="K10" s="773" t="str">
        <f ca="1">OFFSET(CÁLCULO!$P$12,0,EVENTOS!K$13)</f>
        <v>.</v>
      </c>
      <c r="L10" s="773" t="str">
        <f ca="1">OFFSET(CÁLCULO!$P$12,0,EVENTOS!L$13)</f>
        <v>.</v>
      </c>
      <c r="M10" s="773" t="str">
        <f ca="1">OFFSET(CÁLCULO!$P$12,0,EVENTOS!M$13)</f>
        <v>.</v>
      </c>
      <c r="N10" s="773" t="str">
        <f ca="1">OFFSET(CÁLCULO!$P$12,0,EVENTOS!N$13)</f>
        <v>.</v>
      </c>
      <c r="O10" s="773" t="str">
        <f ca="1">OFFSET(CÁLCULO!$P$12,0,EVENTOS!O$13)</f>
        <v>.</v>
      </c>
      <c r="P10" s="773" t="str">
        <f ca="1">OFFSET(CÁLCULO!$P$12,0,EVENTOS!P$13)</f>
        <v>.</v>
      </c>
      <c r="Q10" s="773" t="str">
        <f ca="1">OFFSET(CÁLCULO!$P$12,0,EVENTOS!Q$13)</f>
        <v>.</v>
      </c>
      <c r="R10" s="773" t="str">
        <f ca="1">OFFSET(CÁLCULO!$P$12,0,EVENTOS!R$13)</f>
        <v>.</v>
      </c>
      <c r="S10" s="773" t="str">
        <f ca="1">OFFSET(CÁLCULO!$P$12,0,EVENTOS!S$13)</f>
        <v>.</v>
      </c>
      <c r="T10" s="773" t="str">
        <f ca="1">OFFSET(CÁLCULO!$P$12,0,EVENTOS!T$13)</f>
        <v>.</v>
      </c>
      <c r="U10" s="773" t="str">
        <f ca="1">OFFSET(CÁLCULO!$P$12,0,EVENTOS!U$13)</f>
        <v>.</v>
      </c>
      <c r="V10" s="773" t="str">
        <f ca="1">OFFSET(CÁLCULO!$P$12,0,EVENTOS!V$13)</f>
        <v>.</v>
      </c>
      <c r="W10" s="773" t="str">
        <f ca="1">OFFSET(CÁLCULO!$P$12,0,EVENTOS!W$13)</f>
        <v>.</v>
      </c>
      <c r="X10" s="773" t="str">
        <f ca="1">OFFSET(CÁLCULO!$P$12,0,EVENTOS!X$13)</f>
        <v>.</v>
      </c>
      <c r="Y10" s="773" t="str">
        <f ca="1">OFFSET(CÁLCULO!$P$12,0,EVENTOS!Y$13)</f>
        <v>.</v>
      </c>
    </row>
    <row r="11" spans="1:26" ht="35.1" customHeight="1" x14ac:dyDescent="0.2">
      <c r="A11" s="508" t="s">
        <v>656</v>
      </c>
      <c r="C11" s="779"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79"/>
      <c r="E11" s="778"/>
      <c r="F11" s="498"/>
      <c r="G11" s="774"/>
      <c r="H11" s="778"/>
      <c r="I11" s="778"/>
      <c r="J11" s="778"/>
      <c r="K11" s="774"/>
      <c r="L11" s="774"/>
      <c r="M11" s="774"/>
      <c r="N11" s="774"/>
      <c r="O11" s="774"/>
      <c r="P11" s="774"/>
      <c r="Q11" s="774"/>
      <c r="R11" s="774"/>
      <c r="S11" s="774"/>
      <c r="T11" s="774"/>
      <c r="U11" s="774"/>
      <c r="V11" s="774"/>
      <c r="W11" s="774"/>
      <c r="X11" s="774"/>
      <c r="Y11" s="774"/>
    </row>
    <row r="12" spans="1:26" ht="12" customHeight="1" x14ac:dyDescent="0.2">
      <c r="A12" s="509" t="s">
        <v>661</v>
      </c>
      <c r="E12" s="778"/>
      <c r="G12" s="775"/>
      <c r="H12" s="778"/>
      <c r="I12" s="778"/>
      <c r="J12" s="778"/>
      <c r="K12" s="775"/>
      <c r="L12" s="775"/>
      <c r="M12" s="775"/>
      <c r="N12" s="775"/>
      <c r="O12" s="775"/>
      <c r="P12" s="775"/>
      <c r="Q12" s="775"/>
      <c r="R12" s="775"/>
      <c r="S12" s="775"/>
      <c r="T12" s="775"/>
      <c r="U12" s="775"/>
      <c r="V12" s="775"/>
      <c r="W12" s="775"/>
      <c r="X12" s="775"/>
      <c r="Y12" s="775"/>
    </row>
    <row r="13" spans="1:26" ht="15" x14ac:dyDescent="0.25">
      <c r="A13" s="509"/>
      <c r="C13" s="499" t="s">
        <v>761</v>
      </c>
      <c r="D13" s="624" t="s">
        <v>762</v>
      </c>
      <c r="E13" s="625">
        <f ca="1">IF(NOT(ISNUMBER(OFFSET(E13,0,-1))),1,IF(OR(OFFSET(E13,0,-1)=0,OFFSET(E13,0,-1)+1&gt;CÁLCULO.FrentesPreenchidas),0,OFFSET(E13,0,-1)+1))</f>
        <v>1</v>
      </c>
      <c r="F13" s="546" t="s">
        <v>763</v>
      </c>
      <c r="G13" s="496"/>
      <c r="H13" s="625">
        <f t="shared" ref="H13:Y13" ca="1" si="1">IF(NOT(ISNUMBER(OFFSET(H13,0,-1))),1,IF(OR(OFFSET(H13,0,-1)=0,OFFSET(H13,0,-1)+1&gt;CÁLCULO.FrentesPreenchidas),0,OFFSET(H13,0,-1)+1))</f>
        <v>1</v>
      </c>
      <c r="I13" s="625">
        <f t="shared" ca="1" si="1"/>
        <v>0</v>
      </c>
      <c r="J13" s="625">
        <f t="shared" ca="1" si="1"/>
        <v>0</v>
      </c>
      <c r="K13" s="625">
        <f t="shared" ca="1" si="1"/>
        <v>0</v>
      </c>
      <c r="L13" s="625">
        <f t="shared" ca="1" si="1"/>
        <v>0</v>
      </c>
      <c r="M13" s="625">
        <f t="shared" ca="1" si="1"/>
        <v>0</v>
      </c>
      <c r="N13" s="625">
        <f t="shared" ca="1" si="1"/>
        <v>0</v>
      </c>
      <c r="O13" s="625">
        <f t="shared" ca="1" si="1"/>
        <v>0</v>
      </c>
      <c r="P13" s="625">
        <f t="shared" ca="1" si="1"/>
        <v>0</v>
      </c>
      <c r="Q13" s="625">
        <f t="shared" ca="1" si="1"/>
        <v>0</v>
      </c>
      <c r="R13" s="625">
        <f t="shared" ca="1" si="1"/>
        <v>0</v>
      </c>
      <c r="S13" s="625">
        <f t="shared" ca="1" si="1"/>
        <v>0</v>
      </c>
      <c r="T13" s="625">
        <f t="shared" ca="1" si="1"/>
        <v>0</v>
      </c>
      <c r="U13" s="625">
        <f t="shared" ca="1" si="1"/>
        <v>0</v>
      </c>
      <c r="V13" s="625">
        <f t="shared" ca="1" si="1"/>
        <v>0</v>
      </c>
      <c r="W13" s="625">
        <f t="shared" ca="1" si="1"/>
        <v>0</v>
      </c>
      <c r="X13" s="625">
        <f t="shared" ca="1" si="1"/>
        <v>0</v>
      </c>
      <c r="Y13" s="625">
        <f t="shared" ca="1" si="1"/>
        <v>0</v>
      </c>
    </row>
    <row r="14" spans="1:26" ht="15" customHeight="1" x14ac:dyDescent="0.2">
      <c r="A14" s="507" t="s">
        <v>537</v>
      </c>
      <c r="C14" s="542"/>
      <c r="D14" s="543" t="s">
        <v>764</v>
      </c>
      <c r="E14" s="626">
        <f ca="1">SUM(E$15:E$65)</f>
        <v>0</v>
      </c>
      <c r="F14" s="544">
        <f ca="1">SUM(F$15:F$65)</f>
        <v>0</v>
      </c>
      <c r="H14" s="626">
        <f t="shared" ref="H14:Y14" ca="1" si="2">SUM(H$15:H$65)</f>
        <v>0</v>
      </c>
      <c r="I14" s="626">
        <f t="shared" ca="1" si="2"/>
        <v>0</v>
      </c>
      <c r="J14" s="626">
        <f t="shared" ca="1" si="2"/>
        <v>0</v>
      </c>
      <c r="K14" s="626">
        <f t="shared" ca="1" si="2"/>
        <v>0</v>
      </c>
      <c r="L14" s="626">
        <f t="shared" ca="1" si="2"/>
        <v>0</v>
      </c>
      <c r="M14" s="626">
        <f t="shared" ca="1" si="2"/>
        <v>0</v>
      </c>
      <c r="N14" s="626">
        <f t="shared" ca="1" si="2"/>
        <v>0</v>
      </c>
      <c r="O14" s="626">
        <f t="shared" ca="1" si="2"/>
        <v>0</v>
      </c>
      <c r="P14" s="626">
        <f t="shared" ca="1" si="2"/>
        <v>0</v>
      </c>
      <c r="Q14" s="626">
        <f t="shared" ca="1" si="2"/>
        <v>0</v>
      </c>
      <c r="R14" s="626">
        <f t="shared" ca="1" si="2"/>
        <v>0</v>
      </c>
      <c r="S14" s="626">
        <f t="shared" ca="1" si="2"/>
        <v>0</v>
      </c>
      <c r="T14" s="626">
        <f t="shared" ca="1" si="2"/>
        <v>0</v>
      </c>
      <c r="U14" s="626">
        <f t="shared" ca="1" si="2"/>
        <v>0</v>
      </c>
      <c r="V14" s="626">
        <f t="shared" ca="1" si="2"/>
        <v>0</v>
      </c>
      <c r="W14" s="626">
        <f t="shared" ca="1" si="2"/>
        <v>0</v>
      </c>
      <c r="X14" s="626">
        <f t="shared" ca="1" si="2"/>
        <v>0</v>
      </c>
      <c r="Y14" s="626">
        <f t="shared" ca="1" si="2"/>
        <v>0</v>
      </c>
    </row>
    <row r="15" spans="1:26" x14ac:dyDescent="0.2">
      <c r="A15" s="507" t="str">
        <f t="shared" ref="A15:A64" si="3">IF(D15="","","F")</f>
        <v/>
      </c>
      <c r="B15" t="str">
        <f>IF(OR(C15=" ",D15=""),"",CONCATENATE(C15,". ",D15))</f>
        <v/>
      </c>
      <c r="C15" s="547" cm="1">
        <f t="array" ref="C15">IF(AdmLocal="Automática",1,0)</f>
        <v>0</v>
      </c>
      <c r="D15" s="627" t="str">
        <f>IF(C15=1,"Administração Local","")</f>
        <v/>
      </c>
      <c r="E15" s="628">
        <f ca="1">IF($F$15=0,0,IF(E13=1,$F$15-SUM($I$15:$Z$15),ROUND(SUM(OFFSET(E15,1,0):OFFSET(E$65,-1,0))/SUM(OFFSET($F15,1,0):OFFSET($F$65,-1,0))*$F$15,2)))</f>
        <v>0</v>
      </c>
      <c r="F15" s="548" cm="1">
        <f t="array" ref="F15">IF($C$15=0,0,ROUND(SUMPRODUCT((CÁLCULO!$M$15:$M$231=EVENTOS!$C15)*(ORÇAMENTO!$X$15:'ORÇAMENTO'!$X$231)),2))</f>
        <v>0</v>
      </c>
      <c r="G15" s="629"/>
      <c r="H15" s="628">
        <f ca="1">IF($F$15=0,0,IF(H13=1,$F$15-SUM($I$15:$Z$15),ROUND(SUM(OFFSET(H15,1,0):OFFSET(H$65,-1,0))/SUM(OFFSET($F15,1,0):OFFSET($F$65,-1,0))*$F$15,2)))</f>
        <v>0</v>
      </c>
      <c r="I15" s="628">
        <f ca="1">IF($F$15=0,0,IF(I13=1,$F$15-SUM($I$15:$Z$15),ROUND(SUM(OFFSET(I15,1,0):OFFSET(I$65,-1,0))/SUM(OFFSET($F15,1,0):OFFSET($F$65,-1,0))*$F$15,2)))</f>
        <v>0</v>
      </c>
      <c r="J15" s="628">
        <f ca="1">IF($F$15=0,0,IF(J13=1,$F$15-SUM($I$15:$Z$15),ROUND(SUM(OFFSET(J15,1,0):OFFSET(J$65,-1,0))/SUM(OFFSET($F15,1,0):OFFSET($F$65,-1,0))*$F$15,2)))</f>
        <v>0</v>
      </c>
      <c r="K15" s="628">
        <f ca="1">IF($F$15=0,0,IF(K13=1,$F$15-SUM($I$15:$Z$15),ROUND(SUM(OFFSET(K15,1,0):OFFSET(K$65,-1,0))/SUM(OFFSET($F15,1,0):OFFSET($F$65,-1,0))*$F$15,2)))</f>
        <v>0</v>
      </c>
      <c r="L15" s="628">
        <f ca="1">IF($F$15=0,0,IF(L13=1,$F$15-SUM($I$15:$Z$15),ROUND(SUM(OFFSET(L15,1,0):OFFSET(L$65,-1,0))/SUM(OFFSET($F15,1,0):OFFSET($F$65,-1,0))*$F$15,2)))</f>
        <v>0</v>
      </c>
      <c r="M15" s="628">
        <f ca="1">IF($F$15=0,0,IF(M13=1,$F$15-SUM($I$15:$Z$15),ROUND(SUM(OFFSET(M15,1,0):OFFSET(M$65,-1,0))/SUM(OFFSET($F15,1,0):OFFSET($F$65,-1,0))*$F$15,2)))</f>
        <v>0</v>
      </c>
      <c r="N15" s="628">
        <f ca="1">IF($F$15=0,0,IF(N13=1,$F$15-SUM($I$15:$Z$15),ROUND(SUM(OFFSET(N15,1,0):OFFSET(N$65,-1,0))/SUM(OFFSET($F15,1,0):OFFSET($F$65,-1,0))*$F$15,2)))</f>
        <v>0</v>
      </c>
      <c r="O15" s="628">
        <f ca="1">IF($F$15=0,0,IF(O13=1,$F$15-SUM($I$15:$Z$15),ROUND(SUM(OFFSET(O15,1,0):OFFSET(O$65,-1,0))/SUM(OFFSET($F15,1,0):OFFSET($F$65,-1,0))*$F$15,2)))</f>
        <v>0</v>
      </c>
      <c r="P15" s="628">
        <f ca="1">IF($F$15=0,0,IF(P13=1,$F$15-SUM($I$15:$Z$15),ROUND(SUM(OFFSET(P15,1,0):OFFSET(P$65,-1,0))/SUM(OFFSET($F15,1,0):OFFSET($F$65,-1,0))*$F$15,2)))</f>
        <v>0</v>
      </c>
      <c r="Q15" s="628">
        <f ca="1">IF($F$15=0,0,IF(Q13=1,$F$15-SUM($I$15:$Z$15),ROUND(SUM(OFFSET(Q15,1,0):OFFSET(Q$65,-1,0))/SUM(OFFSET($F15,1,0):OFFSET($F$65,-1,0))*$F$15,2)))</f>
        <v>0</v>
      </c>
      <c r="R15" s="628">
        <f ca="1">IF($F$15=0,0,IF(R13=1,$F$15-SUM($I$15:$Z$15),ROUND(SUM(OFFSET(R15,1,0):OFFSET(R$65,-1,0))/SUM(OFFSET($F15,1,0):OFFSET($F$65,-1,0))*$F$15,2)))</f>
        <v>0</v>
      </c>
      <c r="S15" s="628">
        <f ca="1">IF($F$15=0,0,IF(S13=1,$F$15-SUM($I$15:$Z$15),ROUND(SUM(OFFSET(S15,1,0):OFFSET(S$65,-1,0))/SUM(OFFSET($F15,1,0):OFFSET($F$65,-1,0))*$F$15,2)))</f>
        <v>0</v>
      </c>
      <c r="T15" s="628">
        <f ca="1">IF($F$15=0,0,IF(T13=1,$F$15-SUM($I$15:$Z$15),ROUND(SUM(OFFSET(T15,1,0):OFFSET(T$65,-1,0))/SUM(OFFSET($F15,1,0):OFFSET($F$65,-1,0))*$F$15,2)))</f>
        <v>0</v>
      </c>
      <c r="U15" s="628">
        <f ca="1">IF($F$15=0,0,IF(U13=1,$F$15-SUM($I$15:$Z$15),ROUND(SUM(OFFSET(U15,1,0):OFFSET(U$65,-1,0))/SUM(OFFSET($F15,1,0):OFFSET($F$65,-1,0))*$F$15,2)))</f>
        <v>0</v>
      </c>
      <c r="V15" s="628">
        <f ca="1">IF($F$15=0,0,IF(V13=1,$F$15-SUM($I$15:$Z$15),ROUND(SUM(OFFSET(V15,1,0):OFFSET(V$65,-1,0))/SUM(OFFSET($F15,1,0):OFFSET($F$65,-1,0))*$F$15,2)))</f>
        <v>0</v>
      </c>
      <c r="W15" s="628">
        <f ca="1">IF($F$15=0,0,IF(W13=1,$F$15-SUM($I$15:$Z$15),ROUND(SUM(OFFSET(W15,1,0):OFFSET(W$65,-1,0))/SUM(OFFSET($F15,1,0):OFFSET($F$65,-1,0))*$F$15,2)))</f>
        <v>0</v>
      </c>
      <c r="X15" s="628">
        <f ca="1">IF($F$15=0,0,IF(X13=1,$F$15-SUM($I$15:$Z$15),ROUND(SUM(OFFSET(X15,1,0):OFFSET(X$65,-1,0))/SUM(OFFSET($F15,1,0):OFFSET($F$65,-1,0))*$F$15,2)))</f>
        <v>0</v>
      </c>
      <c r="Y15" s="628">
        <f ca="1">IF($F$15=0,0,IF(Y13=1,$F$15-SUM($I$15:$Z$15),ROUND(SUM(OFFSET(Y15,1,0):OFFSET(Y$65,-1,0))/SUM(OFFSET($F15,1,0):OFFSET($F$65,-1,0))*$F$15,2)))</f>
        <v>0</v>
      </c>
    </row>
    <row r="16" spans="1:26" s="675" customFormat="1" x14ac:dyDescent="0.2">
      <c r="A16" s="507" t="str">
        <f t="shared" si="3"/>
        <v/>
      </c>
      <c r="B16" s="675" t="str">
        <f t="shared" ref="B16:B64" ca="1" si="4">IF(OR(C16=" ",D16=""),"",CONCATENATE(C16,". ",D16))</f>
        <v/>
      </c>
      <c r="C16" s="183" cm="1">
        <f t="array" aca="1" ref="C16" ca="1">IF(OR(ROW(C16)=ROW(EVENTOS.firstrow)+1,AND(OFFSET(C16,-1,0)&lt;&gt;" ",OFFSET(C16,-1,1)&lt;&gt;"")),OFFSET(C16,-1,0)+1," ")</f>
        <v>1</v>
      </c>
      <c r="D16" s="497"/>
      <c r="E16" s="621" cm="1">
        <f t="array" aca="1" ref="E16" ca="1">IF(AUTOEVENTO="Manual",ROUND(SUMPRODUCT((CÁLCULO!$M$15:$M$231=EVENTOS!$C16)*(OFFSET(CÁLCULO!$AA$15:$AA$231,0,E$13))),2),0)</f>
        <v>0</v>
      </c>
      <c r="F16" s="184">
        <f ca="1">IF(AUTOEVENTO="Manual",ROUND(SUMPRODUCT((CÁLCULO!$M$15:$M$231=EVENTOS!$C16)*(OFFSET(CÁLCULO!$AA$15,0,1):OFFSET(CÁLCULO!$AL$231,0,-1))),2),0)</f>
        <v>0</v>
      </c>
      <c r="G16" s="622" t="str">
        <f t="shared" ref="G16:G47" ca="1" si="5">IF(AND(D16=0,F16&gt;0),"NOME",
 IF(AND(D16&lt;&gt;0,$F$14&gt;0,F16=0),"VALOR",
 IF(AND(Import.TipoArredondamento="TransfereGOV",$A16="F",LEN(D16)&gt;100),"Nome &gt;100","")))</f>
        <v/>
      </c>
      <c r="H16" s="621" cm="1">
        <f t="array" aca="1" ref="H16" ca="1">IF(AUTOEVENTO="Manual",ROUND(SUMPRODUCT((CÁLCULO!$M$15:$M$231=EVENTOS!$C16)*(OFFSET(CÁLCULO!$AA$15:$AA$231,0,H$13))),2),0)</f>
        <v>0</v>
      </c>
      <c r="I16" s="621" cm="1">
        <f t="array" aca="1" ref="I16" ca="1">IF(AUTOEVENTO="Manual",ROUND(SUMPRODUCT((CÁLCULO!$M$15:$M$231=EVENTOS!$C16)*(OFFSET(CÁLCULO!$AA$15:$AA$231,0,I$13))),2),0)</f>
        <v>0</v>
      </c>
      <c r="J16" s="621" cm="1">
        <f t="array" aca="1" ref="J16" ca="1">IF(AUTOEVENTO="Manual",ROUND(SUMPRODUCT((CÁLCULO!$M$15:$M$231=EVENTOS!$C16)*(OFFSET(CÁLCULO!$AA$15:$AA$231,0,J$13))),2),0)</f>
        <v>0</v>
      </c>
      <c r="K16" s="621" cm="1">
        <f t="array" aca="1" ref="K16" ca="1">IF(AUTOEVENTO="Manual",ROUND(SUMPRODUCT((CÁLCULO!$M$15:$M$231=EVENTOS!$C16)*(OFFSET(CÁLCULO!$AA$15:$AA$231,0,K$13))),2),0)</f>
        <v>0</v>
      </c>
      <c r="L16" s="621" cm="1">
        <f t="array" aca="1" ref="L16" ca="1">IF(AUTOEVENTO="Manual",ROUND(SUMPRODUCT((CÁLCULO!$M$15:$M$231=EVENTOS!$C16)*(OFFSET(CÁLCULO!$AA$15:$AA$231,0,L$13))),2),0)</f>
        <v>0</v>
      </c>
      <c r="M16" s="621" cm="1">
        <f t="array" aca="1" ref="M16" ca="1">IF(AUTOEVENTO="Manual",ROUND(SUMPRODUCT((CÁLCULO!$M$15:$M$231=EVENTOS!$C16)*(OFFSET(CÁLCULO!$AA$15:$AA$231,0,M$13))),2),0)</f>
        <v>0</v>
      </c>
      <c r="N16" s="621" cm="1">
        <f t="array" aca="1" ref="N16" ca="1">IF(AUTOEVENTO="Manual",ROUND(SUMPRODUCT((CÁLCULO!$M$15:$M$231=EVENTOS!$C16)*(OFFSET(CÁLCULO!$AA$15:$AA$231,0,N$13))),2),0)</f>
        <v>0</v>
      </c>
      <c r="O16" s="621" cm="1">
        <f t="array" aca="1" ref="O16" ca="1">IF(AUTOEVENTO="Manual",ROUND(SUMPRODUCT((CÁLCULO!$M$15:$M$231=EVENTOS!$C16)*(OFFSET(CÁLCULO!$AA$15:$AA$231,0,O$13))),2),0)</f>
        <v>0</v>
      </c>
      <c r="P16" s="621" cm="1">
        <f t="array" aca="1" ref="P16" ca="1">IF(AUTOEVENTO="Manual",ROUND(SUMPRODUCT((CÁLCULO!$M$15:$M$231=EVENTOS!$C16)*(OFFSET(CÁLCULO!$AA$15:$AA$231,0,P$13))),2),0)</f>
        <v>0</v>
      </c>
      <c r="Q16" s="621" cm="1">
        <f t="array" aca="1" ref="Q16" ca="1">IF(AUTOEVENTO="Manual",ROUND(SUMPRODUCT((CÁLCULO!$M$15:$M$231=EVENTOS!$C16)*(OFFSET(CÁLCULO!$AA$15:$AA$231,0,Q$13))),2),0)</f>
        <v>0</v>
      </c>
      <c r="R16" s="621" cm="1">
        <f t="array" aca="1" ref="R16" ca="1">IF(AUTOEVENTO="Manual",ROUND(SUMPRODUCT((CÁLCULO!$M$15:$M$231=EVENTOS!$C16)*(OFFSET(CÁLCULO!$AA$15:$AA$231,0,R$13))),2),0)</f>
        <v>0</v>
      </c>
      <c r="S16" s="621" cm="1">
        <f t="array" aca="1" ref="S16" ca="1">IF(AUTOEVENTO="Manual",ROUND(SUMPRODUCT((CÁLCULO!$M$15:$M$231=EVENTOS!$C16)*(OFFSET(CÁLCULO!$AA$15:$AA$231,0,S$13))),2),0)</f>
        <v>0</v>
      </c>
      <c r="T16" s="621" cm="1">
        <f t="array" aca="1" ref="T16" ca="1">IF(AUTOEVENTO="Manual",ROUND(SUMPRODUCT((CÁLCULO!$M$15:$M$231=EVENTOS!$C16)*(OFFSET(CÁLCULO!$AA$15:$AA$231,0,T$13))),2),0)</f>
        <v>0</v>
      </c>
      <c r="U16" s="621" cm="1">
        <f t="array" aca="1" ref="U16" ca="1">IF(AUTOEVENTO="Manual",ROUND(SUMPRODUCT((CÁLCULO!$M$15:$M$231=EVENTOS!$C16)*(OFFSET(CÁLCULO!$AA$15:$AA$231,0,U$13))),2),0)</f>
        <v>0</v>
      </c>
      <c r="V16" s="621" cm="1">
        <f t="array" aca="1" ref="V16" ca="1">IF(AUTOEVENTO="Manual",ROUND(SUMPRODUCT((CÁLCULO!$M$15:$M$231=EVENTOS!$C16)*(OFFSET(CÁLCULO!$AA$15:$AA$231,0,V$13))),2),0)</f>
        <v>0</v>
      </c>
      <c r="W16" s="621" cm="1">
        <f t="array" aca="1" ref="W16" ca="1">IF(AUTOEVENTO="Manual",ROUND(SUMPRODUCT((CÁLCULO!$M$15:$M$231=EVENTOS!$C16)*(OFFSET(CÁLCULO!$AA$15:$AA$231,0,W$13))),2),0)</f>
        <v>0</v>
      </c>
      <c r="X16" s="621" cm="1">
        <f t="array" aca="1" ref="X16" ca="1">IF(AUTOEVENTO="Manual",ROUND(SUMPRODUCT((CÁLCULO!$M$15:$M$231=EVENTOS!$C16)*(OFFSET(CÁLCULO!$AA$15:$AA$231,0,X$13))),2),0)</f>
        <v>0</v>
      </c>
      <c r="Y16" s="621" cm="1">
        <f t="array" aca="1" ref="Y16" ca="1">IF(AUTOEVENTO="Manual",ROUND(SUMPRODUCT((CÁLCULO!$M$15:$M$231=EVENTOS!$C16)*(OFFSET(CÁLCULO!$AA$15:$AA$231,0,Y$13))),2),0)</f>
        <v>0</v>
      </c>
    </row>
    <row r="17" spans="1:25" s="675" customFormat="1" x14ac:dyDescent="0.2">
      <c r="A17" s="507" t="str">
        <f t="shared" si="3"/>
        <v/>
      </c>
      <c r="B17" s="675" t="str">
        <f t="shared" ca="1" si="4"/>
        <v/>
      </c>
      <c r="C17" s="183" t="str" cm="1">
        <f t="array" aca="1" ref="C17" ca="1">IF(OR(ROW(C17)=ROW(EVENTOS.firstrow)+1,AND(OFFSET(C17,-1,0)&lt;&gt;" ",OFFSET(C17,-1,1)&lt;&gt;"")),OFFSET(C17,-1,0)+1," ")</f>
        <v xml:space="preserve"> </v>
      </c>
      <c r="D17" s="497"/>
      <c r="E17" s="621" cm="1">
        <f t="array" aca="1" ref="E17" ca="1">IF(AUTOEVENTO="Manual",ROUND(SUMPRODUCT((CÁLCULO!$M$15:$M$231=EVENTOS!$C17)*(OFFSET(CÁLCULO!$AA$15:$AA$231,0,E$13))),2),0)</f>
        <v>0</v>
      </c>
      <c r="F17" s="184">
        <f ca="1">IF(AUTOEVENTO="Manual",ROUND(SUMPRODUCT((CÁLCULO!$M$15:$M$231=EVENTOS!$C17)*(OFFSET(CÁLCULO!$AA$15,0,1):OFFSET(CÁLCULO!$AL$231,0,-1))),2),0)</f>
        <v>0</v>
      </c>
      <c r="G17" s="622" t="str">
        <f t="shared" ca="1" si="5"/>
        <v/>
      </c>
      <c r="H17" s="621" cm="1">
        <f t="array" aca="1" ref="H17" ca="1">IF(AUTOEVENTO="Manual",ROUND(SUMPRODUCT((CÁLCULO!$M$15:$M$231=EVENTOS!$C17)*(OFFSET(CÁLCULO!$AA$15:$AA$231,0,H$13))),2),0)</f>
        <v>0</v>
      </c>
      <c r="I17" s="621" cm="1">
        <f t="array" aca="1" ref="I17" ca="1">IF(AUTOEVENTO="Manual",ROUND(SUMPRODUCT((CÁLCULO!$M$15:$M$231=EVENTOS!$C17)*(OFFSET(CÁLCULO!$AA$15:$AA$231,0,I$13))),2),0)</f>
        <v>0</v>
      </c>
      <c r="J17" s="621" cm="1">
        <f t="array" aca="1" ref="J17" ca="1">IF(AUTOEVENTO="Manual",ROUND(SUMPRODUCT((CÁLCULO!$M$15:$M$231=EVENTOS!$C17)*(OFFSET(CÁLCULO!$AA$15:$AA$231,0,J$13))),2),0)</f>
        <v>0</v>
      </c>
      <c r="K17" s="621" cm="1">
        <f t="array" aca="1" ref="K17" ca="1">IF(AUTOEVENTO="Manual",ROUND(SUMPRODUCT((CÁLCULO!$M$15:$M$231=EVENTOS!$C17)*(OFFSET(CÁLCULO!$AA$15:$AA$231,0,K$13))),2),0)</f>
        <v>0</v>
      </c>
      <c r="L17" s="621" cm="1">
        <f t="array" aca="1" ref="L17" ca="1">IF(AUTOEVENTO="Manual",ROUND(SUMPRODUCT((CÁLCULO!$M$15:$M$231=EVENTOS!$C17)*(OFFSET(CÁLCULO!$AA$15:$AA$231,0,L$13))),2),0)</f>
        <v>0</v>
      </c>
      <c r="M17" s="621" cm="1">
        <f t="array" aca="1" ref="M17" ca="1">IF(AUTOEVENTO="Manual",ROUND(SUMPRODUCT((CÁLCULO!$M$15:$M$231=EVENTOS!$C17)*(OFFSET(CÁLCULO!$AA$15:$AA$231,0,M$13))),2),0)</f>
        <v>0</v>
      </c>
      <c r="N17" s="621" cm="1">
        <f t="array" aca="1" ref="N17" ca="1">IF(AUTOEVENTO="Manual",ROUND(SUMPRODUCT((CÁLCULO!$M$15:$M$231=EVENTOS!$C17)*(OFFSET(CÁLCULO!$AA$15:$AA$231,0,N$13))),2),0)</f>
        <v>0</v>
      </c>
      <c r="O17" s="621" cm="1">
        <f t="array" aca="1" ref="O17" ca="1">IF(AUTOEVENTO="Manual",ROUND(SUMPRODUCT((CÁLCULO!$M$15:$M$231=EVENTOS!$C17)*(OFFSET(CÁLCULO!$AA$15:$AA$231,0,O$13))),2),0)</f>
        <v>0</v>
      </c>
      <c r="P17" s="621" cm="1">
        <f t="array" aca="1" ref="P17" ca="1">IF(AUTOEVENTO="Manual",ROUND(SUMPRODUCT((CÁLCULO!$M$15:$M$231=EVENTOS!$C17)*(OFFSET(CÁLCULO!$AA$15:$AA$231,0,P$13))),2),0)</f>
        <v>0</v>
      </c>
      <c r="Q17" s="621" cm="1">
        <f t="array" aca="1" ref="Q17" ca="1">IF(AUTOEVENTO="Manual",ROUND(SUMPRODUCT((CÁLCULO!$M$15:$M$231=EVENTOS!$C17)*(OFFSET(CÁLCULO!$AA$15:$AA$231,0,Q$13))),2),0)</f>
        <v>0</v>
      </c>
      <c r="R17" s="621" cm="1">
        <f t="array" aca="1" ref="R17" ca="1">IF(AUTOEVENTO="Manual",ROUND(SUMPRODUCT((CÁLCULO!$M$15:$M$231=EVENTOS!$C17)*(OFFSET(CÁLCULO!$AA$15:$AA$231,0,R$13))),2),0)</f>
        <v>0</v>
      </c>
      <c r="S17" s="621" cm="1">
        <f t="array" aca="1" ref="S17" ca="1">IF(AUTOEVENTO="Manual",ROUND(SUMPRODUCT((CÁLCULO!$M$15:$M$231=EVENTOS!$C17)*(OFFSET(CÁLCULO!$AA$15:$AA$231,0,S$13))),2),0)</f>
        <v>0</v>
      </c>
      <c r="T17" s="621" cm="1">
        <f t="array" aca="1" ref="T17" ca="1">IF(AUTOEVENTO="Manual",ROUND(SUMPRODUCT((CÁLCULO!$M$15:$M$231=EVENTOS!$C17)*(OFFSET(CÁLCULO!$AA$15:$AA$231,0,T$13))),2),0)</f>
        <v>0</v>
      </c>
      <c r="U17" s="621" cm="1">
        <f t="array" aca="1" ref="U17" ca="1">IF(AUTOEVENTO="Manual",ROUND(SUMPRODUCT((CÁLCULO!$M$15:$M$231=EVENTOS!$C17)*(OFFSET(CÁLCULO!$AA$15:$AA$231,0,U$13))),2),0)</f>
        <v>0</v>
      </c>
      <c r="V17" s="621" cm="1">
        <f t="array" aca="1" ref="V17" ca="1">IF(AUTOEVENTO="Manual",ROUND(SUMPRODUCT((CÁLCULO!$M$15:$M$231=EVENTOS!$C17)*(OFFSET(CÁLCULO!$AA$15:$AA$231,0,V$13))),2),0)</f>
        <v>0</v>
      </c>
      <c r="W17" s="621" cm="1">
        <f t="array" aca="1" ref="W17" ca="1">IF(AUTOEVENTO="Manual",ROUND(SUMPRODUCT((CÁLCULO!$M$15:$M$231=EVENTOS!$C17)*(OFFSET(CÁLCULO!$AA$15:$AA$231,0,W$13))),2),0)</f>
        <v>0</v>
      </c>
      <c r="X17" s="621" cm="1">
        <f t="array" aca="1" ref="X17" ca="1">IF(AUTOEVENTO="Manual",ROUND(SUMPRODUCT((CÁLCULO!$M$15:$M$231=EVENTOS!$C17)*(OFFSET(CÁLCULO!$AA$15:$AA$231,0,X$13))),2),0)</f>
        <v>0</v>
      </c>
      <c r="Y17" s="621" cm="1">
        <f t="array" aca="1" ref="Y17" ca="1">IF(AUTOEVENTO="Manual",ROUND(SUMPRODUCT((CÁLCULO!$M$15:$M$231=EVENTOS!$C17)*(OFFSET(CÁLCULO!$AA$15:$AA$231,0,Y$13))),2),0)</f>
        <v>0</v>
      </c>
    </row>
    <row r="18" spans="1:25" s="675" customFormat="1" x14ac:dyDescent="0.2">
      <c r="A18" s="507" t="str">
        <f t="shared" si="3"/>
        <v/>
      </c>
      <c r="B18" s="675" t="str">
        <f t="shared" ca="1" si="4"/>
        <v/>
      </c>
      <c r="C18" s="183" t="str" cm="1">
        <f t="array" aca="1" ref="C18" ca="1">IF(OR(ROW(C18)=ROW(EVENTOS.firstrow)+1,AND(OFFSET(C18,-1,0)&lt;&gt;" ",OFFSET(C18,-1,1)&lt;&gt;"")),OFFSET(C18,-1,0)+1," ")</f>
        <v xml:space="preserve"> </v>
      </c>
      <c r="D18" s="497"/>
      <c r="E18" s="621" cm="1">
        <f t="array" aca="1" ref="E18" ca="1">IF(AUTOEVENTO="Manual",ROUND(SUMPRODUCT((CÁLCULO!$M$15:$M$231=EVENTOS!$C18)*(OFFSET(CÁLCULO!$AA$15:$AA$231,0,E$13))),2),0)</f>
        <v>0</v>
      </c>
      <c r="F18" s="184">
        <f ca="1">IF(AUTOEVENTO="Manual",ROUND(SUMPRODUCT((CÁLCULO!$M$15:$M$231=EVENTOS!$C18)*(OFFSET(CÁLCULO!$AA$15,0,1):OFFSET(CÁLCULO!$AL$231,0,-1))),2),0)</f>
        <v>0</v>
      </c>
      <c r="G18" s="622" t="str">
        <f t="shared" ca="1" si="5"/>
        <v/>
      </c>
      <c r="H18" s="621" cm="1">
        <f t="array" aca="1" ref="H18" ca="1">IF(AUTOEVENTO="Manual",ROUND(SUMPRODUCT((CÁLCULO!$M$15:$M$231=EVENTOS!$C18)*(OFFSET(CÁLCULO!$AA$15:$AA$231,0,H$13))),2),0)</f>
        <v>0</v>
      </c>
      <c r="I18" s="621" cm="1">
        <f t="array" aca="1" ref="I18" ca="1">IF(AUTOEVENTO="Manual",ROUND(SUMPRODUCT((CÁLCULO!$M$15:$M$231=EVENTOS!$C18)*(OFFSET(CÁLCULO!$AA$15:$AA$231,0,I$13))),2),0)</f>
        <v>0</v>
      </c>
      <c r="J18" s="621" cm="1">
        <f t="array" aca="1" ref="J18" ca="1">IF(AUTOEVENTO="Manual",ROUND(SUMPRODUCT((CÁLCULO!$M$15:$M$231=EVENTOS!$C18)*(OFFSET(CÁLCULO!$AA$15:$AA$231,0,J$13))),2),0)</f>
        <v>0</v>
      </c>
      <c r="K18" s="621" cm="1">
        <f t="array" aca="1" ref="K18" ca="1">IF(AUTOEVENTO="Manual",ROUND(SUMPRODUCT((CÁLCULO!$M$15:$M$231=EVENTOS!$C18)*(OFFSET(CÁLCULO!$AA$15:$AA$231,0,K$13))),2),0)</f>
        <v>0</v>
      </c>
      <c r="L18" s="621" cm="1">
        <f t="array" aca="1" ref="L18" ca="1">IF(AUTOEVENTO="Manual",ROUND(SUMPRODUCT((CÁLCULO!$M$15:$M$231=EVENTOS!$C18)*(OFFSET(CÁLCULO!$AA$15:$AA$231,0,L$13))),2),0)</f>
        <v>0</v>
      </c>
      <c r="M18" s="621" cm="1">
        <f t="array" aca="1" ref="M18" ca="1">IF(AUTOEVENTO="Manual",ROUND(SUMPRODUCT((CÁLCULO!$M$15:$M$231=EVENTOS!$C18)*(OFFSET(CÁLCULO!$AA$15:$AA$231,0,M$13))),2),0)</f>
        <v>0</v>
      </c>
      <c r="N18" s="621" cm="1">
        <f t="array" aca="1" ref="N18" ca="1">IF(AUTOEVENTO="Manual",ROUND(SUMPRODUCT((CÁLCULO!$M$15:$M$231=EVENTOS!$C18)*(OFFSET(CÁLCULO!$AA$15:$AA$231,0,N$13))),2),0)</f>
        <v>0</v>
      </c>
      <c r="O18" s="621" cm="1">
        <f t="array" aca="1" ref="O18" ca="1">IF(AUTOEVENTO="Manual",ROUND(SUMPRODUCT((CÁLCULO!$M$15:$M$231=EVENTOS!$C18)*(OFFSET(CÁLCULO!$AA$15:$AA$231,0,O$13))),2),0)</f>
        <v>0</v>
      </c>
      <c r="P18" s="621" cm="1">
        <f t="array" aca="1" ref="P18" ca="1">IF(AUTOEVENTO="Manual",ROUND(SUMPRODUCT((CÁLCULO!$M$15:$M$231=EVENTOS!$C18)*(OFFSET(CÁLCULO!$AA$15:$AA$231,0,P$13))),2),0)</f>
        <v>0</v>
      </c>
      <c r="Q18" s="621" cm="1">
        <f t="array" aca="1" ref="Q18" ca="1">IF(AUTOEVENTO="Manual",ROUND(SUMPRODUCT((CÁLCULO!$M$15:$M$231=EVENTOS!$C18)*(OFFSET(CÁLCULO!$AA$15:$AA$231,0,Q$13))),2),0)</f>
        <v>0</v>
      </c>
      <c r="R18" s="621" cm="1">
        <f t="array" aca="1" ref="R18" ca="1">IF(AUTOEVENTO="Manual",ROUND(SUMPRODUCT((CÁLCULO!$M$15:$M$231=EVENTOS!$C18)*(OFFSET(CÁLCULO!$AA$15:$AA$231,0,R$13))),2),0)</f>
        <v>0</v>
      </c>
      <c r="S18" s="621" cm="1">
        <f t="array" aca="1" ref="S18" ca="1">IF(AUTOEVENTO="Manual",ROUND(SUMPRODUCT((CÁLCULO!$M$15:$M$231=EVENTOS!$C18)*(OFFSET(CÁLCULO!$AA$15:$AA$231,0,S$13))),2),0)</f>
        <v>0</v>
      </c>
      <c r="T18" s="621" cm="1">
        <f t="array" aca="1" ref="T18" ca="1">IF(AUTOEVENTO="Manual",ROUND(SUMPRODUCT((CÁLCULO!$M$15:$M$231=EVENTOS!$C18)*(OFFSET(CÁLCULO!$AA$15:$AA$231,0,T$13))),2),0)</f>
        <v>0</v>
      </c>
      <c r="U18" s="621" cm="1">
        <f t="array" aca="1" ref="U18" ca="1">IF(AUTOEVENTO="Manual",ROUND(SUMPRODUCT((CÁLCULO!$M$15:$M$231=EVENTOS!$C18)*(OFFSET(CÁLCULO!$AA$15:$AA$231,0,U$13))),2),0)</f>
        <v>0</v>
      </c>
      <c r="V18" s="621" cm="1">
        <f t="array" aca="1" ref="V18" ca="1">IF(AUTOEVENTO="Manual",ROUND(SUMPRODUCT((CÁLCULO!$M$15:$M$231=EVENTOS!$C18)*(OFFSET(CÁLCULO!$AA$15:$AA$231,0,V$13))),2),0)</f>
        <v>0</v>
      </c>
      <c r="W18" s="621" cm="1">
        <f t="array" aca="1" ref="W18" ca="1">IF(AUTOEVENTO="Manual",ROUND(SUMPRODUCT((CÁLCULO!$M$15:$M$231=EVENTOS!$C18)*(OFFSET(CÁLCULO!$AA$15:$AA$231,0,W$13))),2),0)</f>
        <v>0</v>
      </c>
      <c r="X18" s="621" cm="1">
        <f t="array" aca="1" ref="X18" ca="1">IF(AUTOEVENTO="Manual",ROUND(SUMPRODUCT((CÁLCULO!$M$15:$M$231=EVENTOS!$C18)*(OFFSET(CÁLCULO!$AA$15:$AA$231,0,X$13))),2),0)</f>
        <v>0</v>
      </c>
      <c r="Y18" s="621" cm="1">
        <f t="array" aca="1" ref="Y18" ca="1">IF(AUTOEVENTO="Manual",ROUND(SUMPRODUCT((CÁLCULO!$M$15:$M$231=EVENTOS!$C18)*(OFFSET(CÁLCULO!$AA$15:$AA$231,0,Y$13))),2),0)</f>
        <v>0</v>
      </c>
    </row>
    <row r="19" spans="1:25" s="675" customFormat="1" x14ac:dyDescent="0.2">
      <c r="A19" s="507" t="str">
        <f t="shared" si="3"/>
        <v/>
      </c>
      <c r="B19" s="675" t="str">
        <f t="shared" ca="1" si="4"/>
        <v/>
      </c>
      <c r="C19" s="183" t="str" cm="1">
        <f t="array" aca="1" ref="C19" ca="1">IF(OR(ROW(C19)=ROW(EVENTOS.firstrow)+1,AND(OFFSET(C19,-1,0)&lt;&gt;" ",OFFSET(C19,-1,1)&lt;&gt;"")),OFFSET(C19,-1,0)+1," ")</f>
        <v xml:space="preserve"> </v>
      </c>
      <c r="D19" s="497"/>
      <c r="E19" s="621" cm="1">
        <f t="array" aca="1" ref="E19" ca="1">IF(AUTOEVENTO="Manual",ROUND(SUMPRODUCT((CÁLCULO!$M$15:$M$231=EVENTOS!$C19)*(OFFSET(CÁLCULO!$AA$15:$AA$231,0,E$13))),2),0)</f>
        <v>0</v>
      </c>
      <c r="F19" s="184">
        <f ca="1">IF(AUTOEVENTO="Manual",ROUND(SUMPRODUCT((CÁLCULO!$M$15:$M$231=EVENTOS!$C19)*(OFFSET(CÁLCULO!$AA$15,0,1):OFFSET(CÁLCULO!$AL$231,0,-1))),2),0)</f>
        <v>0</v>
      </c>
      <c r="G19" s="622" t="str">
        <f t="shared" ca="1" si="5"/>
        <v/>
      </c>
      <c r="H19" s="621" cm="1">
        <f t="array" aca="1" ref="H19" ca="1">IF(AUTOEVENTO="Manual",ROUND(SUMPRODUCT((CÁLCULO!$M$15:$M$231=EVENTOS!$C19)*(OFFSET(CÁLCULO!$AA$15:$AA$231,0,H$13))),2),0)</f>
        <v>0</v>
      </c>
      <c r="I19" s="621" cm="1">
        <f t="array" aca="1" ref="I19" ca="1">IF(AUTOEVENTO="Manual",ROUND(SUMPRODUCT((CÁLCULO!$M$15:$M$231=EVENTOS!$C19)*(OFFSET(CÁLCULO!$AA$15:$AA$231,0,I$13))),2),0)</f>
        <v>0</v>
      </c>
      <c r="J19" s="621" cm="1">
        <f t="array" aca="1" ref="J19" ca="1">IF(AUTOEVENTO="Manual",ROUND(SUMPRODUCT((CÁLCULO!$M$15:$M$231=EVENTOS!$C19)*(OFFSET(CÁLCULO!$AA$15:$AA$231,0,J$13))),2),0)</f>
        <v>0</v>
      </c>
      <c r="K19" s="621" cm="1">
        <f t="array" aca="1" ref="K19" ca="1">IF(AUTOEVENTO="Manual",ROUND(SUMPRODUCT((CÁLCULO!$M$15:$M$231=EVENTOS!$C19)*(OFFSET(CÁLCULO!$AA$15:$AA$231,0,K$13))),2),0)</f>
        <v>0</v>
      </c>
      <c r="L19" s="621" cm="1">
        <f t="array" aca="1" ref="L19" ca="1">IF(AUTOEVENTO="Manual",ROUND(SUMPRODUCT((CÁLCULO!$M$15:$M$231=EVENTOS!$C19)*(OFFSET(CÁLCULO!$AA$15:$AA$231,0,L$13))),2),0)</f>
        <v>0</v>
      </c>
      <c r="M19" s="621" cm="1">
        <f t="array" aca="1" ref="M19" ca="1">IF(AUTOEVENTO="Manual",ROUND(SUMPRODUCT((CÁLCULO!$M$15:$M$231=EVENTOS!$C19)*(OFFSET(CÁLCULO!$AA$15:$AA$231,0,M$13))),2),0)</f>
        <v>0</v>
      </c>
      <c r="N19" s="621" cm="1">
        <f t="array" aca="1" ref="N19" ca="1">IF(AUTOEVENTO="Manual",ROUND(SUMPRODUCT((CÁLCULO!$M$15:$M$231=EVENTOS!$C19)*(OFFSET(CÁLCULO!$AA$15:$AA$231,0,N$13))),2),0)</f>
        <v>0</v>
      </c>
      <c r="O19" s="621" cm="1">
        <f t="array" aca="1" ref="O19" ca="1">IF(AUTOEVENTO="Manual",ROUND(SUMPRODUCT((CÁLCULO!$M$15:$M$231=EVENTOS!$C19)*(OFFSET(CÁLCULO!$AA$15:$AA$231,0,O$13))),2),0)</f>
        <v>0</v>
      </c>
      <c r="P19" s="621" cm="1">
        <f t="array" aca="1" ref="P19" ca="1">IF(AUTOEVENTO="Manual",ROUND(SUMPRODUCT((CÁLCULO!$M$15:$M$231=EVENTOS!$C19)*(OFFSET(CÁLCULO!$AA$15:$AA$231,0,P$13))),2),0)</f>
        <v>0</v>
      </c>
      <c r="Q19" s="621" cm="1">
        <f t="array" aca="1" ref="Q19" ca="1">IF(AUTOEVENTO="Manual",ROUND(SUMPRODUCT((CÁLCULO!$M$15:$M$231=EVENTOS!$C19)*(OFFSET(CÁLCULO!$AA$15:$AA$231,0,Q$13))),2),0)</f>
        <v>0</v>
      </c>
      <c r="R19" s="621" cm="1">
        <f t="array" aca="1" ref="R19" ca="1">IF(AUTOEVENTO="Manual",ROUND(SUMPRODUCT((CÁLCULO!$M$15:$M$231=EVENTOS!$C19)*(OFFSET(CÁLCULO!$AA$15:$AA$231,0,R$13))),2),0)</f>
        <v>0</v>
      </c>
      <c r="S19" s="621" cm="1">
        <f t="array" aca="1" ref="S19" ca="1">IF(AUTOEVENTO="Manual",ROUND(SUMPRODUCT((CÁLCULO!$M$15:$M$231=EVENTOS!$C19)*(OFFSET(CÁLCULO!$AA$15:$AA$231,0,S$13))),2),0)</f>
        <v>0</v>
      </c>
      <c r="T19" s="621" cm="1">
        <f t="array" aca="1" ref="T19" ca="1">IF(AUTOEVENTO="Manual",ROUND(SUMPRODUCT((CÁLCULO!$M$15:$M$231=EVENTOS!$C19)*(OFFSET(CÁLCULO!$AA$15:$AA$231,0,T$13))),2),0)</f>
        <v>0</v>
      </c>
      <c r="U19" s="621" cm="1">
        <f t="array" aca="1" ref="U19" ca="1">IF(AUTOEVENTO="Manual",ROUND(SUMPRODUCT((CÁLCULO!$M$15:$M$231=EVENTOS!$C19)*(OFFSET(CÁLCULO!$AA$15:$AA$231,0,U$13))),2),0)</f>
        <v>0</v>
      </c>
      <c r="V19" s="621" cm="1">
        <f t="array" aca="1" ref="V19" ca="1">IF(AUTOEVENTO="Manual",ROUND(SUMPRODUCT((CÁLCULO!$M$15:$M$231=EVENTOS!$C19)*(OFFSET(CÁLCULO!$AA$15:$AA$231,0,V$13))),2),0)</f>
        <v>0</v>
      </c>
      <c r="W19" s="621" cm="1">
        <f t="array" aca="1" ref="W19" ca="1">IF(AUTOEVENTO="Manual",ROUND(SUMPRODUCT((CÁLCULO!$M$15:$M$231=EVENTOS!$C19)*(OFFSET(CÁLCULO!$AA$15:$AA$231,0,W$13))),2),0)</f>
        <v>0</v>
      </c>
      <c r="X19" s="621" cm="1">
        <f t="array" aca="1" ref="X19" ca="1">IF(AUTOEVENTO="Manual",ROUND(SUMPRODUCT((CÁLCULO!$M$15:$M$231=EVENTOS!$C19)*(OFFSET(CÁLCULO!$AA$15:$AA$231,0,X$13))),2),0)</f>
        <v>0</v>
      </c>
      <c r="Y19" s="621" cm="1">
        <f t="array" aca="1" ref="Y19" ca="1">IF(AUTOEVENTO="Manual",ROUND(SUMPRODUCT((CÁLCULO!$M$15:$M$231=EVENTOS!$C19)*(OFFSET(CÁLCULO!$AA$15:$AA$231,0,Y$13))),2),0)</f>
        <v>0</v>
      </c>
    </row>
    <row r="20" spans="1:25" s="675" customFormat="1" x14ac:dyDescent="0.2">
      <c r="A20" s="507" t="str">
        <f t="shared" si="3"/>
        <v/>
      </c>
      <c r="B20" s="675" t="str">
        <f t="shared" ca="1" si="4"/>
        <v/>
      </c>
      <c r="C20" s="183" t="str" cm="1">
        <f t="array" aca="1" ref="C20" ca="1">IF(OR(ROW(C20)=ROW(EVENTOS.firstrow)+1,AND(OFFSET(C20,-1,0)&lt;&gt;" ",OFFSET(C20,-1,1)&lt;&gt;"")),OFFSET(C20,-1,0)+1," ")</f>
        <v xml:space="preserve"> </v>
      </c>
      <c r="D20" s="497"/>
      <c r="E20" s="621" cm="1">
        <f t="array" aca="1" ref="E20" ca="1">IF(AUTOEVENTO="Manual",ROUND(SUMPRODUCT((CÁLCULO!$M$15:$M$231=EVENTOS!$C20)*(OFFSET(CÁLCULO!$AA$15:$AA$231,0,E$13))),2),0)</f>
        <v>0</v>
      </c>
      <c r="F20" s="184">
        <f ca="1">IF(AUTOEVENTO="Manual",ROUND(SUMPRODUCT((CÁLCULO!$M$15:$M$231=EVENTOS!$C20)*(OFFSET(CÁLCULO!$AA$15,0,1):OFFSET(CÁLCULO!$AL$231,0,-1))),2),0)</f>
        <v>0</v>
      </c>
      <c r="G20" s="622" t="str">
        <f t="shared" ca="1" si="5"/>
        <v/>
      </c>
      <c r="H20" s="621" cm="1">
        <f t="array" aca="1" ref="H20" ca="1">IF(AUTOEVENTO="Manual",ROUND(SUMPRODUCT((CÁLCULO!$M$15:$M$231=EVENTOS!$C20)*(OFFSET(CÁLCULO!$AA$15:$AA$231,0,H$13))),2),0)</f>
        <v>0</v>
      </c>
      <c r="I20" s="621" cm="1">
        <f t="array" aca="1" ref="I20" ca="1">IF(AUTOEVENTO="Manual",ROUND(SUMPRODUCT((CÁLCULO!$M$15:$M$231=EVENTOS!$C20)*(OFFSET(CÁLCULO!$AA$15:$AA$231,0,I$13))),2),0)</f>
        <v>0</v>
      </c>
      <c r="J20" s="621" cm="1">
        <f t="array" aca="1" ref="J20" ca="1">IF(AUTOEVENTO="Manual",ROUND(SUMPRODUCT((CÁLCULO!$M$15:$M$231=EVENTOS!$C20)*(OFFSET(CÁLCULO!$AA$15:$AA$231,0,J$13))),2),0)</f>
        <v>0</v>
      </c>
      <c r="K20" s="621" cm="1">
        <f t="array" aca="1" ref="K20" ca="1">IF(AUTOEVENTO="Manual",ROUND(SUMPRODUCT((CÁLCULO!$M$15:$M$231=EVENTOS!$C20)*(OFFSET(CÁLCULO!$AA$15:$AA$231,0,K$13))),2),0)</f>
        <v>0</v>
      </c>
      <c r="L20" s="621" cm="1">
        <f t="array" aca="1" ref="L20" ca="1">IF(AUTOEVENTO="Manual",ROUND(SUMPRODUCT((CÁLCULO!$M$15:$M$231=EVENTOS!$C20)*(OFFSET(CÁLCULO!$AA$15:$AA$231,0,L$13))),2),0)</f>
        <v>0</v>
      </c>
      <c r="M20" s="621" cm="1">
        <f t="array" aca="1" ref="M20" ca="1">IF(AUTOEVENTO="Manual",ROUND(SUMPRODUCT((CÁLCULO!$M$15:$M$231=EVENTOS!$C20)*(OFFSET(CÁLCULO!$AA$15:$AA$231,0,M$13))),2),0)</f>
        <v>0</v>
      </c>
      <c r="N20" s="621" cm="1">
        <f t="array" aca="1" ref="N20" ca="1">IF(AUTOEVENTO="Manual",ROUND(SUMPRODUCT((CÁLCULO!$M$15:$M$231=EVENTOS!$C20)*(OFFSET(CÁLCULO!$AA$15:$AA$231,0,N$13))),2),0)</f>
        <v>0</v>
      </c>
      <c r="O20" s="621" cm="1">
        <f t="array" aca="1" ref="O20" ca="1">IF(AUTOEVENTO="Manual",ROUND(SUMPRODUCT((CÁLCULO!$M$15:$M$231=EVENTOS!$C20)*(OFFSET(CÁLCULO!$AA$15:$AA$231,0,O$13))),2),0)</f>
        <v>0</v>
      </c>
      <c r="P20" s="621" cm="1">
        <f t="array" aca="1" ref="P20" ca="1">IF(AUTOEVENTO="Manual",ROUND(SUMPRODUCT((CÁLCULO!$M$15:$M$231=EVENTOS!$C20)*(OFFSET(CÁLCULO!$AA$15:$AA$231,0,P$13))),2),0)</f>
        <v>0</v>
      </c>
      <c r="Q20" s="621" cm="1">
        <f t="array" aca="1" ref="Q20" ca="1">IF(AUTOEVENTO="Manual",ROUND(SUMPRODUCT((CÁLCULO!$M$15:$M$231=EVENTOS!$C20)*(OFFSET(CÁLCULO!$AA$15:$AA$231,0,Q$13))),2),0)</f>
        <v>0</v>
      </c>
      <c r="R20" s="621" cm="1">
        <f t="array" aca="1" ref="R20" ca="1">IF(AUTOEVENTO="Manual",ROUND(SUMPRODUCT((CÁLCULO!$M$15:$M$231=EVENTOS!$C20)*(OFFSET(CÁLCULO!$AA$15:$AA$231,0,R$13))),2),0)</f>
        <v>0</v>
      </c>
      <c r="S20" s="621" cm="1">
        <f t="array" aca="1" ref="S20" ca="1">IF(AUTOEVENTO="Manual",ROUND(SUMPRODUCT((CÁLCULO!$M$15:$M$231=EVENTOS!$C20)*(OFFSET(CÁLCULO!$AA$15:$AA$231,0,S$13))),2),0)</f>
        <v>0</v>
      </c>
      <c r="T20" s="621" cm="1">
        <f t="array" aca="1" ref="T20" ca="1">IF(AUTOEVENTO="Manual",ROUND(SUMPRODUCT((CÁLCULO!$M$15:$M$231=EVENTOS!$C20)*(OFFSET(CÁLCULO!$AA$15:$AA$231,0,T$13))),2),0)</f>
        <v>0</v>
      </c>
      <c r="U20" s="621" cm="1">
        <f t="array" aca="1" ref="U20" ca="1">IF(AUTOEVENTO="Manual",ROUND(SUMPRODUCT((CÁLCULO!$M$15:$M$231=EVENTOS!$C20)*(OFFSET(CÁLCULO!$AA$15:$AA$231,0,U$13))),2),0)</f>
        <v>0</v>
      </c>
      <c r="V20" s="621" cm="1">
        <f t="array" aca="1" ref="V20" ca="1">IF(AUTOEVENTO="Manual",ROUND(SUMPRODUCT((CÁLCULO!$M$15:$M$231=EVENTOS!$C20)*(OFFSET(CÁLCULO!$AA$15:$AA$231,0,V$13))),2),0)</f>
        <v>0</v>
      </c>
      <c r="W20" s="621" cm="1">
        <f t="array" aca="1" ref="W20" ca="1">IF(AUTOEVENTO="Manual",ROUND(SUMPRODUCT((CÁLCULO!$M$15:$M$231=EVENTOS!$C20)*(OFFSET(CÁLCULO!$AA$15:$AA$231,0,W$13))),2),0)</f>
        <v>0</v>
      </c>
      <c r="X20" s="621" cm="1">
        <f t="array" aca="1" ref="X20" ca="1">IF(AUTOEVENTO="Manual",ROUND(SUMPRODUCT((CÁLCULO!$M$15:$M$231=EVENTOS!$C20)*(OFFSET(CÁLCULO!$AA$15:$AA$231,0,X$13))),2),0)</f>
        <v>0</v>
      </c>
      <c r="Y20" s="621" cm="1">
        <f t="array" aca="1" ref="Y20" ca="1">IF(AUTOEVENTO="Manual",ROUND(SUMPRODUCT((CÁLCULO!$M$15:$M$231=EVENTOS!$C20)*(OFFSET(CÁLCULO!$AA$15:$AA$231,0,Y$13))),2),0)</f>
        <v>0</v>
      </c>
    </row>
    <row r="21" spans="1:25" s="675" customFormat="1" x14ac:dyDescent="0.2">
      <c r="A21" s="507" t="str">
        <f t="shared" si="3"/>
        <v/>
      </c>
      <c r="B21" s="675" t="str">
        <f t="shared" ca="1" si="4"/>
        <v/>
      </c>
      <c r="C21" s="183" t="str" cm="1">
        <f t="array" aca="1" ref="C21" ca="1">IF(OR(ROW(C21)=ROW(EVENTOS.firstrow)+1,AND(OFFSET(C21,-1,0)&lt;&gt;" ",OFFSET(C21,-1,1)&lt;&gt;"")),OFFSET(C21,-1,0)+1," ")</f>
        <v xml:space="preserve"> </v>
      </c>
      <c r="D21" s="497"/>
      <c r="E21" s="621" cm="1">
        <f t="array" aca="1" ref="E21" ca="1">IF(AUTOEVENTO="Manual",ROUND(SUMPRODUCT((CÁLCULO!$M$15:$M$231=EVENTOS!$C21)*(OFFSET(CÁLCULO!$AA$15:$AA$231,0,E$13))),2),0)</f>
        <v>0</v>
      </c>
      <c r="F21" s="184">
        <f ca="1">IF(AUTOEVENTO="Manual",ROUND(SUMPRODUCT((CÁLCULO!$M$15:$M$231=EVENTOS!$C21)*(OFFSET(CÁLCULO!$AA$15,0,1):OFFSET(CÁLCULO!$AL$231,0,-1))),2),0)</f>
        <v>0</v>
      </c>
      <c r="G21" s="622" t="str">
        <f t="shared" ca="1" si="5"/>
        <v/>
      </c>
      <c r="H21" s="621" cm="1">
        <f t="array" aca="1" ref="H21" ca="1">IF(AUTOEVENTO="Manual",ROUND(SUMPRODUCT((CÁLCULO!$M$15:$M$231=EVENTOS!$C21)*(OFFSET(CÁLCULO!$AA$15:$AA$231,0,H$13))),2),0)</f>
        <v>0</v>
      </c>
      <c r="I21" s="621" cm="1">
        <f t="array" aca="1" ref="I21" ca="1">IF(AUTOEVENTO="Manual",ROUND(SUMPRODUCT((CÁLCULO!$M$15:$M$231=EVENTOS!$C21)*(OFFSET(CÁLCULO!$AA$15:$AA$231,0,I$13))),2),0)</f>
        <v>0</v>
      </c>
      <c r="J21" s="621" cm="1">
        <f t="array" aca="1" ref="J21" ca="1">IF(AUTOEVENTO="Manual",ROUND(SUMPRODUCT((CÁLCULO!$M$15:$M$231=EVENTOS!$C21)*(OFFSET(CÁLCULO!$AA$15:$AA$231,0,J$13))),2),0)</f>
        <v>0</v>
      </c>
      <c r="K21" s="621" cm="1">
        <f t="array" aca="1" ref="K21" ca="1">IF(AUTOEVENTO="Manual",ROUND(SUMPRODUCT((CÁLCULO!$M$15:$M$231=EVENTOS!$C21)*(OFFSET(CÁLCULO!$AA$15:$AA$231,0,K$13))),2),0)</f>
        <v>0</v>
      </c>
      <c r="L21" s="621" cm="1">
        <f t="array" aca="1" ref="L21" ca="1">IF(AUTOEVENTO="Manual",ROUND(SUMPRODUCT((CÁLCULO!$M$15:$M$231=EVENTOS!$C21)*(OFFSET(CÁLCULO!$AA$15:$AA$231,0,L$13))),2),0)</f>
        <v>0</v>
      </c>
      <c r="M21" s="621" cm="1">
        <f t="array" aca="1" ref="M21" ca="1">IF(AUTOEVENTO="Manual",ROUND(SUMPRODUCT((CÁLCULO!$M$15:$M$231=EVENTOS!$C21)*(OFFSET(CÁLCULO!$AA$15:$AA$231,0,M$13))),2),0)</f>
        <v>0</v>
      </c>
      <c r="N21" s="621" cm="1">
        <f t="array" aca="1" ref="N21" ca="1">IF(AUTOEVENTO="Manual",ROUND(SUMPRODUCT((CÁLCULO!$M$15:$M$231=EVENTOS!$C21)*(OFFSET(CÁLCULO!$AA$15:$AA$231,0,N$13))),2),0)</f>
        <v>0</v>
      </c>
      <c r="O21" s="621" cm="1">
        <f t="array" aca="1" ref="O21" ca="1">IF(AUTOEVENTO="Manual",ROUND(SUMPRODUCT((CÁLCULO!$M$15:$M$231=EVENTOS!$C21)*(OFFSET(CÁLCULO!$AA$15:$AA$231,0,O$13))),2),0)</f>
        <v>0</v>
      </c>
      <c r="P21" s="621" cm="1">
        <f t="array" aca="1" ref="P21" ca="1">IF(AUTOEVENTO="Manual",ROUND(SUMPRODUCT((CÁLCULO!$M$15:$M$231=EVENTOS!$C21)*(OFFSET(CÁLCULO!$AA$15:$AA$231,0,P$13))),2),0)</f>
        <v>0</v>
      </c>
      <c r="Q21" s="621" cm="1">
        <f t="array" aca="1" ref="Q21" ca="1">IF(AUTOEVENTO="Manual",ROUND(SUMPRODUCT((CÁLCULO!$M$15:$M$231=EVENTOS!$C21)*(OFFSET(CÁLCULO!$AA$15:$AA$231,0,Q$13))),2),0)</f>
        <v>0</v>
      </c>
      <c r="R21" s="621" cm="1">
        <f t="array" aca="1" ref="R21" ca="1">IF(AUTOEVENTO="Manual",ROUND(SUMPRODUCT((CÁLCULO!$M$15:$M$231=EVENTOS!$C21)*(OFFSET(CÁLCULO!$AA$15:$AA$231,0,R$13))),2),0)</f>
        <v>0</v>
      </c>
      <c r="S21" s="621" cm="1">
        <f t="array" aca="1" ref="S21" ca="1">IF(AUTOEVENTO="Manual",ROUND(SUMPRODUCT((CÁLCULO!$M$15:$M$231=EVENTOS!$C21)*(OFFSET(CÁLCULO!$AA$15:$AA$231,0,S$13))),2),0)</f>
        <v>0</v>
      </c>
      <c r="T21" s="621" cm="1">
        <f t="array" aca="1" ref="T21" ca="1">IF(AUTOEVENTO="Manual",ROUND(SUMPRODUCT((CÁLCULO!$M$15:$M$231=EVENTOS!$C21)*(OFFSET(CÁLCULO!$AA$15:$AA$231,0,T$13))),2),0)</f>
        <v>0</v>
      </c>
      <c r="U21" s="621" cm="1">
        <f t="array" aca="1" ref="U21" ca="1">IF(AUTOEVENTO="Manual",ROUND(SUMPRODUCT((CÁLCULO!$M$15:$M$231=EVENTOS!$C21)*(OFFSET(CÁLCULO!$AA$15:$AA$231,0,U$13))),2),0)</f>
        <v>0</v>
      </c>
      <c r="V21" s="621" cm="1">
        <f t="array" aca="1" ref="V21" ca="1">IF(AUTOEVENTO="Manual",ROUND(SUMPRODUCT((CÁLCULO!$M$15:$M$231=EVENTOS!$C21)*(OFFSET(CÁLCULO!$AA$15:$AA$231,0,V$13))),2),0)</f>
        <v>0</v>
      </c>
      <c r="W21" s="621" cm="1">
        <f t="array" aca="1" ref="W21" ca="1">IF(AUTOEVENTO="Manual",ROUND(SUMPRODUCT((CÁLCULO!$M$15:$M$231=EVENTOS!$C21)*(OFFSET(CÁLCULO!$AA$15:$AA$231,0,W$13))),2),0)</f>
        <v>0</v>
      </c>
      <c r="X21" s="621" cm="1">
        <f t="array" aca="1" ref="X21" ca="1">IF(AUTOEVENTO="Manual",ROUND(SUMPRODUCT((CÁLCULO!$M$15:$M$231=EVENTOS!$C21)*(OFFSET(CÁLCULO!$AA$15:$AA$231,0,X$13))),2),0)</f>
        <v>0</v>
      </c>
      <c r="Y21" s="621" cm="1">
        <f t="array" aca="1" ref="Y21" ca="1">IF(AUTOEVENTO="Manual",ROUND(SUMPRODUCT((CÁLCULO!$M$15:$M$231=EVENTOS!$C21)*(OFFSET(CÁLCULO!$AA$15:$AA$231,0,Y$13))),2),0)</f>
        <v>0</v>
      </c>
    </row>
    <row r="22" spans="1:25" s="675" customFormat="1" x14ac:dyDescent="0.2">
      <c r="A22" s="507" t="str">
        <f t="shared" si="3"/>
        <v/>
      </c>
      <c r="B22" s="675" t="str">
        <f t="shared" ca="1" si="4"/>
        <v/>
      </c>
      <c r="C22" s="183" t="str" cm="1">
        <f t="array" aca="1" ref="C22" ca="1">IF(OR(ROW(C22)=ROW(EVENTOS.firstrow)+1,AND(OFFSET(C22,-1,0)&lt;&gt;" ",OFFSET(C22,-1,1)&lt;&gt;"")),OFFSET(C22,-1,0)+1," ")</f>
        <v xml:space="preserve"> </v>
      </c>
      <c r="D22" s="497"/>
      <c r="E22" s="621" cm="1">
        <f t="array" aca="1" ref="E22" ca="1">IF(AUTOEVENTO="Manual",ROUND(SUMPRODUCT((CÁLCULO!$M$15:$M$231=EVENTOS!$C22)*(OFFSET(CÁLCULO!$AA$15:$AA$231,0,E$13))),2),0)</f>
        <v>0</v>
      </c>
      <c r="F22" s="184">
        <f ca="1">IF(AUTOEVENTO="Manual",ROUND(SUMPRODUCT((CÁLCULO!$M$15:$M$231=EVENTOS!$C22)*(OFFSET(CÁLCULO!$AA$15,0,1):OFFSET(CÁLCULO!$AL$231,0,-1))),2),0)</f>
        <v>0</v>
      </c>
      <c r="G22" s="622" t="str">
        <f t="shared" ca="1" si="5"/>
        <v/>
      </c>
      <c r="H22" s="621" cm="1">
        <f t="array" aca="1" ref="H22" ca="1">IF(AUTOEVENTO="Manual",ROUND(SUMPRODUCT((CÁLCULO!$M$15:$M$231=EVENTOS!$C22)*(OFFSET(CÁLCULO!$AA$15:$AA$231,0,H$13))),2),0)</f>
        <v>0</v>
      </c>
      <c r="I22" s="621" cm="1">
        <f t="array" aca="1" ref="I22" ca="1">IF(AUTOEVENTO="Manual",ROUND(SUMPRODUCT((CÁLCULO!$M$15:$M$231=EVENTOS!$C22)*(OFFSET(CÁLCULO!$AA$15:$AA$231,0,I$13))),2),0)</f>
        <v>0</v>
      </c>
      <c r="J22" s="621" cm="1">
        <f t="array" aca="1" ref="J22" ca="1">IF(AUTOEVENTO="Manual",ROUND(SUMPRODUCT((CÁLCULO!$M$15:$M$231=EVENTOS!$C22)*(OFFSET(CÁLCULO!$AA$15:$AA$231,0,J$13))),2),0)</f>
        <v>0</v>
      </c>
      <c r="K22" s="621" cm="1">
        <f t="array" aca="1" ref="K22" ca="1">IF(AUTOEVENTO="Manual",ROUND(SUMPRODUCT((CÁLCULO!$M$15:$M$231=EVENTOS!$C22)*(OFFSET(CÁLCULO!$AA$15:$AA$231,0,K$13))),2),0)</f>
        <v>0</v>
      </c>
      <c r="L22" s="621" cm="1">
        <f t="array" aca="1" ref="L22" ca="1">IF(AUTOEVENTO="Manual",ROUND(SUMPRODUCT((CÁLCULO!$M$15:$M$231=EVENTOS!$C22)*(OFFSET(CÁLCULO!$AA$15:$AA$231,0,L$13))),2),0)</f>
        <v>0</v>
      </c>
      <c r="M22" s="621" cm="1">
        <f t="array" aca="1" ref="M22" ca="1">IF(AUTOEVENTO="Manual",ROUND(SUMPRODUCT((CÁLCULO!$M$15:$M$231=EVENTOS!$C22)*(OFFSET(CÁLCULO!$AA$15:$AA$231,0,M$13))),2),0)</f>
        <v>0</v>
      </c>
      <c r="N22" s="621" cm="1">
        <f t="array" aca="1" ref="N22" ca="1">IF(AUTOEVENTO="Manual",ROUND(SUMPRODUCT((CÁLCULO!$M$15:$M$231=EVENTOS!$C22)*(OFFSET(CÁLCULO!$AA$15:$AA$231,0,N$13))),2),0)</f>
        <v>0</v>
      </c>
      <c r="O22" s="621" cm="1">
        <f t="array" aca="1" ref="O22" ca="1">IF(AUTOEVENTO="Manual",ROUND(SUMPRODUCT((CÁLCULO!$M$15:$M$231=EVENTOS!$C22)*(OFFSET(CÁLCULO!$AA$15:$AA$231,0,O$13))),2),0)</f>
        <v>0</v>
      </c>
      <c r="P22" s="621" cm="1">
        <f t="array" aca="1" ref="P22" ca="1">IF(AUTOEVENTO="Manual",ROUND(SUMPRODUCT((CÁLCULO!$M$15:$M$231=EVENTOS!$C22)*(OFFSET(CÁLCULO!$AA$15:$AA$231,0,P$13))),2),0)</f>
        <v>0</v>
      </c>
      <c r="Q22" s="621" cm="1">
        <f t="array" aca="1" ref="Q22" ca="1">IF(AUTOEVENTO="Manual",ROUND(SUMPRODUCT((CÁLCULO!$M$15:$M$231=EVENTOS!$C22)*(OFFSET(CÁLCULO!$AA$15:$AA$231,0,Q$13))),2),0)</f>
        <v>0</v>
      </c>
      <c r="R22" s="621" cm="1">
        <f t="array" aca="1" ref="R22" ca="1">IF(AUTOEVENTO="Manual",ROUND(SUMPRODUCT((CÁLCULO!$M$15:$M$231=EVENTOS!$C22)*(OFFSET(CÁLCULO!$AA$15:$AA$231,0,R$13))),2),0)</f>
        <v>0</v>
      </c>
      <c r="S22" s="621" cm="1">
        <f t="array" aca="1" ref="S22" ca="1">IF(AUTOEVENTO="Manual",ROUND(SUMPRODUCT((CÁLCULO!$M$15:$M$231=EVENTOS!$C22)*(OFFSET(CÁLCULO!$AA$15:$AA$231,0,S$13))),2),0)</f>
        <v>0</v>
      </c>
      <c r="T22" s="621" cm="1">
        <f t="array" aca="1" ref="T22" ca="1">IF(AUTOEVENTO="Manual",ROUND(SUMPRODUCT((CÁLCULO!$M$15:$M$231=EVENTOS!$C22)*(OFFSET(CÁLCULO!$AA$15:$AA$231,0,T$13))),2),0)</f>
        <v>0</v>
      </c>
      <c r="U22" s="621" cm="1">
        <f t="array" aca="1" ref="U22" ca="1">IF(AUTOEVENTO="Manual",ROUND(SUMPRODUCT((CÁLCULO!$M$15:$M$231=EVENTOS!$C22)*(OFFSET(CÁLCULO!$AA$15:$AA$231,0,U$13))),2),0)</f>
        <v>0</v>
      </c>
      <c r="V22" s="621" cm="1">
        <f t="array" aca="1" ref="V22" ca="1">IF(AUTOEVENTO="Manual",ROUND(SUMPRODUCT((CÁLCULO!$M$15:$M$231=EVENTOS!$C22)*(OFFSET(CÁLCULO!$AA$15:$AA$231,0,V$13))),2),0)</f>
        <v>0</v>
      </c>
      <c r="W22" s="621" cm="1">
        <f t="array" aca="1" ref="W22" ca="1">IF(AUTOEVENTO="Manual",ROUND(SUMPRODUCT((CÁLCULO!$M$15:$M$231=EVENTOS!$C22)*(OFFSET(CÁLCULO!$AA$15:$AA$231,0,W$13))),2),0)</f>
        <v>0</v>
      </c>
      <c r="X22" s="621" cm="1">
        <f t="array" aca="1" ref="X22" ca="1">IF(AUTOEVENTO="Manual",ROUND(SUMPRODUCT((CÁLCULO!$M$15:$M$231=EVENTOS!$C22)*(OFFSET(CÁLCULO!$AA$15:$AA$231,0,X$13))),2),0)</f>
        <v>0</v>
      </c>
      <c r="Y22" s="621" cm="1">
        <f t="array" aca="1" ref="Y22" ca="1">IF(AUTOEVENTO="Manual",ROUND(SUMPRODUCT((CÁLCULO!$M$15:$M$231=EVENTOS!$C22)*(OFFSET(CÁLCULO!$AA$15:$AA$231,0,Y$13))),2),0)</f>
        <v>0</v>
      </c>
    </row>
    <row r="23" spans="1:25" s="675" customFormat="1" x14ac:dyDescent="0.2">
      <c r="A23" s="507" t="str">
        <f t="shared" si="3"/>
        <v/>
      </c>
      <c r="B23" s="675" t="str">
        <f t="shared" ca="1" si="4"/>
        <v/>
      </c>
      <c r="C23" s="183" t="str" cm="1">
        <f t="array" aca="1" ref="C23" ca="1">IF(OR(ROW(C23)=ROW(EVENTOS.firstrow)+1,AND(OFFSET(C23,-1,0)&lt;&gt;" ",OFFSET(C23,-1,1)&lt;&gt;"")),OFFSET(C23,-1,0)+1," ")</f>
        <v xml:space="preserve"> </v>
      </c>
      <c r="D23" s="497"/>
      <c r="E23" s="621" cm="1">
        <f t="array" aca="1" ref="E23" ca="1">IF(AUTOEVENTO="Manual",ROUND(SUMPRODUCT((CÁLCULO!$M$15:$M$231=EVENTOS!$C23)*(OFFSET(CÁLCULO!$AA$15:$AA$231,0,E$13))),2),0)</f>
        <v>0</v>
      </c>
      <c r="F23" s="184">
        <f ca="1">IF(AUTOEVENTO="Manual",ROUND(SUMPRODUCT((CÁLCULO!$M$15:$M$231=EVENTOS!$C23)*(OFFSET(CÁLCULO!$AA$15,0,1):OFFSET(CÁLCULO!$AL$231,0,-1))),2),0)</f>
        <v>0</v>
      </c>
      <c r="G23" s="622" t="str">
        <f t="shared" ca="1" si="5"/>
        <v/>
      </c>
      <c r="H23" s="621" cm="1">
        <f t="array" aca="1" ref="H23" ca="1">IF(AUTOEVENTO="Manual",ROUND(SUMPRODUCT((CÁLCULO!$M$15:$M$231=EVENTOS!$C23)*(OFFSET(CÁLCULO!$AA$15:$AA$231,0,H$13))),2),0)</f>
        <v>0</v>
      </c>
      <c r="I23" s="621" cm="1">
        <f t="array" aca="1" ref="I23" ca="1">IF(AUTOEVENTO="Manual",ROUND(SUMPRODUCT((CÁLCULO!$M$15:$M$231=EVENTOS!$C23)*(OFFSET(CÁLCULO!$AA$15:$AA$231,0,I$13))),2),0)</f>
        <v>0</v>
      </c>
      <c r="J23" s="621" cm="1">
        <f t="array" aca="1" ref="J23" ca="1">IF(AUTOEVENTO="Manual",ROUND(SUMPRODUCT((CÁLCULO!$M$15:$M$231=EVENTOS!$C23)*(OFFSET(CÁLCULO!$AA$15:$AA$231,0,J$13))),2),0)</f>
        <v>0</v>
      </c>
      <c r="K23" s="621" cm="1">
        <f t="array" aca="1" ref="K23" ca="1">IF(AUTOEVENTO="Manual",ROUND(SUMPRODUCT((CÁLCULO!$M$15:$M$231=EVENTOS!$C23)*(OFFSET(CÁLCULO!$AA$15:$AA$231,0,K$13))),2),0)</f>
        <v>0</v>
      </c>
      <c r="L23" s="621" cm="1">
        <f t="array" aca="1" ref="L23" ca="1">IF(AUTOEVENTO="Manual",ROUND(SUMPRODUCT((CÁLCULO!$M$15:$M$231=EVENTOS!$C23)*(OFFSET(CÁLCULO!$AA$15:$AA$231,0,L$13))),2),0)</f>
        <v>0</v>
      </c>
      <c r="M23" s="621" cm="1">
        <f t="array" aca="1" ref="M23" ca="1">IF(AUTOEVENTO="Manual",ROUND(SUMPRODUCT((CÁLCULO!$M$15:$M$231=EVENTOS!$C23)*(OFFSET(CÁLCULO!$AA$15:$AA$231,0,M$13))),2),0)</f>
        <v>0</v>
      </c>
      <c r="N23" s="621" cm="1">
        <f t="array" aca="1" ref="N23" ca="1">IF(AUTOEVENTO="Manual",ROUND(SUMPRODUCT((CÁLCULO!$M$15:$M$231=EVENTOS!$C23)*(OFFSET(CÁLCULO!$AA$15:$AA$231,0,N$13))),2),0)</f>
        <v>0</v>
      </c>
      <c r="O23" s="621" cm="1">
        <f t="array" aca="1" ref="O23" ca="1">IF(AUTOEVENTO="Manual",ROUND(SUMPRODUCT((CÁLCULO!$M$15:$M$231=EVENTOS!$C23)*(OFFSET(CÁLCULO!$AA$15:$AA$231,0,O$13))),2),0)</f>
        <v>0</v>
      </c>
      <c r="P23" s="621" cm="1">
        <f t="array" aca="1" ref="P23" ca="1">IF(AUTOEVENTO="Manual",ROUND(SUMPRODUCT((CÁLCULO!$M$15:$M$231=EVENTOS!$C23)*(OFFSET(CÁLCULO!$AA$15:$AA$231,0,P$13))),2),0)</f>
        <v>0</v>
      </c>
      <c r="Q23" s="621" cm="1">
        <f t="array" aca="1" ref="Q23" ca="1">IF(AUTOEVENTO="Manual",ROUND(SUMPRODUCT((CÁLCULO!$M$15:$M$231=EVENTOS!$C23)*(OFFSET(CÁLCULO!$AA$15:$AA$231,0,Q$13))),2),0)</f>
        <v>0</v>
      </c>
      <c r="R23" s="621" cm="1">
        <f t="array" aca="1" ref="R23" ca="1">IF(AUTOEVENTO="Manual",ROUND(SUMPRODUCT((CÁLCULO!$M$15:$M$231=EVENTOS!$C23)*(OFFSET(CÁLCULO!$AA$15:$AA$231,0,R$13))),2),0)</f>
        <v>0</v>
      </c>
      <c r="S23" s="621" cm="1">
        <f t="array" aca="1" ref="S23" ca="1">IF(AUTOEVENTO="Manual",ROUND(SUMPRODUCT((CÁLCULO!$M$15:$M$231=EVENTOS!$C23)*(OFFSET(CÁLCULO!$AA$15:$AA$231,0,S$13))),2),0)</f>
        <v>0</v>
      </c>
      <c r="T23" s="621" cm="1">
        <f t="array" aca="1" ref="T23" ca="1">IF(AUTOEVENTO="Manual",ROUND(SUMPRODUCT((CÁLCULO!$M$15:$M$231=EVENTOS!$C23)*(OFFSET(CÁLCULO!$AA$15:$AA$231,0,T$13))),2),0)</f>
        <v>0</v>
      </c>
      <c r="U23" s="621" cm="1">
        <f t="array" aca="1" ref="U23" ca="1">IF(AUTOEVENTO="Manual",ROUND(SUMPRODUCT((CÁLCULO!$M$15:$M$231=EVENTOS!$C23)*(OFFSET(CÁLCULO!$AA$15:$AA$231,0,U$13))),2),0)</f>
        <v>0</v>
      </c>
      <c r="V23" s="621" cm="1">
        <f t="array" aca="1" ref="V23" ca="1">IF(AUTOEVENTO="Manual",ROUND(SUMPRODUCT((CÁLCULO!$M$15:$M$231=EVENTOS!$C23)*(OFFSET(CÁLCULO!$AA$15:$AA$231,0,V$13))),2),0)</f>
        <v>0</v>
      </c>
      <c r="W23" s="621" cm="1">
        <f t="array" aca="1" ref="W23" ca="1">IF(AUTOEVENTO="Manual",ROUND(SUMPRODUCT((CÁLCULO!$M$15:$M$231=EVENTOS!$C23)*(OFFSET(CÁLCULO!$AA$15:$AA$231,0,W$13))),2),0)</f>
        <v>0</v>
      </c>
      <c r="X23" s="621" cm="1">
        <f t="array" aca="1" ref="X23" ca="1">IF(AUTOEVENTO="Manual",ROUND(SUMPRODUCT((CÁLCULO!$M$15:$M$231=EVENTOS!$C23)*(OFFSET(CÁLCULO!$AA$15:$AA$231,0,X$13))),2),0)</f>
        <v>0</v>
      </c>
      <c r="Y23" s="621" cm="1">
        <f t="array" aca="1" ref="Y23" ca="1">IF(AUTOEVENTO="Manual",ROUND(SUMPRODUCT((CÁLCULO!$M$15:$M$231=EVENTOS!$C23)*(OFFSET(CÁLCULO!$AA$15:$AA$231,0,Y$13))),2),0)</f>
        <v>0</v>
      </c>
    </row>
    <row r="24" spans="1:25" s="675" customFormat="1" x14ac:dyDescent="0.2">
      <c r="A24" s="507" t="str">
        <f t="shared" si="3"/>
        <v/>
      </c>
      <c r="B24" s="675" t="str">
        <f t="shared" ca="1" si="4"/>
        <v/>
      </c>
      <c r="C24" s="183" t="str" cm="1">
        <f t="array" aca="1" ref="C24" ca="1">IF(OR(ROW(C24)=ROW(EVENTOS.firstrow)+1,AND(OFFSET(C24,-1,0)&lt;&gt;" ",OFFSET(C24,-1,1)&lt;&gt;"")),OFFSET(C24,-1,0)+1," ")</f>
        <v xml:space="preserve"> </v>
      </c>
      <c r="D24" s="497"/>
      <c r="E24" s="621" cm="1">
        <f t="array" aca="1" ref="E24" ca="1">IF(AUTOEVENTO="Manual",ROUND(SUMPRODUCT((CÁLCULO!$M$15:$M$231=EVENTOS!$C24)*(OFFSET(CÁLCULO!$AA$15:$AA$231,0,E$13))),2),0)</f>
        <v>0</v>
      </c>
      <c r="F24" s="184">
        <f ca="1">IF(AUTOEVENTO="Manual",ROUND(SUMPRODUCT((CÁLCULO!$M$15:$M$231=EVENTOS!$C24)*(OFFSET(CÁLCULO!$AA$15,0,1):OFFSET(CÁLCULO!$AL$231,0,-1))),2),0)</f>
        <v>0</v>
      </c>
      <c r="G24" s="622" t="str">
        <f t="shared" ca="1" si="5"/>
        <v/>
      </c>
      <c r="H24" s="621" cm="1">
        <f t="array" aca="1" ref="H24" ca="1">IF(AUTOEVENTO="Manual",ROUND(SUMPRODUCT((CÁLCULO!$M$15:$M$231=EVENTOS!$C24)*(OFFSET(CÁLCULO!$AA$15:$AA$231,0,H$13))),2),0)</f>
        <v>0</v>
      </c>
      <c r="I24" s="621" cm="1">
        <f t="array" aca="1" ref="I24" ca="1">IF(AUTOEVENTO="Manual",ROUND(SUMPRODUCT((CÁLCULO!$M$15:$M$231=EVENTOS!$C24)*(OFFSET(CÁLCULO!$AA$15:$AA$231,0,I$13))),2),0)</f>
        <v>0</v>
      </c>
      <c r="J24" s="621" cm="1">
        <f t="array" aca="1" ref="J24" ca="1">IF(AUTOEVENTO="Manual",ROUND(SUMPRODUCT((CÁLCULO!$M$15:$M$231=EVENTOS!$C24)*(OFFSET(CÁLCULO!$AA$15:$AA$231,0,J$13))),2),0)</f>
        <v>0</v>
      </c>
      <c r="K24" s="621" cm="1">
        <f t="array" aca="1" ref="K24" ca="1">IF(AUTOEVENTO="Manual",ROUND(SUMPRODUCT((CÁLCULO!$M$15:$M$231=EVENTOS!$C24)*(OFFSET(CÁLCULO!$AA$15:$AA$231,0,K$13))),2),0)</f>
        <v>0</v>
      </c>
      <c r="L24" s="621" cm="1">
        <f t="array" aca="1" ref="L24" ca="1">IF(AUTOEVENTO="Manual",ROUND(SUMPRODUCT((CÁLCULO!$M$15:$M$231=EVENTOS!$C24)*(OFFSET(CÁLCULO!$AA$15:$AA$231,0,L$13))),2),0)</f>
        <v>0</v>
      </c>
      <c r="M24" s="621" cm="1">
        <f t="array" aca="1" ref="M24" ca="1">IF(AUTOEVENTO="Manual",ROUND(SUMPRODUCT((CÁLCULO!$M$15:$M$231=EVENTOS!$C24)*(OFFSET(CÁLCULO!$AA$15:$AA$231,0,M$13))),2),0)</f>
        <v>0</v>
      </c>
      <c r="N24" s="621" cm="1">
        <f t="array" aca="1" ref="N24" ca="1">IF(AUTOEVENTO="Manual",ROUND(SUMPRODUCT((CÁLCULO!$M$15:$M$231=EVENTOS!$C24)*(OFFSET(CÁLCULO!$AA$15:$AA$231,0,N$13))),2),0)</f>
        <v>0</v>
      </c>
      <c r="O24" s="621" cm="1">
        <f t="array" aca="1" ref="O24" ca="1">IF(AUTOEVENTO="Manual",ROUND(SUMPRODUCT((CÁLCULO!$M$15:$M$231=EVENTOS!$C24)*(OFFSET(CÁLCULO!$AA$15:$AA$231,0,O$13))),2),0)</f>
        <v>0</v>
      </c>
      <c r="P24" s="621" cm="1">
        <f t="array" aca="1" ref="P24" ca="1">IF(AUTOEVENTO="Manual",ROUND(SUMPRODUCT((CÁLCULO!$M$15:$M$231=EVENTOS!$C24)*(OFFSET(CÁLCULO!$AA$15:$AA$231,0,P$13))),2),0)</f>
        <v>0</v>
      </c>
      <c r="Q24" s="621" cm="1">
        <f t="array" aca="1" ref="Q24" ca="1">IF(AUTOEVENTO="Manual",ROUND(SUMPRODUCT((CÁLCULO!$M$15:$M$231=EVENTOS!$C24)*(OFFSET(CÁLCULO!$AA$15:$AA$231,0,Q$13))),2),0)</f>
        <v>0</v>
      </c>
      <c r="R24" s="621" cm="1">
        <f t="array" aca="1" ref="R24" ca="1">IF(AUTOEVENTO="Manual",ROUND(SUMPRODUCT((CÁLCULO!$M$15:$M$231=EVENTOS!$C24)*(OFFSET(CÁLCULO!$AA$15:$AA$231,0,R$13))),2),0)</f>
        <v>0</v>
      </c>
      <c r="S24" s="621" cm="1">
        <f t="array" aca="1" ref="S24" ca="1">IF(AUTOEVENTO="Manual",ROUND(SUMPRODUCT((CÁLCULO!$M$15:$M$231=EVENTOS!$C24)*(OFFSET(CÁLCULO!$AA$15:$AA$231,0,S$13))),2),0)</f>
        <v>0</v>
      </c>
      <c r="T24" s="621" cm="1">
        <f t="array" aca="1" ref="T24" ca="1">IF(AUTOEVENTO="Manual",ROUND(SUMPRODUCT((CÁLCULO!$M$15:$M$231=EVENTOS!$C24)*(OFFSET(CÁLCULO!$AA$15:$AA$231,0,T$13))),2),0)</f>
        <v>0</v>
      </c>
      <c r="U24" s="621" cm="1">
        <f t="array" aca="1" ref="U24" ca="1">IF(AUTOEVENTO="Manual",ROUND(SUMPRODUCT((CÁLCULO!$M$15:$M$231=EVENTOS!$C24)*(OFFSET(CÁLCULO!$AA$15:$AA$231,0,U$13))),2),0)</f>
        <v>0</v>
      </c>
      <c r="V24" s="621" cm="1">
        <f t="array" aca="1" ref="V24" ca="1">IF(AUTOEVENTO="Manual",ROUND(SUMPRODUCT((CÁLCULO!$M$15:$M$231=EVENTOS!$C24)*(OFFSET(CÁLCULO!$AA$15:$AA$231,0,V$13))),2),0)</f>
        <v>0</v>
      </c>
      <c r="W24" s="621" cm="1">
        <f t="array" aca="1" ref="W24" ca="1">IF(AUTOEVENTO="Manual",ROUND(SUMPRODUCT((CÁLCULO!$M$15:$M$231=EVENTOS!$C24)*(OFFSET(CÁLCULO!$AA$15:$AA$231,0,W$13))),2),0)</f>
        <v>0</v>
      </c>
      <c r="X24" s="621" cm="1">
        <f t="array" aca="1" ref="X24" ca="1">IF(AUTOEVENTO="Manual",ROUND(SUMPRODUCT((CÁLCULO!$M$15:$M$231=EVENTOS!$C24)*(OFFSET(CÁLCULO!$AA$15:$AA$231,0,X$13))),2),0)</f>
        <v>0</v>
      </c>
      <c r="Y24" s="621" cm="1">
        <f t="array" aca="1" ref="Y24" ca="1">IF(AUTOEVENTO="Manual",ROUND(SUMPRODUCT((CÁLCULO!$M$15:$M$231=EVENTOS!$C24)*(OFFSET(CÁLCULO!$AA$15:$AA$231,0,Y$13))),2),0)</f>
        <v>0</v>
      </c>
    </row>
    <row r="25" spans="1:25" s="675" customFormat="1" x14ac:dyDescent="0.2">
      <c r="A25" s="507" t="str">
        <f t="shared" si="3"/>
        <v/>
      </c>
      <c r="B25" s="675" t="str">
        <f t="shared" ca="1" si="4"/>
        <v/>
      </c>
      <c r="C25" s="183" t="str" cm="1">
        <f t="array" aca="1" ref="C25" ca="1">IF(OR(ROW(C25)=ROW(EVENTOS.firstrow)+1,AND(OFFSET(C25,-1,0)&lt;&gt;" ",OFFSET(C25,-1,1)&lt;&gt;"")),OFFSET(C25,-1,0)+1," ")</f>
        <v xml:space="preserve"> </v>
      </c>
      <c r="D25" s="497"/>
      <c r="E25" s="621" cm="1">
        <f t="array" aca="1" ref="E25" ca="1">IF(AUTOEVENTO="Manual",ROUND(SUMPRODUCT((CÁLCULO!$M$15:$M$231=EVENTOS!$C25)*(OFFSET(CÁLCULO!$AA$15:$AA$231,0,E$13))),2),0)</f>
        <v>0</v>
      </c>
      <c r="F25" s="184">
        <f ca="1">IF(AUTOEVENTO="Manual",ROUND(SUMPRODUCT((CÁLCULO!$M$15:$M$231=EVENTOS!$C25)*(OFFSET(CÁLCULO!$AA$15,0,1):OFFSET(CÁLCULO!$AL$231,0,-1))),2),0)</f>
        <v>0</v>
      </c>
      <c r="G25" s="622" t="str">
        <f t="shared" ca="1" si="5"/>
        <v/>
      </c>
      <c r="H25" s="621" cm="1">
        <f t="array" aca="1" ref="H25" ca="1">IF(AUTOEVENTO="Manual",ROUND(SUMPRODUCT((CÁLCULO!$M$15:$M$231=EVENTOS!$C25)*(OFFSET(CÁLCULO!$AA$15:$AA$231,0,H$13))),2),0)</f>
        <v>0</v>
      </c>
      <c r="I25" s="621" cm="1">
        <f t="array" aca="1" ref="I25" ca="1">IF(AUTOEVENTO="Manual",ROUND(SUMPRODUCT((CÁLCULO!$M$15:$M$231=EVENTOS!$C25)*(OFFSET(CÁLCULO!$AA$15:$AA$231,0,I$13))),2),0)</f>
        <v>0</v>
      </c>
      <c r="J25" s="621" cm="1">
        <f t="array" aca="1" ref="J25" ca="1">IF(AUTOEVENTO="Manual",ROUND(SUMPRODUCT((CÁLCULO!$M$15:$M$231=EVENTOS!$C25)*(OFFSET(CÁLCULO!$AA$15:$AA$231,0,J$13))),2),0)</f>
        <v>0</v>
      </c>
      <c r="K25" s="621" cm="1">
        <f t="array" aca="1" ref="K25" ca="1">IF(AUTOEVENTO="Manual",ROUND(SUMPRODUCT((CÁLCULO!$M$15:$M$231=EVENTOS!$C25)*(OFFSET(CÁLCULO!$AA$15:$AA$231,0,K$13))),2),0)</f>
        <v>0</v>
      </c>
      <c r="L25" s="621" cm="1">
        <f t="array" aca="1" ref="L25" ca="1">IF(AUTOEVENTO="Manual",ROUND(SUMPRODUCT((CÁLCULO!$M$15:$M$231=EVENTOS!$C25)*(OFFSET(CÁLCULO!$AA$15:$AA$231,0,L$13))),2),0)</f>
        <v>0</v>
      </c>
      <c r="M25" s="621" cm="1">
        <f t="array" aca="1" ref="M25" ca="1">IF(AUTOEVENTO="Manual",ROUND(SUMPRODUCT((CÁLCULO!$M$15:$M$231=EVENTOS!$C25)*(OFFSET(CÁLCULO!$AA$15:$AA$231,0,M$13))),2),0)</f>
        <v>0</v>
      </c>
      <c r="N25" s="621" cm="1">
        <f t="array" aca="1" ref="N25" ca="1">IF(AUTOEVENTO="Manual",ROUND(SUMPRODUCT((CÁLCULO!$M$15:$M$231=EVENTOS!$C25)*(OFFSET(CÁLCULO!$AA$15:$AA$231,0,N$13))),2),0)</f>
        <v>0</v>
      </c>
      <c r="O25" s="621" cm="1">
        <f t="array" aca="1" ref="O25" ca="1">IF(AUTOEVENTO="Manual",ROUND(SUMPRODUCT((CÁLCULO!$M$15:$M$231=EVENTOS!$C25)*(OFFSET(CÁLCULO!$AA$15:$AA$231,0,O$13))),2),0)</f>
        <v>0</v>
      </c>
      <c r="P25" s="621" cm="1">
        <f t="array" aca="1" ref="P25" ca="1">IF(AUTOEVENTO="Manual",ROUND(SUMPRODUCT((CÁLCULO!$M$15:$M$231=EVENTOS!$C25)*(OFFSET(CÁLCULO!$AA$15:$AA$231,0,P$13))),2),0)</f>
        <v>0</v>
      </c>
      <c r="Q25" s="621" cm="1">
        <f t="array" aca="1" ref="Q25" ca="1">IF(AUTOEVENTO="Manual",ROUND(SUMPRODUCT((CÁLCULO!$M$15:$M$231=EVENTOS!$C25)*(OFFSET(CÁLCULO!$AA$15:$AA$231,0,Q$13))),2),0)</f>
        <v>0</v>
      </c>
      <c r="R25" s="621" cm="1">
        <f t="array" aca="1" ref="R25" ca="1">IF(AUTOEVENTO="Manual",ROUND(SUMPRODUCT((CÁLCULO!$M$15:$M$231=EVENTOS!$C25)*(OFFSET(CÁLCULO!$AA$15:$AA$231,0,R$13))),2),0)</f>
        <v>0</v>
      </c>
      <c r="S25" s="621" cm="1">
        <f t="array" aca="1" ref="S25" ca="1">IF(AUTOEVENTO="Manual",ROUND(SUMPRODUCT((CÁLCULO!$M$15:$M$231=EVENTOS!$C25)*(OFFSET(CÁLCULO!$AA$15:$AA$231,0,S$13))),2),0)</f>
        <v>0</v>
      </c>
      <c r="T25" s="621" cm="1">
        <f t="array" aca="1" ref="T25" ca="1">IF(AUTOEVENTO="Manual",ROUND(SUMPRODUCT((CÁLCULO!$M$15:$M$231=EVENTOS!$C25)*(OFFSET(CÁLCULO!$AA$15:$AA$231,0,T$13))),2),0)</f>
        <v>0</v>
      </c>
      <c r="U25" s="621" cm="1">
        <f t="array" aca="1" ref="U25" ca="1">IF(AUTOEVENTO="Manual",ROUND(SUMPRODUCT((CÁLCULO!$M$15:$M$231=EVENTOS!$C25)*(OFFSET(CÁLCULO!$AA$15:$AA$231,0,U$13))),2),0)</f>
        <v>0</v>
      </c>
      <c r="V25" s="621" cm="1">
        <f t="array" aca="1" ref="V25" ca="1">IF(AUTOEVENTO="Manual",ROUND(SUMPRODUCT((CÁLCULO!$M$15:$M$231=EVENTOS!$C25)*(OFFSET(CÁLCULO!$AA$15:$AA$231,0,V$13))),2),0)</f>
        <v>0</v>
      </c>
      <c r="W25" s="621" cm="1">
        <f t="array" aca="1" ref="W25" ca="1">IF(AUTOEVENTO="Manual",ROUND(SUMPRODUCT((CÁLCULO!$M$15:$M$231=EVENTOS!$C25)*(OFFSET(CÁLCULO!$AA$15:$AA$231,0,W$13))),2),0)</f>
        <v>0</v>
      </c>
      <c r="X25" s="621" cm="1">
        <f t="array" aca="1" ref="X25" ca="1">IF(AUTOEVENTO="Manual",ROUND(SUMPRODUCT((CÁLCULO!$M$15:$M$231=EVENTOS!$C25)*(OFFSET(CÁLCULO!$AA$15:$AA$231,0,X$13))),2),0)</f>
        <v>0</v>
      </c>
      <c r="Y25" s="621" cm="1">
        <f t="array" aca="1" ref="Y25" ca="1">IF(AUTOEVENTO="Manual",ROUND(SUMPRODUCT((CÁLCULO!$M$15:$M$231=EVENTOS!$C25)*(OFFSET(CÁLCULO!$AA$15:$AA$231,0,Y$13))),2),0)</f>
        <v>0</v>
      </c>
    </row>
    <row r="26" spans="1:25" s="675" customFormat="1" x14ac:dyDescent="0.2">
      <c r="A26" s="507" t="str">
        <f t="shared" si="3"/>
        <v/>
      </c>
      <c r="B26" s="675" t="str">
        <f t="shared" ca="1" si="4"/>
        <v/>
      </c>
      <c r="C26" s="183" t="str" cm="1">
        <f t="array" aca="1" ref="C26" ca="1">IF(OR(ROW(C26)=ROW(EVENTOS.firstrow)+1,AND(OFFSET(C26,-1,0)&lt;&gt;" ",OFFSET(C26,-1,1)&lt;&gt;"")),OFFSET(C26,-1,0)+1," ")</f>
        <v xml:space="preserve"> </v>
      </c>
      <c r="D26" s="497"/>
      <c r="E26" s="621" cm="1">
        <f t="array" aca="1" ref="E26" ca="1">IF(AUTOEVENTO="Manual",ROUND(SUMPRODUCT((CÁLCULO!$M$15:$M$231=EVENTOS!$C26)*(OFFSET(CÁLCULO!$AA$15:$AA$231,0,E$13))),2),0)</f>
        <v>0</v>
      </c>
      <c r="F26" s="184">
        <f ca="1">IF(AUTOEVENTO="Manual",ROUND(SUMPRODUCT((CÁLCULO!$M$15:$M$231=EVENTOS!$C26)*(OFFSET(CÁLCULO!$AA$15,0,1):OFFSET(CÁLCULO!$AL$231,0,-1))),2),0)</f>
        <v>0</v>
      </c>
      <c r="G26" s="622" t="str">
        <f t="shared" ca="1" si="5"/>
        <v/>
      </c>
      <c r="H26" s="621" cm="1">
        <f t="array" aca="1" ref="H26" ca="1">IF(AUTOEVENTO="Manual",ROUND(SUMPRODUCT((CÁLCULO!$M$15:$M$231=EVENTOS!$C26)*(OFFSET(CÁLCULO!$AA$15:$AA$231,0,H$13))),2),0)</f>
        <v>0</v>
      </c>
      <c r="I26" s="621" cm="1">
        <f t="array" aca="1" ref="I26" ca="1">IF(AUTOEVENTO="Manual",ROUND(SUMPRODUCT((CÁLCULO!$M$15:$M$231=EVENTOS!$C26)*(OFFSET(CÁLCULO!$AA$15:$AA$231,0,I$13))),2),0)</f>
        <v>0</v>
      </c>
      <c r="J26" s="621" cm="1">
        <f t="array" aca="1" ref="J26" ca="1">IF(AUTOEVENTO="Manual",ROUND(SUMPRODUCT((CÁLCULO!$M$15:$M$231=EVENTOS!$C26)*(OFFSET(CÁLCULO!$AA$15:$AA$231,0,J$13))),2),0)</f>
        <v>0</v>
      </c>
      <c r="K26" s="621" cm="1">
        <f t="array" aca="1" ref="K26" ca="1">IF(AUTOEVENTO="Manual",ROUND(SUMPRODUCT((CÁLCULO!$M$15:$M$231=EVENTOS!$C26)*(OFFSET(CÁLCULO!$AA$15:$AA$231,0,K$13))),2),0)</f>
        <v>0</v>
      </c>
      <c r="L26" s="621" cm="1">
        <f t="array" aca="1" ref="L26" ca="1">IF(AUTOEVENTO="Manual",ROUND(SUMPRODUCT((CÁLCULO!$M$15:$M$231=EVENTOS!$C26)*(OFFSET(CÁLCULO!$AA$15:$AA$231,0,L$13))),2),0)</f>
        <v>0</v>
      </c>
      <c r="M26" s="621" cm="1">
        <f t="array" aca="1" ref="M26" ca="1">IF(AUTOEVENTO="Manual",ROUND(SUMPRODUCT((CÁLCULO!$M$15:$M$231=EVENTOS!$C26)*(OFFSET(CÁLCULO!$AA$15:$AA$231,0,M$13))),2),0)</f>
        <v>0</v>
      </c>
      <c r="N26" s="621" cm="1">
        <f t="array" aca="1" ref="N26" ca="1">IF(AUTOEVENTO="Manual",ROUND(SUMPRODUCT((CÁLCULO!$M$15:$M$231=EVENTOS!$C26)*(OFFSET(CÁLCULO!$AA$15:$AA$231,0,N$13))),2),0)</f>
        <v>0</v>
      </c>
      <c r="O26" s="621" cm="1">
        <f t="array" aca="1" ref="O26" ca="1">IF(AUTOEVENTO="Manual",ROUND(SUMPRODUCT((CÁLCULO!$M$15:$M$231=EVENTOS!$C26)*(OFFSET(CÁLCULO!$AA$15:$AA$231,0,O$13))),2),0)</f>
        <v>0</v>
      </c>
      <c r="P26" s="621" cm="1">
        <f t="array" aca="1" ref="P26" ca="1">IF(AUTOEVENTO="Manual",ROUND(SUMPRODUCT((CÁLCULO!$M$15:$M$231=EVENTOS!$C26)*(OFFSET(CÁLCULO!$AA$15:$AA$231,0,P$13))),2),0)</f>
        <v>0</v>
      </c>
      <c r="Q26" s="621" cm="1">
        <f t="array" aca="1" ref="Q26" ca="1">IF(AUTOEVENTO="Manual",ROUND(SUMPRODUCT((CÁLCULO!$M$15:$M$231=EVENTOS!$C26)*(OFFSET(CÁLCULO!$AA$15:$AA$231,0,Q$13))),2),0)</f>
        <v>0</v>
      </c>
      <c r="R26" s="621" cm="1">
        <f t="array" aca="1" ref="R26" ca="1">IF(AUTOEVENTO="Manual",ROUND(SUMPRODUCT((CÁLCULO!$M$15:$M$231=EVENTOS!$C26)*(OFFSET(CÁLCULO!$AA$15:$AA$231,0,R$13))),2),0)</f>
        <v>0</v>
      </c>
      <c r="S26" s="621" cm="1">
        <f t="array" aca="1" ref="S26" ca="1">IF(AUTOEVENTO="Manual",ROUND(SUMPRODUCT((CÁLCULO!$M$15:$M$231=EVENTOS!$C26)*(OFFSET(CÁLCULO!$AA$15:$AA$231,0,S$13))),2),0)</f>
        <v>0</v>
      </c>
      <c r="T26" s="621" cm="1">
        <f t="array" aca="1" ref="T26" ca="1">IF(AUTOEVENTO="Manual",ROUND(SUMPRODUCT((CÁLCULO!$M$15:$M$231=EVENTOS!$C26)*(OFFSET(CÁLCULO!$AA$15:$AA$231,0,T$13))),2),0)</f>
        <v>0</v>
      </c>
      <c r="U26" s="621" cm="1">
        <f t="array" aca="1" ref="U26" ca="1">IF(AUTOEVENTO="Manual",ROUND(SUMPRODUCT((CÁLCULO!$M$15:$M$231=EVENTOS!$C26)*(OFFSET(CÁLCULO!$AA$15:$AA$231,0,U$13))),2),0)</f>
        <v>0</v>
      </c>
      <c r="V26" s="621" cm="1">
        <f t="array" aca="1" ref="V26" ca="1">IF(AUTOEVENTO="Manual",ROUND(SUMPRODUCT((CÁLCULO!$M$15:$M$231=EVENTOS!$C26)*(OFFSET(CÁLCULO!$AA$15:$AA$231,0,V$13))),2),0)</f>
        <v>0</v>
      </c>
      <c r="W26" s="621" cm="1">
        <f t="array" aca="1" ref="W26" ca="1">IF(AUTOEVENTO="Manual",ROUND(SUMPRODUCT((CÁLCULO!$M$15:$M$231=EVENTOS!$C26)*(OFFSET(CÁLCULO!$AA$15:$AA$231,0,W$13))),2),0)</f>
        <v>0</v>
      </c>
      <c r="X26" s="621" cm="1">
        <f t="array" aca="1" ref="X26" ca="1">IF(AUTOEVENTO="Manual",ROUND(SUMPRODUCT((CÁLCULO!$M$15:$M$231=EVENTOS!$C26)*(OFFSET(CÁLCULO!$AA$15:$AA$231,0,X$13))),2),0)</f>
        <v>0</v>
      </c>
      <c r="Y26" s="621" cm="1">
        <f t="array" aca="1" ref="Y26" ca="1">IF(AUTOEVENTO="Manual",ROUND(SUMPRODUCT((CÁLCULO!$M$15:$M$231=EVENTOS!$C26)*(OFFSET(CÁLCULO!$AA$15:$AA$231,0,Y$13))),2),0)</f>
        <v>0</v>
      </c>
    </row>
    <row r="27" spans="1:25" s="675" customFormat="1" x14ac:dyDescent="0.2">
      <c r="A27" s="507" t="str">
        <f t="shared" si="3"/>
        <v/>
      </c>
      <c r="B27" s="675" t="str">
        <f t="shared" ca="1" si="4"/>
        <v/>
      </c>
      <c r="C27" s="183" t="str" cm="1">
        <f t="array" aca="1" ref="C27" ca="1">IF(OR(ROW(C27)=ROW(EVENTOS.firstrow)+1,AND(OFFSET(C27,-1,0)&lt;&gt;" ",OFFSET(C27,-1,1)&lt;&gt;"")),OFFSET(C27,-1,0)+1," ")</f>
        <v xml:space="preserve"> </v>
      </c>
      <c r="D27" s="497"/>
      <c r="E27" s="621" cm="1">
        <f t="array" aca="1" ref="E27" ca="1">IF(AUTOEVENTO="Manual",ROUND(SUMPRODUCT((CÁLCULO!$M$15:$M$231=EVENTOS!$C27)*(OFFSET(CÁLCULO!$AA$15:$AA$231,0,E$13))),2),0)</f>
        <v>0</v>
      </c>
      <c r="F27" s="184">
        <f ca="1">IF(AUTOEVENTO="Manual",ROUND(SUMPRODUCT((CÁLCULO!$M$15:$M$231=EVENTOS!$C27)*(OFFSET(CÁLCULO!$AA$15,0,1):OFFSET(CÁLCULO!$AL$231,0,-1))),2),0)</f>
        <v>0</v>
      </c>
      <c r="G27" s="622" t="str">
        <f t="shared" ca="1" si="5"/>
        <v/>
      </c>
      <c r="H27" s="621" cm="1">
        <f t="array" aca="1" ref="H27" ca="1">IF(AUTOEVENTO="Manual",ROUND(SUMPRODUCT((CÁLCULO!$M$15:$M$231=EVENTOS!$C27)*(OFFSET(CÁLCULO!$AA$15:$AA$231,0,H$13))),2),0)</f>
        <v>0</v>
      </c>
      <c r="I27" s="621" cm="1">
        <f t="array" aca="1" ref="I27" ca="1">IF(AUTOEVENTO="Manual",ROUND(SUMPRODUCT((CÁLCULO!$M$15:$M$231=EVENTOS!$C27)*(OFFSET(CÁLCULO!$AA$15:$AA$231,0,I$13))),2),0)</f>
        <v>0</v>
      </c>
      <c r="J27" s="621" cm="1">
        <f t="array" aca="1" ref="J27" ca="1">IF(AUTOEVENTO="Manual",ROUND(SUMPRODUCT((CÁLCULO!$M$15:$M$231=EVENTOS!$C27)*(OFFSET(CÁLCULO!$AA$15:$AA$231,0,J$13))),2),0)</f>
        <v>0</v>
      </c>
      <c r="K27" s="621" cm="1">
        <f t="array" aca="1" ref="K27" ca="1">IF(AUTOEVENTO="Manual",ROUND(SUMPRODUCT((CÁLCULO!$M$15:$M$231=EVENTOS!$C27)*(OFFSET(CÁLCULO!$AA$15:$AA$231,0,K$13))),2),0)</f>
        <v>0</v>
      </c>
      <c r="L27" s="621" cm="1">
        <f t="array" aca="1" ref="L27" ca="1">IF(AUTOEVENTO="Manual",ROUND(SUMPRODUCT((CÁLCULO!$M$15:$M$231=EVENTOS!$C27)*(OFFSET(CÁLCULO!$AA$15:$AA$231,0,L$13))),2),0)</f>
        <v>0</v>
      </c>
      <c r="M27" s="621" cm="1">
        <f t="array" aca="1" ref="M27" ca="1">IF(AUTOEVENTO="Manual",ROUND(SUMPRODUCT((CÁLCULO!$M$15:$M$231=EVENTOS!$C27)*(OFFSET(CÁLCULO!$AA$15:$AA$231,0,M$13))),2),0)</f>
        <v>0</v>
      </c>
      <c r="N27" s="621" cm="1">
        <f t="array" aca="1" ref="N27" ca="1">IF(AUTOEVENTO="Manual",ROUND(SUMPRODUCT((CÁLCULO!$M$15:$M$231=EVENTOS!$C27)*(OFFSET(CÁLCULO!$AA$15:$AA$231,0,N$13))),2),0)</f>
        <v>0</v>
      </c>
      <c r="O27" s="621" cm="1">
        <f t="array" aca="1" ref="O27" ca="1">IF(AUTOEVENTO="Manual",ROUND(SUMPRODUCT((CÁLCULO!$M$15:$M$231=EVENTOS!$C27)*(OFFSET(CÁLCULO!$AA$15:$AA$231,0,O$13))),2),0)</f>
        <v>0</v>
      </c>
      <c r="P27" s="621" cm="1">
        <f t="array" aca="1" ref="P27" ca="1">IF(AUTOEVENTO="Manual",ROUND(SUMPRODUCT((CÁLCULO!$M$15:$M$231=EVENTOS!$C27)*(OFFSET(CÁLCULO!$AA$15:$AA$231,0,P$13))),2),0)</f>
        <v>0</v>
      </c>
      <c r="Q27" s="621" cm="1">
        <f t="array" aca="1" ref="Q27" ca="1">IF(AUTOEVENTO="Manual",ROUND(SUMPRODUCT((CÁLCULO!$M$15:$M$231=EVENTOS!$C27)*(OFFSET(CÁLCULO!$AA$15:$AA$231,0,Q$13))),2),0)</f>
        <v>0</v>
      </c>
      <c r="R27" s="621" cm="1">
        <f t="array" aca="1" ref="R27" ca="1">IF(AUTOEVENTO="Manual",ROUND(SUMPRODUCT((CÁLCULO!$M$15:$M$231=EVENTOS!$C27)*(OFFSET(CÁLCULO!$AA$15:$AA$231,0,R$13))),2),0)</f>
        <v>0</v>
      </c>
      <c r="S27" s="621" cm="1">
        <f t="array" aca="1" ref="S27" ca="1">IF(AUTOEVENTO="Manual",ROUND(SUMPRODUCT((CÁLCULO!$M$15:$M$231=EVENTOS!$C27)*(OFFSET(CÁLCULO!$AA$15:$AA$231,0,S$13))),2),0)</f>
        <v>0</v>
      </c>
      <c r="T27" s="621" cm="1">
        <f t="array" aca="1" ref="T27" ca="1">IF(AUTOEVENTO="Manual",ROUND(SUMPRODUCT((CÁLCULO!$M$15:$M$231=EVENTOS!$C27)*(OFFSET(CÁLCULO!$AA$15:$AA$231,0,T$13))),2),0)</f>
        <v>0</v>
      </c>
      <c r="U27" s="621" cm="1">
        <f t="array" aca="1" ref="U27" ca="1">IF(AUTOEVENTO="Manual",ROUND(SUMPRODUCT((CÁLCULO!$M$15:$M$231=EVENTOS!$C27)*(OFFSET(CÁLCULO!$AA$15:$AA$231,0,U$13))),2),0)</f>
        <v>0</v>
      </c>
      <c r="V27" s="621" cm="1">
        <f t="array" aca="1" ref="V27" ca="1">IF(AUTOEVENTO="Manual",ROUND(SUMPRODUCT((CÁLCULO!$M$15:$M$231=EVENTOS!$C27)*(OFFSET(CÁLCULO!$AA$15:$AA$231,0,V$13))),2),0)</f>
        <v>0</v>
      </c>
      <c r="W27" s="621" cm="1">
        <f t="array" aca="1" ref="W27" ca="1">IF(AUTOEVENTO="Manual",ROUND(SUMPRODUCT((CÁLCULO!$M$15:$M$231=EVENTOS!$C27)*(OFFSET(CÁLCULO!$AA$15:$AA$231,0,W$13))),2),0)</f>
        <v>0</v>
      </c>
      <c r="X27" s="621" cm="1">
        <f t="array" aca="1" ref="X27" ca="1">IF(AUTOEVENTO="Manual",ROUND(SUMPRODUCT((CÁLCULO!$M$15:$M$231=EVENTOS!$C27)*(OFFSET(CÁLCULO!$AA$15:$AA$231,0,X$13))),2),0)</f>
        <v>0</v>
      </c>
      <c r="Y27" s="621" cm="1">
        <f t="array" aca="1" ref="Y27" ca="1">IF(AUTOEVENTO="Manual",ROUND(SUMPRODUCT((CÁLCULO!$M$15:$M$231=EVENTOS!$C27)*(OFFSET(CÁLCULO!$AA$15:$AA$231,0,Y$13))),2),0)</f>
        <v>0</v>
      </c>
    </row>
    <row r="28" spans="1:25" s="675" customFormat="1" x14ac:dyDescent="0.2">
      <c r="A28" s="507" t="str">
        <f t="shared" si="3"/>
        <v/>
      </c>
      <c r="B28" s="675" t="str">
        <f t="shared" ca="1" si="4"/>
        <v/>
      </c>
      <c r="C28" s="183" t="str" cm="1">
        <f t="array" aca="1" ref="C28" ca="1">IF(OR(ROW(C28)=ROW(EVENTOS.firstrow)+1,AND(OFFSET(C28,-1,0)&lt;&gt;" ",OFFSET(C28,-1,1)&lt;&gt;"")),OFFSET(C28,-1,0)+1," ")</f>
        <v xml:space="preserve"> </v>
      </c>
      <c r="D28" s="497"/>
      <c r="E28" s="621" cm="1">
        <f t="array" aca="1" ref="E28" ca="1">IF(AUTOEVENTO="Manual",ROUND(SUMPRODUCT((CÁLCULO!$M$15:$M$231=EVENTOS!$C28)*(OFFSET(CÁLCULO!$AA$15:$AA$231,0,E$13))),2),0)</f>
        <v>0</v>
      </c>
      <c r="F28" s="184">
        <f ca="1">IF(AUTOEVENTO="Manual",ROUND(SUMPRODUCT((CÁLCULO!$M$15:$M$231=EVENTOS!$C28)*(OFFSET(CÁLCULO!$AA$15,0,1):OFFSET(CÁLCULO!$AL$231,0,-1))),2),0)</f>
        <v>0</v>
      </c>
      <c r="G28" s="622" t="str">
        <f t="shared" ca="1" si="5"/>
        <v/>
      </c>
      <c r="H28" s="621" cm="1">
        <f t="array" aca="1" ref="H28" ca="1">IF(AUTOEVENTO="Manual",ROUND(SUMPRODUCT((CÁLCULO!$M$15:$M$231=EVENTOS!$C28)*(OFFSET(CÁLCULO!$AA$15:$AA$231,0,H$13))),2),0)</f>
        <v>0</v>
      </c>
      <c r="I28" s="621" cm="1">
        <f t="array" aca="1" ref="I28" ca="1">IF(AUTOEVENTO="Manual",ROUND(SUMPRODUCT((CÁLCULO!$M$15:$M$231=EVENTOS!$C28)*(OFFSET(CÁLCULO!$AA$15:$AA$231,0,I$13))),2),0)</f>
        <v>0</v>
      </c>
      <c r="J28" s="621" cm="1">
        <f t="array" aca="1" ref="J28" ca="1">IF(AUTOEVENTO="Manual",ROUND(SUMPRODUCT((CÁLCULO!$M$15:$M$231=EVENTOS!$C28)*(OFFSET(CÁLCULO!$AA$15:$AA$231,0,J$13))),2),0)</f>
        <v>0</v>
      </c>
      <c r="K28" s="621" cm="1">
        <f t="array" aca="1" ref="K28" ca="1">IF(AUTOEVENTO="Manual",ROUND(SUMPRODUCT((CÁLCULO!$M$15:$M$231=EVENTOS!$C28)*(OFFSET(CÁLCULO!$AA$15:$AA$231,0,K$13))),2),0)</f>
        <v>0</v>
      </c>
      <c r="L28" s="621" cm="1">
        <f t="array" aca="1" ref="L28" ca="1">IF(AUTOEVENTO="Manual",ROUND(SUMPRODUCT((CÁLCULO!$M$15:$M$231=EVENTOS!$C28)*(OFFSET(CÁLCULO!$AA$15:$AA$231,0,L$13))),2),0)</f>
        <v>0</v>
      </c>
      <c r="M28" s="621" cm="1">
        <f t="array" aca="1" ref="M28" ca="1">IF(AUTOEVENTO="Manual",ROUND(SUMPRODUCT((CÁLCULO!$M$15:$M$231=EVENTOS!$C28)*(OFFSET(CÁLCULO!$AA$15:$AA$231,0,M$13))),2),0)</f>
        <v>0</v>
      </c>
      <c r="N28" s="621" cm="1">
        <f t="array" aca="1" ref="N28" ca="1">IF(AUTOEVENTO="Manual",ROUND(SUMPRODUCT((CÁLCULO!$M$15:$M$231=EVENTOS!$C28)*(OFFSET(CÁLCULO!$AA$15:$AA$231,0,N$13))),2),0)</f>
        <v>0</v>
      </c>
      <c r="O28" s="621" cm="1">
        <f t="array" aca="1" ref="O28" ca="1">IF(AUTOEVENTO="Manual",ROUND(SUMPRODUCT((CÁLCULO!$M$15:$M$231=EVENTOS!$C28)*(OFFSET(CÁLCULO!$AA$15:$AA$231,0,O$13))),2),0)</f>
        <v>0</v>
      </c>
      <c r="P28" s="621" cm="1">
        <f t="array" aca="1" ref="P28" ca="1">IF(AUTOEVENTO="Manual",ROUND(SUMPRODUCT((CÁLCULO!$M$15:$M$231=EVENTOS!$C28)*(OFFSET(CÁLCULO!$AA$15:$AA$231,0,P$13))),2),0)</f>
        <v>0</v>
      </c>
      <c r="Q28" s="621" cm="1">
        <f t="array" aca="1" ref="Q28" ca="1">IF(AUTOEVENTO="Manual",ROUND(SUMPRODUCT((CÁLCULO!$M$15:$M$231=EVENTOS!$C28)*(OFFSET(CÁLCULO!$AA$15:$AA$231,0,Q$13))),2),0)</f>
        <v>0</v>
      </c>
      <c r="R28" s="621" cm="1">
        <f t="array" aca="1" ref="R28" ca="1">IF(AUTOEVENTO="Manual",ROUND(SUMPRODUCT((CÁLCULO!$M$15:$M$231=EVENTOS!$C28)*(OFFSET(CÁLCULO!$AA$15:$AA$231,0,R$13))),2),0)</f>
        <v>0</v>
      </c>
      <c r="S28" s="621" cm="1">
        <f t="array" aca="1" ref="S28" ca="1">IF(AUTOEVENTO="Manual",ROUND(SUMPRODUCT((CÁLCULO!$M$15:$M$231=EVENTOS!$C28)*(OFFSET(CÁLCULO!$AA$15:$AA$231,0,S$13))),2),0)</f>
        <v>0</v>
      </c>
      <c r="T28" s="621" cm="1">
        <f t="array" aca="1" ref="T28" ca="1">IF(AUTOEVENTO="Manual",ROUND(SUMPRODUCT((CÁLCULO!$M$15:$M$231=EVENTOS!$C28)*(OFFSET(CÁLCULO!$AA$15:$AA$231,0,T$13))),2),0)</f>
        <v>0</v>
      </c>
      <c r="U28" s="621" cm="1">
        <f t="array" aca="1" ref="U28" ca="1">IF(AUTOEVENTO="Manual",ROUND(SUMPRODUCT((CÁLCULO!$M$15:$M$231=EVENTOS!$C28)*(OFFSET(CÁLCULO!$AA$15:$AA$231,0,U$13))),2),0)</f>
        <v>0</v>
      </c>
      <c r="V28" s="621" cm="1">
        <f t="array" aca="1" ref="V28" ca="1">IF(AUTOEVENTO="Manual",ROUND(SUMPRODUCT((CÁLCULO!$M$15:$M$231=EVENTOS!$C28)*(OFFSET(CÁLCULO!$AA$15:$AA$231,0,V$13))),2),0)</f>
        <v>0</v>
      </c>
      <c r="W28" s="621" cm="1">
        <f t="array" aca="1" ref="W28" ca="1">IF(AUTOEVENTO="Manual",ROUND(SUMPRODUCT((CÁLCULO!$M$15:$M$231=EVENTOS!$C28)*(OFFSET(CÁLCULO!$AA$15:$AA$231,0,W$13))),2),0)</f>
        <v>0</v>
      </c>
      <c r="X28" s="621" cm="1">
        <f t="array" aca="1" ref="X28" ca="1">IF(AUTOEVENTO="Manual",ROUND(SUMPRODUCT((CÁLCULO!$M$15:$M$231=EVENTOS!$C28)*(OFFSET(CÁLCULO!$AA$15:$AA$231,0,X$13))),2),0)</f>
        <v>0</v>
      </c>
      <c r="Y28" s="621" cm="1">
        <f t="array" aca="1" ref="Y28" ca="1">IF(AUTOEVENTO="Manual",ROUND(SUMPRODUCT((CÁLCULO!$M$15:$M$231=EVENTOS!$C28)*(OFFSET(CÁLCULO!$AA$15:$AA$231,0,Y$13))),2),0)</f>
        <v>0</v>
      </c>
    </row>
    <row r="29" spans="1:25" s="675" customFormat="1" x14ac:dyDescent="0.2">
      <c r="A29" s="507" t="str">
        <f t="shared" si="3"/>
        <v/>
      </c>
      <c r="B29" s="675" t="str">
        <f t="shared" ca="1" si="4"/>
        <v/>
      </c>
      <c r="C29" s="183" t="str" cm="1">
        <f t="array" aca="1" ref="C29" ca="1">IF(OR(ROW(C29)=ROW(EVENTOS.firstrow)+1,AND(OFFSET(C29,-1,0)&lt;&gt;" ",OFFSET(C29,-1,1)&lt;&gt;"")),OFFSET(C29,-1,0)+1," ")</f>
        <v xml:space="preserve"> </v>
      </c>
      <c r="D29" s="497"/>
      <c r="E29" s="621" cm="1">
        <f t="array" aca="1" ref="E29" ca="1">IF(AUTOEVENTO="Manual",ROUND(SUMPRODUCT((CÁLCULO!$M$15:$M$231=EVENTOS!$C29)*(OFFSET(CÁLCULO!$AA$15:$AA$231,0,E$13))),2),0)</f>
        <v>0</v>
      </c>
      <c r="F29" s="184">
        <f ca="1">IF(AUTOEVENTO="Manual",ROUND(SUMPRODUCT((CÁLCULO!$M$15:$M$231=EVENTOS!$C29)*(OFFSET(CÁLCULO!$AA$15,0,1):OFFSET(CÁLCULO!$AL$231,0,-1))),2),0)</f>
        <v>0</v>
      </c>
      <c r="G29" s="622" t="str">
        <f t="shared" ca="1" si="5"/>
        <v/>
      </c>
      <c r="H29" s="621" cm="1">
        <f t="array" aca="1" ref="H29" ca="1">IF(AUTOEVENTO="Manual",ROUND(SUMPRODUCT((CÁLCULO!$M$15:$M$231=EVENTOS!$C29)*(OFFSET(CÁLCULO!$AA$15:$AA$231,0,H$13))),2),0)</f>
        <v>0</v>
      </c>
      <c r="I29" s="621" cm="1">
        <f t="array" aca="1" ref="I29" ca="1">IF(AUTOEVENTO="Manual",ROUND(SUMPRODUCT((CÁLCULO!$M$15:$M$231=EVENTOS!$C29)*(OFFSET(CÁLCULO!$AA$15:$AA$231,0,I$13))),2),0)</f>
        <v>0</v>
      </c>
      <c r="J29" s="621" cm="1">
        <f t="array" aca="1" ref="J29" ca="1">IF(AUTOEVENTO="Manual",ROUND(SUMPRODUCT((CÁLCULO!$M$15:$M$231=EVENTOS!$C29)*(OFFSET(CÁLCULO!$AA$15:$AA$231,0,J$13))),2),0)</f>
        <v>0</v>
      </c>
      <c r="K29" s="621" cm="1">
        <f t="array" aca="1" ref="K29" ca="1">IF(AUTOEVENTO="Manual",ROUND(SUMPRODUCT((CÁLCULO!$M$15:$M$231=EVENTOS!$C29)*(OFFSET(CÁLCULO!$AA$15:$AA$231,0,K$13))),2),0)</f>
        <v>0</v>
      </c>
      <c r="L29" s="621" cm="1">
        <f t="array" aca="1" ref="L29" ca="1">IF(AUTOEVENTO="Manual",ROUND(SUMPRODUCT((CÁLCULO!$M$15:$M$231=EVENTOS!$C29)*(OFFSET(CÁLCULO!$AA$15:$AA$231,0,L$13))),2),0)</f>
        <v>0</v>
      </c>
      <c r="M29" s="621" cm="1">
        <f t="array" aca="1" ref="M29" ca="1">IF(AUTOEVENTO="Manual",ROUND(SUMPRODUCT((CÁLCULO!$M$15:$M$231=EVENTOS!$C29)*(OFFSET(CÁLCULO!$AA$15:$AA$231,0,M$13))),2),0)</f>
        <v>0</v>
      </c>
      <c r="N29" s="621" cm="1">
        <f t="array" aca="1" ref="N29" ca="1">IF(AUTOEVENTO="Manual",ROUND(SUMPRODUCT((CÁLCULO!$M$15:$M$231=EVENTOS!$C29)*(OFFSET(CÁLCULO!$AA$15:$AA$231,0,N$13))),2),0)</f>
        <v>0</v>
      </c>
      <c r="O29" s="621" cm="1">
        <f t="array" aca="1" ref="O29" ca="1">IF(AUTOEVENTO="Manual",ROUND(SUMPRODUCT((CÁLCULO!$M$15:$M$231=EVENTOS!$C29)*(OFFSET(CÁLCULO!$AA$15:$AA$231,0,O$13))),2),0)</f>
        <v>0</v>
      </c>
      <c r="P29" s="621" cm="1">
        <f t="array" aca="1" ref="P29" ca="1">IF(AUTOEVENTO="Manual",ROUND(SUMPRODUCT((CÁLCULO!$M$15:$M$231=EVENTOS!$C29)*(OFFSET(CÁLCULO!$AA$15:$AA$231,0,P$13))),2),0)</f>
        <v>0</v>
      </c>
      <c r="Q29" s="621" cm="1">
        <f t="array" aca="1" ref="Q29" ca="1">IF(AUTOEVENTO="Manual",ROUND(SUMPRODUCT((CÁLCULO!$M$15:$M$231=EVENTOS!$C29)*(OFFSET(CÁLCULO!$AA$15:$AA$231,0,Q$13))),2),0)</f>
        <v>0</v>
      </c>
      <c r="R29" s="621" cm="1">
        <f t="array" aca="1" ref="R29" ca="1">IF(AUTOEVENTO="Manual",ROUND(SUMPRODUCT((CÁLCULO!$M$15:$M$231=EVENTOS!$C29)*(OFFSET(CÁLCULO!$AA$15:$AA$231,0,R$13))),2),0)</f>
        <v>0</v>
      </c>
      <c r="S29" s="621" cm="1">
        <f t="array" aca="1" ref="S29" ca="1">IF(AUTOEVENTO="Manual",ROUND(SUMPRODUCT((CÁLCULO!$M$15:$M$231=EVENTOS!$C29)*(OFFSET(CÁLCULO!$AA$15:$AA$231,0,S$13))),2),0)</f>
        <v>0</v>
      </c>
      <c r="T29" s="621" cm="1">
        <f t="array" aca="1" ref="T29" ca="1">IF(AUTOEVENTO="Manual",ROUND(SUMPRODUCT((CÁLCULO!$M$15:$M$231=EVENTOS!$C29)*(OFFSET(CÁLCULO!$AA$15:$AA$231,0,T$13))),2),0)</f>
        <v>0</v>
      </c>
      <c r="U29" s="621" cm="1">
        <f t="array" aca="1" ref="U29" ca="1">IF(AUTOEVENTO="Manual",ROUND(SUMPRODUCT((CÁLCULO!$M$15:$M$231=EVENTOS!$C29)*(OFFSET(CÁLCULO!$AA$15:$AA$231,0,U$13))),2),0)</f>
        <v>0</v>
      </c>
      <c r="V29" s="621" cm="1">
        <f t="array" aca="1" ref="V29" ca="1">IF(AUTOEVENTO="Manual",ROUND(SUMPRODUCT((CÁLCULO!$M$15:$M$231=EVENTOS!$C29)*(OFFSET(CÁLCULO!$AA$15:$AA$231,0,V$13))),2),0)</f>
        <v>0</v>
      </c>
      <c r="W29" s="621" cm="1">
        <f t="array" aca="1" ref="W29" ca="1">IF(AUTOEVENTO="Manual",ROUND(SUMPRODUCT((CÁLCULO!$M$15:$M$231=EVENTOS!$C29)*(OFFSET(CÁLCULO!$AA$15:$AA$231,0,W$13))),2),0)</f>
        <v>0</v>
      </c>
      <c r="X29" s="621" cm="1">
        <f t="array" aca="1" ref="X29" ca="1">IF(AUTOEVENTO="Manual",ROUND(SUMPRODUCT((CÁLCULO!$M$15:$M$231=EVENTOS!$C29)*(OFFSET(CÁLCULO!$AA$15:$AA$231,0,X$13))),2),0)</f>
        <v>0</v>
      </c>
      <c r="Y29" s="621" cm="1">
        <f t="array" aca="1" ref="Y29" ca="1">IF(AUTOEVENTO="Manual",ROUND(SUMPRODUCT((CÁLCULO!$M$15:$M$231=EVENTOS!$C29)*(OFFSET(CÁLCULO!$AA$15:$AA$231,0,Y$13))),2),0)</f>
        <v>0</v>
      </c>
    </row>
    <row r="30" spans="1:25" s="675" customFormat="1" x14ac:dyDescent="0.2">
      <c r="A30" s="507" t="str">
        <f t="shared" si="3"/>
        <v/>
      </c>
      <c r="B30" s="675" t="str">
        <f t="shared" ca="1" si="4"/>
        <v/>
      </c>
      <c r="C30" s="183" t="str" cm="1">
        <f t="array" aca="1" ref="C30" ca="1">IF(OR(ROW(C30)=ROW(EVENTOS.firstrow)+1,AND(OFFSET(C30,-1,0)&lt;&gt;" ",OFFSET(C30,-1,1)&lt;&gt;"")),OFFSET(C30,-1,0)+1," ")</f>
        <v xml:space="preserve"> </v>
      </c>
      <c r="D30" s="497"/>
      <c r="E30" s="621" cm="1">
        <f t="array" aca="1" ref="E30" ca="1">IF(AUTOEVENTO="Manual",ROUND(SUMPRODUCT((CÁLCULO!$M$15:$M$231=EVENTOS!$C30)*(OFFSET(CÁLCULO!$AA$15:$AA$231,0,E$13))),2),0)</f>
        <v>0</v>
      </c>
      <c r="F30" s="184">
        <f ca="1">IF(AUTOEVENTO="Manual",ROUND(SUMPRODUCT((CÁLCULO!$M$15:$M$231=EVENTOS!$C30)*(OFFSET(CÁLCULO!$AA$15,0,1):OFFSET(CÁLCULO!$AL$231,0,-1))),2),0)</f>
        <v>0</v>
      </c>
      <c r="G30" s="622" t="str">
        <f t="shared" ca="1" si="5"/>
        <v/>
      </c>
      <c r="H30" s="621" cm="1">
        <f t="array" aca="1" ref="H30" ca="1">IF(AUTOEVENTO="Manual",ROUND(SUMPRODUCT((CÁLCULO!$M$15:$M$231=EVENTOS!$C30)*(OFFSET(CÁLCULO!$AA$15:$AA$231,0,H$13))),2),0)</f>
        <v>0</v>
      </c>
      <c r="I30" s="621" cm="1">
        <f t="array" aca="1" ref="I30" ca="1">IF(AUTOEVENTO="Manual",ROUND(SUMPRODUCT((CÁLCULO!$M$15:$M$231=EVENTOS!$C30)*(OFFSET(CÁLCULO!$AA$15:$AA$231,0,I$13))),2),0)</f>
        <v>0</v>
      </c>
      <c r="J30" s="621" cm="1">
        <f t="array" aca="1" ref="J30" ca="1">IF(AUTOEVENTO="Manual",ROUND(SUMPRODUCT((CÁLCULO!$M$15:$M$231=EVENTOS!$C30)*(OFFSET(CÁLCULO!$AA$15:$AA$231,0,J$13))),2),0)</f>
        <v>0</v>
      </c>
      <c r="K30" s="621" cm="1">
        <f t="array" aca="1" ref="K30" ca="1">IF(AUTOEVENTO="Manual",ROUND(SUMPRODUCT((CÁLCULO!$M$15:$M$231=EVENTOS!$C30)*(OFFSET(CÁLCULO!$AA$15:$AA$231,0,K$13))),2),0)</f>
        <v>0</v>
      </c>
      <c r="L30" s="621" cm="1">
        <f t="array" aca="1" ref="L30" ca="1">IF(AUTOEVENTO="Manual",ROUND(SUMPRODUCT((CÁLCULO!$M$15:$M$231=EVENTOS!$C30)*(OFFSET(CÁLCULO!$AA$15:$AA$231,0,L$13))),2),0)</f>
        <v>0</v>
      </c>
      <c r="M30" s="621" cm="1">
        <f t="array" aca="1" ref="M30" ca="1">IF(AUTOEVENTO="Manual",ROUND(SUMPRODUCT((CÁLCULO!$M$15:$M$231=EVENTOS!$C30)*(OFFSET(CÁLCULO!$AA$15:$AA$231,0,M$13))),2),0)</f>
        <v>0</v>
      </c>
      <c r="N30" s="621" cm="1">
        <f t="array" aca="1" ref="N30" ca="1">IF(AUTOEVENTO="Manual",ROUND(SUMPRODUCT((CÁLCULO!$M$15:$M$231=EVENTOS!$C30)*(OFFSET(CÁLCULO!$AA$15:$AA$231,0,N$13))),2),0)</f>
        <v>0</v>
      </c>
      <c r="O30" s="621" cm="1">
        <f t="array" aca="1" ref="O30" ca="1">IF(AUTOEVENTO="Manual",ROUND(SUMPRODUCT((CÁLCULO!$M$15:$M$231=EVENTOS!$C30)*(OFFSET(CÁLCULO!$AA$15:$AA$231,0,O$13))),2),0)</f>
        <v>0</v>
      </c>
      <c r="P30" s="621" cm="1">
        <f t="array" aca="1" ref="P30" ca="1">IF(AUTOEVENTO="Manual",ROUND(SUMPRODUCT((CÁLCULO!$M$15:$M$231=EVENTOS!$C30)*(OFFSET(CÁLCULO!$AA$15:$AA$231,0,P$13))),2),0)</f>
        <v>0</v>
      </c>
      <c r="Q30" s="621" cm="1">
        <f t="array" aca="1" ref="Q30" ca="1">IF(AUTOEVENTO="Manual",ROUND(SUMPRODUCT((CÁLCULO!$M$15:$M$231=EVENTOS!$C30)*(OFFSET(CÁLCULO!$AA$15:$AA$231,0,Q$13))),2),0)</f>
        <v>0</v>
      </c>
      <c r="R30" s="621" cm="1">
        <f t="array" aca="1" ref="R30" ca="1">IF(AUTOEVENTO="Manual",ROUND(SUMPRODUCT((CÁLCULO!$M$15:$M$231=EVENTOS!$C30)*(OFFSET(CÁLCULO!$AA$15:$AA$231,0,R$13))),2),0)</f>
        <v>0</v>
      </c>
      <c r="S30" s="621" cm="1">
        <f t="array" aca="1" ref="S30" ca="1">IF(AUTOEVENTO="Manual",ROUND(SUMPRODUCT((CÁLCULO!$M$15:$M$231=EVENTOS!$C30)*(OFFSET(CÁLCULO!$AA$15:$AA$231,0,S$13))),2),0)</f>
        <v>0</v>
      </c>
      <c r="T30" s="621" cm="1">
        <f t="array" aca="1" ref="T30" ca="1">IF(AUTOEVENTO="Manual",ROUND(SUMPRODUCT((CÁLCULO!$M$15:$M$231=EVENTOS!$C30)*(OFFSET(CÁLCULO!$AA$15:$AA$231,0,T$13))),2),0)</f>
        <v>0</v>
      </c>
      <c r="U30" s="621" cm="1">
        <f t="array" aca="1" ref="U30" ca="1">IF(AUTOEVENTO="Manual",ROUND(SUMPRODUCT((CÁLCULO!$M$15:$M$231=EVENTOS!$C30)*(OFFSET(CÁLCULO!$AA$15:$AA$231,0,U$13))),2),0)</f>
        <v>0</v>
      </c>
      <c r="V30" s="621" cm="1">
        <f t="array" aca="1" ref="V30" ca="1">IF(AUTOEVENTO="Manual",ROUND(SUMPRODUCT((CÁLCULO!$M$15:$M$231=EVENTOS!$C30)*(OFFSET(CÁLCULO!$AA$15:$AA$231,0,V$13))),2),0)</f>
        <v>0</v>
      </c>
      <c r="W30" s="621" cm="1">
        <f t="array" aca="1" ref="W30" ca="1">IF(AUTOEVENTO="Manual",ROUND(SUMPRODUCT((CÁLCULO!$M$15:$M$231=EVENTOS!$C30)*(OFFSET(CÁLCULO!$AA$15:$AA$231,0,W$13))),2),0)</f>
        <v>0</v>
      </c>
      <c r="X30" s="621" cm="1">
        <f t="array" aca="1" ref="X30" ca="1">IF(AUTOEVENTO="Manual",ROUND(SUMPRODUCT((CÁLCULO!$M$15:$M$231=EVENTOS!$C30)*(OFFSET(CÁLCULO!$AA$15:$AA$231,0,X$13))),2),0)</f>
        <v>0</v>
      </c>
      <c r="Y30" s="621" cm="1">
        <f t="array" aca="1" ref="Y30" ca="1">IF(AUTOEVENTO="Manual",ROUND(SUMPRODUCT((CÁLCULO!$M$15:$M$231=EVENTOS!$C30)*(OFFSET(CÁLCULO!$AA$15:$AA$231,0,Y$13))),2),0)</f>
        <v>0</v>
      </c>
    </row>
    <row r="31" spans="1:25" s="675" customFormat="1" x14ac:dyDescent="0.2">
      <c r="A31" s="507" t="str">
        <f t="shared" si="3"/>
        <v/>
      </c>
      <c r="B31" s="675" t="str">
        <f t="shared" ca="1" si="4"/>
        <v/>
      </c>
      <c r="C31" s="183" t="str" cm="1">
        <f t="array" aca="1" ref="C31" ca="1">IF(OR(ROW(C31)=ROW(EVENTOS.firstrow)+1,AND(OFFSET(C31,-1,0)&lt;&gt;" ",OFFSET(C31,-1,1)&lt;&gt;"")),OFFSET(C31,-1,0)+1," ")</f>
        <v xml:space="preserve"> </v>
      </c>
      <c r="D31" s="497"/>
      <c r="E31" s="621" cm="1">
        <f t="array" aca="1" ref="E31" ca="1">IF(AUTOEVENTO="Manual",ROUND(SUMPRODUCT((CÁLCULO!$M$15:$M$231=EVENTOS!$C31)*(OFFSET(CÁLCULO!$AA$15:$AA$231,0,E$13))),2),0)</f>
        <v>0</v>
      </c>
      <c r="F31" s="184">
        <f ca="1">IF(AUTOEVENTO="Manual",ROUND(SUMPRODUCT((CÁLCULO!$M$15:$M$231=EVENTOS!$C31)*(OFFSET(CÁLCULO!$AA$15,0,1):OFFSET(CÁLCULO!$AL$231,0,-1))),2),0)</f>
        <v>0</v>
      </c>
      <c r="G31" s="622" t="str">
        <f t="shared" ca="1" si="5"/>
        <v/>
      </c>
      <c r="H31" s="621" cm="1">
        <f t="array" aca="1" ref="H31" ca="1">IF(AUTOEVENTO="Manual",ROUND(SUMPRODUCT((CÁLCULO!$M$15:$M$231=EVENTOS!$C31)*(OFFSET(CÁLCULO!$AA$15:$AA$231,0,H$13))),2),0)</f>
        <v>0</v>
      </c>
      <c r="I31" s="621" cm="1">
        <f t="array" aca="1" ref="I31" ca="1">IF(AUTOEVENTO="Manual",ROUND(SUMPRODUCT((CÁLCULO!$M$15:$M$231=EVENTOS!$C31)*(OFFSET(CÁLCULO!$AA$15:$AA$231,0,I$13))),2),0)</f>
        <v>0</v>
      </c>
      <c r="J31" s="621" cm="1">
        <f t="array" aca="1" ref="J31" ca="1">IF(AUTOEVENTO="Manual",ROUND(SUMPRODUCT((CÁLCULO!$M$15:$M$231=EVENTOS!$C31)*(OFFSET(CÁLCULO!$AA$15:$AA$231,0,J$13))),2),0)</f>
        <v>0</v>
      </c>
      <c r="K31" s="621" cm="1">
        <f t="array" aca="1" ref="K31" ca="1">IF(AUTOEVENTO="Manual",ROUND(SUMPRODUCT((CÁLCULO!$M$15:$M$231=EVENTOS!$C31)*(OFFSET(CÁLCULO!$AA$15:$AA$231,0,K$13))),2),0)</f>
        <v>0</v>
      </c>
      <c r="L31" s="621" cm="1">
        <f t="array" aca="1" ref="L31" ca="1">IF(AUTOEVENTO="Manual",ROUND(SUMPRODUCT((CÁLCULO!$M$15:$M$231=EVENTOS!$C31)*(OFFSET(CÁLCULO!$AA$15:$AA$231,0,L$13))),2),0)</f>
        <v>0</v>
      </c>
      <c r="M31" s="621" cm="1">
        <f t="array" aca="1" ref="M31" ca="1">IF(AUTOEVENTO="Manual",ROUND(SUMPRODUCT((CÁLCULO!$M$15:$M$231=EVENTOS!$C31)*(OFFSET(CÁLCULO!$AA$15:$AA$231,0,M$13))),2),0)</f>
        <v>0</v>
      </c>
      <c r="N31" s="621" cm="1">
        <f t="array" aca="1" ref="N31" ca="1">IF(AUTOEVENTO="Manual",ROUND(SUMPRODUCT((CÁLCULO!$M$15:$M$231=EVENTOS!$C31)*(OFFSET(CÁLCULO!$AA$15:$AA$231,0,N$13))),2),0)</f>
        <v>0</v>
      </c>
      <c r="O31" s="621" cm="1">
        <f t="array" aca="1" ref="O31" ca="1">IF(AUTOEVENTO="Manual",ROUND(SUMPRODUCT((CÁLCULO!$M$15:$M$231=EVENTOS!$C31)*(OFFSET(CÁLCULO!$AA$15:$AA$231,0,O$13))),2),0)</f>
        <v>0</v>
      </c>
      <c r="P31" s="621" cm="1">
        <f t="array" aca="1" ref="P31" ca="1">IF(AUTOEVENTO="Manual",ROUND(SUMPRODUCT((CÁLCULO!$M$15:$M$231=EVENTOS!$C31)*(OFFSET(CÁLCULO!$AA$15:$AA$231,0,P$13))),2),0)</f>
        <v>0</v>
      </c>
      <c r="Q31" s="621" cm="1">
        <f t="array" aca="1" ref="Q31" ca="1">IF(AUTOEVENTO="Manual",ROUND(SUMPRODUCT((CÁLCULO!$M$15:$M$231=EVENTOS!$C31)*(OFFSET(CÁLCULO!$AA$15:$AA$231,0,Q$13))),2),0)</f>
        <v>0</v>
      </c>
      <c r="R31" s="621" cm="1">
        <f t="array" aca="1" ref="R31" ca="1">IF(AUTOEVENTO="Manual",ROUND(SUMPRODUCT((CÁLCULO!$M$15:$M$231=EVENTOS!$C31)*(OFFSET(CÁLCULO!$AA$15:$AA$231,0,R$13))),2),0)</f>
        <v>0</v>
      </c>
      <c r="S31" s="621" cm="1">
        <f t="array" aca="1" ref="S31" ca="1">IF(AUTOEVENTO="Manual",ROUND(SUMPRODUCT((CÁLCULO!$M$15:$M$231=EVENTOS!$C31)*(OFFSET(CÁLCULO!$AA$15:$AA$231,0,S$13))),2),0)</f>
        <v>0</v>
      </c>
      <c r="T31" s="621" cm="1">
        <f t="array" aca="1" ref="T31" ca="1">IF(AUTOEVENTO="Manual",ROUND(SUMPRODUCT((CÁLCULO!$M$15:$M$231=EVENTOS!$C31)*(OFFSET(CÁLCULO!$AA$15:$AA$231,0,T$13))),2),0)</f>
        <v>0</v>
      </c>
      <c r="U31" s="621" cm="1">
        <f t="array" aca="1" ref="U31" ca="1">IF(AUTOEVENTO="Manual",ROUND(SUMPRODUCT((CÁLCULO!$M$15:$M$231=EVENTOS!$C31)*(OFFSET(CÁLCULO!$AA$15:$AA$231,0,U$13))),2),0)</f>
        <v>0</v>
      </c>
      <c r="V31" s="621" cm="1">
        <f t="array" aca="1" ref="V31" ca="1">IF(AUTOEVENTO="Manual",ROUND(SUMPRODUCT((CÁLCULO!$M$15:$M$231=EVENTOS!$C31)*(OFFSET(CÁLCULO!$AA$15:$AA$231,0,V$13))),2),0)</f>
        <v>0</v>
      </c>
      <c r="W31" s="621" cm="1">
        <f t="array" aca="1" ref="W31" ca="1">IF(AUTOEVENTO="Manual",ROUND(SUMPRODUCT((CÁLCULO!$M$15:$M$231=EVENTOS!$C31)*(OFFSET(CÁLCULO!$AA$15:$AA$231,0,W$13))),2),0)</f>
        <v>0</v>
      </c>
      <c r="X31" s="621" cm="1">
        <f t="array" aca="1" ref="X31" ca="1">IF(AUTOEVENTO="Manual",ROUND(SUMPRODUCT((CÁLCULO!$M$15:$M$231=EVENTOS!$C31)*(OFFSET(CÁLCULO!$AA$15:$AA$231,0,X$13))),2),0)</f>
        <v>0</v>
      </c>
      <c r="Y31" s="621" cm="1">
        <f t="array" aca="1" ref="Y31" ca="1">IF(AUTOEVENTO="Manual",ROUND(SUMPRODUCT((CÁLCULO!$M$15:$M$231=EVENTOS!$C31)*(OFFSET(CÁLCULO!$AA$15:$AA$231,0,Y$13))),2),0)</f>
        <v>0</v>
      </c>
    </row>
    <row r="32" spans="1:25" s="675" customFormat="1" x14ac:dyDescent="0.2">
      <c r="A32" s="507" t="str">
        <f t="shared" si="3"/>
        <v/>
      </c>
      <c r="B32" s="675" t="str">
        <f t="shared" ca="1" si="4"/>
        <v/>
      </c>
      <c r="C32" s="183" t="str" cm="1">
        <f t="array" aca="1" ref="C32" ca="1">IF(OR(ROW(C32)=ROW(EVENTOS.firstrow)+1,AND(OFFSET(C32,-1,0)&lt;&gt;" ",OFFSET(C32,-1,1)&lt;&gt;"")),OFFSET(C32,-1,0)+1," ")</f>
        <v xml:space="preserve"> </v>
      </c>
      <c r="D32" s="497"/>
      <c r="E32" s="621" cm="1">
        <f t="array" aca="1" ref="E32" ca="1">IF(AUTOEVENTO="Manual",ROUND(SUMPRODUCT((CÁLCULO!$M$15:$M$231=EVENTOS!$C32)*(OFFSET(CÁLCULO!$AA$15:$AA$231,0,E$13))),2),0)</f>
        <v>0</v>
      </c>
      <c r="F32" s="184">
        <f ca="1">IF(AUTOEVENTO="Manual",ROUND(SUMPRODUCT((CÁLCULO!$M$15:$M$231=EVENTOS!$C32)*(OFFSET(CÁLCULO!$AA$15,0,1):OFFSET(CÁLCULO!$AL$231,0,-1))),2),0)</f>
        <v>0</v>
      </c>
      <c r="G32" s="622" t="str">
        <f t="shared" ca="1" si="5"/>
        <v/>
      </c>
      <c r="H32" s="621" cm="1">
        <f t="array" aca="1" ref="H32" ca="1">IF(AUTOEVENTO="Manual",ROUND(SUMPRODUCT((CÁLCULO!$M$15:$M$231=EVENTOS!$C32)*(OFFSET(CÁLCULO!$AA$15:$AA$231,0,H$13))),2),0)</f>
        <v>0</v>
      </c>
      <c r="I32" s="621" cm="1">
        <f t="array" aca="1" ref="I32" ca="1">IF(AUTOEVENTO="Manual",ROUND(SUMPRODUCT((CÁLCULO!$M$15:$M$231=EVENTOS!$C32)*(OFFSET(CÁLCULO!$AA$15:$AA$231,0,I$13))),2),0)</f>
        <v>0</v>
      </c>
      <c r="J32" s="621" cm="1">
        <f t="array" aca="1" ref="J32" ca="1">IF(AUTOEVENTO="Manual",ROUND(SUMPRODUCT((CÁLCULO!$M$15:$M$231=EVENTOS!$C32)*(OFFSET(CÁLCULO!$AA$15:$AA$231,0,J$13))),2),0)</f>
        <v>0</v>
      </c>
      <c r="K32" s="621" cm="1">
        <f t="array" aca="1" ref="K32" ca="1">IF(AUTOEVENTO="Manual",ROUND(SUMPRODUCT((CÁLCULO!$M$15:$M$231=EVENTOS!$C32)*(OFFSET(CÁLCULO!$AA$15:$AA$231,0,K$13))),2),0)</f>
        <v>0</v>
      </c>
      <c r="L32" s="621" cm="1">
        <f t="array" aca="1" ref="L32" ca="1">IF(AUTOEVENTO="Manual",ROUND(SUMPRODUCT((CÁLCULO!$M$15:$M$231=EVENTOS!$C32)*(OFFSET(CÁLCULO!$AA$15:$AA$231,0,L$13))),2),0)</f>
        <v>0</v>
      </c>
      <c r="M32" s="621" cm="1">
        <f t="array" aca="1" ref="M32" ca="1">IF(AUTOEVENTO="Manual",ROUND(SUMPRODUCT((CÁLCULO!$M$15:$M$231=EVENTOS!$C32)*(OFFSET(CÁLCULO!$AA$15:$AA$231,0,M$13))),2),0)</f>
        <v>0</v>
      </c>
      <c r="N32" s="621" cm="1">
        <f t="array" aca="1" ref="N32" ca="1">IF(AUTOEVENTO="Manual",ROUND(SUMPRODUCT((CÁLCULO!$M$15:$M$231=EVENTOS!$C32)*(OFFSET(CÁLCULO!$AA$15:$AA$231,0,N$13))),2),0)</f>
        <v>0</v>
      </c>
      <c r="O32" s="621" cm="1">
        <f t="array" aca="1" ref="O32" ca="1">IF(AUTOEVENTO="Manual",ROUND(SUMPRODUCT((CÁLCULO!$M$15:$M$231=EVENTOS!$C32)*(OFFSET(CÁLCULO!$AA$15:$AA$231,0,O$13))),2),0)</f>
        <v>0</v>
      </c>
      <c r="P32" s="621" cm="1">
        <f t="array" aca="1" ref="P32" ca="1">IF(AUTOEVENTO="Manual",ROUND(SUMPRODUCT((CÁLCULO!$M$15:$M$231=EVENTOS!$C32)*(OFFSET(CÁLCULO!$AA$15:$AA$231,0,P$13))),2),0)</f>
        <v>0</v>
      </c>
      <c r="Q32" s="621" cm="1">
        <f t="array" aca="1" ref="Q32" ca="1">IF(AUTOEVENTO="Manual",ROUND(SUMPRODUCT((CÁLCULO!$M$15:$M$231=EVENTOS!$C32)*(OFFSET(CÁLCULO!$AA$15:$AA$231,0,Q$13))),2),0)</f>
        <v>0</v>
      </c>
      <c r="R32" s="621" cm="1">
        <f t="array" aca="1" ref="R32" ca="1">IF(AUTOEVENTO="Manual",ROUND(SUMPRODUCT((CÁLCULO!$M$15:$M$231=EVENTOS!$C32)*(OFFSET(CÁLCULO!$AA$15:$AA$231,0,R$13))),2),0)</f>
        <v>0</v>
      </c>
      <c r="S32" s="621" cm="1">
        <f t="array" aca="1" ref="S32" ca="1">IF(AUTOEVENTO="Manual",ROUND(SUMPRODUCT((CÁLCULO!$M$15:$M$231=EVENTOS!$C32)*(OFFSET(CÁLCULO!$AA$15:$AA$231,0,S$13))),2),0)</f>
        <v>0</v>
      </c>
      <c r="T32" s="621" cm="1">
        <f t="array" aca="1" ref="T32" ca="1">IF(AUTOEVENTO="Manual",ROUND(SUMPRODUCT((CÁLCULO!$M$15:$M$231=EVENTOS!$C32)*(OFFSET(CÁLCULO!$AA$15:$AA$231,0,T$13))),2),0)</f>
        <v>0</v>
      </c>
      <c r="U32" s="621" cm="1">
        <f t="array" aca="1" ref="U32" ca="1">IF(AUTOEVENTO="Manual",ROUND(SUMPRODUCT((CÁLCULO!$M$15:$M$231=EVENTOS!$C32)*(OFFSET(CÁLCULO!$AA$15:$AA$231,0,U$13))),2),0)</f>
        <v>0</v>
      </c>
      <c r="V32" s="621" cm="1">
        <f t="array" aca="1" ref="V32" ca="1">IF(AUTOEVENTO="Manual",ROUND(SUMPRODUCT((CÁLCULO!$M$15:$M$231=EVENTOS!$C32)*(OFFSET(CÁLCULO!$AA$15:$AA$231,0,V$13))),2),0)</f>
        <v>0</v>
      </c>
      <c r="W32" s="621" cm="1">
        <f t="array" aca="1" ref="W32" ca="1">IF(AUTOEVENTO="Manual",ROUND(SUMPRODUCT((CÁLCULO!$M$15:$M$231=EVENTOS!$C32)*(OFFSET(CÁLCULO!$AA$15:$AA$231,0,W$13))),2),0)</f>
        <v>0</v>
      </c>
      <c r="X32" s="621" cm="1">
        <f t="array" aca="1" ref="X32" ca="1">IF(AUTOEVENTO="Manual",ROUND(SUMPRODUCT((CÁLCULO!$M$15:$M$231=EVENTOS!$C32)*(OFFSET(CÁLCULO!$AA$15:$AA$231,0,X$13))),2),0)</f>
        <v>0</v>
      </c>
      <c r="Y32" s="621" cm="1">
        <f t="array" aca="1" ref="Y32" ca="1">IF(AUTOEVENTO="Manual",ROUND(SUMPRODUCT((CÁLCULO!$M$15:$M$231=EVENTOS!$C32)*(OFFSET(CÁLCULO!$AA$15:$AA$231,0,Y$13))),2),0)</f>
        <v>0</v>
      </c>
    </row>
    <row r="33" spans="1:25" s="675" customFormat="1" x14ac:dyDescent="0.2">
      <c r="A33" s="507" t="str">
        <f t="shared" si="3"/>
        <v/>
      </c>
      <c r="B33" s="675" t="str">
        <f t="shared" ca="1" si="4"/>
        <v/>
      </c>
      <c r="C33" s="183" t="str" cm="1">
        <f t="array" aca="1" ref="C33" ca="1">IF(OR(ROW(C33)=ROW(EVENTOS.firstrow)+1,AND(OFFSET(C33,-1,0)&lt;&gt;" ",OFFSET(C33,-1,1)&lt;&gt;"")),OFFSET(C33,-1,0)+1," ")</f>
        <v xml:space="preserve"> </v>
      </c>
      <c r="D33" s="497"/>
      <c r="E33" s="621" cm="1">
        <f t="array" aca="1" ref="E33" ca="1">IF(AUTOEVENTO="Manual",ROUND(SUMPRODUCT((CÁLCULO!$M$15:$M$231=EVENTOS!$C33)*(OFFSET(CÁLCULO!$AA$15:$AA$231,0,E$13))),2),0)</f>
        <v>0</v>
      </c>
      <c r="F33" s="184">
        <f ca="1">IF(AUTOEVENTO="Manual",ROUND(SUMPRODUCT((CÁLCULO!$M$15:$M$231=EVENTOS!$C33)*(OFFSET(CÁLCULO!$AA$15,0,1):OFFSET(CÁLCULO!$AL$231,0,-1))),2),0)</f>
        <v>0</v>
      </c>
      <c r="G33" s="622" t="str">
        <f t="shared" ca="1" si="5"/>
        <v/>
      </c>
      <c r="H33" s="621" cm="1">
        <f t="array" aca="1" ref="H33" ca="1">IF(AUTOEVENTO="Manual",ROUND(SUMPRODUCT((CÁLCULO!$M$15:$M$231=EVENTOS!$C33)*(OFFSET(CÁLCULO!$AA$15:$AA$231,0,H$13))),2),0)</f>
        <v>0</v>
      </c>
      <c r="I33" s="621" cm="1">
        <f t="array" aca="1" ref="I33" ca="1">IF(AUTOEVENTO="Manual",ROUND(SUMPRODUCT((CÁLCULO!$M$15:$M$231=EVENTOS!$C33)*(OFFSET(CÁLCULO!$AA$15:$AA$231,0,I$13))),2),0)</f>
        <v>0</v>
      </c>
      <c r="J33" s="621" cm="1">
        <f t="array" aca="1" ref="J33" ca="1">IF(AUTOEVENTO="Manual",ROUND(SUMPRODUCT((CÁLCULO!$M$15:$M$231=EVENTOS!$C33)*(OFFSET(CÁLCULO!$AA$15:$AA$231,0,J$13))),2),0)</f>
        <v>0</v>
      </c>
      <c r="K33" s="621" cm="1">
        <f t="array" aca="1" ref="K33" ca="1">IF(AUTOEVENTO="Manual",ROUND(SUMPRODUCT((CÁLCULO!$M$15:$M$231=EVENTOS!$C33)*(OFFSET(CÁLCULO!$AA$15:$AA$231,0,K$13))),2),0)</f>
        <v>0</v>
      </c>
      <c r="L33" s="621" cm="1">
        <f t="array" aca="1" ref="L33" ca="1">IF(AUTOEVENTO="Manual",ROUND(SUMPRODUCT((CÁLCULO!$M$15:$M$231=EVENTOS!$C33)*(OFFSET(CÁLCULO!$AA$15:$AA$231,0,L$13))),2),0)</f>
        <v>0</v>
      </c>
      <c r="M33" s="621" cm="1">
        <f t="array" aca="1" ref="M33" ca="1">IF(AUTOEVENTO="Manual",ROUND(SUMPRODUCT((CÁLCULO!$M$15:$M$231=EVENTOS!$C33)*(OFFSET(CÁLCULO!$AA$15:$AA$231,0,M$13))),2),0)</f>
        <v>0</v>
      </c>
      <c r="N33" s="621" cm="1">
        <f t="array" aca="1" ref="N33" ca="1">IF(AUTOEVENTO="Manual",ROUND(SUMPRODUCT((CÁLCULO!$M$15:$M$231=EVENTOS!$C33)*(OFFSET(CÁLCULO!$AA$15:$AA$231,0,N$13))),2),0)</f>
        <v>0</v>
      </c>
      <c r="O33" s="621" cm="1">
        <f t="array" aca="1" ref="O33" ca="1">IF(AUTOEVENTO="Manual",ROUND(SUMPRODUCT((CÁLCULO!$M$15:$M$231=EVENTOS!$C33)*(OFFSET(CÁLCULO!$AA$15:$AA$231,0,O$13))),2),0)</f>
        <v>0</v>
      </c>
      <c r="P33" s="621" cm="1">
        <f t="array" aca="1" ref="P33" ca="1">IF(AUTOEVENTO="Manual",ROUND(SUMPRODUCT((CÁLCULO!$M$15:$M$231=EVENTOS!$C33)*(OFFSET(CÁLCULO!$AA$15:$AA$231,0,P$13))),2),0)</f>
        <v>0</v>
      </c>
      <c r="Q33" s="621" cm="1">
        <f t="array" aca="1" ref="Q33" ca="1">IF(AUTOEVENTO="Manual",ROUND(SUMPRODUCT((CÁLCULO!$M$15:$M$231=EVENTOS!$C33)*(OFFSET(CÁLCULO!$AA$15:$AA$231,0,Q$13))),2),0)</f>
        <v>0</v>
      </c>
      <c r="R33" s="621" cm="1">
        <f t="array" aca="1" ref="R33" ca="1">IF(AUTOEVENTO="Manual",ROUND(SUMPRODUCT((CÁLCULO!$M$15:$M$231=EVENTOS!$C33)*(OFFSET(CÁLCULO!$AA$15:$AA$231,0,R$13))),2),0)</f>
        <v>0</v>
      </c>
      <c r="S33" s="621" cm="1">
        <f t="array" aca="1" ref="S33" ca="1">IF(AUTOEVENTO="Manual",ROUND(SUMPRODUCT((CÁLCULO!$M$15:$M$231=EVENTOS!$C33)*(OFFSET(CÁLCULO!$AA$15:$AA$231,0,S$13))),2),0)</f>
        <v>0</v>
      </c>
      <c r="T33" s="621" cm="1">
        <f t="array" aca="1" ref="T33" ca="1">IF(AUTOEVENTO="Manual",ROUND(SUMPRODUCT((CÁLCULO!$M$15:$M$231=EVENTOS!$C33)*(OFFSET(CÁLCULO!$AA$15:$AA$231,0,T$13))),2),0)</f>
        <v>0</v>
      </c>
      <c r="U33" s="621" cm="1">
        <f t="array" aca="1" ref="U33" ca="1">IF(AUTOEVENTO="Manual",ROUND(SUMPRODUCT((CÁLCULO!$M$15:$M$231=EVENTOS!$C33)*(OFFSET(CÁLCULO!$AA$15:$AA$231,0,U$13))),2),0)</f>
        <v>0</v>
      </c>
      <c r="V33" s="621" cm="1">
        <f t="array" aca="1" ref="V33" ca="1">IF(AUTOEVENTO="Manual",ROUND(SUMPRODUCT((CÁLCULO!$M$15:$M$231=EVENTOS!$C33)*(OFFSET(CÁLCULO!$AA$15:$AA$231,0,V$13))),2),0)</f>
        <v>0</v>
      </c>
      <c r="W33" s="621" cm="1">
        <f t="array" aca="1" ref="W33" ca="1">IF(AUTOEVENTO="Manual",ROUND(SUMPRODUCT((CÁLCULO!$M$15:$M$231=EVENTOS!$C33)*(OFFSET(CÁLCULO!$AA$15:$AA$231,0,W$13))),2),0)</f>
        <v>0</v>
      </c>
      <c r="X33" s="621" cm="1">
        <f t="array" aca="1" ref="X33" ca="1">IF(AUTOEVENTO="Manual",ROUND(SUMPRODUCT((CÁLCULO!$M$15:$M$231=EVENTOS!$C33)*(OFFSET(CÁLCULO!$AA$15:$AA$231,0,X$13))),2),0)</f>
        <v>0</v>
      </c>
      <c r="Y33" s="621" cm="1">
        <f t="array" aca="1" ref="Y33" ca="1">IF(AUTOEVENTO="Manual",ROUND(SUMPRODUCT((CÁLCULO!$M$15:$M$231=EVENTOS!$C33)*(OFFSET(CÁLCULO!$AA$15:$AA$231,0,Y$13))),2),0)</f>
        <v>0</v>
      </c>
    </row>
    <row r="34" spans="1:25" s="675" customFormat="1" x14ac:dyDescent="0.2">
      <c r="A34" s="507" t="str">
        <f t="shared" si="3"/>
        <v/>
      </c>
      <c r="B34" s="675" t="str">
        <f t="shared" ca="1" si="4"/>
        <v/>
      </c>
      <c r="C34" s="183" t="str" cm="1">
        <f t="array" aca="1" ref="C34" ca="1">IF(OR(ROW(C34)=ROW(EVENTOS.firstrow)+1,AND(OFFSET(C34,-1,0)&lt;&gt;" ",OFFSET(C34,-1,1)&lt;&gt;"")),OFFSET(C34,-1,0)+1," ")</f>
        <v xml:space="preserve"> </v>
      </c>
      <c r="D34" s="497"/>
      <c r="E34" s="621" cm="1">
        <f t="array" aca="1" ref="E34" ca="1">IF(AUTOEVENTO="Manual",ROUND(SUMPRODUCT((CÁLCULO!$M$15:$M$231=EVENTOS!$C34)*(OFFSET(CÁLCULO!$AA$15:$AA$231,0,E$13))),2),0)</f>
        <v>0</v>
      </c>
      <c r="F34" s="184">
        <f ca="1">IF(AUTOEVENTO="Manual",ROUND(SUMPRODUCT((CÁLCULO!$M$15:$M$231=EVENTOS!$C34)*(OFFSET(CÁLCULO!$AA$15,0,1):OFFSET(CÁLCULO!$AL$231,0,-1))),2),0)</f>
        <v>0</v>
      </c>
      <c r="G34" s="622" t="str">
        <f t="shared" ca="1" si="5"/>
        <v/>
      </c>
      <c r="H34" s="621" cm="1">
        <f t="array" aca="1" ref="H34" ca="1">IF(AUTOEVENTO="Manual",ROUND(SUMPRODUCT((CÁLCULO!$M$15:$M$231=EVENTOS!$C34)*(OFFSET(CÁLCULO!$AA$15:$AA$231,0,H$13))),2),0)</f>
        <v>0</v>
      </c>
      <c r="I34" s="621" cm="1">
        <f t="array" aca="1" ref="I34" ca="1">IF(AUTOEVENTO="Manual",ROUND(SUMPRODUCT((CÁLCULO!$M$15:$M$231=EVENTOS!$C34)*(OFFSET(CÁLCULO!$AA$15:$AA$231,0,I$13))),2),0)</f>
        <v>0</v>
      </c>
      <c r="J34" s="621" cm="1">
        <f t="array" aca="1" ref="J34" ca="1">IF(AUTOEVENTO="Manual",ROUND(SUMPRODUCT((CÁLCULO!$M$15:$M$231=EVENTOS!$C34)*(OFFSET(CÁLCULO!$AA$15:$AA$231,0,J$13))),2),0)</f>
        <v>0</v>
      </c>
      <c r="K34" s="621" cm="1">
        <f t="array" aca="1" ref="K34" ca="1">IF(AUTOEVENTO="Manual",ROUND(SUMPRODUCT((CÁLCULO!$M$15:$M$231=EVENTOS!$C34)*(OFFSET(CÁLCULO!$AA$15:$AA$231,0,K$13))),2),0)</f>
        <v>0</v>
      </c>
      <c r="L34" s="621" cm="1">
        <f t="array" aca="1" ref="L34" ca="1">IF(AUTOEVENTO="Manual",ROUND(SUMPRODUCT((CÁLCULO!$M$15:$M$231=EVENTOS!$C34)*(OFFSET(CÁLCULO!$AA$15:$AA$231,0,L$13))),2),0)</f>
        <v>0</v>
      </c>
      <c r="M34" s="621" cm="1">
        <f t="array" aca="1" ref="M34" ca="1">IF(AUTOEVENTO="Manual",ROUND(SUMPRODUCT((CÁLCULO!$M$15:$M$231=EVENTOS!$C34)*(OFFSET(CÁLCULO!$AA$15:$AA$231,0,M$13))),2),0)</f>
        <v>0</v>
      </c>
      <c r="N34" s="621" cm="1">
        <f t="array" aca="1" ref="N34" ca="1">IF(AUTOEVENTO="Manual",ROUND(SUMPRODUCT((CÁLCULO!$M$15:$M$231=EVENTOS!$C34)*(OFFSET(CÁLCULO!$AA$15:$AA$231,0,N$13))),2),0)</f>
        <v>0</v>
      </c>
      <c r="O34" s="621" cm="1">
        <f t="array" aca="1" ref="O34" ca="1">IF(AUTOEVENTO="Manual",ROUND(SUMPRODUCT((CÁLCULO!$M$15:$M$231=EVENTOS!$C34)*(OFFSET(CÁLCULO!$AA$15:$AA$231,0,O$13))),2),0)</f>
        <v>0</v>
      </c>
      <c r="P34" s="621" cm="1">
        <f t="array" aca="1" ref="P34" ca="1">IF(AUTOEVENTO="Manual",ROUND(SUMPRODUCT((CÁLCULO!$M$15:$M$231=EVENTOS!$C34)*(OFFSET(CÁLCULO!$AA$15:$AA$231,0,P$13))),2),0)</f>
        <v>0</v>
      </c>
      <c r="Q34" s="621" cm="1">
        <f t="array" aca="1" ref="Q34" ca="1">IF(AUTOEVENTO="Manual",ROUND(SUMPRODUCT((CÁLCULO!$M$15:$M$231=EVENTOS!$C34)*(OFFSET(CÁLCULO!$AA$15:$AA$231,0,Q$13))),2),0)</f>
        <v>0</v>
      </c>
      <c r="R34" s="621" cm="1">
        <f t="array" aca="1" ref="R34" ca="1">IF(AUTOEVENTO="Manual",ROUND(SUMPRODUCT((CÁLCULO!$M$15:$M$231=EVENTOS!$C34)*(OFFSET(CÁLCULO!$AA$15:$AA$231,0,R$13))),2),0)</f>
        <v>0</v>
      </c>
      <c r="S34" s="621" cm="1">
        <f t="array" aca="1" ref="S34" ca="1">IF(AUTOEVENTO="Manual",ROUND(SUMPRODUCT((CÁLCULO!$M$15:$M$231=EVENTOS!$C34)*(OFFSET(CÁLCULO!$AA$15:$AA$231,0,S$13))),2),0)</f>
        <v>0</v>
      </c>
      <c r="T34" s="621" cm="1">
        <f t="array" aca="1" ref="T34" ca="1">IF(AUTOEVENTO="Manual",ROUND(SUMPRODUCT((CÁLCULO!$M$15:$M$231=EVENTOS!$C34)*(OFFSET(CÁLCULO!$AA$15:$AA$231,0,T$13))),2),0)</f>
        <v>0</v>
      </c>
      <c r="U34" s="621" cm="1">
        <f t="array" aca="1" ref="U34" ca="1">IF(AUTOEVENTO="Manual",ROUND(SUMPRODUCT((CÁLCULO!$M$15:$M$231=EVENTOS!$C34)*(OFFSET(CÁLCULO!$AA$15:$AA$231,0,U$13))),2),0)</f>
        <v>0</v>
      </c>
      <c r="V34" s="621" cm="1">
        <f t="array" aca="1" ref="V34" ca="1">IF(AUTOEVENTO="Manual",ROUND(SUMPRODUCT((CÁLCULO!$M$15:$M$231=EVENTOS!$C34)*(OFFSET(CÁLCULO!$AA$15:$AA$231,0,V$13))),2),0)</f>
        <v>0</v>
      </c>
      <c r="W34" s="621" cm="1">
        <f t="array" aca="1" ref="W34" ca="1">IF(AUTOEVENTO="Manual",ROUND(SUMPRODUCT((CÁLCULO!$M$15:$M$231=EVENTOS!$C34)*(OFFSET(CÁLCULO!$AA$15:$AA$231,0,W$13))),2),0)</f>
        <v>0</v>
      </c>
      <c r="X34" s="621" cm="1">
        <f t="array" aca="1" ref="X34" ca="1">IF(AUTOEVENTO="Manual",ROUND(SUMPRODUCT((CÁLCULO!$M$15:$M$231=EVENTOS!$C34)*(OFFSET(CÁLCULO!$AA$15:$AA$231,0,X$13))),2),0)</f>
        <v>0</v>
      </c>
      <c r="Y34" s="621" cm="1">
        <f t="array" aca="1" ref="Y34" ca="1">IF(AUTOEVENTO="Manual",ROUND(SUMPRODUCT((CÁLCULO!$M$15:$M$231=EVENTOS!$C34)*(OFFSET(CÁLCULO!$AA$15:$AA$231,0,Y$13))),2),0)</f>
        <v>0</v>
      </c>
    </row>
    <row r="35" spans="1:25" s="675" customFormat="1" x14ac:dyDescent="0.2">
      <c r="A35" s="507" t="str">
        <f t="shared" si="3"/>
        <v/>
      </c>
      <c r="B35" s="675" t="str">
        <f t="shared" ca="1" si="4"/>
        <v/>
      </c>
      <c r="C35" s="183" t="str" cm="1">
        <f t="array" aca="1" ref="C35" ca="1">IF(OR(ROW(C35)=ROW(EVENTOS.firstrow)+1,AND(OFFSET(C35,-1,0)&lt;&gt;" ",OFFSET(C35,-1,1)&lt;&gt;"")),OFFSET(C35,-1,0)+1," ")</f>
        <v xml:space="preserve"> </v>
      </c>
      <c r="D35" s="497"/>
      <c r="E35" s="621" cm="1">
        <f t="array" aca="1" ref="E35" ca="1">IF(AUTOEVENTO="Manual",ROUND(SUMPRODUCT((CÁLCULO!$M$15:$M$231=EVENTOS!$C35)*(OFFSET(CÁLCULO!$AA$15:$AA$231,0,E$13))),2),0)</f>
        <v>0</v>
      </c>
      <c r="F35" s="184">
        <f ca="1">IF(AUTOEVENTO="Manual",ROUND(SUMPRODUCT((CÁLCULO!$M$15:$M$231=EVENTOS!$C35)*(OFFSET(CÁLCULO!$AA$15,0,1):OFFSET(CÁLCULO!$AL$231,0,-1))),2),0)</f>
        <v>0</v>
      </c>
      <c r="G35" s="622" t="str">
        <f t="shared" ca="1" si="5"/>
        <v/>
      </c>
      <c r="H35" s="621" cm="1">
        <f t="array" aca="1" ref="H35" ca="1">IF(AUTOEVENTO="Manual",ROUND(SUMPRODUCT((CÁLCULO!$M$15:$M$231=EVENTOS!$C35)*(OFFSET(CÁLCULO!$AA$15:$AA$231,0,H$13))),2),0)</f>
        <v>0</v>
      </c>
      <c r="I35" s="621" cm="1">
        <f t="array" aca="1" ref="I35" ca="1">IF(AUTOEVENTO="Manual",ROUND(SUMPRODUCT((CÁLCULO!$M$15:$M$231=EVENTOS!$C35)*(OFFSET(CÁLCULO!$AA$15:$AA$231,0,I$13))),2),0)</f>
        <v>0</v>
      </c>
      <c r="J35" s="621" cm="1">
        <f t="array" aca="1" ref="J35" ca="1">IF(AUTOEVENTO="Manual",ROUND(SUMPRODUCT((CÁLCULO!$M$15:$M$231=EVENTOS!$C35)*(OFFSET(CÁLCULO!$AA$15:$AA$231,0,J$13))),2),0)</f>
        <v>0</v>
      </c>
      <c r="K35" s="621" cm="1">
        <f t="array" aca="1" ref="K35" ca="1">IF(AUTOEVENTO="Manual",ROUND(SUMPRODUCT((CÁLCULO!$M$15:$M$231=EVENTOS!$C35)*(OFFSET(CÁLCULO!$AA$15:$AA$231,0,K$13))),2),0)</f>
        <v>0</v>
      </c>
      <c r="L35" s="621" cm="1">
        <f t="array" aca="1" ref="L35" ca="1">IF(AUTOEVENTO="Manual",ROUND(SUMPRODUCT((CÁLCULO!$M$15:$M$231=EVENTOS!$C35)*(OFFSET(CÁLCULO!$AA$15:$AA$231,0,L$13))),2),0)</f>
        <v>0</v>
      </c>
      <c r="M35" s="621" cm="1">
        <f t="array" aca="1" ref="M35" ca="1">IF(AUTOEVENTO="Manual",ROUND(SUMPRODUCT((CÁLCULO!$M$15:$M$231=EVENTOS!$C35)*(OFFSET(CÁLCULO!$AA$15:$AA$231,0,M$13))),2),0)</f>
        <v>0</v>
      </c>
      <c r="N35" s="621" cm="1">
        <f t="array" aca="1" ref="N35" ca="1">IF(AUTOEVENTO="Manual",ROUND(SUMPRODUCT((CÁLCULO!$M$15:$M$231=EVENTOS!$C35)*(OFFSET(CÁLCULO!$AA$15:$AA$231,0,N$13))),2),0)</f>
        <v>0</v>
      </c>
      <c r="O35" s="621" cm="1">
        <f t="array" aca="1" ref="O35" ca="1">IF(AUTOEVENTO="Manual",ROUND(SUMPRODUCT((CÁLCULO!$M$15:$M$231=EVENTOS!$C35)*(OFFSET(CÁLCULO!$AA$15:$AA$231,0,O$13))),2),0)</f>
        <v>0</v>
      </c>
      <c r="P35" s="621" cm="1">
        <f t="array" aca="1" ref="P35" ca="1">IF(AUTOEVENTO="Manual",ROUND(SUMPRODUCT((CÁLCULO!$M$15:$M$231=EVENTOS!$C35)*(OFFSET(CÁLCULO!$AA$15:$AA$231,0,P$13))),2),0)</f>
        <v>0</v>
      </c>
      <c r="Q35" s="621" cm="1">
        <f t="array" aca="1" ref="Q35" ca="1">IF(AUTOEVENTO="Manual",ROUND(SUMPRODUCT((CÁLCULO!$M$15:$M$231=EVENTOS!$C35)*(OFFSET(CÁLCULO!$AA$15:$AA$231,0,Q$13))),2),0)</f>
        <v>0</v>
      </c>
      <c r="R35" s="621" cm="1">
        <f t="array" aca="1" ref="R35" ca="1">IF(AUTOEVENTO="Manual",ROUND(SUMPRODUCT((CÁLCULO!$M$15:$M$231=EVENTOS!$C35)*(OFFSET(CÁLCULO!$AA$15:$AA$231,0,R$13))),2),0)</f>
        <v>0</v>
      </c>
      <c r="S35" s="621" cm="1">
        <f t="array" aca="1" ref="S35" ca="1">IF(AUTOEVENTO="Manual",ROUND(SUMPRODUCT((CÁLCULO!$M$15:$M$231=EVENTOS!$C35)*(OFFSET(CÁLCULO!$AA$15:$AA$231,0,S$13))),2),0)</f>
        <v>0</v>
      </c>
      <c r="T35" s="621" cm="1">
        <f t="array" aca="1" ref="T35" ca="1">IF(AUTOEVENTO="Manual",ROUND(SUMPRODUCT((CÁLCULO!$M$15:$M$231=EVENTOS!$C35)*(OFFSET(CÁLCULO!$AA$15:$AA$231,0,T$13))),2),0)</f>
        <v>0</v>
      </c>
      <c r="U35" s="621" cm="1">
        <f t="array" aca="1" ref="U35" ca="1">IF(AUTOEVENTO="Manual",ROUND(SUMPRODUCT((CÁLCULO!$M$15:$M$231=EVENTOS!$C35)*(OFFSET(CÁLCULO!$AA$15:$AA$231,0,U$13))),2),0)</f>
        <v>0</v>
      </c>
      <c r="V35" s="621" cm="1">
        <f t="array" aca="1" ref="V35" ca="1">IF(AUTOEVENTO="Manual",ROUND(SUMPRODUCT((CÁLCULO!$M$15:$M$231=EVENTOS!$C35)*(OFFSET(CÁLCULO!$AA$15:$AA$231,0,V$13))),2),0)</f>
        <v>0</v>
      </c>
      <c r="W35" s="621" cm="1">
        <f t="array" aca="1" ref="W35" ca="1">IF(AUTOEVENTO="Manual",ROUND(SUMPRODUCT((CÁLCULO!$M$15:$M$231=EVENTOS!$C35)*(OFFSET(CÁLCULO!$AA$15:$AA$231,0,W$13))),2),0)</f>
        <v>0</v>
      </c>
      <c r="X35" s="621" cm="1">
        <f t="array" aca="1" ref="X35" ca="1">IF(AUTOEVENTO="Manual",ROUND(SUMPRODUCT((CÁLCULO!$M$15:$M$231=EVENTOS!$C35)*(OFFSET(CÁLCULO!$AA$15:$AA$231,0,X$13))),2),0)</f>
        <v>0</v>
      </c>
      <c r="Y35" s="621" cm="1">
        <f t="array" aca="1" ref="Y35" ca="1">IF(AUTOEVENTO="Manual",ROUND(SUMPRODUCT((CÁLCULO!$M$15:$M$231=EVENTOS!$C35)*(OFFSET(CÁLCULO!$AA$15:$AA$231,0,Y$13))),2),0)</f>
        <v>0</v>
      </c>
    </row>
    <row r="36" spans="1:25" s="675" customFormat="1" x14ac:dyDescent="0.2">
      <c r="A36" s="507" t="str">
        <f t="shared" si="3"/>
        <v/>
      </c>
      <c r="B36" s="675" t="str">
        <f t="shared" ca="1" si="4"/>
        <v/>
      </c>
      <c r="C36" s="183" t="str" cm="1">
        <f t="array" aca="1" ref="C36" ca="1">IF(OR(ROW(C36)=ROW(EVENTOS.firstrow)+1,AND(OFFSET(C36,-1,0)&lt;&gt;" ",OFFSET(C36,-1,1)&lt;&gt;"")),OFFSET(C36,-1,0)+1," ")</f>
        <v xml:space="preserve"> </v>
      </c>
      <c r="D36" s="497"/>
      <c r="E36" s="621" cm="1">
        <f t="array" aca="1" ref="E36" ca="1">IF(AUTOEVENTO="Manual",ROUND(SUMPRODUCT((CÁLCULO!$M$15:$M$231=EVENTOS!$C36)*(OFFSET(CÁLCULO!$AA$15:$AA$231,0,E$13))),2),0)</f>
        <v>0</v>
      </c>
      <c r="F36" s="184">
        <f ca="1">IF(AUTOEVENTO="Manual",ROUND(SUMPRODUCT((CÁLCULO!$M$15:$M$231=EVENTOS!$C36)*(OFFSET(CÁLCULO!$AA$15,0,1):OFFSET(CÁLCULO!$AL$231,0,-1))),2),0)</f>
        <v>0</v>
      </c>
      <c r="G36" s="622" t="str">
        <f t="shared" ca="1" si="5"/>
        <v/>
      </c>
      <c r="H36" s="621" cm="1">
        <f t="array" aca="1" ref="H36" ca="1">IF(AUTOEVENTO="Manual",ROUND(SUMPRODUCT((CÁLCULO!$M$15:$M$231=EVENTOS!$C36)*(OFFSET(CÁLCULO!$AA$15:$AA$231,0,H$13))),2),0)</f>
        <v>0</v>
      </c>
      <c r="I36" s="621" cm="1">
        <f t="array" aca="1" ref="I36" ca="1">IF(AUTOEVENTO="Manual",ROUND(SUMPRODUCT((CÁLCULO!$M$15:$M$231=EVENTOS!$C36)*(OFFSET(CÁLCULO!$AA$15:$AA$231,0,I$13))),2),0)</f>
        <v>0</v>
      </c>
      <c r="J36" s="621" cm="1">
        <f t="array" aca="1" ref="J36" ca="1">IF(AUTOEVENTO="Manual",ROUND(SUMPRODUCT((CÁLCULO!$M$15:$M$231=EVENTOS!$C36)*(OFFSET(CÁLCULO!$AA$15:$AA$231,0,J$13))),2),0)</f>
        <v>0</v>
      </c>
      <c r="K36" s="621" cm="1">
        <f t="array" aca="1" ref="K36" ca="1">IF(AUTOEVENTO="Manual",ROUND(SUMPRODUCT((CÁLCULO!$M$15:$M$231=EVENTOS!$C36)*(OFFSET(CÁLCULO!$AA$15:$AA$231,0,K$13))),2),0)</f>
        <v>0</v>
      </c>
      <c r="L36" s="621" cm="1">
        <f t="array" aca="1" ref="L36" ca="1">IF(AUTOEVENTO="Manual",ROUND(SUMPRODUCT((CÁLCULO!$M$15:$M$231=EVENTOS!$C36)*(OFFSET(CÁLCULO!$AA$15:$AA$231,0,L$13))),2),0)</f>
        <v>0</v>
      </c>
      <c r="M36" s="621" cm="1">
        <f t="array" aca="1" ref="M36" ca="1">IF(AUTOEVENTO="Manual",ROUND(SUMPRODUCT((CÁLCULO!$M$15:$M$231=EVENTOS!$C36)*(OFFSET(CÁLCULO!$AA$15:$AA$231,0,M$13))),2),0)</f>
        <v>0</v>
      </c>
      <c r="N36" s="621" cm="1">
        <f t="array" aca="1" ref="N36" ca="1">IF(AUTOEVENTO="Manual",ROUND(SUMPRODUCT((CÁLCULO!$M$15:$M$231=EVENTOS!$C36)*(OFFSET(CÁLCULO!$AA$15:$AA$231,0,N$13))),2),0)</f>
        <v>0</v>
      </c>
      <c r="O36" s="621" cm="1">
        <f t="array" aca="1" ref="O36" ca="1">IF(AUTOEVENTO="Manual",ROUND(SUMPRODUCT((CÁLCULO!$M$15:$M$231=EVENTOS!$C36)*(OFFSET(CÁLCULO!$AA$15:$AA$231,0,O$13))),2),0)</f>
        <v>0</v>
      </c>
      <c r="P36" s="621" cm="1">
        <f t="array" aca="1" ref="P36" ca="1">IF(AUTOEVENTO="Manual",ROUND(SUMPRODUCT((CÁLCULO!$M$15:$M$231=EVENTOS!$C36)*(OFFSET(CÁLCULO!$AA$15:$AA$231,0,P$13))),2),0)</f>
        <v>0</v>
      </c>
      <c r="Q36" s="621" cm="1">
        <f t="array" aca="1" ref="Q36" ca="1">IF(AUTOEVENTO="Manual",ROUND(SUMPRODUCT((CÁLCULO!$M$15:$M$231=EVENTOS!$C36)*(OFFSET(CÁLCULO!$AA$15:$AA$231,0,Q$13))),2),0)</f>
        <v>0</v>
      </c>
      <c r="R36" s="621" cm="1">
        <f t="array" aca="1" ref="R36" ca="1">IF(AUTOEVENTO="Manual",ROUND(SUMPRODUCT((CÁLCULO!$M$15:$M$231=EVENTOS!$C36)*(OFFSET(CÁLCULO!$AA$15:$AA$231,0,R$13))),2),0)</f>
        <v>0</v>
      </c>
      <c r="S36" s="621" cm="1">
        <f t="array" aca="1" ref="S36" ca="1">IF(AUTOEVENTO="Manual",ROUND(SUMPRODUCT((CÁLCULO!$M$15:$M$231=EVENTOS!$C36)*(OFFSET(CÁLCULO!$AA$15:$AA$231,0,S$13))),2),0)</f>
        <v>0</v>
      </c>
      <c r="T36" s="621" cm="1">
        <f t="array" aca="1" ref="T36" ca="1">IF(AUTOEVENTO="Manual",ROUND(SUMPRODUCT((CÁLCULO!$M$15:$M$231=EVENTOS!$C36)*(OFFSET(CÁLCULO!$AA$15:$AA$231,0,T$13))),2),0)</f>
        <v>0</v>
      </c>
      <c r="U36" s="621" cm="1">
        <f t="array" aca="1" ref="U36" ca="1">IF(AUTOEVENTO="Manual",ROUND(SUMPRODUCT((CÁLCULO!$M$15:$M$231=EVENTOS!$C36)*(OFFSET(CÁLCULO!$AA$15:$AA$231,0,U$13))),2),0)</f>
        <v>0</v>
      </c>
      <c r="V36" s="621" cm="1">
        <f t="array" aca="1" ref="V36" ca="1">IF(AUTOEVENTO="Manual",ROUND(SUMPRODUCT((CÁLCULO!$M$15:$M$231=EVENTOS!$C36)*(OFFSET(CÁLCULO!$AA$15:$AA$231,0,V$13))),2),0)</f>
        <v>0</v>
      </c>
      <c r="W36" s="621" cm="1">
        <f t="array" aca="1" ref="W36" ca="1">IF(AUTOEVENTO="Manual",ROUND(SUMPRODUCT((CÁLCULO!$M$15:$M$231=EVENTOS!$C36)*(OFFSET(CÁLCULO!$AA$15:$AA$231,0,W$13))),2),0)</f>
        <v>0</v>
      </c>
      <c r="X36" s="621" cm="1">
        <f t="array" aca="1" ref="X36" ca="1">IF(AUTOEVENTO="Manual",ROUND(SUMPRODUCT((CÁLCULO!$M$15:$M$231=EVENTOS!$C36)*(OFFSET(CÁLCULO!$AA$15:$AA$231,0,X$13))),2),0)</f>
        <v>0</v>
      </c>
      <c r="Y36" s="621" cm="1">
        <f t="array" aca="1" ref="Y36" ca="1">IF(AUTOEVENTO="Manual",ROUND(SUMPRODUCT((CÁLCULO!$M$15:$M$231=EVENTOS!$C36)*(OFFSET(CÁLCULO!$AA$15:$AA$231,0,Y$13))),2),0)</f>
        <v>0</v>
      </c>
    </row>
    <row r="37" spans="1:25" s="675" customFormat="1" x14ac:dyDescent="0.2">
      <c r="A37" s="507" t="str">
        <f t="shared" si="3"/>
        <v/>
      </c>
      <c r="B37" s="675" t="str">
        <f t="shared" ca="1" si="4"/>
        <v/>
      </c>
      <c r="C37" s="183" t="str" cm="1">
        <f t="array" aca="1" ref="C37" ca="1">IF(OR(ROW(C37)=ROW(EVENTOS.firstrow)+1,AND(OFFSET(C37,-1,0)&lt;&gt;" ",OFFSET(C37,-1,1)&lt;&gt;"")),OFFSET(C37,-1,0)+1," ")</f>
        <v xml:space="preserve"> </v>
      </c>
      <c r="D37" s="497"/>
      <c r="E37" s="621" cm="1">
        <f t="array" aca="1" ref="E37" ca="1">IF(AUTOEVENTO="Manual",ROUND(SUMPRODUCT((CÁLCULO!$M$15:$M$231=EVENTOS!$C37)*(OFFSET(CÁLCULO!$AA$15:$AA$231,0,E$13))),2),0)</f>
        <v>0</v>
      </c>
      <c r="F37" s="184">
        <f ca="1">IF(AUTOEVENTO="Manual",ROUND(SUMPRODUCT((CÁLCULO!$M$15:$M$231=EVENTOS!$C37)*(OFFSET(CÁLCULO!$AA$15,0,1):OFFSET(CÁLCULO!$AL$231,0,-1))),2),0)</f>
        <v>0</v>
      </c>
      <c r="G37" s="622" t="str">
        <f t="shared" ca="1" si="5"/>
        <v/>
      </c>
      <c r="H37" s="621" cm="1">
        <f t="array" aca="1" ref="H37" ca="1">IF(AUTOEVENTO="Manual",ROUND(SUMPRODUCT((CÁLCULO!$M$15:$M$231=EVENTOS!$C37)*(OFFSET(CÁLCULO!$AA$15:$AA$231,0,H$13))),2),0)</f>
        <v>0</v>
      </c>
      <c r="I37" s="621" cm="1">
        <f t="array" aca="1" ref="I37" ca="1">IF(AUTOEVENTO="Manual",ROUND(SUMPRODUCT((CÁLCULO!$M$15:$M$231=EVENTOS!$C37)*(OFFSET(CÁLCULO!$AA$15:$AA$231,0,I$13))),2),0)</f>
        <v>0</v>
      </c>
      <c r="J37" s="621" cm="1">
        <f t="array" aca="1" ref="J37" ca="1">IF(AUTOEVENTO="Manual",ROUND(SUMPRODUCT((CÁLCULO!$M$15:$M$231=EVENTOS!$C37)*(OFFSET(CÁLCULO!$AA$15:$AA$231,0,J$13))),2),0)</f>
        <v>0</v>
      </c>
      <c r="K37" s="621" cm="1">
        <f t="array" aca="1" ref="K37" ca="1">IF(AUTOEVENTO="Manual",ROUND(SUMPRODUCT((CÁLCULO!$M$15:$M$231=EVENTOS!$C37)*(OFFSET(CÁLCULO!$AA$15:$AA$231,0,K$13))),2),0)</f>
        <v>0</v>
      </c>
      <c r="L37" s="621" cm="1">
        <f t="array" aca="1" ref="L37" ca="1">IF(AUTOEVENTO="Manual",ROUND(SUMPRODUCT((CÁLCULO!$M$15:$M$231=EVENTOS!$C37)*(OFFSET(CÁLCULO!$AA$15:$AA$231,0,L$13))),2),0)</f>
        <v>0</v>
      </c>
      <c r="M37" s="621" cm="1">
        <f t="array" aca="1" ref="M37" ca="1">IF(AUTOEVENTO="Manual",ROUND(SUMPRODUCT((CÁLCULO!$M$15:$M$231=EVENTOS!$C37)*(OFFSET(CÁLCULO!$AA$15:$AA$231,0,M$13))),2),0)</f>
        <v>0</v>
      </c>
      <c r="N37" s="621" cm="1">
        <f t="array" aca="1" ref="N37" ca="1">IF(AUTOEVENTO="Manual",ROUND(SUMPRODUCT((CÁLCULO!$M$15:$M$231=EVENTOS!$C37)*(OFFSET(CÁLCULO!$AA$15:$AA$231,0,N$13))),2),0)</f>
        <v>0</v>
      </c>
      <c r="O37" s="621" cm="1">
        <f t="array" aca="1" ref="O37" ca="1">IF(AUTOEVENTO="Manual",ROUND(SUMPRODUCT((CÁLCULO!$M$15:$M$231=EVENTOS!$C37)*(OFFSET(CÁLCULO!$AA$15:$AA$231,0,O$13))),2),0)</f>
        <v>0</v>
      </c>
      <c r="P37" s="621" cm="1">
        <f t="array" aca="1" ref="P37" ca="1">IF(AUTOEVENTO="Manual",ROUND(SUMPRODUCT((CÁLCULO!$M$15:$M$231=EVENTOS!$C37)*(OFFSET(CÁLCULO!$AA$15:$AA$231,0,P$13))),2),0)</f>
        <v>0</v>
      </c>
      <c r="Q37" s="621" cm="1">
        <f t="array" aca="1" ref="Q37" ca="1">IF(AUTOEVENTO="Manual",ROUND(SUMPRODUCT((CÁLCULO!$M$15:$M$231=EVENTOS!$C37)*(OFFSET(CÁLCULO!$AA$15:$AA$231,0,Q$13))),2),0)</f>
        <v>0</v>
      </c>
      <c r="R37" s="621" cm="1">
        <f t="array" aca="1" ref="R37" ca="1">IF(AUTOEVENTO="Manual",ROUND(SUMPRODUCT((CÁLCULO!$M$15:$M$231=EVENTOS!$C37)*(OFFSET(CÁLCULO!$AA$15:$AA$231,0,R$13))),2),0)</f>
        <v>0</v>
      </c>
      <c r="S37" s="621" cm="1">
        <f t="array" aca="1" ref="S37" ca="1">IF(AUTOEVENTO="Manual",ROUND(SUMPRODUCT((CÁLCULO!$M$15:$M$231=EVENTOS!$C37)*(OFFSET(CÁLCULO!$AA$15:$AA$231,0,S$13))),2),0)</f>
        <v>0</v>
      </c>
      <c r="T37" s="621" cm="1">
        <f t="array" aca="1" ref="T37" ca="1">IF(AUTOEVENTO="Manual",ROUND(SUMPRODUCT((CÁLCULO!$M$15:$M$231=EVENTOS!$C37)*(OFFSET(CÁLCULO!$AA$15:$AA$231,0,T$13))),2),0)</f>
        <v>0</v>
      </c>
      <c r="U37" s="621" cm="1">
        <f t="array" aca="1" ref="U37" ca="1">IF(AUTOEVENTO="Manual",ROUND(SUMPRODUCT((CÁLCULO!$M$15:$M$231=EVENTOS!$C37)*(OFFSET(CÁLCULO!$AA$15:$AA$231,0,U$13))),2),0)</f>
        <v>0</v>
      </c>
      <c r="V37" s="621" cm="1">
        <f t="array" aca="1" ref="V37" ca="1">IF(AUTOEVENTO="Manual",ROUND(SUMPRODUCT((CÁLCULO!$M$15:$M$231=EVENTOS!$C37)*(OFFSET(CÁLCULO!$AA$15:$AA$231,0,V$13))),2),0)</f>
        <v>0</v>
      </c>
      <c r="W37" s="621" cm="1">
        <f t="array" aca="1" ref="W37" ca="1">IF(AUTOEVENTO="Manual",ROUND(SUMPRODUCT((CÁLCULO!$M$15:$M$231=EVENTOS!$C37)*(OFFSET(CÁLCULO!$AA$15:$AA$231,0,W$13))),2),0)</f>
        <v>0</v>
      </c>
      <c r="X37" s="621" cm="1">
        <f t="array" aca="1" ref="X37" ca="1">IF(AUTOEVENTO="Manual",ROUND(SUMPRODUCT((CÁLCULO!$M$15:$M$231=EVENTOS!$C37)*(OFFSET(CÁLCULO!$AA$15:$AA$231,0,X$13))),2),0)</f>
        <v>0</v>
      </c>
      <c r="Y37" s="621" cm="1">
        <f t="array" aca="1" ref="Y37" ca="1">IF(AUTOEVENTO="Manual",ROUND(SUMPRODUCT((CÁLCULO!$M$15:$M$231=EVENTOS!$C37)*(OFFSET(CÁLCULO!$AA$15:$AA$231,0,Y$13))),2),0)</f>
        <v>0</v>
      </c>
    </row>
    <row r="38" spans="1:25" s="675" customFormat="1" x14ac:dyDescent="0.2">
      <c r="A38" s="507" t="str">
        <f t="shared" si="3"/>
        <v/>
      </c>
      <c r="B38" s="675" t="str">
        <f t="shared" ca="1" si="4"/>
        <v/>
      </c>
      <c r="C38" s="183" t="str" cm="1">
        <f t="array" aca="1" ref="C38" ca="1">IF(OR(ROW(C38)=ROW(EVENTOS.firstrow)+1,AND(OFFSET(C38,-1,0)&lt;&gt;" ",OFFSET(C38,-1,1)&lt;&gt;"")),OFFSET(C38,-1,0)+1," ")</f>
        <v xml:space="preserve"> </v>
      </c>
      <c r="D38" s="497"/>
      <c r="E38" s="621" cm="1">
        <f t="array" aca="1" ref="E38" ca="1">IF(AUTOEVENTO="Manual",ROUND(SUMPRODUCT((CÁLCULO!$M$15:$M$231=EVENTOS!$C38)*(OFFSET(CÁLCULO!$AA$15:$AA$231,0,E$13))),2),0)</f>
        <v>0</v>
      </c>
      <c r="F38" s="184">
        <f ca="1">IF(AUTOEVENTO="Manual",ROUND(SUMPRODUCT((CÁLCULO!$M$15:$M$231=EVENTOS!$C38)*(OFFSET(CÁLCULO!$AA$15,0,1):OFFSET(CÁLCULO!$AL$231,0,-1))),2),0)</f>
        <v>0</v>
      </c>
      <c r="G38" s="622" t="str">
        <f t="shared" ca="1" si="5"/>
        <v/>
      </c>
      <c r="H38" s="621" cm="1">
        <f t="array" aca="1" ref="H38" ca="1">IF(AUTOEVENTO="Manual",ROUND(SUMPRODUCT((CÁLCULO!$M$15:$M$231=EVENTOS!$C38)*(OFFSET(CÁLCULO!$AA$15:$AA$231,0,H$13))),2),0)</f>
        <v>0</v>
      </c>
      <c r="I38" s="621" cm="1">
        <f t="array" aca="1" ref="I38" ca="1">IF(AUTOEVENTO="Manual",ROUND(SUMPRODUCT((CÁLCULO!$M$15:$M$231=EVENTOS!$C38)*(OFFSET(CÁLCULO!$AA$15:$AA$231,0,I$13))),2),0)</f>
        <v>0</v>
      </c>
      <c r="J38" s="621" cm="1">
        <f t="array" aca="1" ref="J38" ca="1">IF(AUTOEVENTO="Manual",ROUND(SUMPRODUCT((CÁLCULO!$M$15:$M$231=EVENTOS!$C38)*(OFFSET(CÁLCULO!$AA$15:$AA$231,0,J$13))),2),0)</f>
        <v>0</v>
      </c>
      <c r="K38" s="621" cm="1">
        <f t="array" aca="1" ref="K38" ca="1">IF(AUTOEVENTO="Manual",ROUND(SUMPRODUCT((CÁLCULO!$M$15:$M$231=EVENTOS!$C38)*(OFFSET(CÁLCULO!$AA$15:$AA$231,0,K$13))),2),0)</f>
        <v>0</v>
      </c>
      <c r="L38" s="621" cm="1">
        <f t="array" aca="1" ref="L38" ca="1">IF(AUTOEVENTO="Manual",ROUND(SUMPRODUCT((CÁLCULO!$M$15:$M$231=EVENTOS!$C38)*(OFFSET(CÁLCULO!$AA$15:$AA$231,0,L$13))),2),0)</f>
        <v>0</v>
      </c>
      <c r="M38" s="621" cm="1">
        <f t="array" aca="1" ref="M38" ca="1">IF(AUTOEVENTO="Manual",ROUND(SUMPRODUCT((CÁLCULO!$M$15:$M$231=EVENTOS!$C38)*(OFFSET(CÁLCULO!$AA$15:$AA$231,0,M$13))),2),0)</f>
        <v>0</v>
      </c>
      <c r="N38" s="621" cm="1">
        <f t="array" aca="1" ref="N38" ca="1">IF(AUTOEVENTO="Manual",ROUND(SUMPRODUCT((CÁLCULO!$M$15:$M$231=EVENTOS!$C38)*(OFFSET(CÁLCULO!$AA$15:$AA$231,0,N$13))),2),0)</f>
        <v>0</v>
      </c>
      <c r="O38" s="621" cm="1">
        <f t="array" aca="1" ref="O38" ca="1">IF(AUTOEVENTO="Manual",ROUND(SUMPRODUCT((CÁLCULO!$M$15:$M$231=EVENTOS!$C38)*(OFFSET(CÁLCULO!$AA$15:$AA$231,0,O$13))),2),0)</f>
        <v>0</v>
      </c>
      <c r="P38" s="621" cm="1">
        <f t="array" aca="1" ref="P38" ca="1">IF(AUTOEVENTO="Manual",ROUND(SUMPRODUCT((CÁLCULO!$M$15:$M$231=EVENTOS!$C38)*(OFFSET(CÁLCULO!$AA$15:$AA$231,0,P$13))),2),0)</f>
        <v>0</v>
      </c>
      <c r="Q38" s="621" cm="1">
        <f t="array" aca="1" ref="Q38" ca="1">IF(AUTOEVENTO="Manual",ROUND(SUMPRODUCT((CÁLCULO!$M$15:$M$231=EVENTOS!$C38)*(OFFSET(CÁLCULO!$AA$15:$AA$231,0,Q$13))),2),0)</f>
        <v>0</v>
      </c>
      <c r="R38" s="621" cm="1">
        <f t="array" aca="1" ref="R38" ca="1">IF(AUTOEVENTO="Manual",ROUND(SUMPRODUCT((CÁLCULO!$M$15:$M$231=EVENTOS!$C38)*(OFFSET(CÁLCULO!$AA$15:$AA$231,0,R$13))),2),0)</f>
        <v>0</v>
      </c>
      <c r="S38" s="621" cm="1">
        <f t="array" aca="1" ref="S38" ca="1">IF(AUTOEVENTO="Manual",ROUND(SUMPRODUCT((CÁLCULO!$M$15:$M$231=EVENTOS!$C38)*(OFFSET(CÁLCULO!$AA$15:$AA$231,0,S$13))),2),0)</f>
        <v>0</v>
      </c>
      <c r="T38" s="621" cm="1">
        <f t="array" aca="1" ref="T38" ca="1">IF(AUTOEVENTO="Manual",ROUND(SUMPRODUCT((CÁLCULO!$M$15:$M$231=EVENTOS!$C38)*(OFFSET(CÁLCULO!$AA$15:$AA$231,0,T$13))),2),0)</f>
        <v>0</v>
      </c>
      <c r="U38" s="621" cm="1">
        <f t="array" aca="1" ref="U38" ca="1">IF(AUTOEVENTO="Manual",ROUND(SUMPRODUCT((CÁLCULO!$M$15:$M$231=EVENTOS!$C38)*(OFFSET(CÁLCULO!$AA$15:$AA$231,0,U$13))),2),0)</f>
        <v>0</v>
      </c>
      <c r="V38" s="621" cm="1">
        <f t="array" aca="1" ref="V38" ca="1">IF(AUTOEVENTO="Manual",ROUND(SUMPRODUCT((CÁLCULO!$M$15:$M$231=EVENTOS!$C38)*(OFFSET(CÁLCULO!$AA$15:$AA$231,0,V$13))),2),0)</f>
        <v>0</v>
      </c>
      <c r="W38" s="621" cm="1">
        <f t="array" aca="1" ref="W38" ca="1">IF(AUTOEVENTO="Manual",ROUND(SUMPRODUCT((CÁLCULO!$M$15:$M$231=EVENTOS!$C38)*(OFFSET(CÁLCULO!$AA$15:$AA$231,0,W$13))),2),0)</f>
        <v>0</v>
      </c>
      <c r="X38" s="621" cm="1">
        <f t="array" aca="1" ref="X38" ca="1">IF(AUTOEVENTO="Manual",ROUND(SUMPRODUCT((CÁLCULO!$M$15:$M$231=EVENTOS!$C38)*(OFFSET(CÁLCULO!$AA$15:$AA$231,0,X$13))),2),0)</f>
        <v>0</v>
      </c>
      <c r="Y38" s="621" cm="1">
        <f t="array" aca="1" ref="Y38" ca="1">IF(AUTOEVENTO="Manual",ROUND(SUMPRODUCT((CÁLCULO!$M$15:$M$231=EVENTOS!$C38)*(OFFSET(CÁLCULO!$AA$15:$AA$231,0,Y$13))),2),0)</f>
        <v>0</v>
      </c>
    </row>
    <row r="39" spans="1:25" s="675" customFormat="1" x14ac:dyDescent="0.2">
      <c r="A39" s="507" t="str">
        <f t="shared" si="3"/>
        <v/>
      </c>
      <c r="B39" s="675" t="str">
        <f t="shared" ca="1" si="4"/>
        <v/>
      </c>
      <c r="C39" s="183" t="str" cm="1">
        <f t="array" aca="1" ref="C39" ca="1">IF(OR(ROW(C39)=ROW(EVENTOS.firstrow)+1,AND(OFFSET(C39,-1,0)&lt;&gt;" ",OFFSET(C39,-1,1)&lt;&gt;"")),OFFSET(C39,-1,0)+1," ")</f>
        <v xml:space="preserve"> </v>
      </c>
      <c r="D39" s="497"/>
      <c r="E39" s="621" cm="1">
        <f t="array" aca="1" ref="E39" ca="1">IF(AUTOEVENTO="Manual",ROUND(SUMPRODUCT((CÁLCULO!$M$15:$M$231=EVENTOS!$C39)*(OFFSET(CÁLCULO!$AA$15:$AA$231,0,E$13))),2),0)</f>
        <v>0</v>
      </c>
      <c r="F39" s="184">
        <f ca="1">IF(AUTOEVENTO="Manual",ROUND(SUMPRODUCT((CÁLCULO!$M$15:$M$231=EVENTOS!$C39)*(OFFSET(CÁLCULO!$AA$15,0,1):OFFSET(CÁLCULO!$AL$231,0,-1))),2),0)</f>
        <v>0</v>
      </c>
      <c r="G39" s="622" t="str">
        <f t="shared" ca="1" si="5"/>
        <v/>
      </c>
      <c r="H39" s="621" cm="1">
        <f t="array" aca="1" ref="H39" ca="1">IF(AUTOEVENTO="Manual",ROUND(SUMPRODUCT((CÁLCULO!$M$15:$M$231=EVENTOS!$C39)*(OFFSET(CÁLCULO!$AA$15:$AA$231,0,H$13))),2),0)</f>
        <v>0</v>
      </c>
      <c r="I39" s="621" cm="1">
        <f t="array" aca="1" ref="I39" ca="1">IF(AUTOEVENTO="Manual",ROUND(SUMPRODUCT((CÁLCULO!$M$15:$M$231=EVENTOS!$C39)*(OFFSET(CÁLCULO!$AA$15:$AA$231,0,I$13))),2),0)</f>
        <v>0</v>
      </c>
      <c r="J39" s="621" cm="1">
        <f t="array" aca="1" ref="J39" ca="1">IF(AUTOEVENTO="Manual",ROUND(SUMPRODUCT((CÁLCULO!$M$15:$M$231=EVENTOS!$C39)*(OFFSET(CÁLCULO!$AA$15:$AA$231,0,J$13))),2),0)</f>
        <v>0</v>
      </c>
      <c r="K39" s="621" cm="1">
        <f t="array" aca="1" ref="K39" ca="1">IF(AUTOEVENTO="Manual",ROUND(SUMPRODUCT((CÁLCULO!$M$15:$M$231=EVENTOS!$C39)*(OFFSET(CÁLCULO!$AA$15:$AA$231,0,K$13))),2),0)</f>
        <v>0</v>
      </c>
      <c r="L39" s="621" cm="1">
        <f t="array" aca="1" ref="L39" ca="1">IF(AUTOEVENTO="Manual",ROUND(SUMPRODUCT((CÁLCULO!$M$15:$M$231=EVENTOS!$C39)*(OFFSET(CÁLCULO!$AA$15:$AA$231,0,L$13))),2),0)</f>
        <v>0</v>
      </c>
      <c r="M39" s="621" cm="1">
        <f t="array" aca="1" ref="M39" ca="1">IF(AUTOEVENTO="Manual",ROUND(SUMPRODUCT((CÁLCULO!$M$15:$M$231=EVENTOS!$C39)*(OFFSET(CÁLCULO!$AA$15:$AA$231,0,M$13))),2),0)</f>
        <v>0</v>
      </c>
      <c r="N39" s="621" cm="1">
        <f t="array" aca="1" ref="N39" ca="1">IF(AUTOEVENTO="Manual",ROUND(SUMPRODUCT((CÁLCULO!$M$15:$M$231=EVENTOS!$C39)*(OFFSET(CÁLCULO!$AA$15:$AA$231,0,N$13))),2),0)</f>
        <v>0</v>
      </c>
      <c r="O39" s="621" cm="1">
        <f t="array" aca="1" ref="O39" ca="1">IF(AUTOEVENTO="Manual",ROUND(SUMPRODUCT((CÁLCULO!$M$15:$M$231=EVENTOS!$C39)*(OFFSET(CÁLCULO!$AA$15:$AA$231,0,O$13))),2),0)</f>
        <v>0</v>
      </c>
      <c r="P39" s="621" cm="1">
        <f t="array" aca="1" ref="P39" ca="1">IF(AUTOEVENTO="Manual",ROUND(SUMPRODUCT((CÁLCULO!$M$15:$M$231=EVENTOS!$C39)*(OFFSET(CÁLCULO!$AA$15:$AA$231,0,P$13))),2),0)</f>
        <v>0</v>
      </c>
      <c r="Q39" s="621" cm="1">
        <f t="array" aca="1" ref="Q39" ca="1">IF(AUTOEVENTO="Manual",ROUND(SUMPRODUCT((CÁLCULO!$M$15:$M$231=EVENTOS!$C39)*(OFFSET(CÁLCULO!$AA$15:$AA$231,0,Q$13))),2),0)</f>
        <v>0</v>
      </c>
      <c r="R39" s="621" cm="1">
        <f t="array" aca="1" ref="R39" ca="1">IF(AUTOEVENTO="Manual",ROUND(SUMPRODUCT((CÁLCULO!$M$15:$M$231=EVENTOS!$C39)*(OFFSET(CÁLCULO!$AA$15:$AA$231,0,R$13))),2),0)</f>
        <v>0</v>
      </c>
      <c r="S39" s="621" cm="1">
        <f t="array" aca="1" ref="S39" ca="1">IF(AUTOEVENTO="Manual",ROUND(SUMPRODUCT((CÁLCULO!$M$15:$M$231=EVENTOS!$C39)*(OFFSET(CÁLCULO!$AA$15:$AA$231,0,S$13))),2),0)</f>
        <v>0</v>
      </c>
      <c r="T39" s="621" cm="1">
        <f t="array" aca="1" ref="T39" ca="1">IF(AUTOEVENTO="Manual",ROUND(SUMPRODUCT((CÁLCULO!$M$15:$M$231=EVENTOS!$C39)*(OFFSET(CÁLCULO!$AA$15:$AA$231,0,T$13))),2),0)</f>
        <v>0</v>
      </c>
      <c r="U39" s="621" cm="1">
        <f t="array" aca="1" ref="U39" ca="1">IF(AUTOEVENTO="Manual",ROUND(SUMPRODUCT((CÁLCULO!$M$15:$M$231=EVENTOS!$C39)*(OFFSET(CÁLCULO!$AA$15:$AA$231,0,U$13))),2),0)</f>
        <v>0</v>
      </c>
      <c r="V39" s="621" cm="1">
        <f t="array" aca="1" ref="V39" ca="1">IF(AUTOEVENTO="Manual",ROUND(SUMPRODUCT((CÁLCULO!$M$15:$M$231=EVENTOS!$C39)*(OFFSET(CÁLCULO!$AA$15:$AA$231,0,V$13))),2),0)</f>
        <v>0</v>
      </c>
      <c r="W39" s="621" cm="1">
        <f t="array" aca="1" ref="W39" ca="1">IF(AUTOEVENTO="Manual",ROUND(SUMPRODUCT((CÁLCULO!$M$15:$M$231=EVENTOS!$C39)*(OFFSET(CÁLCULO!$AA$15:$AA$231,0,W$13))),2),0)</f>
        <v>0</v>
      </c>
      <c r="X39" s="621" cm="1">
        <f t="array" aca="1" ref="X39" ca="1">IF(AUTOEVENTO="Manual",ROUND(SUMPRODUCT((CÁLCULO!$M$15:$M$231=EVENTOS!$C39)*(OFFSET(CÁLCULO!$AA$15:$AA$231,0,X$13))),2),0)</f>
        <v>0</v>
      </c>
      <c r="Y39" s="621" cm="1">
        <f t="array" aca="1" ref="Y39" ca="1">IF(AUTOEVENTO="Manual",ROUND(SUMPRODUCT((CÁLCULO!$M$15:$M$231=EVENTOS!$C39)*(OFFSET(CÁLCULO!$AA$15:$AA$231,0,Y$13))),2),0)</f>
        <v>0</v>
      </c>
    </row>
    <row r="40" spans="1:25" s="675" customFormat="1" x14ac:dyDescent="0.2">
      <c r="A40" s="507" t="str">
        <f t="shared" si="3"/>
        <v/>
      </c>
      <c r="B40" s="675" t="str">
        <f t="shared" ca="1" si="4"/>
        <v/>
      </c>
      <c r="C40" s="183" t="str" cm="1">
        <f t="array" aca="1" ref="C40" ca="1">IF(OR(ROW(C40)=ROW(EVENTOS.firstrow)+1,AND(OFFSET(C40,-1,0)&lt;&gt;" ",OFFSET(C40,-1,1)&lt;&gt;"")),OFFSET(C40,-1,0)+1," ")</f>
        <v xml:space="preserve"> </v>
      </c>
      <c r="D40" s="497"/>
      <c r="E40" s="621" cm="1">
        <f t="array" aca="1" ref="E40" ca="1">IF(AUTOEVENTO="Manual",ROUND(SUMPRODUCT((CÁLCULO!$M$15:$M$231=EVENTOS!$C40)*(OFFSET(CÁLCULO!$AA$15:$AA$231,0,E$13))),2),0)</f>
        <v>0</v>
      </c>
      <c r="F40" s="184">
        <f ca="1">IF(AUTOEVENTO="Manual",ROUND(SUMPRODUCT((CÁLCULO!$M$15:$M$231=EVENTOS!$C40)*(OFFSET(CÁLCULO!$AA$15,0,1):OFFSET(CÁLCULO!$AL$231,0,-1))),2),0)</f>
        <v>0</v>
      </c>
      <c r="G40" s="622" t="str">
        <f t="shared" ca="1" si="5"/>
        <v/>
      </c>
      <c r="H40" s="621" cm="1">
        <f t="array" aca="1" ref="H40" ca="1">IF(AUTOEVENTO="Manual",ROUND(SUMPRODUCT((CÁLCULO!$M$15:$M$231=EVENTOS!$C40)*(OFFSET(CÁLCULO!$AA$15:$AA$231,0,H$13))),2),0)</f>
        <v>0</v>
      </c>
      <c r="I40" s="621" cm="1">
        <f t="array" aca="1" ref="I40" ca="1">IF(AUTOEVENTO="Manual",ROUND(SUMPRODUCT((CÁLCULO!$M$15:$M$231=EVENTOS!$C40)*(OFFSET(CÁLCULO!$AA$15:$AA$231,0,I$13))),2),0)</f>
        <v>0</v>
      </c>
      <c r="J40" s="621" cm="1">
        <f t="array" aca="1" ref="J40" ca="1">IF(AUTOEVENTO="Manual",ROUND(SUMPRODUCT((CÁLCULO!$M$15:$M$231=EVENTOS!$C40)*(OFFSET(CÁLCULO!$AA$15:$AA$231,0,J$13))),2),0)</f>
        <v>0</v>
      </c>
      <c r="K40" s="621" cm="1">
        <f t="array" aca="1" ref="K40" ca="1">IF(AUTOEVENTO="Manual",ROUND(SUMPRODUCT((CÁLCULO!$M$15:$M$231=EVENTOS!$C40)*(OFFSET(CÁLCULO!$AA$15:$AA$231,0,K$13))),2),0)</f>
        <v>0</v>
      </c>
      <c r="L40" s="621" cm="1">
        <f t="array" aca="1" ref="L40" ca="1">IF(AUTOEVENTO="Manual",ROUND(SUMPRODUCT((CÁLCULO!$M$15:$M$231=EVENTOS!$C40)*(OFFSET(CÁLCULO!$AA$15:$AA$231,0,L$13))),2),0)</f>
        <v>0</v>
      </c>
      <c r="M40" s="621" cm="1">
        <f t="array" aca="1" ref="M40" ca="1">IF(AUTOEVENTO="Manual",ROUND(SUMPRODUCT((CÁLCULO!$M$15:$M$231=EVENTOS!$C40)*(OFFSET(CÁLCULO!$AA$15:$AA$231,0,M$13))),2),0)</f>
        <v>0</v>
      </c>
      <c r="N40" s="621" cm="1">
        <f t="array" aca="1" ref="N40" ca="1">IF(AUTOEVENTO="Manual",ROUND(SUMPRODUCT((CÁLCULO!$M$15:$M$231=EVENTOS!$C40)*(OFFSET(CÁLCULO!$AA$15:$AA$231,0,N$13))),2),0)</f>
        <v>0</v>
      </c>
      <c r="O40" s="621" cm="1">
        <f t="array" aca="1" ref="O40" ca="1">IF(AUTOEVENTO="Manual",ROUND(SUMPRODUCT((CÁLCULO!$M$15:$M$231=EVENTOS!$C40)*(OFFSET(CÁLCULO!$AA$15:$AA$231,0,O$13))),2),0)</f>
        <v>0</v>
      </c>
      <c r="P40" s="621" cm="1">
        <f t="array" aca="1" ref="P40" ca="1">IF(AUTOEVENTO="Manual",ROUND(SUMPRODUCT((CÁLCULO!$M$15:$M$231=EVENTOS!$C40)*(OFFSET(CÁLCULO!$AA$15:$AA$231,0,P$13))),2),0)</f>
        <v>0</v>
      </c>
      <c r="Q40" s="621" cm="1">
        <f t="array" aca="1" ref="Q40" ca="1">IF(AUTOEVENTO="Manual",ROUND(SUMPRODUCT((CÁLCULO!$M$15:$M$231=EVENTOS!$C40)*(OFFSET(CÁLCULO!$AA$15:$AA$231,0,Q$13))),2),0)</f>
        <v>0</v>
      </c>
      <c r="R40" s="621" cm="1">
        <f t="array" aca="1" ref="R40" ca="1">IF(AUTOEVENTO="Manual",ROUND(SUMPRODUCT((CÁLCULO!$M$15:$M$231=EVENTOS!$C40)*(OFFSET(CÁLCULO!$AA$15:$AA$231,0,R$13))),2),0)</f>
        <v>0</v>
      </c>
      <c r="S40" s="621" cm="1">
        <f t="array" aca="1" ref="S40" ca="1">IF(AUTOEVENTO="Manual",ROUND(SUMPRODUCT((CÁLCULO!$M$15:$M$231=EVENTOS!$C40)*(OFFSET(CÁLCULO!$AA$15:$AA$231,0,S$13))),2),0)</f>
        <v>0</v>
      </c>
      <c r="T40" s="621" cm="1">
        <f t="array" aca="1" ref="T40" ca="1">IF(AUTOEVENTO="Manual",ROUND(SUMPRODUCT((CÁLCULO!$M$15:$M$231=EVENTOS!$C40)*(OFFSET(CÁLCULO!$AA$15:$AA$231,0,T$13))),2),0)</f>
        <v>0</v>
      </c>
      <c r="U40" s="621" cm="1">
        <f t="array" aca="1" ref="U40" ca="1">IF(AUTOEVENTO="Manual",ROUND(SUMPRODUCT((CÁLCULO!$M$15:$M$231=EVENTOS!$C40)*(OFFSET(CÁLCULO!$AA$15:$AA$231,0,U$13))),2),0)</f>
        <v>0</v>
      </c>
      <c r="V40" s="621" cm="1">
        <f t="array" aca="1" ref="V40" ca="1">IF(AUTOEVENTO="Manual",ROUND(SUMPRODUCT((CÁLCULO!$M$15:$M$231=EVENTOS!$C40)*(OFFSET(CÁLCULO!$AA$15:$AA$231,0,V$13))),2),0)</f>
        <v>0</v>
      </c>
      <c r="W40" s="621" cm="1">
        <f t="array" aca="1" ref="W40" ca="1">IF(AUTOEVENTO="Manual",ROUND(SUMPRODUCT((CÁLCULO!$M$15:$M$231=EVENTOS!$C40)*(OFFSET(CÁLCULO!$AA$15:$AA$231,0,W$13))),2),0)</f>
        <v>0</v>
      </c>
      <c r="X40" s="621" cm="1">
        <f t="array" aca="1" ref="X40" ca="1">IF(AUTOEVENTO="Manual",ROUND(SUMPRODUCT((CÁLCULO!$M$15:$M$231=EVENTOS!$C40)*(OFFSET(CÁLCULO!$AA$15:$AA$231,0,X$13))),2),0)</f>
        <v>0</v>
      </c>
      <c r="Y40" s="621" cm="1">
        <f t="array" aca="1" ref="Y40" ca="1">IF(AUTOEVENTO="Manual",ROUND(SUMPRODUCT((CÁLCULO!$M$15:$M$231=EVENTOS!$C40)*(OFFSET(CÁLCULO!$AA$15:$AA$231,0,Y$13))),2),0)</f>
        <v>0</v>
      </c>
    </row>
    <row r="41" spans="1:25" s="675" customFormat="1" x14ac:dyDescent="0.2">
      <c r="A41" s="507" t="str">
        <f t="shared" si="3"/>
        <v/>
      </c>
      <c r="B41" s="675" t="str">
        <f t="shared" ca="1" si="4"/>
        <v/>
      </c>
      <c r="C41" s="183" t="str" cm="1">
        <f t="array" aca="1" ref="C41" ca="1">IF(OR(ROW(C41)=ROW(EVENTOS.firstrow)+1,AND(OFFSET(C41,-1,0)&lt;&gt;" ",OFFSET(C41,-1,1)&lt;&gt;"")),OFFSET(C41,-1,0)+1," ")</f>
        <v xml:space="preserve"> </v>
      </c>
      <c r="D41" s="497"/>
      <c r="E41" s="621" cm="1">
        <f t="array" aca="1" ref="E41" ca="1">IF(AUTOEVENTO="Manual",ROUND(SUMPRODUCT((CÁLCULO!$M$15:$M$231=EVENTOS!$C41)*(OFFSET(CÁLCULO!$AA$15:$AA$231,0,E$13))),2),0)</f>
        <v>0</v>
      </c>
      <c r="F41" s="184">
        <f ca="1">IF(AUTOEVENTO="Manual",ROUND(SUMPRODUCT((CÁLCULO!$M$15:$M$231=EVENTOS!$C41)*(OFFSET(CÁLCULO!$AA$15,0,1):OFFSET(CÁLCULO!$AL$231,0,-1))),2),0)</f>
        <v>0</v>
      </c>
      <c r="G41" s="622" t="str">
        <f t="shared" ca="1" si="5"/>
        <v/>
      </c>
      <c r="H41" s="621" cm="1">
        <f t="array" aca="1" ref="H41" ca="1">IF(AUTOEVENTO="Manual",ROUND(SUMPRODUCT((CÁLCULO!$M$15:$M$231=EVENTOS!$C41)*(OFFSET(CÁLCULO!$AA$15:$AA$231,0,H$13))),2),0)</f>
        <v>0</v>
      </c>
      <c r="I41" s="621" cm="1">
        <f t="array" aca="1" ref="I41" ca="1">IF(AUTOEVENTO="Manual",ROUND(SUMPRODUCT((CÁLCULO!$M$15:$M$231=EVENTOS!$C41)*(OFFSET(CÁLCULO!$AA$15:$AA$231,0,I$13))),2),0)</f>
        <v>0</v>
      </c>
      <c r="J41" s="621" cm="1">
        <f t="array" aca="1" ref="J41" ca="1">IF(AUTOEVENTO="Manual",ROUND(SUMPRODUCT((CÁLCULO!$M$15:$M$231=EVENTOS!$C41)*(OFFSET(CÁLCULO!$AA$15:$AA$231,0,J$13))),2),0)</f>
        <v>0</v>
      </c>
      <c r="K41" s="621" cm="1">
        <f t="array" aca="1" ref="K41" ca="1">IF(AUTOEVENTO="Manual",ROUND(SUMPRODUCT((CÁLCULO!$M$15:$M$231=EVENTOS!$C41)*(OFFSET(CÁLCULO!$AA$15:$AA$231,0,K$13))),2),0)</f>
        <v>0</v>
      </c>
      <c r="L41" s="621" cm="1">
        <f t="array" aca="1" ref="L41" ca="1">IF(AUTOEVENTO="Manual",ROUND(SUMPRODUCT((CÁLCULO!$M$15:$M$231=EVENTOS!$C41)*(OFFSET(CÁLCULO!$AA$15:$AA$231,0,L$13))),2),0)</f>
        <v>0</v>
      </c>
      <c r="M41" s="621" cm="1">
        <f t="array" aca="1" ref="M41" ca="1">IF(AUTOEVENTO="Manual",ROUND(SUMPRODUCT((CÁLCULO!$M$15:$M$231=EVENTOS!$C41)*(OFFSET(CÁLCULO!$AA$15:$AA$231,0,M$13))),2),0)</f>
        <v>0</v>
      </c>
      <c r="N41" s="621" cm="1">
        <f t="array" aca="1" ref="N41" ca="1">IF(AUTOEVENTO="Manual",ROUND(SUMPRODUCT((CÁLCULO!$M$15:$M$231=EVENTOS!$C41)*(OFFSET(CÁLCULO!$AA$15:$AA$231,0,N$13))),2),0)</f>
        <v>0</v>
      </c>
      <c r="O41" s="621" cm="1">
        <f t="array" aca="1" ref="O41" ca="1">IF(AUTOEVENTO="Manual",ROUND(SUMPRODUCT((CÁLCULO!$M$15:$M$231=EVENTOS!$C41)*(OFFSET(CÁLCULO!$AA$15:$AA$231,0,O$13))),2),0)</f>
        <v>0</v>
      </c>
      <c r="P41" s="621" cm="1">
        <f t="array" aca="1" ref="P41" ca="1">IF(AUTOEVENTO="Manual",ROUND(SUMPRODUCT((CÁLCULO!$M$15:$M$231=EVENTOS!$C41)*(OFFSET(CÁLCULO!$AA$15:$AA$231,0,P$13))),2),0)</f>
        <v>0</v>
      </c>
      <c r="Q41" s="621" cm="1">
        <f t="array" aca="1" ref="Q41" ca="1">IF(AUTOEVENTO="Manual",ROUND(SUMPRODUCT((CÁLCULO!$M$15:$M$231=EVENTOS!$C41)*(OFFSET(CÁLCULO!$AA$15:$AA$231,0,Q$13))),2),0)</f>
        <v>0</v>
      </c>
      <c r="R41" s="621" cm="1">
        <f t="array" aca="1" ref="R41" ca="1">IF(AUTOEVENTO="Manual",ROUND(SUMPRODUCT((CÁLCULO!$M$15:$M$231=EVENTOS!$C41)*(OFFSET(CÁLCULO!$AA$15:$AA$231,0,R$13))),2),0)</f>
        <v>0</v>
      </c>
      <c r="S41" s="621" cm="1">
        <f t="array" aca="1" ref="S41" ca="1">IF(AUTOEVENTO="Manual",ROUND(SUMPRODUCT((CÁLCULO!$M$15:$M$231=EVENTOS!$C41)*(OFFSET(CÁLCULO!$AA$15:$AA$231,0,S$13))),2),0)</f>
        <v>0</v>
      </c>
      <c r="T41" s="621" cm="1">
        <f t="array" aca="1" ref="T41" ca="1">IF(AUTOEVENTO="Manual",ROUND(SUMPRODUCT((CÁLCULO!$M$15:$M$231=EVENTOS!$C41)*(OFFSET(CÁLCULO!$AA$15:$AA$231,0,T$13))),2),0)</f>
        <v>0</v>
      </c>
      <c r="U41" s="621" cm="1">
        <f t="array" aca="1" ref="U41" ca="1">IF(AUTOEVENTO="Manual",ROUND(SUMPRODUCT((CÁLCULO!$M$15:$M$231=EVENTOS!$C41)*(OFFSET(CÁLCULO!$AA$15:$AA$231,0,U$13))),2),0)</f>
        <v>0</v>
      </c>
      <c r="V41" s="621" cm="1">
        <f t="array" aca="1" ref="V41" ca="1">IF(AUTOEVENTO="Manual",ROUND(SUMPRODUCT((CÁLCULO!$M$15:$M$231=EVENTOS!$C41)*(OFFSET(CÁLCULO!$AA$15:$AA$231,0,V$13))),2),0)</f>
        <v>0</v>
      </c>
      <c r="W41" s="621" cm="1">
        <f t="array" aca="1" ref="W41" ca="1">IF(AUTOEVENTO="Manual",ROUND(SUMPRODUCT((CÁLCULO!$M$15:$M$231=EVENTOS!$C41)*(OFFSET(CÁLCULO!$AA$15:$AA$231,0,W$13))),2),0)</f>
        <v>0</v>
      </c>
      <c r="X41" s="621" cm="1">
        <f t="array" aca="1" ref="X41" ca="1">IF(AUTOEVENTO="Manual",ROUND(SUMPRODUCT((CÁLCULO!$M$15:$M$231=EVENTOS!$C41)*(OFFSET(CÁLCULO!$AA$15:$AA$231,0,X$13))),2),0)</f>
        <v>0</v>
      </c>
      <c r="Y41" s="621" cm="1">
        <f t="array" aca="1" ref="Y41" ca="1">IF(AUTOEVENTO="Manual",ROUND(SUMPRODUCT((CÁLCULO!$M$15:$M$231=EVENTOS!$C41)*(OFFSET(CÁLCULO!$AA$15:$AA$231,0,Y$13))),2),0)</f>
        <v>0</v>
      </c>
    </row>
    <row r="42" spans="1:25" s="675" customFormat="1" x14ac:dyDescent="0.2">
      <c r="A42" s="507" t="str">
        <f t="shared" si="3"/>
        <v/>
      </c>
      <c r="B42" s="675" t="str">
        <f t="shared" ca="1" si="4"/>
        <v/>
      </c>
      <c r="C42" s="183" t="str" cm="1">
        <f t="array" aca="1" ref="C42" ca="1">IF(OR(ROW(C42)=ROW(EVENTOS.firstrow)+1,AND(OFFSET(C42,-1,0)&lt;&gt;" ",OFFSET(C42,-1,1)&lt;&gt;"")),OFFSET(C42,-1,0)+1," ")</f>
        <v xml:space="preserve"> </v>
      </c>
      <c r="D42" s="497"/>
      <c r="E42" s="621" cm="1">
        <f t="array" aca="1" ref="E42" ca="1">IF(AUTOEVENTO="Manual",ROUND(SUMPRODUCT((CÁLCULO!$M$15:$M$231=EVENTOS!$C42)*(OFFSET(CÁLCULO!$AA$15:$AA$231,0,E$13))),2),0)</f>
        <v>0</v>
      </c>
      <c r="F42" s="184">
        <f ca="1">IF(AUTOEVENTO="Manual",ROUND(SUMPRODUCT((CÁLCULO!$M$15:$M$231=EVENTOS!$C42)*(OFFSET(CÁLCULO!$AA$15,0,1):OFFSET(CÁLCULO!$AL$231,0,-1))),2),0)</f>
        <v>0</v>
      </c>
      <c r="G42" s="622" t="str">
        <f t="shared" ca="1" si="5"/>
        <v/>
      </c>
      <c r="H42" s="621" cm="1">
        <f t="array" aca="1" ref="H42" ca="1">IF(AUTOEVENTO="Manual",ROUND(SUMPRODUCT((CÁLCULO!$M$15:$M$231=EVENTOS!$C42)*(OFFSET(CÁLCULO!$AA$15:$AA$231,0,H$13))),2),0)</f>
        <v>0</v>
      </c>
      <c r="I42" s="621" cm="1">
        <f t="array" aca="1" ref="I42" ca="1">IF(AUTOEVENTO="Manual",ROUND(SUMPRODUCT((CÁLCULO!$M$15:$M$231=EVENTOS!$C42)*(OFFSET(CÁLCULO!$AA$15:$AA$231,0,I$13))),2),0)</f>
        <v>0</v>
      </c>
      <c r="J42" s="621" cm="1">
        <f t="array" aca="1" ref="J42" ca="1">IF(AUTOEVENTO="Manual",ROUND(SUMPRODUCT((CÁLCULO!$M$15:$M$231=EVENTOS!$C42)*(OFFSET(CÁLCULO!$AA$15:$AA$231,0,J$13))),2),0)</f>
        <v>0</v>
      </c>
      <c r="K42" s="621" cm="1">
        <f t="array" aca="1" ref="K42" ca="1">IF(AUTOEVENTO="Manual",ROUND(SUMPRODUCT((CÁLCULO!$M$15:$M$231=EVENTOS!$C42)*(OFFSET(CÁLCULO!$AA$15:$AA$231,0,K$13))),2),0)</f>
        <v>0</v>
      </c>
      <c r="L42" s="621" cm="1">
        <f t="array" aca="1" ref="L42" ca="1">IF(AUTOEVENTO="Manual",ROUND(SUMPRODUCT((CÁLCULO!$M$15:$M$231=EVENTOS!$C42)*(OFFSET(CÁLCULO!$AA$15:$AA$231,0,L$13))),2),0)</f>
        <v>0</v>
      </c>
      <c r="M42" s="621" cm="1">
        <f t="array" aca="1" ref="M42" ca="1">IF(AUTOEVENTO="Manual",ROUND(SUMPRODUCT((CÁLCULO!$M$15:$M$231=EVENTOS!$C42)*(OFFSET(CÁLCULO!$AA$15:$AA$231,0,M$13))),2),0)</f>
        <v>0</v>
      </c>
      <c r="N42" s="621" cm="1">
        <f t="array" aca="1" ref="N42" ca="1">IF(AUTOEVENTO="Manual",ROUND(SUMPRODUCT((CÁLCULO!$M$15:$M$231=EVENTOS!$C42)*(OFFSET(CÁLCULO!$AA$15:$AA$231,0,N$13))),2),0)</f>
        <v>0</v>
      </c>
      <c r="O42" s="621" cm="1">
        <f t="array" aca="1" ref="O42" ca="1">IF(AUTOEVENTO="Manual",ROUND(SUMPRODUCT((CÁLCULO!$M$15:$M$231=EVENTOS!$C42)*(OFFSET(CÁLCULO!$AA$15:$AA$231,0,O$13))),2),0)</f>
        <v>0</v>
      </c>
      <c r="P42" s="621" cm="1">
        <f t="array" aca="1" ref="P42" ca="1">IF(AUTOEVENTO="Manual",ROUND(SUMPRODUCT((CÁLCULO!$M$15:$M$231=EVENTOS!$C42)*(OFFSET(CÁLCULO!$AA$15:$AA$231,0,P$13))),2),0)</f>
        <v>0</v>
      </c>
      <c r="Q42" s="621" cm="1">
        <f t="array" aca="1" ref="Q42" ca="1">IF(AUTOEVENTO="Manual",ROUND(SUMPRODUCT((CÁLCULO!$M$15:$M$231=EVENTOS!$C42)*(OFFSET(CÁLCULO!$AA$15:$AA$231,0,Q$13))),2),0)</f>
        <v>0</v>
      </c>
      <c r="R42" s="621" cm="1">
        <f t="array" aca="1" ref="R42" ca="1">IF(AUTOEVENTO="Manual",ROUND(SUMPRODUCT((CÁLCULO!$M$15:$M$231=EVENTOS!$C42)*(OFFSET(CÁLCULO!$AA$15:$AA$231,0,R$13))),2),0)</f>
        <v>0</v>
      </c>
      <c r="S42" s="621" cm="1">
        <f t="array" aca="1" ref="S42" ca="1">IF(AUTOEVENTO="Manual",ROUND(SUMPRODUCT((CÁLCULO!$M$15:$M$231=EVENTOS!$C42)*(OFFSET(CÁLCULO!$AA$15:$AA$231,0,S$13))),2),0)</f>
        <v>0</v>
      </c>
      <c r="T42" s="621" cm="1">
        <f t="array" aca="1" ref="T42" ca="1">IF(AUTOEVENTO="Manual",ROUND(SUMPRODUCT((CÁLCULO!$M$15:$M$231=EVENTOS!$C42)*(OFFSET(CÁLCULO!$AA$15:$AA$231,0,T$13))),2),0)</f>
        <v>0</v>
      </c>
      <c r="U42" s="621" cm="1">
        <f t="array" aca="1" ref="U42" ca="1">IF(AUTOEVENTO="Manual",ROUND(SUMPRODUCT((CÁLCULO!$M$15:$M$231=EVENTOS!$C42)*(OFFSET(CÁLCULO!$AA$15:$AA$231,0,U$13))),2),0)</f>
        <v>0</v>
      </c>
      <c r="V42" s="621" cm="1">
        <f t="array" aca="1" ref="V42" ca="1">IF(AUTOEVENTO="Manual",ROUND(SUMPRODUCT((CÁLCULO!$M$15:$M$231=EVENTOS!$C42)*(OFFSET(CÁLCULO!$AA$15:$AA$231,0,V$13))),2),0)</f>
        <v>0</v>
      </c>
      <c r="W42" s="621" cm="1">
        <f t="array" aca="1" ref="W42" ca="1">IF(AUTOEVENTO="Manual",ROUND(SUMPRODUCT((CÁLCULO!$M$15:$M$231=EVENTOS!$C42)*(OFFSET(CÁLCULO!$AA$15:$AA$231,0,W$13))),2),0)</f>
        <v>0</v>
      </c>
      <c r="X42" s="621" cm="1">
        <f t="array" aca="1" ref="X42" ca="1">IF(AUTOEVENTO="Manual",ROUND(SUMPRODUCT((CÁLCULO!$M$15:$M$231=EVENTOS!$C42)*(OFFSET(CÁLCULO!$AA$15:$AA$231,0,X$13))),2),0)</f>
        <v>0</v>
      </c>
      <c r="Y42" s="621" cm="1">
        <f t="array" aca="1" ref="Y42" ca="1">IF(AUTOEVENTO="Manual",ROUND(SUMPRODUCT((CÁLCULO!$M$15:$M$231=EVENTOS!$C42)*(OFFSET(CÁLCULO!$AA$15:$AA$231,0,Y$13))),2),0)</f>
        <v>0</v>
      </c>
    </row>
    <row r="43" spans="1:25" s="675" customFormat="1" x14ac:dyDescent="0.2">
      <c r="A43" s="507" t="str">
        <f t="shared" si="3"/>
        <v/>
      </c>
      <c r="B43" s="675" t="str">
        <f t="shared" ca="1" si="4"/>
        <v/>
      </c>
      <c r="C43" s="183" t="str" cm="1">
        <f t="array" aca="1" ref="C43" ca="1">IF(OR(ROW(C43)=ROW(EVENTOS.firstrow)+1,AND(OFFSET(C43,-1,0)&lt;&gt;" ",OFFSET(C43,-1,1)&lt;&gt;"")),OFFSET(C43,-1,0)+1," ")</f>
        <v xml:space="preserve"> </v>
      </c>
      <c r="D43" s="497"/>
      <c r="E43" s="621" cm="1">
        <f t="array" aca="1" ref="E43" ca="1">IF(AUTOEVENTO="Manual",ROUND(SUMPRODUCT((CÁLCULO!$M$15:$M$231=EVENTOS!$C43)*(OFFSET(CÁLCULO!$AA$15:$AA$231,0,E$13))),2),0)</f>
        <v>0</v>
      </c>
      <c r="F43" s="184">
        <f ca="1">IF(AUTOEVENTO="Manual",ROUND(SUMPRODUCT((CÁLCULO!$M$15:$M$231=EVENTOS!$C43)*(OFFSET(CÁLCULO!$AA$15,0,1):OFFSET(CÁLCULO!$AL$231,0,-1))),2),0)</f>
        <v>0</v>
      </c>
      <c r="G43" s="622" t="str">
        <f t="shared" ca="1" si="5"/>
        <v/>
      </c>
      <c r="H43" s="621" cm="1">
        <f t="array" aca="1" ref="H43" ca="1">IF(AUTOEVENTO="Manual",ROUND(SUMPRODUCT((CÁLCULO!$M$15:$M$231=EVENTOS!$C43)*(OFFSET(CÁLCULO!$AA$15:$AA$231,0,H$13))),2),0)</f>
        <v>0</v>
      </c>
      <c r="I43" s="621" cm="1">
        <f t="array" aca="1" ref="I43" ca="1">IF(AUTOEVENTO="Manual",ROUND(SUMPRODUCT((CÁLCULO!$M$15:$M$231=EVENTOS!$C43)*(OFFSET(CÁLCULO!$AA$15:$AA$231,0,I$13))),2),0)</f>
        <v>0</v>
      </c>
      <c r="J43" s="621" cm="1">
        <f t="array" aca="1" ref="J43" ca="1">IF(AUTOEVENTO="Manual",ROUND(SUMPRODUCT((CÁLCULO!$M$15:$M$231=EVENTOS!$C43)*(OFFSET(CÁLCULO!$AA$15:$AA$231,0,J$13))),2),0)</f>
        <v>0</v>
      </c>
      <c r="K43" s="621" cm="1">
        <f t="array" aca="1" ref="K43" ca="1">IF(AUTOEVENTO="Manual",ROUND(SUMPRODUCT((CÁLCULO!$M$15:$M$231=EVENTOS!$C43)*(OFFSET(CÁLCULO!$AA$15:$AA$231,0,K$13))),2),0)</f>
        <v>0</v>
      </c>
      <c r="L43" s="621" cm="1">
        <f t="array" aca="1" ref="L43" ca="1">IF(AUTOEVENTO="Manual",ROUND(SUMPRODUCT((CÁLCULO!$M$15:$M$231=EVENTOS!$C43)*(OFFSET(CÁLCULO!$AA$15:$AA$231,0,L$13))),2),0)</f>
        <v>0</v>
      </c>
      <c r="M43" s="621" cm="1">
        <f t="array" aca="1" ref="M43" ca="1">IF(AUTOEVENTO="Manual",ROUND(SUMPRODUCT((CÁLCULO!$M$15:$M$231=EVENTOS!$C43)*(OFFSET(CÁLCULO!$AA$15:$AA$231,0,M$13))),2),0)</f>
        <v>0</v>
      </c>
      <c r="N43" s="621" cm="1">
        <f t="array" aca="1" ref="N43" ca="1">IF(AUTOEVENTO="Manual",ROUND(SUMPRODUCT((CÁLCULO!$M$15:$M$231=EVENTOS!$C43)*(OFFSET(CÁLCULO!$AA$15:$AA$231,0,N$13))),2),0)</f>
        <v>0</v>
      </c>
      <c r="O43" s="621" cm="1">
        <f t="array" aca="1" ref="O43" ca="1">IF(AUTOEVENTO="Manual",ROUND(SUMPRODUCT((CÁLCULO!$M$15:$M$231=EVENTOS!$C43)*(OFFSET(CÁLCULO!$AA$15:$AA$231,0,O$13))),2),0)</f>
        <v>0</v>
      </c>
      <c r="P43" s="621" cm="1">
        <f t="array" aca="1" ref="P43" ca="1">IF(AUTOEVENTO="Manual",ROUND(SUMPRODUCT((CÁLCULO!$M$15:$M$231=EVENTOS!$C43)*(OFFSET(CÁLCULO!$AA$15:$AA$231,0,P$13))),2),0)</f>
        <v>0</v>
      </c>
      <c r="Q43" s="621" cm="1">
        <f t="array" aca="1" ref="Q43" ca="1">IF(AUTOEVENTO="Manual",ROUND(SUMPRODUCT((CÁLCULO!$M$15:$M$231=EVENTOS!$C43)*(OFFSET(CÁLCULO!$AA$15:$AA$231,0,Q$13))),2),0)</f>
        <v>0</v>
      </c>
      <c r="R43" s="621" cm="1">
        <f t="array" aca="1" ref="R43" ca="1">IF(AUTOEVENTO="Manual",ROUND(SUMPRODUCT((CÁLCULO!$M$15:$M$231=EVENTOS!$C43)*(OFFSET(CÁLCULO!$AA$15:$AA$231,0,R$13))),2),0)</f>
        <v>0</v>
      </c>
      <c r="S43" s="621" cm="1">
        <f t="array" aca="1" ref="S43" ca="1">IF(AUTOEVENTO="Manual",ROUND(SUMPRODUCT((CÁLCULO!$M$15:$M$231=EVENTOS!$C43)*(OFFSET(CÁLCULO!$AA$15:$AA$231,0,S$13))),2),0)</f>
        <v>0</v>
      </c>
      <c r="T43" s="621" cm="1">
        <f t="array" aca="1" ref="T43" ca="1">IF(AUTOEVENTO="Manual",ROUND(SUMPRODUCT((CÁLCULO!$M$15:$M$231=EVENTOS!$C43)*(OFFSET(CÁLCULO!$AA$15:$AA$231,0,T$13))),2),0)</f>
        <v>0</v>
      </c>
      <c r="U43" s="621" cm="1">
        <f t="array" aca="1" ref="U43" ca="1">IF(AUTOEVENTO="Manual",ROUND(SUMPRODUCT((CÁLCULO!$M$15:$M$231=EVENTOS!$C43)*(OFFSET(CÁLCULO!$AA$15:$AA$231,0,U$13))),2),0)</f>
        <v>0</v>
      </c>
      <c r="V43" s="621" cm="1">
        <f t="array" aca="1" ref="V43" ca="1">IF(AUTOEVENTO="Manual",ROUND(SUMPRODUCT((CÁLCULO!$M$15:$M$231=EVENTOS!$C43)*(OFFSET(CÁLCULO!$AA$15:$AA$231,0,V$13))),2),0)</f>
        <v>0</v>
      </c>
      <c r="W43" s="621" cm="1">
        <f t="array" aca="1" ref="W43" ca="1">IF(AUTOEVENTO="Manual",ROUND(SUMPRODUCT((CÁLCULO!$M$15:$M$231=EVENTOS!$C43)*(OFFSET(CÁLCULO!$AA$15:$AA$231,0,W$13))),2),0)</f>
        <v>0</v>
      </c>
      <c r="X43" s="621" cm="1">
        <f t="array" aca="1" ref="X43" ca="1">IF(AUTOEVENTO="Manual",ROUND(SUMPRODUCT((CÁLCULO!$M$15:$M$231=EVENTOS!$C43)*(OFFSET(CÁLCULO!$AA$15:$AA$231,0,X$13))),2),0)</f>
        <v>0</v>
      </c>
      <c r="Y43" s="621" cm="1">
        <f t="array" aca="1" ref="Y43" ca="1">IF(AUTOEVENTO="Manual",ROUND(SUMPRODUCT((CÁLCULO!$M$15:$M$231=EVENTOS!$C43)*(OFFSET(CÁLCULO!$AA$15:$AA$231,0,Y$13))),2),0)</f>
        <v>0</v>
      </c>
    </row>
    <row r="44" spans="1:25" s="675" customFormat="1" x14ac:dyDescent="0.2">
      <c r="A44" s="507" t="str">
        <f t="shared" si="3"/>
        <v/>
      </c>
      <c r="B44" s="675" t="str">
        <f t="shared" ca="1" si="4"/>
        <v/>
      </c>
      <c r="C44" s="183" t="str" cm="1">
        <f t="array" aca="1" ref="C44" ca="1">IF(OR(ROW(C44)=ROW(EVENTOS.firstrow)+1,AND(OFFSET(C44,-1,0)&lt;&gt;" ",OFFSET(C44,-1,1)&lt;&gt;"")),OFFSET(C44,-1,0)+1," ")</f>
        <v xml:space="preserve"> </v>
      </c>
      <c r="D44" s="497"/>
      <c r="E44" s="621" cm="1">
        <f t="array" aca="1" ref="E44" ca="1">IF(AUTOEVENTO="Manual",ROUND(SUMPRODUCT((CÁLCULO!$M$15:$M$231=EVENTOS!$C44)*(OFFSET(CÁLCULO!$AA$15:$AA$231,0,E$13))),2),0)</f>
        <v>0</v>
      </c>
      <c r="F44" s="184">
        <f ca="1">IF(AUTOEVENTO="Manual",ROUND(SUMPRODUCT((CÁLCULO!$M$15:$M$231=EVENTOS!$C44)*(OFFSET(CÁLCULO!$AA$15,0,1):OFFSET(CÁLCULO!$AL$231,0,-1))),2),0)</f>
        <v>0</v>
      </c>
      <c r="G44" s="622" t="str">
        <f t="shared" ca="1" si="5"/>
        <v/>
      </c>
      <c r="H44" s="621" cm="1">
        <f t="array" aca="1" ref="H44" ca="1">IF(AUTOEVENTO="Manual",ROUND(SUMPRODUCT((CÁLCULO!$M$15:$M$231=EVENTOS!$C44)*(OFFSET(CÁLCULO!$AA$15:$AA$231,0,H$13))),2),0)</f>
        <v>0</v>
      </c>
      <c r="I44" s="621" cm="1">
        <f t="array" aca="1" ref="I44" ca="1">IF(AUTOEVENTO="Manual",ROUND(SUMPRODUCT((CÁLCULO!$M$15:$M$231=EVENTOS!$C44)*(OFFSET(CÁLCULO!$AA$15:$AA$231,0,I$13))),2),0)</f>
        <v>0</v>
      </c>
      <c r="J44" s="621" cm="1">
        <f t="array" aca="1" ref="J44" ca="1">IF(AUTOEVENTO="Manual",ROUND(SUMPRODUCT((CÁLCULO!$M$15:$M$231=EVENTOS!$C44)*(OFFSET(CÁLCULO!$AA$15:$AA$231,0,J$13))),2),0)</f>
        <v>0</v>
      </c>
      <c r="K44" s="621" cm="1">
        <f t="array" aca="1" ref="K44" ca="1">IF(AUTOEVENTO="Manual",ROUND(SUMPRODUCT((CÁLCULO!$M$15:$M$231=EVENTOS!$C44)*(OFFSET(CÁLCULO!$AA$15:$AA$231,0,K$13))),2),0)</f>
        <v>0</v>
      </c>
      <c r="L44" s="621" cm="1">
        <f t="array" aca="1" ref="L44" ca="1">IF(AUTOEVENTO="Manual",ROUND(SUMPRODUCT((CÁLCULO!$M$15:$M$231=EVENTOS!$C44)*(OFFSET(CÁLCULO!$AA$15:$AA$231,0,L$13))),2),0)</f>
        <v>0</v>
      </c>
      <c r="M44" s="621" cm="1">
        <f t="array" aca="1" ref="M44" ca="1">IF(AUTOEVENTO="Manual",ROUND(SUMPRODUCT((CÁLCULO!$M$15:$M$231=EVENTOS!$C44)*(OFFSET(CÁLCULO!$AA$15:$AA$231,0,M$13))),2),0)</f>
        <v>0</v>
      </c>
      <c r="N44" s="621" cm="1">
        <f t="array" aca="1" ref="N44" ca="1">IF(AUTOEVENTO="Manual",ROUND(SUMPRODUCT((CÁLCULO!$M$15:$M$231=EVENTOS!$C44)*(OFFSET(CÁLCULO!$AA$15:$AA$231,0,N$13))),2),0)</f>
        <v>0</v>
      </c>
      <c r="O44" s="621" cm="1">
        <f t="array" aca="1" ref="O44" ca="1">IF(AUTOEVENTO="Manual",ROUND(SUMPRODUCT((CÁLCULO!$M$15:$M$231=EVENTOS!$C44)*(OFFSET(CÁLCULO!$AA$15:$AA$231,0,O$13))),2),0)</f>
        <v>0</v>
      </c>
      <c r="P44" s="621" cm="1">
        <f t="array" aca="1" ref="P44" ca="1">IF(AUTOEVENTO="Manual",ROUND(SUMPRODUCT((CÁLCULO!$M$15:$M$231=EVENTOS!$C44)*(OFFSET(CÁLCULO!$AA$15:$AA$231,0,P$13))),2),0)</f>
        <v>0</v>
      </c>
      <c r="Q44" s="621" cm="1">
        <f t="array" aca="1" ref="Q44" ca="1">IF(AUTOEVENTO="Manual",ROUND(SUMPRODUCT((CÁLCULO!$M$15:$M$231=EVENTOS!$C44)*(OFFSET(CÁLCULO!$AA$15:$AA$231,0,Q$13))),2),0)</f>
        <v>0</v>
      </c>
      <c r="R44" s="621" cm="1">
        <f t="array" aca="1" ref="R44" ca="1">IF(AUTOEVENTO="Manual",ROUND(SUMPRODUCT((CÁLCULO!$M$15:$M$231=EVENTOS!$C44)*(OFFSET(CÁLCULO!$AA$15:$AA$231,0,R$13))),2),0)</f>
        <v>0</v>
      </c>
      <c r="S44" s="621" cm="1">
        <f t="array" aca="1" ref="S44" ca="1">IF(AUTOEVENTO="Manual",ROUND(SUMPRODUCT((CÁLCULO!$M$15:$M$231=EVENTOS!$C44)*(OFFSET(CÁLCULO!$AA$15:$AA$231,0,S$13))),2),0)</f>
        <v>0</v>
      </c>
      <c r="T44" s="621" cm="1">
        <f t="array" aca="1" ref="T44" ca="1">IF(AUTOEVENTO="Manual",ROUND(SUMPRODUCT((CÁLCULO!$M$15:$M$231=EVENTOS!$C44)*(OFFSET(CÁLCULO!$AA$15:$AA$231,0,T$13))),2),0)</f>
        <v>0</v>
      </c>
      <c r="U44" s="621" cm="1">
        <f t="array" aca="1" ref="U44" ca="1">IF(AUTOEVENTO="Manual",ROUND(SUMPRODUCT((CÁLCULO!$M$15:$M$231=EVENTOS!$C44)*(OFFSET(CÁLCULO!$AA$15:$AA$231,0,U$13))),2),0)</f>
        <v>0</v>
      </c>
      <c r="V44" s="621" cm="1">
        <f t="array" aca="1" ref="V44" ca="1">IF(AUTOEVENTO="Manual",ROUND(SUMPRODUCT((CÁLCULO!$M$15:$M$231=EVENTOS!$C44)*(OFFSET(CÁLCULO!$AA$15:$AA$231,0,V$13))),2),0)</f>
        <v>0</v>
      </c>
      <c r="W44" s="621" cm="1">
        <f t="array" aca="1" ref="W44" ca="1">IF(AUTOEVENTO="Manual",ROUND(SUMPRODUCT((CÁLCULO!$M$15:$M$231=EVENTOS!$C44)*(OFFSET(CÁLCULO!$AA$15:$AA$231,0,W$13))),2),0)</f>
        <v>0</v>
      </c>
      <c r="X44" s="621" cm="1">
        <f t="array" aca="1" ref="X44" ca="1">IF(AUTOEVENTO="Manual",ROUND(SUMPRODUCT((CÁLCULO!$M$15:$M$231=EVENTOS!$C44)*(OFFSET(CÁLCULO!$AA$15:$AA$231,0,X$13))),2),0)</f>
        <v>0</v>
      </c>
      <c r="Y44" s="621" cm="1">
        <f t="array" aca="1" ref="Y44" ca="1">IF(AUTOEVENTO="Manual",ROUND(SUMPRODUCT((CÁLCULO!$M$15:$M$231=EVENTOS!$C44)*(OFFSET(CÁLCULO!$AA$15:$AA$231,0,Y$13))),2),0)</f>
        <v>0</v>
      </c>
    </row>
    <row r="45" spans="1:25" s="675" customFormat="1" x14ac:dyDescent="0.2">
      <c r="A45" s="507" t="str">
        <f t="shared" si="3"/>
        <v/>
      </c>
      <c r="B45" s="675" t="str">
        <f t="shared" ca="1" si="4"/>
        <v/>
      </c>
      <c r="C45" s="183" t="str" cm="1">
        <f t="array" aca="1" ref="C45" ca="1">IF(OR(ROW(C45)=ROW(EVENTOS.firstrow)+1,AND(OFFSET(C45,-1,0)&lt;&gt;" ",OFFSET(C45,-1,1)&lt;&gt;"")),OFFSET(C45,-1,0)+1," ")</f>
        <v xml:space="preserve"> </v>
      </c>
      <c r="D45" s="497"/>
      <c r="E45" s="621" cm="1">
        <f t="array" aca="1" ref="E45" ca="1">IF(AUTOEVENTO="Manual",ROUND(SUMPRODUCT((CÁLCULO!$M$15:$M$231=EVENTOS!$C45)*(OFFSET(CÁLCULO!$AA$15:$AA$231,0,E$13))),2),0)</f>
        <v>0</v>
      </c>
      <c r="F45" s="184">
        <f ca="1">IF(AUTOEVENTO="Manual",ROUND(SUMPRODUCT((CÁLCULO!$M$15:$M$231=EVENTOS!$C45)*(OFFSET(CÁLCULO!$AA$15,0,1):OFFSET(CÁLCULO!$AL$231,0,-1))),2),0)</f>
        <v>0</v>
      </c>
      <c r="G45" s="622" t="str">
        <f t="shared" ca="1" si="5"/>
        <v/>
      </c>
      <c r="H45" s="621" cm="1">
        <f t="array" aca="1" ref="H45" ca="1">IF(AUTOEVENTO="Manual",ROUND(SUMPRODUCT((CÁLCULO!$M$15:$M$231=EVENTOS!$C45)*(OFFSET(CÁLCULO!$AA$15:$AA$231,0,H$13))),2),0)</f>
        <v>0</v>
      </c>
      <c r="I45" s="621" cm="1">
        <f t="array" aca="1" ref="I45" ca="1">IF(AUTOEVENTO="Manual",ROUND(SUMPRODUCT((CÁLCULO!$M$15:$M$231=EVENTOS!$C45)*(OFFSET(CÁLCULO!$AA$15:$AA$231,0,I$13))),2),0)</f>
        <v>0</v>
      </c>
      <c r="J45" s="621" cm="1">
        <f t="array" aca="1" ref="J45" ca="1">IF(AUTOEVENTO="Manual",ROUND(SUMPRODUCT((CÁLCULO!$M$15:$M$231=EVENTOS!$C45)*(OFFSET(CÁLCULO!$AA$15:$AA$231,0,J$13))),2),0)</f>
        <v>0</v>
      </c>
      <c r="K45" s="621" cm="1">
        <f t="array" aca="1" ref="K45" ca="1">IF(AUTOEVENTO="Manual",ROUND(SUMPRODUCT((CÁLCULO!$M$15:$M$231=EVENTOS!$C45)*(OFFSET(CÁLCULO!$AA$15:$AA$231,0,K$13))),2),0)</f>
        <v>0</v>
      </c>
      <c r="L45" s="621" cm="1">
        <f t="array" aca="1" ref="L45" ca="1">IF(AUTOEVENTO="Manual",ROUND(SUMPRODUCT((CÁLCULO!$M$15:$M$231=EVENTOS!$C45)*(OFFSET(CÁLCULO!$AA$15:$AA$231,0,L$13))),2),0)</f>
        <v>0</v>
      </c>
      <c r="M45" s="621" cm="1">
        <f t="array" aca="1" ref="M45" ca="1">IF(AUTOEVENTO="Manual",ROUND(SUMPRODUCT((CÁLCULO!$M$15:$M$231=EVENTOS!$C45)*(OFFSET(CÁLCULO!$AA$15:$AA$231,0,M$13))),2),0)</f>
        <v>0</v>
      </c>
      <c r="N45" s="621" cm="1">
        <f t="array" aca="1" ref="N45" ca="1">IF(AUTOEVENTO="Manual",ROUND(SUMPRODUCT((CÁLCULO!$M$15:$M$231=EVENTOS!$C45)*(OFFSET(CÁLCULO!$AA$15:$AA$231,0,N$13))),2),0)</f>
        <v>0</v>
      </c>
      <c r="O45" s="621" cm="1">
        <f t="array" aca="1" ref="O45" ca="1">IF(AUTOEVENTO="Manual",ROUND(SUMPRODUCT((CÁLCULO!$M$15:$M$231=EVENTOS!$C45)*(OFFSET(CÁLCULO!$AA$15:$AA$231,0,O$13))),2),0)</f>
        <v>0</v>
      </c>
      <c r="P45" s="621" cm="1">
        <f t="array" aca="1" ref="P45" ca="1">IF(AUTOEVENTO="Manual",ROUND(SUMPRODUCT((CÁLCULO!$M$15:$M$231=EVENTOS!$C45)*(OFFSET(CÁLCULO!$AA$15:$AA$231,0,P$13))),2),0)</f>
        <v>0</v>
      </c>
      <c r="Q45" s="621" cm="1">
        <f t="array" aca="1" ref="Q45" ca="1">IF(AUTOEVENTO="Manual",ROUND(SUMPRODUCT((CÁLCULO!$M$15:$M$231=EVENTOS!$C45)*(OFFSET(CÁLCULO!$AA$15:$AA$231,0,Q$13))),2),0)</f>
        <v>0</v>
      </c>
      <c r="R45" s="621" cm="1">
        <f t="array" aca="1" ref="R45" ca="1">IF(AUTOEVENTO="Manual",ROUND(SUMPRODUCT((CÁLCULO!$M$15:$M$231=EVENTOS!$C45)*(OFFSET(CÁLCULO!$AA$15:$AA$231,0,R$13))),2),0)</f>
        <v>0</v>
      </c>
      <c r="S45" s="621" cm="1">
        <f t="array" aca="1" ref="S45" ca="1">IF(AUTOEVENTO="Manual",ROUND(SUMPRODUCT((CÁLCULO!$M$15:$M$231=EVENTOS!$C45)*(OFFSET(CÁLCULO!$AA$15:$AA$231,0,S$13))),2),0)</f>
        <v>0</v>
      </c>
      <c r="T45" s="621" cm="1">
        <f t="array" aca="1" ref="T45" ca="1">IF(AUTOEVENTO="Manual",ROUND(SUMPRODUCT((CÁLCULO!$M$15:$M$231=EVENTOS!$C45)*(OFFSET(CÁLCULO!$AA$15:$AA$231,0,T$13))),2),0)</f>
        <v>0</v>
      </c>
      <c r="U45" s="621" cm="1">
        <f t="array" aca="1" ref="U45" ca="1">IF(AUTOEVENTO="Manual",ROUND(SUMPRODUCT((CÁLCULO!$M$15:$M$231=EVENTOS!$C45)*(OFFSET(CÁLCULO!$AA$15:$AA$231,0,U$13))),2),0)</f>
        <v>0</v>
      </c>
      <c r="V45" s="621" cm="1">
        <f t="array" aca="1" ref="V45" ca="1">IF(AUTOEVENTO="Manual",ROUND(SUMPRODUCT((CÁLCULO!$M$15:$M$231=EVENTOS!$C45)*(OFFSET(CÁLCULO!$AA$15:$AA$231,0,V$13))),2),0)</f>
        <v>0</v>
      </c>
      <c r="W45" s="621" cm="1">
        <f t="array" aca="1" ref="W45" ca="1">IF(AUTOEVENTO="Manual",ROUND(SUMPRODUCT((CÁLCULO!$M$15:$M$231=EVENTOS!$C45)*(OFFSET(CÁLCULO!$AA$15:$AA$231,0,W$13))),2),0)</f>
        <v>0</v>
      </c>
      <c r="X45" s="621" cm="1">
        <f t="array" aca="1" ref="X45" ca="1">IF(AUTOEVENTO="Manual",ROUND(SUMPRODUCT((CÁLCULO!$M$15:$M$231=EVENTOS!$C45)*(OFFSET(CÁLCULO!$AA$15:$AA$231,0,X$13))),2),0)</f>
        <v>0</v>
      </c>
      <c r="Y45" s="621" cm="1">
        <f t="array" aca="1" ref="Y45" ca="1">IF(AUTOEVENTO="Manual",ROUND(SUMPRODUCT((CÁLCULO!$M$15:$M$231=EVENTOS!$C45)*(OFFSET(CÁLCULO!$AA$15:$AA$231,0,Y$13))),2),0)</f>
        <v>0</v>
      </c>
    </row>
    <row r="46" spans="1:25" s="675" customFormat="1" x14ac:dyDescent="0.2">
      <c r="A46" s="507" t="str">
        <f t="shared" si="3"/>
        <v/>
      </c>
      <c r="B46" s="675" t="str">
        <f t="shared" ca="1" si="4"/>
        <v/>
      </c>
      <c r="C46" s="183" t="str" cm="1">
        <f t="array" aca="1" ref="C46" ca="1">IF(OR(ROW(C46)=ROW(EVENTOS.firstrow)+1,AND(OFFSET(C46,-1,0)&lt;&gt;" ",OFFSET(C46,-1,1)&lt;&gt;"")),OFFSET(C46,-1,0)+1," ")</f>
        <v xml:space="preserve"> </v>
      </c>
      <c r="D46" s="497"/>
      <c r="E46" s="621" cm="1">
        <f t="array" aca="1" ref="E46" ca="1">IF(AUTOEVENTO="Manual",ROUND(SUMPRODUCT((CÁLCULO!$M$15:$M$231=EVENTOS!$C46)*(OFFSET(CÁLCULO!$AA$15:$AA$231,0,E$13))),2),0)</f>
        <v>0</v>
      </c>
      <c r="F46" s="184">
        <f ca="1">IF(AUTOEVENTO="Manual",ROUND(SUMPRODUCT((CÁLCULO!$M$15:$M$231=EVENTOS!$C46)*(OFFSET(CÁLCULO!$AA$15,0,1):OFFSET(CÁLCULO!$AL$231,0,-1))),2),0)</f>
        <v>0</v>
      </c>
      <c r="G46" s="622" t="str">
        <f t="shared" ca="1" si="5"/>
        <v/>
      </c>
      <c r="H46" s="621" cm="1">
        <f t="array" aca="1" ref="H46" ca="1">IF(AUTOEVENTO="Manual",ROUND(SUMPRODUCT((CÁLCULO!$M$15:$M$231=EVENTOS!$C46)*(OFFSET(CÁLCULO!$AA$15:$AA$231,0,H$13))),2),0)</f>
        <v>0</v>
      </c>
      <c r="I46" s="621" cm="1">
        <f t="array" aca="1" ref="I46" ca="1">IF(AUTOEVENTO="Manual",ROUND(SUMPRODUCT((CÁLCULO!$M$15:$M$231=EVENTOS!$C46)*(OFFSET(CÁLCULO!$AA$15:$AA$231,0,I$13))),2),0)</f>
        <v>0</v>
      </c>
      <c r="J46" s="621" cm="1">
        <f t="array" aca="1" ref="J46" ca="1">IF(AUTOEVENTO="Manual",ROUND(SUMPRODUCT((CÁLCULO!$M$15:$M$231=EVENTOS!$C46)*(OFFSET(CÁLCULO!$AA$15:$AA$231,0,J$13))),2),0)</f>
        <v>0</v>
      </c>
      <c r="K46" s="621" cm="1">
        <f t="array" aca="1" ref="K46" ca="1">IF(AUTOEVENTO="Manual",ROUND(SUMPRODUCT((CÁLCULO!$M$15:$M$231=EVENTOS!$C46)*(OFFSET(CÁLCULO!$AA$15:$AA$231,0,K$13))),2),0)</f>
        <v>0</v>
      </c>
      <c r="L46" s="621" cm="1">
        <f t="array" aca="1" ref="L46" ca="1">IF(AUTOEVENTO="Manual",ROUND(SUMPRODUCT((CÁLCULO!$M$15:$M$231=EVENTOS!$C46)*(OFFSET(CÁLCULO!$AA$15:$AA$231,0,L$13))),2),0)</f>
        <v>0</v>
      </c>
      <c r="M46" s="621" cm="1">
        <f t="array" aca="1" ref="M46" ca="1">IF(AUTOEVENTO="Manual",ROUND(SUMPRODUCT((CÁLCULO!$M$15:$M$231=EVENTOS!$C46)*(OFFSET(CÁLCULO!$AA$15:$AA$231,0,M$13))),2),0)</f>
        <v>0</v>
      </c>
      <c r="N46" s="621" cm="1">
        <f t="array" aca="1" ref="N46" ca="1">IF(AUTOEVENTO="Manual",ROUND(SUMPRODUCT((CÁLCULO!$M$15:$M$231=EVENTOS!$C46)*(OFFSET(CÁLCULO!$AA$15:$AA$231,0,N$13))),2),0)</f>
        <v>0</v>
      </c>
      <c r="O46" s="621" cm="1">
        <f t="array" aca="1" ref="O46" ca="1">IF(AUTOEVENTO="Manual",ROUND(SUMPRODUCT((CÁLCULO!$M$15:$M$231=EVENTOS!$C46)*(OFFSET(CÁLCULO!$AA$15:$AA$231,0,O$13))),2),0)</f>
        <v>0</v>
      </c>
      <c r="P46" s="621" cm="1">
        <f t="array" aca="1" ref="P46" ca="1">IF(AUTOEVENTO="Manual",ROUND(SUMPRODUCT((CÁLCULO!$M$15:$M$231=EVENTOS!$C46)*(OFFSET(CÁLCULO!$AA$15:$AA$231,0,P$13))),2),0)</f>
        <v>0</v>
      </c>
      <c r="Q46" s="621" cm="1">
        <f t="array" aca="1" ref="Q46" ca="1">IF(AUTOEVENTO="Manual",ROUND(SUMPRODUCT((CÁLCULO!$M$15:$M$231=EVENTOS!$C46)*(OFFSET(CÁLCULO!$AA$15:$AA$231,0,Q$13))),2),0)</f>
        <v>0</v>
      </c>
      <c r="R46" s="621" cm="1">
        <f t="array" aca="1" ref="R46" ca="1">IF(AUTOEVENTO="Manual",ROUND(SUMPRODUCT((CÁLCULO!$M$15:$M$231=EVENTOS!$C46)*(OFFSET(CÁLCULO!$AA$15:$AA$231,0,R$13))),2),0)</f>
        <v>0</v>
      </c>
      <c r="S46" s="621" cm="1">
        <f t="array" aca="1" ref="S46" ca="1">IF(AUTOEVENTO="Manual",ROUND(SUMPRODUCT((CÁLCULO!$M$15:$M$231=EVENTOS!$C46)*(OFFSET(CÁLCULO!$AA$15:$AA$231,0,S$13))),2),0)</f>
        <v>0</v>
      </c>
      <c r="T46" s="621" cm="1">
        <f t="array" aca="1" ref="T46" ca="1">IF(AUTOEVENTO="Manual",ROUND(SUMPRODUCT((CÁLCULO!$M$15:$M$231=EVENTOS!$C46)*(OFFSET(CÁLCULO!$AA$15:$AA$231,0,T$13))),2),0)</f>
        <v>0</v>
      </c>
      <c r="U46" s="621" cm="1">
        <f t="array" aca="1" ref="U46" ca="1">IF(AUTOEVENTO="Manual",ROUND(SUMPRODUCT((CÁLCULO!$M$15:$M$231=EVENTOS!$C46)*(OFFSET(CÁLCULO!$AA$15:$AA$231,0,U$13))),2),0)</f>
        <v>0</v>
      </c>
      <c r="V46" s="621" cm="1">
        <f t="array" aca="1" ref="V46" ca="1">IF(AUTOEVENTO="Manual",ROUND(SUMPRODUCT((CÁLCULO!$M$15:$M$231=EVENTOS!$C46)*(OFFSET(CÁLCULO!$AA$15:$AA$231,0,V$13))),2),0)</f>
        <v>0</v>
      </c>
      <c r="W46" s="621" cm="1">
        <f t="array" aca="1" ref="W46" ca="1">IF(AUTOEVENTO="Manual",ROUND(SUMPRODUCT((CÁLCULO!$M$15:$M$231=EVENTOS!$C46)*(OFFSET(CÁLCULO!$AA$15:$AA$231,0,W$13))),2),0)</f>
        <v>0</v>
      </c>
      <c r="X46" s="621" cm="1">
        <f t="array" aca="1" ref="X46" ca="1">IF(AUTOEVENTO="Manual",ROUND(SUMPRODUCT((CÁLCULO!$M$15:$M$231=EVENTOS!$C46)*(OFFSET(CÁLCULO!$AA$15:$AA$231,0,X$13))),2),0)</f>
        <v>0</v>
      </c>
      <c r="Y46" s="621" cm="1">
        <f t="array" aca="1" ref="Y46" ca="1">IF(AUTOEVENTO="Manual",ROUND(SUMPRODUCT((CÁLCULO!$M$15:$M$231=EVENTOS!$C46)*(OFFSET(CÁLCULO!$AA$15:$AA$231,0,Y$13))),2),0)</f>
        <v>0</v>
      </c>
    </row>
    <row r="47" spans="1:25" s="675" customFormat="1" x14ac:dyDescent="0.2">
      <c r="A47" s="507" t="str">
        <f t="shared" si="3"/>
        <v/>
      </c>
      <c r="B47" s="675" t="str">
        <f t="shared" ca="1" si="4"/>
        <v/>
      </c>
      <c r="C47" s="183" t="str" cm="1">
        <f t="array" aca="1" ref="C47" ca="1">IF(OR(ROW(C47)=ROW(EVENTOS.firstrow)+1,AND(OFFSET(C47,-1,0)&lt;&gt;" ",OFFSET(C47,-1,1)&lt;&gt;"")),OFFSET(C47,-1,0)+1," ")</f>
        <v xml:space="preserve"> </v>
      </c>
      <c r="D47" s="497"/>
      <c r="E47" s="621" cm="1">
        <f t="array" aca="1" ref="E47" ca="1">IF(AUTOEVENTO="Manual",ROUND(SUMPRODUCT((CÁLCULO!$M$15:$M$231=EVENTOS!$C47)*(OFFSET(CÁLCULO!$AA$15:$AA$231,0,E$13))),2),0)</f>
        <v>0</v>
      </c>
      <c r="F47" s="184">
        <f ca="1">IF(AUTOEVENTO="Manual",ROUND(SUMPRODUCT((CÁLCULO!$M$15:$M$231=EVENTOS!$C47)*(OFFSET(CÁLCULO!$AA$15,0,1):OFFSET(CÁLCULO!$AL$231,0,-1))),2),0)</f>
        <v>0</v>
      </c>
      <c r="G47" s="622" t="str">
        <f t="shared" ca="1" si="5"/>
        <v/>
      </c>
      <c r="H47" s="621" cm="1">
        <f t="array" aca="1" ref="H47" ca="1">IF(AUTOEVENTO="Manual",ROUND(SUMPRODUCT((CÁLCULO!$M$15:$M$231=EVENTOS!$C47)*(OFFSET(CÁLCULO!$AA$15:$AA$231,0,H$13))),2),0)</f>
        <v>0</v>
      </c>
      <c r="I47" s="621" cm="1">
        <f t="array" aca="1" ref="I47" ca="1">IF(AUTOEVENTO="Manual",ROUND(SUMPRODUCT((CÁLCULO!$M$15:$M$231=EVENTOS!$C47)*(OFFSET(CÁLCULO!$AA$15:$AA$231,0,I$13))),2),0)</f>
        <v>0</v>
      </c>
      <c r="J47" s="621" cm="1">
        <f t="array" aca="1" ref="J47" ca="1">IF(AUTOEVENTO="Manual",ROUND(SUMPRODUCT((CÁLCULO!$M$15:$M$231=EVENTOS!$C47)*(OFFSET(CÁLCULO!$AA$15:$AA$231,0,J$13))),2),0)</f>
        <v>0</v>
      </c>
      <c r="K47" s="621" cm="1">
        <f t="array" aca="1" ref="K47" ca="1">IF(AUTOEVENTO="Manual",ROUND(SUMPRODUCT((CÁLCULO!$M$15:$M$231=EVENTOS!$C47)*(OFFSET(CÁLCULO!$AA$15:$AA$231,0,K$13))),2),0)</f>
        <v>0</v>
      </c>
      <c r="L47" s="621" cm="1">
        <f t="array" aca="1" ref="L47" ca="1">IF(AUTOEVENTO="Manual",ROUND(SUMPRODUCT((CÁLCULO!$M$15:$M$231=EVENTOS!$C47)*(OFFSET(CÁLCULO!$AA$15:$AA$231,0,L$13))),2),0)</f>
        <v>0</v>
      </c>
      <c r="M47" s="621" cm="1">
        <f t="array" aca="1" ref="M47" ca="1">IF(AUTOEVENTO="Manual",ROUND(SUMPRODUCT((CÁLCULO!$M$15:$M$231=EVENTOS!$C47)*(OFFSET(CÁLCULO!$AA$15:$AA$231,0,M$13))),2),0)</f>
        <v>0</v>
      </c>
      <c r="N47" s="621" cm="1">
        <f t="array" aca="1" ref="N47" ca="1">IF(AUTOEVENTO="Manual",ROUND(SUMPRODUCT((CÁLCULO!$M$15:$M$231=EVENTOS!$C47)*(OFFSET(CÁLCULO!$AA$15:$AA$231,0,N$13))),2),0)</f>
        <v>0</v>
      </c>
      <c r="O47" s="621" cm="1">
        <f t="array" aca="1" ref="O47" ca="1">IF(AUTOEVENTO="Manual",ROUND(SUMPRODUCT((CÁLCULO!$M$15:$M$231=EVENTOS!$C47)*(OFFSET(CÁLCULO!$AA$15:$AA$231,0,O$13))),2),0)</f>
        <v>0</v>
      </c>
      <c r="P47" s="621" cm="1">
        <f t="array" aca="1" ref="P47" ca="1">IF(AUTOEVENTO="Manual",ROUND(SUMPRODUCT((CÁLCULO!$M$15:$M$231=EVENTOS!$C47)*(OFFSET(CÁLCULO!$AA$15:$AA$231,0,P$13))),2),0)</f>
        <v>0</v>
      </c>
      <c r="Q47" s="621" cm="1">
        <f t="array" aca="1" ref="Q47" ca="1">IF(AUTOEVENTO="Manual",ROUND(SUMPRODUCT((CÁLCULO!$M$15:$M$231=EVENTOS!$C47)*(OFFSET(CÁLCULO!$AA$15:$AA$231,0,Q$13))),2),0)</f>
        <v>0</v>
      </c>
      <c r="R47" s="621" cm="1">
        <f t="array" aca="1" ref="R47" ca="1">IF(AUTOEVENTO="Manual",ROUND(SUMPRODUCT((CÁLCULO!$M$15:$M$231=EVENTOS!$C47)*(OFFSET(CÁLCULO!$AA$15:$AA$231,0,R$13))),2),0)</f>
        <v>0</v>
      </c>
      <c r="S47" s="621" cm="1">
        <f t="array" aca="1" ref="S47" ca="1">IF(AUTOEVENTO="Manual",ROUND(SUMPRODUCT((CÁLCULO!$M$15:$M$231=EVENTOS!$C47)*(OFFSET(CÁLCULO!$AA$15:$AA$231,0,S$13))),2),0)</f>
        <v>0</v>
      </c>
      <c r="T47" s="621" cm="1">
        <f t="array" aca="1" ref="T47" ca="1">IF(AUTOEVENTO="Manual",ROUND(SUMPRODUCT((CÁLCULO!$M$15:$M$231=EVENTOS!$C47)*(OFFSET(CÁLCULO!$AA$15:$AA$231,0,T$13))),2),0)</f>
        <v>0</v>
      </c>
      <c r="U47" s="621" cm="1">
        <f t="array" aca="1" ref="U47" ca="1">IF(AUTOEVENTO="Manual",ROUND(SUMPRODUCT((CÁLCULO!$M$15:$M$231=EVENTOS!$C47)*(OFFSET(CÁLCULO!$AA$15:$AA$231,0,U$13))),2),0)</f>
        <v>0</v>
      </c>
      <c r="V47" s="621" cm="1">
        <f t="array" aca="1" ref="V47" ca="1">IF(AUTOEVENTO="Manual",ROUND(SUMPRODUCT((CÁLCULO!$M$15:$M$231=EVENTOS!$C47)*(OFFSET(CÁLCULO!$AA$15:$AA$231,0,V$13))),2),0)</f>
        <v>0</v>
      </c>
      <c r="W47" s="621" cm="1">
        <f t="array" aca="1" ref="W47" ca="1">IF(AUTOEVENTO="Manual",ROUND(SUMPRODUCT((CÁLCULO!$M$15:$M$231=EVENTOS!$C47)*(OFFSET(CÁLCULO!$AA$15:$AA$231,0,W$13))),2),0)</f>
        <v>0</v>
      </c>
      <c r="X47" s="621" cm="1">
        <f t="array" aca="1" ref="X47" ca="1">IF(AUTOEVENTO="Manual",ROUND(SUMPRODUCT((CÁLCULO!$M$15:$M$231=EVENTOS!$C47)*(OFFSET(CÁLCULO!$AA$15:$AA$231,0,X$13))),2),0)</f>
        <v>0</v>
      </c>
      <c r="Y47" s="621" cm="1">
        <f t="array" aca="1" ref="Y47" ca="1">IF(AUTOEVENTO="Manual",ROUND(SUMPRODUCT((CÁLCULO!$M$15:$M$231=EVENTOS!$C47)*(OFFSET(CÁLCULO!$AA$15:$AA$231,0,Y$13))),2),0)</f>
        <v>0</v>
      </c>
    </row>
    <row r="48" spans="1:25" s="675" customFormat="1" x14ac:dyDescent="0.2">
      <c r="A48" s="507" t="str">
        <f t="shared" si="3"/>
        <v/>
      </c>
      <c r="B48" s="675" t="str">
        <f t="shared" ca="1" si="4"/>
        <v/>
      </c>
      <c r="C48" s="183" t="str" cm="1">
        <f t="array" aca="1" ref="C48" ca="1">IF(OR(ROW(C48)=ROW(EVENTOS.firstrow)+1,AND(OFFSET(C48,-1,0)&lt;&gt;" ",OFFSET(C48,-1,1)&lt;&gt;"")),OFFSET(C48,-1,0)+1," ")</f>
        <v xml:space="preserve"> </v>
      </c>
      <c r="D48" s="497"/>
      <c r="E48" s="621" cm="1">
        <f t="array" aca="1" ref="E48" ca="1">IF(AUTOEVENTO="Manual",ROUND(SUMPRODUCT((CÁLCULO!$M$15:$M$231=EVENTOS!$C48)*(OFFSET(CÁLCULO!$AA$15:$AA$231,0,E$13))),2),0)</f>
        <v>0</v>
      </c>
      <c r="F48" s="184">
        <f ca="1">IF(AUTOEVENTO="Manual",ROUND(SUMPRODUCT((CÁLCULO!$M$15:$M$231=EVENTOS!$C48)*(OFFSET(CÁLCULO!$AA$15,0,1):OFFSET(CÁLCULO!$AL$231,0,-1))),2),0)</f>
        <v>0</v>
      </c>
      <c r="G48" s="622" t="str">
        <f t="shared" ref="G48:G64" ca="1" si="6">IF(AND(D48=0,F48&gt;0),"NOME",
 IF(AND(D48&lt;&gt;0,$F$14&gt;0,F48=0),"VALOR",
 IF(AND(Import.TipoArredondamento="TransfereGOV",$A48="F",LEN(D48)&gt;100),"Nome &gt;100","")))</f>
        <v/>
      </c>
      <c r="H48" s="621" cm="1">
        <f t="array" aca="1" ref="H48" ca="1">IF(AUTOEVENTO="Manual",ROUND(SUMPRODUCT((CÁLCULO!$M$15:$M$231=EVENTOS!$C48)*(OFFSET(CÁLCULO!$AA$15:$AA$231,0,H$13))),2),0)</f>
        <v>0</v>
      </c>
      <c r="I48" s="621" cm="1">
        <f t="array" aca="1" ref="I48" ca="1">IF(AUTOEVENTO="Manual",ROUND(SUMPRODUCT((CÁLCULO!$M$15:$M$231=EVENTOS!$C48)*(OFFSET(CÁLCULO!$AA$15:$AA$231,0,I$13))),2),0)</f>
        <v>0</v>
      </c>
      <c r="J48" s="621" cm="1">
        <f t="array" aca="1" ref="J48" ca="1">IF(AUTOEVENTO="Manual",ROUND(SUMPRODUCT((CÁLCULO!$M$15:$M$231=EVENTOS!$C48)*(OFFSET(CÁLCULO!$AA$15:$AA$231,0,J$13))),2),0)</f>
        <v>0</v>
      </c>
      <c r="K48" s="621" cm="1">
        <f t="array" aca="1" ref="K48" ca="1">IF(AUTOEVENTO="Manual",ROUND(SUMPRODUCT((CÁLCULO!$M$15:$M$231=EVENTOS!$C48)*(OFFSET(CÁLCULO!$AA$15:$AA$231,0,K$13))),2),0)</f>
        <v>0</v>
      </c>
      <c r="L48" s="621" cm="1">
        <f t="array" aca="1" ref="L48" ca="1">IF(AUTOEVENTO="Manual",ROUND(SUMPRODUCT((CÁLCULO!$M$15:$M$231=EVENTOS!$C48)*(OFFSET(CÁLCULO!$AA$15:$AA$231,0,L$13))),2),0)</f>
        <v>0</v>
      </c>
      <c r="M48" s="621" cm="1">
        <f t="array" aca="1" ref="M48" ca="1">IF(AUTOEVENTO="Manual",ROUND(SUMPRODUCT((CÁLCULO!$M$15:$M$231=EVENTOS!$C48)*(OFFSET(CÁLCULO!$AA$15:$AA$231,0,M$13))),2),0)</f>
        <v>0</v>
      </c>
      <c r="N48" s="621" cm="1">
        <f t="array" aca="1" ref="N48" ca="1">IF(AUTOEVENTO="Manual",ROUND(SUMPRODUCT((CÁLCULO!$M$15:$M$231=EVENTOS!$C48)*(OFFSET(CÁLCULO!$AA$15:$AA$231,0,N$13))),2),0)</f>
        <v>0</v>
      </c>
      <c r="O48" s="621" cm="1">
        <f t="array" aca="1" ref="O48" ca="1">IF(AUTOEVENTO="Manual",ROUND(SUMPRODUCT((CÁLCULO!$M$15:$M$231=EVENTOS!$C48)*(OFFSET(CÁLCULO!$AA$15:$AA$231,0,O$13))),2),0)</f>
        <v>0</v>
      </c>
      <c r="P48" s="621" cm="1">
        <f t="array" aca="1" ref="P48" ca="1">IF(AUTOEVENTO="Manual",ROUND(SUMPRODUCT((CÁLCULO!$M$15:$M$231=EVENTOS!$C48)*(OFFSET(CÁLCULO!$AA$15:$AA$231,0,P$13))),2),0)</f>
        <v>0</v>
      </c>
      <c r="Q48" s="621" cm="1">
        <f t="array" aca="1" ref="Q48" ca="1">IF(AUTOEVENTO="Manual",ROUND(SUMPRODUCT((CÁLCULO!$M$15:$M$231=EVENTOS!$C48)*(OFFSET(CÁLCULO!$AA$15:$AA$231,0,Q$13))),2),0)</f>
        <v>0</v>
      </c>
      <c r="R48" s="621" cm="1">
        <f t="array" aca="1" ref="R48" ca="1">IF(AUTOEVENTO="Manual",ROUND(SUMPRODUCT((CÁLCULO!$M$15:$M$231=EVENTOS!$C48)*(OFFSET(CÁLCULO!$AA$15:$AA$231,0,R$13))),2),0)</f>
        <v>0</v>
      </c>
      <c r="S48" s="621" cm="1">
        <f t="array" aca="1" ref="S48" ca="1">IF(AUTOEVENTO="Manual",ROUND(SUMPRODUCT((CÁLCULO!$M$15:$M$231=EVENTOS!$C48)*(OFFSET(CÁLCULO!$AA$15:$AA$231,0,S$13))),2),0)</f>
        <v>0</v>
      </c>
      <c r="T48" s="621" cm="1">
        <f t="array" aca="1" ref="T48" ca="1">IF(AUTOEVENTO="Manual",ROUND(SUMPRODUCT((CÁLCULO!$M$15:$M$231=EVENTOS!$C48)*(OFFSET(CÁLCULO!$AA$15:$AA$231,0,T$13))),2),0)</f>
        <v>0</v>
      </c>
      <c r="U48" s="621" cm="1">
        <f t="array" aca="1" ref="U48" ca="1">IF(AUTOEVENTO="Manual",ROUND(SUMPRODUCT((CÁLCULO!$M$15:$M$231=EVENTOS!$C48)*(OFFSET(CÁLCULO!$AA$15:$AA$231,0,U$13))),2),0)</f>
        <v>0</v>
      </c>
      <c r="V48" s="621" cm="1">
        <f t="array" aca="1" ref="V48" ca="1">IF(AUTOEVENTO="Manual",ROUND(SUMPRODUCT((CÁLCULO!$M$15:$M$231=EVENTOS!$C48)*(OFFSET(CÁLCULO!$AA$15:$AA$231,0,V$13))),2),0)</f>
        <v>0</v>
      </c>
      <c r="W48" s="621" cm="1">
        <f t="array" aca="1" ref="W48" ca="1">IF(AUTOEVENTO="Manual",ROUND(SUMPRODUCT((CÁLCULO!$M$15:$M$231=EVENTOS!$C48)*(OFFSET(CÁLCULO!$AA$15:$AA$231,0,W$13))),2),0)</f>
        <v>0</v>
      </c>
      <c r="X48" s="621" cm="1">
        <f t="array" aca="1" ref="X48" ca="1">IF(AUTOEVENTO="Manual",ROUND(SUMPRODUCT((CÁLCULO!$M$15:$M$231=EVENTOS!$C48)*(OFFSET(CÁLCULO!$AA$15:$AA$231,0,X$13))),2),0)</f>
        <v>0</v>
      </c>
      <c r="Y48" s="621" cm="1">
        <f t="array" aca="1" ref="Y48" ca="1">IF(AUTOEVENTO="Manual",ROUND(SUMPRODUCT((CÁLCULO!$M$15:$M$231=EVENTOS!$C48)*(OFFSET(CÁLCULO!$AA$15:$AA$231,0,Y$13))),2),0)</f>
        <v>0</v>
      </c>
    </row>
    <row r="49" spans="1:25" s="675" customFormat="1" x14ac:dyDescent="0.2">
      <c r="A49" s="507" t="str">
        <f t="shared" si="3"/>
        <v/>
      </c>
      <c r="B49" s="675" t="str">
        <f t="shared" ca="1" si="4"/>
        <v/>
      </c>
      <c r="C49" s="183" t="str" cm="1">
        <f t="array" aca="1" ref="C49" ca="1">IF(OR(ROW(C49)=ROW(EVENTOS.firstrow)+1,AND(OFFSET(C49,-1,0)&lt;&gt;" ",OFFSET(C49,-1,1)&lt;&gt;"")),OFFSET(C49,-1,0)+1," ")</f>
        <v xml:space="preserve"> </v>
      </c>
      <c r="D49" s="497"/>
      <c r="E49" s="621" cm="1">
        <f t="array" aca="1" ref="E49" ca="1">IF(AUTOEVENTO="Manual",ROUND(SUMPRODUCT((CÁLCULO!$M$15:$M$231=EVENTOS!$C49)*(OFFSET(CÁLCULO!$AA$15:$AA$231,0,E$13))),2),0)</f>
        <v>0</v>
      </c>
      <c r="F49" s="184">
        <f ca="1">IF(AUTOEVENTO="Manual",ROUND(SUMPRODUCT((CÁLCULO!$M$15:$M$231=EVENTOS!$C49)*(OFFSET(CÁLCULO!$AA$15,0,1):OFFSET(CÁLCULO!$AL$231,0,-1))),2),0)</f>
        <v>0</v>
      </c>
      <c r="G49" s="622" t="str">
        <f t="shared" ca="1" si="6"/>
        <v/>
      </c>
      <c r="H49" s="621" cm="1">
        <f t="array" aca="1" ref="H49" ca="1">IF(AUTOEVENTO="Manual",ROUND(SUMPRODUCT((CÁLCULO!$M$15:$M$231=EVENTOS!$C49)*(OFFSET(CÁLCULO!$AA$15:$AA$231,0,H$13))),2),0)</f>
        <v>0</v>
      </c>
      <c r="I49" s="621" cm="1">
        <f t="array" aca="1" ref="I49" ca="1">IF(AUTOEVENTO="Manual",ROUND(SUMPRODUCT((CÁLCULO!$M$15:$M$231=EVENTOS!$C49)*(OFFSET(CÁLCULO!$AA$15:$AA$231,0,I$13))),2),0)</f>
        <v>0</v>
      </c>
      <c r="J49" s="621" cm="1">
        <f t="array" aca="1" ref="J49" ca="1">IF(AUTOEVENTO="Manual",ROUND(SUMPRODUCT((CÁLCULO!$M$15:$M$231=EVENTOS!$C49)*(OFFSET(CÁLCULO!$AA$15:$AA$231,0,J$13))),2),0)</f>
        <v>0</v>
      </c>
      <c r="K49" s="621" cm="1">
        <f t="array" aca="1" ref="K49" ca="1">IF(AUTOEVENTO="Manual",ROUND(SUMPRODUCT((CÁLCULO!$M$15:$M$231=EVENTOS!$C49)*(OFFSET(CÁLCULO!$AA$15:$AA$231,0,K$13))),2),0)</f>
        <v>0</v>
      </c>
      <c r="L49" s="621" cm="1">
        <f t="array" aca="1" ref="L49" ca="1">IF(AUTOEVENTO="Manual",ROUND(SUMPRODUCT((CÁLCULO!$M$15:$M$231=EVENTOS!$C49)*(OFFSET(CÁLCULO!$AA$15:$AA$231,0,L$13))),2),0)</f>
        <v>0</v>
      </c>
      <c r="M49" s="621" cm="1">
        <f t="array" aca="1" ref="M49" ca="1">IF(AUTOEVENTO="Manual",ROUND(SUMPRODUCT((CÁLCULO!$M$15:$M$231=EVENTOS!$C49)*(OFFSET(CÁLCULO!$AA$15:$AA$231,0,M$13))),2),0)</f>
        <v>0</v>
      </c>
      <c r="N49" s="621" cm="1">
        <f t="array" aca="1" ref="N49" ca="1">IF(AUTOEVENTO="Manual",ROUND(SUMPRODUCT((CÁLCULO!$M$15:$M$231=EVENTOS!$C49)*(OFFSET(CÁLCULO!$AA$15:$AA$231,0,N$13))),2),0)</f>
        <v>0</v>
      </c>
      <c r="O49" s="621" cm="1">
        <f t="array" aca="1" ref="O49" ca="1">IF(AUTOEVENTO="Manual",ROUND(SUMPRODUCT((CÁLCULO!$M$15:$M$231=EVENTOS!$C49)*(OFFSET(CÁLCULO!$AA$15:$AA$231,0,O$13))),2),0)</f>
        <v>0</v>
      </c>
      <c r="P49" s="621" cm="1">
        <f t="array" aca="1" ref="P49" ca="1">IF(AUTOEVENTO="Manual",ROUND(SUMPRODUCT((CÁLCULO!$M$15:$M$231=EVENTOS!$C49)*(OFFSET(CÁLCULO!$AA$15:$AA$231,0,P$13))),2),0)</f>
        <v>0</v>
      </c>
      <c r="Q49" s="621" cm="1">
        <f t="array" aca="1" ref="Q49" ca="1">IF(AUTOEVENTO="Manual",ROUND(SUMPRODUCT((CÁLCULO!$M$15:$M$231=EVENTOS!$C49)*(OFFSET(CÁLCULO!$AA$15:$AA$231,0,Q$13))),2),0)</f>
        <v>0</v>
      </c>
      <c r="R49" s="621" cm="1">
        <f t="array" aca="1" ref="R49" ca="1">IF(AUTOEVENTO="Manual",ROUND(SUMPRODUCT((CÁLCULO!$M$15:$M$231=EVENTOS!$C49)*(OFFSET(CÁLCULO!$AA$15:$AA$231,0,R$13))),2),0)</f>
        <v>0</v>
      </c>
      <c r="S49" s="621" cm="1">
        <f t="array" aca="1" ref="S49" ca="1">IF(AUTOEVENTO="Manual",ROUND(SUMPRODUCT((CÁLCULO!$M$15:$M$231=EVENTOS!$C49)*(OFFSET(CÁLCULO!$AA$15:$AA$231,0,S$13))),2),0)</f>
        <v>0</v>
      </c>
      <c r="T49" s="621" cm="1">
        <f t="array" aca="1" ref="T49" ca="1">IF(AUTOEVENTO="Manual",ROUND(SUMPRODUCT((CÁLCULO!$M$15:$M$231=EVENTOS!$C49)*(OFFSET(CÁLCULO!$AA$15:$AA$231,0,T$13))),2),0)</f>
        <v>0</v>
      </c>
      <c r="U49" s="621" cm="1">
        <f t="array" aca="1" ref="U49" ca="1">IF(AUTOEVENTO="Manual",ROUND(SUMPRODUCT((CÁLCULO!$M$15:$M$231=EVENTOS!$C49)*(OFFSET(CÁLCULO!$AA$15:$AA$231,0,U$13))),2),0)</f>
        <v>0</v>
      </c>
      <c r="V49" s="621" cm="1">
        <f t="array" aca="1" ref="V49" ca="1">IF(AUTOEVENTO="Manual",ROUND(SUMPRODUCT((CÁLCULO!$M$15:$M$231=EVENTOS!$C49)*(OFFSET(CÁLCULO!$AA$15:$AA$231,0,V$13))),2),0)</f>
        <v>0</v>
      </c>
      <c r="W49" s="621" cm="1">
        <f t="array" aca="1" ref="W49" ca="1">IF(AUTOEVENTO="Manual",ROUND(SUMPRODUCT((CÁLCULO!$M$15:$M$231=EVENTOS!$C49)*(OFFSET(CÁLCULO!$AA$15:$AA$231,0,W$13))),2),0)</f>
        <v>0</v>
      </c>
      <c r="X49" s="621" cm="1">
        <f t="array" aca="1" ref="X49" ca="1">IF(AUTOEVENTO="Manual",ROUND(SUMPRODUCT((CÁLCULO!$M$15:$M$231=EVENTOS!$C49)*(OFFSET(CÁLCULO!$AA$15:$AA$231,0,X$13))),2),0)</f>
        <v>0</v>
      </c>
      <c r="Y49" s="621" cm="1">
        <f t="array" aca="1" ref="Y49" ca="1">IF(AUTOEVENTO="Manual",ROUND(SUMPRODUCT((CÁLCULO!$M$15:$M$231=EVENTOS!$C49)*(OFFSET(CÁLCULO!$AA$15:$AA$231,0,Y$13))),2),0)</f>
        <v>0</v>
      </c>
    </row>
    <row r="50" spans="1:25" s="675" customFormat="1" x14ac:dyDescent="0.2">
      <c r="A50" s="507" t="str">
        <f t="shared" si="3"/>
        <v/>
      </c>
      <c r="B50" s="675" t="str">
        <f t="shared" ca="1" si="4"/>
        <v/>
      </c>
      <c r="C50" s="183" t="str" cm="1">
        <f t="array" aca="1" ref="C50" ca="1">IF(OR(ROW(C50)=ROW(EVENTOS.firstrow)+1,AND(OFFSET(C50,-1,0)&lt;&gt;" ",OFFSET(C50,-1,1)&lt;&gt;"")),OFFSET(C50,-1,0)+1," ")</f>
        <v xml:space="preserve"> </v>
      </c>
      <c r="D50" s="497"/>
      <c r="E50" s="621" cm="1">
        <f t="array" aca="1" ref="E50" ca="1">IF(AUTOEVENTO="Manual",ROUND(SUMPRODUCT((CÁLCULO!$M$15:$M$231=EVENTOS!$C50)*(OFFSET(CÁLCULO!$AA$15:$AA$231,0,E$13))),2),0)</f>
        <v>0</v>
      </c>
      <c r="F50" s="184">
        <f ca="1">IF(AUTOEVENTO="Manual",ROUND(SUMPRODUCT((CÁLCULO!$M$15:$M$231=EVENTOS!$C50)*(OFFSET(CÁLCULO!$AA$15,0,1):OFFSET(CÁLCULO!$AL$231,0,-1))),2),0)</f>
        <v>0</v>
      </c>
      <c r="G50" s="622" t="str">
        <f t="shared" ca="1" si="6"/>
        <v/>
      </c>
      <c r="H50" s="621" cm="1">
        <f t="array" aca="1" ref="H50" ca="1">IF(AUTOEVENTO="Manual",ROUND(SUMPRODUCT((CÁLCULO!$M$15:$M$231=EVENTOS!$C50)*(OFFSET(CÁLCULO!$AA$15:$AA$231,0,H$13))),2),0)</f>
        <v>0</v>
      </c>
      <c r="I50" s="621" cm="1">
        <f t="array" aca="1" ref="I50" ca="1">IF(AUTOEVENTO="Manual",ROUND(SUMPRODUCT((CÁLCULO!$M$15:$M$231=EVENTOS!$C50)*(OFFSET(CÁLCULO!$AA$15:$AA$231,0,I$13))),2),0)</f>
        <v>0</v>
      </c>
      <c r="J50" s="621" cm="1">
        <f t="array" aca="1" ref="J50" ca="1">IF(AUTOEVENTO="Manual",ROUND(SUMPRODUCT((CÁLCULO!$M$15:$M$231=EVENTOS!$C50)*(OFFSET(CÁLCULO!$AA$15:$AA$231,0,J$13))),2),0)</f>
        <v>0</v>
      </c>
      <c r="K50" s="621" cm="1">
        <f t="array" aca="1" ref="K50" ca="1">IF(AUTOEVENTO="Manual",ROUND(SUMPRODUCT((CÁLCULO!$M$15:$M$231=EVENTOS!$C50)*(OFFSET(CÁLCULO!$AA$15:$AA$231,0,K$13))),2),0)</f>
        <v>0</v>
      </c>
      <c r="L50" s="621" cm="1">
        <f t="array" aca="1" ref="L50" ca="1">IF(AUTOEVENTO="Manual",ROUND(SUMPRODUCT((CÁLCULO!$M$15:$M$231=EVENTOS!$C50)*(OFFSET(CÁLCULO!$AA$15:$AA$231,0,L$13))),2),0)</f>
        <v>0</v>
      </c>
      <c r="M50" s="621" cm="1">
        <f t="array" aca="1" ref="M50" ca="1">IF(AUTOEVENTO="Manual",ROUND(SUMPRODUCT((CÁLCULO!$M$15:$M$231=EVENTOS!$C50)*(OFFSET(CÁLCULO!$AA$15:$AA$231,0,M$13))),2),0)</f>
        <v>0</v>
      </c>
      <c r="N50" s="621" cm="1">
        <f t="array" aca="1" ref="N50" ca="1">IF(AUTOEVENTO="Manual",ROUND(SUMPRODUCT((CÁLCULO!$M$15:$M$231=EVENTOS!$C50)*(OFFSET(CÁLCULO!$AA$15:$AA$231,0,N$13))),2),0)</f>
        <v>0</v>
      </c>
      <c r="O50" s="621" cm="1">
        <f t="array" aca="1" ref="O50" ca="1">IF(AUTOEVENTO="Manual",ROUND(SUMPRODUCT((CÁLCULO!$M$15:$M$231=EVENTOS!$C50)*(OFFSET(CÁLCULO!$AA$15:$AA$231,0,O$13))),2),0)</f>
        <v>0</v>
      </c>
      <c r="P50" s="621" cm="1">
        <f t="array" aca="1" ref="P50" ca="1">IF(AUTOEVENTO="Manual",ROUND(SUMPRODUCT((CÁLCULO!$M$15:$M$231=EVENTOS!$C50)*(OFFSET(CÁLCULO!$AA$15:$AA$231,0,P$13))),2),0)</f>
        <v>0</v>
      </c>
      <c r="Q50" s="621" cm="1">
        <f t="array" aca="1" ref="Q50" ca="1">IF(AUTOEVENTO="Manual",ROUND(SUMPRODUCT((CÁLCULO!$M$15:$M$231=EVENTOS!$C50)*(OFFSET(CÁLCULO!$AA$15:$AA$231,0,Q$13))),2),0)</f>
        <v>0</v>
      </c>
      <c r="R50" s="621" cm="1">
        <f t="array" aca="1" ref="R50" ca="1">IF(AUTOEVENTO="Manual",ROUND(SUMPRODUCT((CÁLCULO!$M$15:$M$231=EVENTOS!$C50)*(OFFSET(CÁLCULO!$AA$15:$AA$231,0,R$13))),2),0)</f>
        <v>0</v>
      </c>
      <c r="S50" s="621" cm="1">
        <f t="array" aca="1" ref="S50" ca="1">IF(AUTOEVENTO="Manual",ROUND(SUMPRODUCT((CÁLCULO!$M$15:$M$231=EVENTOS!$C50)*(OFFSET(CÁLCULO!$AA$15:$AA$231,0,S$13))),2),0)</f>
        <v>0</v>
      </c>
      <c r="T50" s="621" cm="1">
        <f t="array" aca="1" ref="T50" ca="1">IF(AUTOEVENTO="Manual",ROUND(SUMPRODUCT((CÁLCULO!$M$15:$M$231=EVENTOS!$C50)*(OFFSET(CÁLCULO!$AA$15:$AA$231,0,T$13))),2),0)</f>
        <v>0</v>
      </c>
      <c r="U50" s="621" cm="1">
        <f t="array" aca="1" ref="U50" ca="1">IF(AUTOEVENTO="Manual",ROUND(SUMPRODUCT((CÁLCULO!$M$15:$M$231=EVENTOS!$C50)*(OFFSET(CÁLCULO!$AA$15:$AA$231,0,U$13))),2),0)</f>
        <v>0</v>
      </c>
      <c r="V50" s="621" cm="1">
        <f t="array" aca="1" ref="V50" ca="1">IF(AUTOEVENTO="Manual",ROUND(SUMPRODUCT((CÁLCULO!$M$15:$M$231=EVENTOS!$C50)*(OFFSET(CÁLCULO!$AA$15:$AA$231,0,V$13))),2),0)</f>
        <v>0</v>
      </c>
      <c r="W50" s="621" cm="1">
        <f t="array" aca="1" ref="W50" ca="1">IF(AUTOEVENTO="Manual",ROUND(SUMPRODUCT((CÁLCULO!$M$15:$M$231=EVENTOS!$C50)*(OFFSET(CÁLCULO!$AA$15:$AA$231,0,W$13))),2),0)</f>
        <v>0</v>
      </c>
      <c r="X50" s="621" cm="1">
        <f t="array" aca="1" ref="X50" ca="1">IF(AUTOEVENTO="Manual",ROUND(SUMPRODUCT((CÁLCULO!$M$15:$M$231=EVENTOS!$C50)*(OFFSET(CÁLCULO!$AA$15:$AA$231,0,X$13))),2),0)</f>
        <v>0</v>
      </c>
      <c r="Y50" s="621" cm="1">
        <f t="array" aca="1" ref="Y50" ca="1">IF(AUTOEVENTO="Manual",ROUND(SUMPRODUCT((CÁLCULO!$M$15:$M$231=EVENTOS!$C50)*(OFFSET(CÁLCULO!$AA$15:$AA$231,0,Y$13))),2),0)</f>
        <v>0</v>
      </c>
    </row>
    <row r="51" spans="1:25" s="675" customFormat="1" x14ac:dyDescent="0.2">
      <c r="A51" s="507" t="str">
        <f t="shared" si="3"/>
        <v/>
      </c>
      <c r="B51" s="675" t="str">
        <f t="shared" ca="1" si="4"/>
        <v/>
      </c>
      <c r="C51" s="183" t="str" cm="1">
        <f t="array" aca="1" ref="C51" ca="1">IF(OR(ROW(C51)=ROW(EVENTOS.firstrow)+1,AND(OFFSET(C51,-1,0)&lt;&gt;" ",OFFSET(C51,-1,1)&lt;&gt;"")),OFFSET(C51,-1,0)+1," ")</f>
        <v xml:space="preserve"> </v>
      </c>
      <c r="D51" s="497"/>
      <c r="E51" s="621" cm="1">
        <f t="array" aca="1" ref="E51" ca="1">IF(AUTOEVENTO="Manual",ROUND(SUMPRODUCT((CÁLCULO!$M$15:$M$231=EVENTOS!$C51)*(OFFSET(CÁLCULO!$AA$15:$AA$231,0,E$13))),2),0)</f>
        <v>0</v>
      </c>
      <c r="F51" s="184">
        <f ca="1">IF(AUTOEVENTO="Manual",ROUND(SUMPRODUCT((CÁLCULO!$M$15:$M$231=EVENTOS!$C51)*(OFFSET(CÁLCULO!$AA$15,0,1):OFFSET(CÁLCULO!$AL$231,0,-1))),2),0)</f>
        <v>0</v>
      </c>
      <c r="G51" s="622" t="str">
        <f t="shared" ca="1" si="6"/>
        <v/>
      </c>
      <c r="H51" s="621" cm="1">
        <f t="array" aca="1" ref="H51" ca="1">IF(AUTOEVENTO="Manual",ROUND(SUMPRODUCT((CÁLCULO!$M$15:$M$231=EVENTOS!$C51)*(OFFSET(CÁLCULO!$AA$15:$AA$231,0,H$13))),2),0)</f>
        <v>0</v>
      </c>
      <c r="I51" s="621" cm="1">
        <f t="array" aca="1" ref="I51" ca="1">IF(AUTOEVENTO="Manual",ROUND(SUMPRODUCT((CÁLCULO!$M$15:$M$231=EVENTOS!$C51)*(OFFSET(CÁLCULO!$AA$15:$AA$231,0,I$13))),2),0)</f>
        <v>0</v>
      </c>
      <c r="J51" s="621" cm="1">
        <f t="array" aca="1" ref="J51" ca="1">IF(AUTOEVENTO="Manual",ROUND(SUMPRODUCT((CÁLCULO!$M$15:$M$231=EVENTOS!$C51)*(OFFSET(CÁLCULO!$AA$15:$AA$231,0,J$13))),2),0)</f>
        <v>0</v>
      </c>
      <c r="K51" s="621" cm="1">
        <f t="array" aca="1" ref="K51" ca="1">IF(AUTOEVENTO="Manual",ROUND(SUMPRODUCT((CÁLCULO!$M$15:$M$231=EVENTOS!$C51)*(OFFSET(CÁLCULO!$AA$15:$AA$231,0,K$13))),2),0)</f>
        <v>0</v>
      </c>
      <c r="L51" s="621" cm="1">
        <f t="array" aca="1" ref="L51" ca="1">IF(AUTOEVENTO="Manual",ROUND(SUMPRODUCT((CÁLCULO!$M$15:$M$231=EVENTOS!$C51)*(OFFSET(CÁLCULO!$AA$15:$AA$231,0,L$13))),2),0)</f>
        <v>0</v>
      </c>
      <c r="M51" s="621" cm="1">
        <f t="array" aca="1" ref="M51" ca="1">IF(AUTOEVENTO="Manual",ROUND(SUMPRODUCT((CÁLCULO!$M$15:$M$231=EVENTOS!$C51)*(OFFSET(CÁLCULO!$AA$15:$AA$231,0,M$13))),2),0)</f>
        <v>0</v>
      </c>
      <c r="N51" s="621" cm="1">
        <f t="array" aca="1" ref="N51" ca="1">IF(AUTOEVENTO="Manual",ROUND(SUMPRODUCT((CÁLCULO!$M$15:$M$231=EVENTOS!$C51)*(OFFSET(CÁLCULO!$AA$15:$AA$231,0,N$13))),2),0)</f>
        <v>0</v>
      </c>
      <c r="O51" s="621" cm="1">
        <f t="array" aca="1" ref="O51" ca="1">IF(AUTOEVENTO="Manual",ROUND(SUMPRODUCT((CÁLCULO!$M$15:$M$231=EVENTOS!$C51)*(OFFSET(CÁLCULO!$AA$15:$AA$231,0,O$13))),2),0)</f>
        <v>0</v>
      </c>
      <c r="P51" s="621" cm="1">
        <f t="array" aca="1" ref="P51" ca="1">IF(AUTOEVENTO="Manual",ROUND(SUMPRODUCT((CÁLCULO!$M$15:$M$231=EVENTOS!$C51)*(OFFSET(CÁLCULO!$AA$15:$AA$231,0,P$13))),2),0)</f>
        <v>0</v>
      </c>
      <c r="Q51" s="621" cm="1">
        <f t="array" aca="1" ref="Q51" ca="1">IF(AUTOEVENTO="Manual",ROUND(SUMPRODUCT((CÁLCULO!$M$15:$M$231=EVENTOS!$C51)*(OFFSET(CÁLCULO!$AA$15:$AA$231,0,Q$13))),2),0)</f>
        <v>0</v>
      </c>
      <c r="R51" s="621" cm="1">
        <f t="array" aca="1" ref="R51" ca="1">IF(AUTOEVENTO="Manual",ROUND(SUMPRODUCT((CÁLCULO!$M$15:$M$231=EVENTOS!$C51)*(OFFSET(CÁLCULO!$AA$15:$AA$231,0,R$13))),2),0)</f>
        <v>0</v>
      </c>
      <c r="S51" s="621" cm="1">
        <f t="array" aca="1" ref="S51" ca="1">IF(AUTOEVENTO="Manual",ROUND(SUMPRODUCT((CÁLCULO!$M$15:$M$231=EVENTOS!$C51)*(OFFSET(CÁLCULO!$AA$15:$AA$231,0,S$13))),2),0)</f>
        <v>0</v>
      </c>
      <c r="T51" s="621" cm="1">
        <f t="array" aca="1" ref="T51" ca="1">IF(AUTOEVENTO="Manual",ROUND(SUMPRODUCT((CÁLCULO!$M$15:$M$231=EVENTOS!$C51)*(OFFSET(CÁLCULO!$AA$15:$AA$231,0,T$13))),2),0)</f>
        <v>0</v>
      </c>
      <c r="U51" s="621" cm="1">
        <f t="array" aca="1" ref="U51" ca="1">IF(AUTOEVENTO="Manual",ROUND(SUMPRODUCT((CÁLCULO!$M$15:$M$231=EVENTOS!$C51)*(OFFSET(CÁLCULO!$AA$15:$AA$231,0,U$13))),2),0)</f>
        <v>0</v>
      </c>
      <c r="V51" s="621" cm="1">
        <f t="array" aca="1" ref="V51" ca="1">IF(AUTOEVENTO="Manual",ROUND(SUMPRODUCT((CÁLCULO!$M$15:$M$231=EVENTOS!$C51)*(OFFSET(CÁLCULO!$AA$15:$AA$231,0,V$13))),2),0)</f>
        <v>0</v>
      </c>
      <c r="W51" s="621" cm="1">
        <f t="array" aca="1" ref="W51" ca="1">IF(AUTOEVENTO="Manual",ROUND(SUMPRODUCT((CÁLCULO!$M$15:$M$231=EVENTOS!$C51)*(OFFSET(CÁLCULO!$AA$15:$AA$231,0,W$13))),2),0)</f>
        <v>0</v>
      </c>
      <c r="X51" s="621" cm="1">
        <f t="array" aca="1" ref="X51" ca="1">IF(AUTOEVENTO="Manual",ROUND(SUMPRODUCT((CÁLCULO!$M$15:$M$231=EVENTOS!$C51)*(OFFSET(CÁLCULO!$AA$15:$AA$231,0,X$13))),2),0)</f>
        <v>0</v>
      </c>
      <c r="Y51" s="621" cm="1">
        <f t="array" aca="1" ref="Y51" ca="1">IF(AUTOEVENTO="Manual",ROUND(SUMPRODUCT((CÁLCULO!$M$15:$M$231=EVENTOS!$C51)*(OFFSET(CÁLCULO!$AA$15:$AA$231,0,Y$13))),2),0)</f>
        <v>0</v>
      </c>
    </row>
    <row r="52" spans="1:25" s="675" customFormat="1" x14ac:dyDescent="0.2">
      <c r="A52" s="507" t="str">
        <f t="shared" si="3"/>
        <v/>
      </c>
      <c r="B52" s="675" t="str">
        <f t="shared" ca="1" si="4"/>
        <v/>
      </c>
      <c r="C52" s="183" t="str" cm="1">
        <f t="array" aca="1" ref="C52" ca="1">IF(OR(ROW(C52)=ROW(EVENTOS.firstrow)+1,AND(OFFSET(C52,-1,0)&lt;&gt;" ",OFFSET(C52,-1,1)&lt;&gt;"")),OFFSET(C52,-1,0)+1," ")</f>
        <v xml:space="preserve"> </v>
      </c>
      <c r="D52" s="497"/>
      <c r="E52" s="621" cm="1">
        <f t="array" aca="1" ref="E52" ca="1">IF(AUTOEVENTO="Manual",ROUND(SUMPRODUCT((CÁLCULO!$M$15:$M$231=EVENTOS!$C52)*(OFFSET(CÁLCULO!$AA$15:$AA$231,0,E$13))),2),0)</f>
        <v>0</v>
      </c>
      <c r="F52" s="184">
        <f ca="1">IF(AUTOEVENTO="Manual",ROUND(SUMPRODUCT((CÁLCULO!$M$15:$M$231=EVENTOS!$C52)*(OFFSET(CÁLCULO!$AA$15,0,1):OFFSET(CÁLCULO!$AL$231,0,-1))),2),0)</f>
        <v>0</v>
      </c>
      <c r="G52" s="622" t="str">
        <f t="shared" ca="1" si="6"/>
        <v/>
      </c>
      <c r="H52" s="621" cm="1">
        <f t="array" aca="1" ref="H52" ca="1">IF(AUTOEVENTO="Manual",ROUND(SUMPRODUCT((CÁLCULO!$M$15:$M$231=EVENTOS!$C52)*(OFFSET(CÁLCULO!$AA$15:$AA$231,0,H$13))),2),0)</f>
        <v>0</v>
      </c>
      <c r="I52" s="621" cm="1">
        <f t="array" aca="1" ref="I52" ca="1">IF(AUTOEVENTO="Manual",ROUND(SUMPRODUCT((CÁLCULO!$M$15:$M$231=EVENTOS!$C52)*(OFFSET(CÁLCULO!$AA$15:$AA$231,0,I$13))),2),0)</f>
        <v>0</v>
      </c>
      <c r="J52" s="621" cm="1">
        <f t="array" aca="1" ref="J52" ca="1">IF(AUTOEVENTO="Manual",ROUND(SUMPRODUCT((CÁLCULO!$M$15:$M$231=EVENTOS!$C52)*(OFFSET(CÁLCULO!$AA$15:$AA$231,0,J$13))),2),0)</f>
        <v>0</v>
      </c>
      <c r="K52" s="621" cm="1">
        <f t="array" aca="1" ref="K52" ca="1">IF(AUTOEVENTO="Manual",ROUND(SUMPRODUCT((CÁLCULO!$M$15:$M$231=EVENTOS!$C52)*(OFFSET(CÁLCULO!$AA$15:$AA$231,0,K$13))),2),0)</f>
        <v>0</v>
      </c>
      <c r="L52" s="621" cm="1">
        <f t="array" aca="1" ref="L52" ca="1">IF(AUTOEVENTO="Manual",ROUND(SUMPRODUCT((CÁLCULO!$M$15:$M$231=EVENTOS!$C52)*(OFFSET(CÁLCULO!$AA$15:$AA$231,0,L$13))),2),0)</f>
        <v>0</v>
      </c>
      <c r="M52" s="621" cm="1">
        <f t="array" aca="1" ref="M52" ca="1">IF(AUTOEVENTO="Manual",ROUND(SUMPRODUCT((CÁLCULO!$M$15:$M$231=EVENTOS!$C52)*(OFFSET(CÁLCULO!$AA$15:$AA$231,0,M$13))),2),0)</f>
        <v>0</v>
      </c>
      <c r="N52" s="621" cm="1">
        <f t="array" aca="1" ref="N52" ca="1">IF(AUTOEVENTO="Manual",ROUND(SUMPRODUCT((CÁLCULO!$M$15:$M$231=EVENTOS!$C52)*(OFFSET(CÁLCULO!$AA$15:$AA$231,0,N$13))),2),0)</f>
        <v>0</v>
      </c>
      <c r="O52" s="621" cm="1">
        <f t="array" aca="1" ref="O52" ca="1">IF(AUTOEVENTO="Manual",ROUND(SUMPRODUCT((CÁLCULO!$M$15:$M$231=EVENTOS!$C52)*(OFFSET(CÁLCULO!$AA$15:$AA$231,0,O$13))),2),0)</f>
        <v>0</v>
      </c>
      <c r="P52" s="621" cm="1">
        <f t="array" aca="1" ref="P52" ca="1">IF(AUTOEVENTO="Manual",ROUND(SUMPRODUCT((CÁLCULO!$M$15:$M$231=EVENTOS!$C52)*(OFFSET(CÁLCULO!$AA$15:$AA$231,0,P$13))),2),0)</f>
        <v>0</v>
      </c>
      <c r="Q52" s="621" cm="1">
        <f t="array" aca="1" ref="Q52" ca="1">IF(AUTOEVENTO="Manual",ROUND(SUMPRODUCT((CÁLCULO!$M$15:$M$231=EVENTOS!$C52)*(OFFSET(CÁLCULO!$AA$15:$AA$231,0,Q$13))),2),0)</f>
        <v>0</v>
      </c>
      <c r="R52" s="621" cm="1">
        <f t="array" aca="1" ref="R52" ca="1">IF(AUTOEVENTO="Manual",ROUND(SUMPRODUCT((CÁLCULO!$M$15:$M$231=EVENTOS!$C52)*(OFFSET(CÁLCULO!$AA$15:$AA$231,0,R$13))),2),0)</f>
        <v>0</v>
      </c>
      <c r="S52" s="621" cm="1">
        <f t="array" aca="1" ref="S52" ca="1">IF(AUTOEVENTO="Manual",ROUND(SUMPRODUCT((CÁLCULO!$M$15:$M$231=EVENTOS!$C52)*(OFFSET(CÁLCULO!$AA$15:$AA$231,0,S$13))),2),0)</f>
        <v>0</v>
      </c>
      <c r="T52" s="621" cm="1">
        <f t="array" aca="1" ref="T52" ca="1">IF(AUTOEVENTO="Manual",ROUND(SUMPRODUCT((CÁLCULO!$M$15:$M$231=EVENTOS!$C52)*(OFFSET(CÁLCULO!$AA$15:$AA$231,0,T$13))),2),0)</f>
        <v>0</v>
      </c>
      <c r="U52" s="621" cm="1">
        <f t="array" aca="1" ref="U52" ca="1">IF(AUTOEVENTO="Manual",ROUND(SUMPRODUCT((CÁLCULO!$M$15:$M$231=EVENTOS!$C52)*(OFFSET(CÁLCULO!$AA$15:$AA$231,0,U$13))),2),0)</f>
        <v>0</v>
      </c>
      <c r="V52" s="621" cm="1">
        <f t="array" aca="1" ref="V52" ca="1">IF(AUTOEVENTO="Manual",ROUND(SUMPRODUCT((CÁLCULO!$M$15:$M$231=EVENTOS!$C52)*(OFFSET(CÁLCULO!$AA$15:$AA$231,0,V$13))),2),0)</f>
        <v>0</v>
      </c>
      <c r="W52" s="621" cm="1">
        <f t="array" aca="1" ref="W52" ca="1">IF(AUTOEVENTO="Manual",ROUND(SUMPRODUCT((CÁLCULO!$M$15:$M$231=EVENTOS!$C52)*(OFFSET(CÁLCULO!$AA$15:$AA$231,0,W$13))),2),0)</f>
        <v>0</v>
      </c>
      <c r="X52" s="621" cm="1">
        <f t="array" aca="1" ref="X52" ca="1">IF(AUTOEVENTO="Manual",ROUND(SUMPRODUCT((CÁLCULO!$M$15:$M$231=EVENTOS!$C52)*(OFFSET(CÁLCULO!$AA$15:$AA$231,0,X$13))),2),0)</f>
        <v>0</v>
      </c>
      <c r="Y52" s="621" cm="1">
        <f t="array" aca="1" ref="Y52" ca="1">IF(AUTOEVENTO="Manual",ROUND(SUMPRODUCT((CÁLCULO!$M$15:$M$231=EVENTOS!$C52)*(OFFSET(CÁLCULO!$AA$15:$AA$231,0,Y$13))),2),0)</f>
        <v>0</v>
      </c>
    </row>
    <row r="53" spans="1:25" s="675" customFormat="1" x14ac:dyDescent="0.2">
      <c r="A53" s="507" t="str">
        <f t="shared" si="3"/>
        <v/>
      </c>
      <c r="B53" s="675" t="str">
        <f t="shared" ca="1" si="4"/>
        <v/>
      </c>
      <c r="C53" s="183" t="str" cm="1">
        <f t="array" aca="1" ref="C53" ca="1">IF(OR(ROW(C53)=ROW(EVENTOS.firstrow)+1,AND(OFFSET(C53,-1,0)&lt;&gt;" ",OFFSET(C53,-1,1)&lt;&gt;"")),OFFSET(C53,-1,0)+1," ")</f>
        <v xml:space="preserve"> </v>
      </c>
      <c r="D53" s="497"/>
      <c r="E53" s="621" cm="1">
        <f t="array" aca="1" ref="E53" ca="1">IF(AUTOEVENTO="Manual",ROUND(SUMPRODUCT((CÁLCULO!$M$15:$M$231=EVENTOS!$C53)*(OFFSET(CÁLCULO!$AA$15:$AA$231,0,E$13))),2),0)</f>
        <v>0</v>
      </c>
      <c r="F53" s="184">
        <f ca="1">IF(AUTOEVENTO="Manual",ROUND(SUMPRODUCT((CÁLCULO!$M$15:$M$231=EVENTOS!$C53)*(OFFSET(CÁLCULO!$AA$15,0,1):OFFSET(CÁLCULO!$AL$231,0,-1))),2),0)</f>
        <v>0</v>
      </c>
      <c r="G53" s="622" t="str">
        <f t="shared" ca="1" si="6"/>
        <v/>
      </c>
      <c r="H53" s="621" cm="1">
        <f t="array" aca="1" ref="H53" ca="1">IF(AUTOEVENTO="Manual",ROUND(SUMPRODUCT((CÁLCULO!$M$15:$M$231=EVENTOS!$C53)*(OFFSET(CÁLCULO!$AA$15:$AA$231,0,H$13))),2),0)</f>
        <v>0</v>
      </c>
      <c r="I53" s="621" cm="1">
        <f t="array" aca="1" ref="I53" ca="1">IF(AUTOEVENTO="Manual",ROUND(SUMPRODUCT((CÁLCULO!$M$15:$M$231=EVENTOS!$C53)*(OFFSET(CÁLCULO!$AA$15:$AA$231,0,I$13))),2),0)</f>
        <v>0</v>
      </c>
      <c r="J53" s="621" cm="1">
        <f t="array" aca="1" ref="J53" ca="1">IF(AUTOEVENTO="Manual",ROUND(SUMPRODUCT((CÁLCULO!$M$15:$M$231=EVENTOS!$C53)*(OFFSET(CÁLCULO!$AA$15:$AA$231,0,J$13))),2),0)</f>
        <v>0</v>
      </c>
      <c r="K53" s="621" cm="1">
        <f t="array" aca="1" ref="K53" ca="1">IF(AUTOEVENTO="Manual",ROUND(SUMPRODUCT((CÁLCULO!$M$15:$M$231=EVENTOS!$C53)*(OFFSET(CÁLCULO!$AA$15:$AA$231,0,K$13))),2),0)</f>
        <v>0</v>
      </c>
      <c r="L53" s="621" cm="1">
        <f t="array" aca="1" ref="L53" ca="1">IF(AUTOEVENTO="Manual",ROUND(SUMPRODUCT((CÁLCULO!$M$15:$M$231=EVENTOS!$C53)*(OFFSET(CÁLCULO!$AA$15:$AA$231,0,L$13))),2),0)</f>
        <v>0</v>
      </c>
      <c r="M53" s="621" cm="1">
        <f t="array" aca="1" ref="M53" ca="1">IF(AUTOEVENTO="Manual",ROUND(SUMPRODUCT((CÁLCULO!$M$15:$M$231=EVENTOS!$C53)*(OFFSET(CÁLCULO!$AA$15:$AA$231,0,M$13))),2),0)</f>
        <v>0</v>
      </c>
      <c r="N53" s="621" cm="1">
        <f t="array" aca="1" ref="N53" ca="1">IF(AUTOEVENTO="Manual",ROUND(SUMPRODUCT((CÁLCULO!$M$15:$M$231=EVENTOS!$C53)*(OFFSET(CÁLCULO!$AA$15:$AA$231,0,N$13))),2),0)</f>
        <v>0</v>
      </c>
      <c r="O53" s="621" cm="1">
        <f t="array" aca="1" ref="O53" ca="1">IF(AUTOEVENTO="Manual",ROUND(SUMPRODUCT((CÁLCULO!$M$15:$M$231=EVENTOS!$C53)*(OFFSET(CÁLCULO!$AA$15:$AA$231,0,O$13))),2),0)</f>
        <v>0</v>
      </c>
      <c r="P53" s="621" cm="1">
        <f t="array" aca="1" ref="P53" ca="1">IF(AUTOEVENTO="Manual",ROUND(SUMPRODUCT((CÁLCULO!$M$15:$M$231=EVENTOS!$C53)*(OFFSET(CÁLCULO!$AA$15:$AA$231,0,P$13))),2),0)</f>
        <v>0</v>
      </c>
      <c r="Q53" s="621" cm="1">
        <f t="array" aca="1" ref="Q53" ca="1">IF(AUTOEVENTO="Manual",ROUND(SUMPRODUCT((CÁLCULO!$M$15:$M$231=EVENTOS!$C53)*(OFFSET(CÁLCULO!$AA$15:$AA$231,0,Q$13))),2),0)</f>
        <v>0</v>
      </c>
      <c r="R53" s="621" cm="1">
        <f t="array" aca="1" ref="R53" ca="1">IF(AUTOEVENTO="Manual",ROUND(SUMPRODUCT((CÁLCULO!$M$15:$M$231=EVENTOS!$C53)*(OFFSET(CÁLCULO!$AA$15:$AA$231,0,R$13))),2),0)</f>
        <v>0</v>
      </c>
      <c r="S53" s="621" cm="1">
        <f t="array" aca="1" ref="S53" ca="1">IF(AUTOEVENTO="Manual",ROUND(SUMPRODUCT((CÁLCULO!$M$15:$M$231=EVENTOS!$C53)*(OFFSET(CÁLCULO!$AA$15:$AA$231,0,S$13))),2),0)</f>
        <v>0</v>
      </c>
      <c r="T53" s="621" cm="1">
        <f t="array" aca="1" ref="T53" ca="1">IF(AUTOEVENTO="Manual",ROUND(SUMPRODUCT((CÁLCULO!$M$15:$M$231=EVENTOS!$C53)*(OFFSET(CÁLCULO!$AA$15:$AA$231,0,T$13))),2),0)</f>
        <v>0</v>
      </c>
      <c r="U53" s="621" cm="1">
        <f t="array" aca="1" ref="U53" ca="1">IF(AUTOEVENTO="Manual",ROUND(SUMPRODUCT((CÁLCULO!$M$15:$M$231=EVENTOS!$C53)*(OFFSET(CÁLCULO!$AA$15:$AA$231,0,U$13))),2),0)</f>
        <v>0</v>
      </c>
      <c r="V53" s="621" cm="1">
        <f t="array" aca="1" ref="V53" ca="1">IF(AUTOEVENTO="Manual",ROUND(SUMPRODUCT((CÁLCULO!$M$15:$M$231=EVENTOS!$C53)*(OFFSET(CÁLCULO!$AA$15:$AA$231,0,V$13))),2),0)</f>
        <v>0</v>
      </c>
      <c r="W53" s="621" cm="1">
        <f t="array" aca="1" ref="W53" ca="1">IF(AUTOEVENTO="Manual",ROUND(SUMPRODUCT((CÁLCULO!$M$15:$M$231=EVENTOS!$C53)*(OFFSET(CÁLCULO!$AA$15:$AA$231,0,W$13))),2),0)</f>
        <v>0</v>
      </c>
      <c r="X53" s="621" cm="1">
        <f t="array" aca="1" ref="X53" ca="1">IF(AUTOEVENTO="Manual",ROUND(SUMPRODUCT((CÁLCULO!$M$15:$M$231=EVENTOS!$C53)*(OFFSET(CÁLCULO!$AA$15:$AA$231,0,X$13))),2),0)</f>
        <v>0</v>
      </c>
      <c r="Y53" s="621" cm="1">
        <f t="array" aca="1" ref="Y53" ca="1">IF(AUTOEVENTO="Manual",ROUND(SUMPRODUCT((CÁLCULO!$M$15:$M$231=EVENTOS!$C53)*(OFFSET(CÁLCULO!$AA$15:$AA$231,0,Y$13))),2),0)</f>
        <v>0</v>
      </c>
    </row>
    <row r="54" spans="1:25" s="675" customFormat="1" x14ac:dyDescent="0.2">
      <c r="A54" s="507" t="str">
        <f t="shared" si="3"/>
        <v/>
      </c>
      <c r="B54" s="675" t="str">
        <f t="shared" ca="1" si="4"/>
        <v/>
      </c>
      <c r="C54" s="183" t="str" cm="1">
        <f t="array" aca="1" ref="C54" ca="1">IF(OR(ROW(C54)=ROW(EVENTOS.firstrow)+1,AND(OFFSET(C54,-1,0)&lt;&gt;" ",OFFSET(C54,-1,1)&lt;&gt;"")),OFFSET(C54,-1,0)+1," ")</f>
        <v xml:space="preserve"> </v>
      </c>
      <c r="D54" s="497"/>
      <c r="E54" s="621" cm="1">
        <f t="array" aca="1" ref="E54" ca="1">IF(AUTOEVENTO="Manual",ROUND(SUMPRODUCT((CÁLCULO!$M$15:$M$231=EVENTOS!$C54)*(OFFSET(CÁLCULO!$AA$15:$AA$231,0,E$13))),2),0)</f>
        <v>0</v>
      </c>
      <c r="F54" s="184">
        <f ca="1">IF(AUTOEVENTO="Manual",ROUND(SUMPRODUCT((CÁLCULO!$M$15:$M$231=EVENTOS!$C54)*(OFFSET(CÁLCULO!$AA$15,0,1):OFFSET(CÁLCULO!$AL$231,0,-1))),2),0)</f>
        <v>0</v>
      </c>
      <c r="G54" s="622" t="str">
        <f t="shared" ca="1" si="6"/>
        <v/>
      </c>
      <c r="H54" s="621" cm="1">
        <f t="array" aca="1" ref="H54" ca="1">IF(AUTOEVENTO="Manual",ROUND(SUMPRODUCT((CÁLCULO!$M$15:$M$231=EVENTOS!$C54)*(OFFSET(CÁLCULO!$AA$15:$AA$231,0,H$13))),2),0)</f>
        <v>0</v>
      </c>
      <c r="I54" s="621" cm="1">
        <f t="array" aca="1" ref="I54" ca="1">IF(AUTOEVENTO="Manual",ROUND(SUMPRODUCT((CÁLCULO!$M$15:$M$231=EVENTOS!$C54)*(OFFSET(CÁLCULO!$AA$15:$AA$231,0,I$13))),2),0)</f>
        <v>0</v>
      </c>
      <c r="J54" s="621" cm="1">
        <f t="array" aca="1" ref="J54" ca="1">IF(AUTOEVENTO="Manual",ROUND(SUMPRODUCT((CÁLCULO!$M$15:$M$231=EVENTOS!$C54)*(OFFSET(CÁLCULO!$AA$15:$AA$231,0,J$13))),2),0)</f>
        <v>0</v>
      </c>
      <c r="K54" s="621" cm="1">
        <f t="array" aca="1" ref="K54" ca="1">IF(AUTOEVENTO="Manual",ROUND(SUMPRODUCT((CÁLCULO!$M$15:$M$231=EVENTOS!$C54)*(OFFSET(CÁLCULO!$AA$15:$AA$231,0,K$13))),2),0)</f>
        <v>0</v>
      </c>
      <c r="L54" s="621" cm="1">
        <f t="array" aca="1" ref="L54" ca="1">IF(AUTOEVENTO="Manual",ROUND(SUMPRODUCT((CÁLCULO!$M$15:$M$231=EVENTOS!$C54)*(OFFSET(CÁLCULO!$AA$15:$AA$231,0,L$13))),2),0)</f>
        <v>0</v>
      </c>
      <c r="M54" s="621" cm="1">
        <f t="array" aca="1" ref="M54" ca="1">IF(AUTOEVENTO="Manual",ROUND(SUMPRODUCT((CÁLCULO!$M$15:$M$231=EVENTOS!$C54)*(OFFSET(CÁLCULO!$AA$15:$AA$231,0,M$13))),2),0)</f>
        <v>0</v>
      </c>
      <c r="N54" s="621" cm="1">
        <f t="array" aca="1" ref="N54" ca="1">IF(AUTOEVENTO="Manual",ROUND(SUMPRODUCT((CÁLCULO!$M$15:$M$231=EVENTOS!$C54)*(OFFSET(CÁLCULO!$AA$15:$AA$231,0,N$13))),2),0)</f>
        <v>0</v>
      </c>
      <c r="O54" s="621" cm="1">
        <f t="array" aca="1" ref="O54" ca="1">IF(AUTOEVENTO="Manual",ROUND(SUMPRODUCT((CÁLCULO!$M$15:$M$231=EVENTOS!$C54)*(OFFSET(CÁLCULO!$AA$15:$AA$231,0,O$13))),2),0)</f>
        <v>0</v>
      </c>
      <c r="P54" s="621" cm="1">
        <f t="array" aca="1" ref="P54" ca="1">IF(AUTOEVENTO="Manual",ROUND(SUMPRODUCT((CÁLCULO!$M$15:$M$231=EVENTOS!$C54)*(OFFSET(CÁLCULO!$AA$15:$AA$231,0,P$13))),2),0)</f>
        <v>0</v>
      </c>
      <c r="Q54" s="621" cm="1">
        <f t="array" aca="1" ref="Q54" ca="1">IF(AUTOEVENTO="Manual",ROUND(SUMPRODUCT((CÁLCULO!$M$15:$M$231=EVENTOS!$C54)*(OFFSET(CÁLCULO!$AA$15:$AA$231,0,Q$13))),2),0)</f>
        <v>0</v>
      </c>
      <c r="R54" s="621" cm="1">
        <f t="array" aca="1" ref="R54" ca="1">IF(AUTOEVENTO="Manual",ROUND(SUMPRODUCT((CÁLCULO!$M$15:$M$231=EVENTOS!$C54)*(OFFSET(CÁLCULO!$AA$15:$AA$231,0,R$13))),2),0)</f>
        <v>0</v>
      </c>
      <c r="S54" s="621" cm="1">
        <f t="array" aca="1" ref="S54" ca="1">IF(AUTOEVENTO="Manual",ROUND(SUMPRODUCT((CÁLCULO!$M$15:$M$231=EVENTOS!$C54)*(OFFSET(CÁLCULO!$AA$15:$AA$231,0,S$13))),2),0)</f>
        <v>0</v>
      </c>
      <c r="T54" s="621" cm="1">
        <f t="array" aca="1" ref="T54" ca="1">IF(AUTOEVENTO="Manual",ROUND(SUMPRODUCT((CÁLCULO!$M$15:$M$231=EVENTOS!$C54)*(OFFSET(CÁLCULO!$AA$15:$AA$231,0,T$13))),2),0)</f>
        <v>0</v>
      </c>
      <c r="U54" s="621" cm="1">
        <f t="array" aca="1" ref="U54" ca="1">IF(AUTOEVENTO="Manual",ROUND(SUMPRODUCT((CÁLCULO!$M$15:$M$231=EVENTOS!$C54)*(OFFSET(CÁLCULO!$AA$15:$AA$231,0,U$13))),2),0)</f>
        <v>0</v>
      </c>
      <c r="V54" s="621" cm="1">
        <f t="array" aca="1" ref="V54" ca="1">IF(AUTOEVENTO="Manual",ROUND(SUMPRODUCT((CÁLCULO!$M$15:$M$231=EVENTOS!$C54)*(OFFSET(CÁLCULO!$AA$15:$AA$231,0,V$13))),2),0)</f>
        <v>0</v>
      </c>
      <c r="W54" s="621" cm="1">
        <f t="array" aca="1" ref="W54" ca="1">IF(AUTOEVENTO="Manual",ROUND(SUMPRODUCT((CÁLCULO!$M$15:$M$231=EVENTOS!$C54)*(OFFSET(CÁLCULO!$AA$15:$AA$231,0,W$13))),2),0)</f>
        <v>0</v>
      </c>
      <c r="X54" s="621" cm="1">
        <f t="array" aca="1" ref="X54" ca="1">IF(AUTOEVENTO="Manual",ROUND(SUMPRODUCT((CÁLCULO!$M$15:$M$231=EVENTOS!$C54)*(OFFSET(CÁLCULO!$AA$15:$AA$231,0,X$13))),2),0)</f>
        <v>0</v>
      </c>
      <c r="Y54" s="621" cm="1">
        <f t="array" aca="1" ref="Y54" ca="1">IF(AUTOEVENTO="Manual",ROUND(SUMPRODUCT((CÁLCULO!$M$15:$M$231=EVENTOS!$C54)*(OFFSET(CÁLCULO!$AA$15:$AA$231,0,Y$13))),2),0)</f>
        <v>0</v>
      </c>
    </row>
    <row r="55" spans="1:25" s="675" customFormat="1" x14ac:dyDescent="0.2">
      <c r="A55" s="507" t="str">
        <f t="shared" si="3"/>
        <v/>
      </c>
      <c r="B55" s="675" t="str">
        <f t="shared" ca="1" si="4"/>
        <v/>
      </c>
      <c r="C55" s="183" t="str" cm="1">
        <f t="array" aca="1" ref="C55" ca="1">IF(OR(ROW(C55)=ROW(EVENTOS.firstrow)+1,AND(OFFSET(C55,-1,0)&lt;&gt;" ",OFFSET(C55,-1,1)&lt;&gt;"")),OFFSET(C55,-1,0)+1," ")</f>
        <v xml:space="preserve"> </v>
      </c>
      <c r="D55" s="497"/>
      <c r="E55" s="621" cm="1">
        <f t="array" aca="1" ref="E55" ca="1">IF(AUTOEVENTO="Manual",ROUND(SUMPRODUCT((CÁLCULO!$M$15:$M$231=EVENTOS!$C55)*(OFFSET(CÁLCULO!$AA$15:$AA$231,0,E$13))),2),0)</f>
        <v>0</v>
      </c>
      <c r="F55" s="184">
        <f ca="1">IF(AUTOEVENTO="Manual",ROUND(SUMPRODUCT((CÁLCULO!$M$15:$M$231=EVENTOS!$C55)*(OFFSET(CÁLCULO!$AA$15,0,1):OFFSET(CÁLCULO!$AL$231,0,-1))),2),0)</f>
        <v>0</v>
      </c>
      <c r="G55" s="622" t="str">
        <f t="shared" ca="1" si="6"/>
        <v/>
      </c>
      <c r="H55" s="621" cm="1">
        <f t="array" aca="1" ref="H55" ca="1">IF(AUTOEVENTO="Manual",ROUND(SUMPRODUCT((CÁLCULO!$M$15:$M$231=EVENTOS!$C55)*(OFFSET(CÁLCULO!$AA$15:$AA$231,0,H$13))),2),0)</f>
        <v>0</v>
      </c>
      <c r="I55" s="621" cm="1">
        <f t="array" aca="1" ref="I55" ca="1">IF(AUTOEVENTO="Manual",ROUND(SUMPRODUCT((CÁLCULO!$M$15:$M$231=EVENTOS!$C55)*(OFFSET(CÁLCULO!$AA$15:$AA$231,0,I$13))),2),0)</f>
        <v>0</v>
      </c>
      <c r="J55" s="621" cm="1">
        <f t="array" aca="1" ref="J55" ca="1">IF(AUTOEVENTO="Manual",ROUND(SUMPRODUCT((CÁLCULO!$M$15:$M$231=EVENTOS!$C55)*(OFFSET(CÁLCULO!$AA$15:$AA$231,0,J$13))),2),0)</f>
        <v>0</v>
      </c>
      <c r="K55" s="621" cm="1">
        <f t="array" aca="1" ref="K55" ca="1">IF(AUTOEVENTO="Manual",ROUND(SUMPRODUCT((CÁLCULO!$M$15:$M$231=EVENTOS!$C55)*(OFFSET(CÁLCULO!$AA$15:$AA$231,0,K$13))),2),0)</f>
        <v>0</v>
      </c>
      <c r="L55" s="621" cm="1">
        <f t="array" aca="1" ref="L55" ca="1">IF(AUTOEVENTO="Manual",ROUND(SUMPRODUCT((CÁLCULO!$M$15:$M$231=EVENTOS!$C55)*(OFFSET(CÁLCULO!$AA$15:$AA$231,0,L$13))),2),0)</f>
        <v>0</v>
      </c>
      <c r="M55" s="621" cm="1">
        <f t="array" aca="1" ref="M55" ca="1">IF(AUTOEVENTO="Manual",ROUND(SUMPRODUCT((CÁLCULO!$M$15:$M$231=EVENTOS!$C55)*(OFFSET(CÁLCULO!$AA$15:$AA$231,0,M$13))),2),0)</f>
        <v>0</v>
      </c>
      <c r="N55" s="621" cm="1">
        <f t="array" aca="1" ref="N55" ca="1">IF(AUTOEVENTO="Manual",ROUND(SUMPRODUCT((CÁLCULO!$M$15:$M$231=EVENTOS!$C55)*(OFFSET(CÁLCULO!$AA$15:$AA$231,0,N$13))),2),0)</f>
        <v>0</v>
      </c>
      <c r="O55" s="621" cm="1">
        <f t="array" aca="1" ref="O55" ca="1">IF(AUTOEVENTO="Manual",ROUND(SUMPRODUCT((CÁLCULO!$M$15:$M$231=EVENTOS!$C55)*(OFFSET(CÁLCULO!$AA$15:$AA$231,0,O$13))),2),0)</f>
        <v>0</v>
      </c>
      <c r="P55" s="621" cm="1">
        <f t="array" aca="1" ref="P55" ca="1">IF(AUTOEVENTO="Manual",ROUND(SUMPRODUCT((CÁLCULO!$M$15:$M$231=EVENTOS!$C55)*(OFFSET(CÁLCULO!$AA$15:$AA$231,0,P$13))),2),0)</f>
        <v>0</v>
      </c>
      <c r="Q55" s="621" cm="1">
        <f t="array" aca="1" ref="Q55" ca="1">IF(AUTOEVENTO="Manual",ROUND(SUMPRODUCT((CÁLCULO!$M$15:$M$231=EVENTOS!$C55)*(OFFSET(CÁLCULO!$AA$15:$AA$231,0,Q$13))),2),0)</f>
        <v>0</v>
      </c>
      <c r="R55" s="621" cm="1">
        <f t="array" aca="1" ref="R55" ca="1">IF(AUTOEVENTO="Manual",ROUND(SUMPRODUCT((CÁLCULO!$M$15:$M$231=EVENTOS!$C55)*(OFFSET(CÁLCULO!$AA$15:$AA$231,0,R$13))),2),0)</f>
        <v>0</v>
      </c>
      <c r="S55" s="621" cm="1">
        <f t="array" aca="1" ref="S55" ca="1">IF(AUTOEVENTO="Manual",ROUND(SUMPRODUCT((CÁLCULO!$M$15:$M$231=EVENTOS!$C55)*(OFFSET(CÁLCULO!$AA$15:$AA$231,0,S$13))),2),0)</f>
        <v>0</v>
      </c>
      <c r="T55" s="621" cm="1">
        <f t="array" aca="1" ref="T55" ca="1">IF(AUTOEVENTO="Manual",ROUND(SUMPRODUCT((CÁLCULO!$M$15:$M$231=EVENTOS!$C55)*(OFFSET(CÁLCULO!$AA$15:$AA$231,0,T$13))),2),0)</f>
        <v>0</v>
      </c>
      <c r="U55" s="621" cm="1">
        <f t="array" aca="1" ref="U55" ca="1">IF(AUTOEVENTO="Manual",ROUND(SUMPRODUCT((CÁLCULO!$M$15:$M$231=EVENTOS!$C55)*(OFFSET(CÁLCULO!$AA$15:$AA$231,0,U$13))),2),0)</f>
        <v>0</v>
      </c>
      <c r="V55" s="621" cm="1">
        <f t="array" aca="1" ref="V55" ca="1">IF(AUTOEVENTO="Manual",ROUND(SUMPRODUCT((CÁLCULO!$M$15:$M$231=EVENTOS!$C55)*(OFFSET(CÁLCULO!$AA$15:$AA$231,0,V$13))),2),0)</f>
        <v>0</v>
      </c>
      <c r="W55" s="621" cm="1">
        <f t="array" aca="1" ref="W55" ca="1">IF(AUTOEVENTO="Manual",ROUND(SUMPRODUCT((CÁLCULO!$M$15:$M$231=EVENTOS!$C55)*(OFFSET(CÁLCULO!$AA$15:$AA$231,0,W$13))),2),0)</f>
        <v>0</v>
      </c>
      <c r="X55" s="621" cm="1">
        <f t="array" aca="1" ref="X55" ca="1">IF(AUTOEVENTO="Manual",ROUND(SUMPRODUCT((CÁLCULO!$M$15:$M$231=EVENTOS!$C55)*(OFFSET(CÁLCULO!$AA$15:$AA$231,0,X$13))),2),0)</f>
        <v>0</v>
      </c>
      <c r="Y55" s="621" cm="1">
        <f t="array" aca="1" ref="Y55" ca="1">IF(AUTOEVENTO="Manual",ROUND(SUMPRODUCT((CÁLCULO!$M$15:$M$231=EVENTOS!$C55)*(OFFSET(CÁLCULO!$AA$15:$AA$231,0,Y$13))),2),0)</f>
        <v>0</v>
      </c>
    </row>
    <row r="56" spans="1:25" s="675" customFormat="1" x14ac:dyDescent="0.2">
      <c r="A56" s="507" t="str">
        <f t="shared" si="3"/>
        <v/>
      </c>
      <c r="B56" s="675" t="str">
        <f t="shared" ca="1" si="4"/>
        <v/>
      </c>
      <c r="C56" s="183" t="str" cm="1">
        <f t="array" aca="1" ref="C56" ca="1">IF(OR(ROW(C56)=ROW(EVENTOS.firstrow)+1,AND(OFFSET(C56,-1,0)&lt;&gt;" ",OFFSET(C56,-1,1)&lt;&gt;"")),OFFSET(C56,-1,0)+1," ")</f>
        <v xml:space="preserve"> </v>
      </c>
      <c r="D56" s="497"/>
      <c r="E56" s="621" cm="1">
        <f t="array" aca="1" ref="E56" ca="1">IF(AUTOEVENTO="Manual",ROUND(SUMPRODUCT((CÁLCULO!$M$15:$M$231=EVENTOS!$C56)*(OFFSET(CÁLCULO!$AA$15:$AA$231,0,E$13))),2),0)</f>
        <v>0</v>
      </c>
      <c r="F56" s="184">
        <f ca="1">IF(AUTOEVENTO="Manual",ROUND(SUMPRODUCT((CÁLCULO!$M$15:$M$231=EVENTOS!$C56)*(OFFSET(CÁLCULO!$AA$15,0,1):OFFSET(CÁLCULO!$AL$231,0,-1))),2),0)</f>
        <v>0</v>
      </c>
      <c r="G56" s="622" t="str">
        <f t="shared" ca="1" si="6"/>
        <v/>
      </c>
      <c r="H56" s="621" cm="1">
        <f t="array" aca="1" ref="H56" ca="1">IF(AUTOEVENTO="Manual",ROUND(SUMPRODUCT((CÁLCULO!$M$15:$M$231=EVENTOS!$C56)*(OFFSET(CÁLCULO!$AA$15:$AA$231,0,H$13))),2),0)</f>
        <v>0</v>
      </c>
      <c r="I56" s="621" cm="1">
        <f t="array" aca="1" ref="I56" ca="1">IF(AUTOEVENTO="Manual",ROUND(SUMPRODUCT((CÁLCULO!$M$15:$M$231=EVENTOS!$C56)*(OFFSET(CÁLCULO!$AA$15:$AA$231,0,I$13))),2),0)</f>
        <v>0</v>
      </c>
      <c r="J56" s="621" cm="1">
        <f t="array" aca="1" ref="J56" ca="1">IF(AUTOEVENTO="Manual",ROUND(SUMPRODUCT((CÁLCULO!$M$15:$M$231=EVENTOS!$C56)*(OFFSET(CÁLCULO!$AA$15:$AA$231,0,J$13))),2),0)</f>
        <v>0</v>
      </c>
      <c r="K56" s="621" cm="1">
        <f t="array" aca="1" ref="K56" ca="1">IF(AUTOEVENTO="Manual",ROUND(SUMPRODUCT((CÁLCULO!$M$15:$M$231=EVENTOS!$C56)*(OFFSET(CÁLCULO!$AA$15:$AA$231,0,K$13))),2),0)</f>
        <v>0</v>
      </c>
      <c r="L56" s="621" cm="1">
        <f t="array" aca="1" ref="L56" ca="1">IF(AUTOEVENTO="Manual",ROUND(SUMPRODUCT((CÁLCULO!$M$15:$M$231=EVENTOS!$C56)*(OFFSET(CÁLCULO!$AA$15:$AA$231,0,L$13))),2),0)</f>
        <v>0</v>
      </c>
      <c r="M56" s="621" cm="1">
        <f t="array" aca="1" ref="M56" ca="1">IF(AUTOEVENTO="Manual",ROUND(SUMPRODUCT((CÁLCULO!$M$15:$M$231=EVENTOS!$C56)*(OFFSET(CÁLCULO!$AA$15:$AA$231,0,M$13))),2),0)</f>
        <v>0</v>
      </c>
      <c r="N56" s="621" cm="1">
        <f t="array" aca="1" ref="N56" ca="1">IF(AUTOEVENTO="Manual",ROUND(SUMPRODUCT((CÁLCULO!$M$15:$M$231=EVENTOS!$C56)*(OFFSET(CÁLCULO!$AA$15:$AA$231,0,N$13))),2),0)</f>
        <v>0</v>
      </c>
      <c r="O56" s="621" cm="1">
        <f t="array" aca="1" ref="O56" ca="1">IF(AUTOEVENTO="Manual",ROUND(SUMPRODUCT((CÁLCULO!$M$15:$M$231=EVENTOS!$C56)*(OFFSET(CÁLCULO!$AA$15:$AA$231,0,O$13))),2),0)</f>
        <v>0</v>
      </c>
      <c r="P56" s="621" cm="1">
        <f t="array" aca="1" ref="P56" ca="1">IF(AUTOEVENTO="Manual",ROUND(SUMPRODUCT((CÁLCULO!$M$15:$M$231=EVENTOS!$C56)*(OFFSET(CÁLCULO!$AA$15:$AA$231,0,P$13))),2),0)</f>
        <v>0</v>
      </c>
      <c r="Q56" s="621" cm="1">
        <f t="array" aca="1" ref="Q56" ca="1">IF(AUTOEVENTO="Manual",ROUND(SUMPRODUCT((CÁLCULO!$M$15:$M$231=EVENTOS!$C56)*(OFFSET(CÁLCULO!$AA$15:$AA$231,0,Q$13))),2),0)</f>
        <v>0</v>
      </c>
      <c r="R56" s="621" cm="1">
        <f t="array" aca="1" ref="R56" ca="1">IF(AUTOEVENTO="Manual",ROUND(SUMPRODUCT((CÁLCULO!$M$15:$M$231=EVENTOS!$C56)*(OFFSET(CÁLCULO!$AA$15:$AA$231,0,R$13))),2),0)</f>
        <v>0</v>
      </c>
      <c r="S56" s="621" cm="1">
        <f t="array" aca="1" ref="S56" ca="1">IF(AUTOEVENTO="Manual",ROUND(SUMPRODUCT((CÁLCULO!$M$15:$M$231=EVENTOS!$C56)*(OFFSET(CÁLCULO!$AA$15:$AA$231,0,S$13))),2),0)</f>
        <v>0</v>
      </c>
      <c r="T56" s="621" cm="1">
        <f t="array" aca="1" ref="T56" ca="1">IF(AUTOEVENTO="Manual",ROUND(SUMPRODUCT((CÁLCULO!$M$15:$M$231=EVENTOS!$C56)*(OFFSET(CÁLCULO!$AA$15:$AA$231,0,T$13))),2),0)</f>
        <v>0</v>
      </c>
      <c r="U56" s="621" cm="1">
        <f t="array" aca="1" ref="U56" ca="1">IF(AUTOEVENTO="Manual",ROUND(SUMPRODUCT((CÁLCULO!$M$15:$M$231=EVENTOS!$C56)*(OFFSET(CÁLCULO!$AA$15:$AA$231,0,U$13))),2),0)</f>
        <v>0</v>
      </c>
      <c r="V56" s="621" cm="1">
        <f t="array" aca="1" ref="V56" ca="1">IF(AUTOEVENTO="Manual",ROUND(SUMPRODUCT((CÁLCULO!$M$15:$M$231=EVENTOS!$C56)*(OFFSET(CÁLCULO!$AA$15:$AA$231,0,V$13))),2),0)</f>
        <v>0</v>
      </c>
      <c r="W56" s="621" cm="1">
        <f t="array" aca="1" ref="W56" ca="1">IF(AUTOEVENTO="Manual",ROUND(SUMPRODUCT((CÁLCULO!$M$15:$M$231=EVENTOS!$C56)*(OFFSET(CÁLCULO!$AA$15:$AA$231,0,W$13))),2),0)</f>
        <v>0</v>
      </c>
      <c r="X56" s="621" cm="1">
        <f t="array" aca="1" ref="X56" ca="1">IF(AUTOEVENTO="Manual",ROUND(SUMPRODUCT((CÁLCULO!$M$15:$M$231=EVENTOS!$C56)*(OFFSET(CÁLCULO!$AA$15:$AA$231,0,X$13))),2),0)</f>
        <v>0</v>
      </c>
      <c r="Y56" s="621" cm="1">
        <f t="array" aca="1" ref="Y56" ca="1">IF(AUTOEVENTO="Manual",ROUND(SUMPRODUCT((CÁLCULO!$M$15:$M$231=EVENTOS!$C56)*(OFFSET(CÁLCULO!$AA$15:$AA$231,0,Y$13))),2),0)</f>
        <v>0</v>
      </c>
    </row>
    <row r="57" spans="1:25" s="675" customFormat="1" x14ac:dyDescent="0.2">
      <c r="A57" s="507" t="str">
        <f t="shared" si="3"/>
        <v/>
      </c>
      <c r="B57" s="675" t="str">
        <f t="shared" ca="1" si="4"/>
        <v/>
      </c>
      <c r="C57" s="183" t="str" cm="1">
        <f t="array" aca="1" ref="C57" ca="1">IF(OR(ROW(C57)=ROW(EVENTOS.firstrow)+1,AND(OFFSET(C57,-1,0)&lt;&gt;" ",OFFSET(C57,-1,1)&lt;&gt;"")),OFFSET(C57,-1,0)+1," ")</f>
        <v xml:space="preserve"> </v>
      </c>
      <c r="D57" s="497"/>
      <c r="E57" s="621" cm="1">
        <f t="array" aca="1" ref="E57" ca="1">IF(AUTOEVENTO="Manual",ROUND(SUMPRODUCT((CÁLCULO!$M$15:$M$231=EVENTOS!$C57)*(OFFSET(CÁLCULO!$AA$15:$AA$231,0,E$13))),2),0)</f>
        <v>0</v>
      </c>
      <c r="F57" s="184">
        <f ca="1">IF(AUTOEVENTO="Manual",ROUND(SUMPRODUCT((CÁLCULO!$M$15:$M$231=EVENTOS!$C57)*(OFFSET(CÁLCULO!$AA$15,0,1):OFFSET(CÁLCULO!$AL$231,0,-1))),2),0)</f>
        <v>0</v>
      </c>
      <c r="G57" s="622" t="str">
        <f t="shared" ca="1" si="6"/>
        <v/>
      </c>
      <c r="H57" s="621" cm="1">
        <f t="array" aca="1" ref="H57" ca="1">IF(AUTOEVENTO="Manual",ROUND(SUMPRODUCT((CÁLCULO!$M$15:$M$231=EVENTOS!$C57)*(OFFSET(CÁLCULO!$AA$15:$AA$231,0,H$13))),2),0)</f>
        <v>0</v>
      </c>
      <c r="I57" s="621" cm="1">
        <f t="array" aca="1" ref="I57" ca="1">IF(AUTOEVENTO="Manual",ROUND(SUMPRODUCT((CÁLCULO!$M$15:$M$231=EVENTOS!$C57)*(OFFSET(CÁLCULO!$AA$15:$AA$231,0,I$13))),2),0)</f>
        <v>0</v>
      </c>
      <c r="J57" s="621" cm="1">
        <f t="array" aca="1" ref="J57" ca="1">IF(AUTOEVENTO="Manual",ROUND(SUMPRODUCT((CÁLCULO!$M$15:$M$231=EVENTOS!$C57)*(OFFSET(CÁLCULO!$AA$15:$AA$231,0,J$13))),2),0)</f>
        <v>0</v>
      </c>
      <c r="K57" s="621" cm="1">
        <f t="array" aca="1" ref="K57" ca="1">IF(AUTOEVENTO="Manual",ROUND(SUMPRODUCT((CÁLCULO!$M$15:$M$231=EVENTOS!$C57)*(OFFSET(CÁLCULO!$AA$15:$AA$231,0,K$13))),2),0)</f>
        <v>0</v>
      </c>
      <c r="L57" s="621" cm="1">
        <f t="array" aca="1" ref="L57" ca="1">IF(AUTOEVENTO="Manual",ROUND(SUMPRODUCT((CÁLCULO!$M$15:$M$231=EVENTOS!$C57)*(OFFSET(CÁLCULO!$AA$15:$AA$231,0,L$13))),2),0)</f>
        <v>0</v>
      </c>
      <c r="M57" s="621" cm="1">
        <f t="array" aca="1" ref="M57" ca="1">IF(AUTOEVENTO="Manual",ROUND(SUMPRODUCT((CÁLCULO!$M$15:$M$231=EVENTOS!$C57)*(OFFSET(CÁLCULO!$AA$15:$AA$231,0,M$13))),2),0)</f>
        <v>0</v>
      </c>
      <c r="N57" s="621" cm="1">
        <f t="array" aca="1" ref="N57" ca="1">IF(AUTOEVENTO="Manual",ROUND(SUMPRODUCT((CÁLCULO!$M$15:$M$231=EVENTOS!$C57)*(OFFSET(CÁLCULO!$AA$15:$AA$231,0,N$13))),2),0)</f>
        <v>0</v>
      </c>
      <c r="O57" s="621" cm="1">
        <f t="array" aca="1" ref="O57" ca="1">IF(AUTOEVENTO="Manual",ROUND(SUMPRODUCT((CÁLCULO!$M$15:$M$231=EVENTOS!$C57)*(OFFSET(CÁLCULO!$AA$15:$AA$231,0,O$13))),2),0)</f>
        <v>0</v>
      </c>
      <c r="P57" s="621" cm="1">
        <f t="array" aca="1" ref="P57" ca="1">IF(AUTOEVENTO="Manual",ROUND(SUMPRODUCT((CÁLCULO!$M$15:$M$231=EVENTOS!$C57)*(OFFSET(CÁLCULO!$AA$15:$AA$231,0,P$13))),2),0)</f>
        <v>0</v>
      </c>
      <c r="Q57" s="621" cm="1">
        <f t="array" aca="1" ref="Q57" ca="1">IF(AUTOEVENTO="Manual",ROUND(SUMPRODUCT((CÁLCULO!$M$15:$M$231=EVENTOS!$C57)*(OFFSET(CÁLCULO!$AA$15:$AA$231,0,Q$13))),2),0)</f>
        <v>0</v>
      </c>
      <c r="R57" s="621" cm="1">
        <f t="array" aca="1" ref="R57" ca="1">IF(AUTOEVENTO="Manual",ROUND(SUMPRODUCT((CÁLCULO!$M$15:$M$231=EVENTOS!$C57)*(OFFSET(CÁLCULO!$AA$15:$AA$231,0,R$13))),2),0)</f>
        <v>0</v>
      </c>
      <c r="S57" s="621" cm="1">
        <f t="array" aca="1" ref="S57" ca="1">IF(AUTOEVENTO="Manual",ROUND(SUMPRODUCT((CÁLCULO!$M$15:$M$231=EVENTOS!$C57)*(OFFSET(CÁLCULO!$AA$15:$AA$231,0,S$13))),2),0)</f>
        <v>0</v>
      </c>
      <c r="T57" s="621" cm="1">
        <f t="array" aca="1" ref="T57" ca="1">IF(AUTOEVENTO="Manual",ROUND(SUMPRODUCT((CÁLCULO!$M$15:$M$231=EVENTOS!$C57)*(OFFSET(CÁLCULO!$AA$15:$AA$231,0,T$13))),2),0)</f>
        <v>0</v>
      </c>
      <c r="U57" s="621" cm="1">
        <f t="array" aca="1" ref="U57" ca="1">IF(AUTOEVENTO="Manual",ROUND(SUMPRODUCT((CÁLCULO!$M$15:$M$231=EVENTOS!$C57)*(OFFSET(CÁLCULO!$AA$15:$AA$231,0,U$13))),2),0)</f>
        <v>0</v>
      </c>
      <c r="V57" s="621" cm="1">
        <f t="array" aca="1" ref="V57" ca="1">IF(AUTOEVENTO="Manual",ROUND(SUMPRODUCT((CÁLCULO!$M$15:$M$231=EVENTOS!$C57)*(OFFSET(CÁLCULO!$AA$15:$AA$231,0,V$13))),2),0)</f>
        <v>0</v>
      </c>
      <c r="W57" s="621" cm="1">
        <f t="array" aca="1" ref="W57" ca="1">IF(AUTOEVENTO="Manual",ROUND(SUMPRODUCT((CÁLCULO!$M$15:$M$231=EVENTOS!$C57)*(OFFSET(CÁLCULO!$AA$15:$AA$231,0,W$13))),2),0)</f>
        <v>0</v>
      </c>
      <c r="X57" s="621" cm="1">
        <f t="array" aca="1" ref="X57" ca="1">IF(AUTOEVENTO="Manual",ROUND(SUMPRODUCT((CÁLCULO!$M$15:$M$231=EVENTOS!$C57)*(OFFSET(CÁLCULO!$AA$15:$AA$231,0,X$13))),2),0)</f>
        <v>0</v>
      </c>
      <c r="Y57" s="621" cm="1">
        <f t="array" aca="1" ref="Y57" ca="1">IF(AUTOEVENTO="Manual",ROUND(SUMPRODUCT((CÁLCULO!$M$15:$M$231=EVENTOS!$C57)*(OFFSET(CÁLCULO!$AA$15:$AA$231,0,Y$13))),2),0)</f>
        <v>0</v>
      </c>
    </row>
    <row r="58" spans="1:25" s="675" customFormat="1" x14ac:dyDescent="0.2">
      <c r="A58" s="507" t="str">
        <f t="shared" si="3"/>
        <v/>
      </c>
      <c r="B58" s="675" t="str">
        <f t="shared" ca="1" si="4"/>
        <v/>
      </c>
      <c r="C58" s="183" t="str" cm="1">
        <f t="array" aca="1" ref="C58" ca="1">IF(OR(ROW(C58)=ROW(EVENTOS.firstrow)+1,AND(OFFSET(C58,-1,0)&lt;&gt;" ",OFFSET(C58,-1,1)&lt;&gt;"")),OFFSET(C58,-1,0)+1," ")</f>
        <v xml:space="preserve"> </v>
      </c>
      <c r="D58" s="497"/>
      <c r="E58" s="621" cm="1">
        <f t="array" aca="1" ref="E58" ca="1">IF(AUTOEVENTO="Manual",ROUND(SUMPRODUCT((CÁLCULO!$M$15:$M$231=EVENTOS!$C58)*(OFFSET(CÁLCULO!$AA$15:$AA$231,0,E$13))),2),0)</f>
        <v>0</v>
      </c>
      <c r="F58" s="184">
        <f ca="1">IF(AUTOEVENTO="Manual",ROUND(SUMPRODUCT((CÁLCULO!$M$15:$M$231=EVENTOS!$C58)*(OFFSET(CÁLCULO!$AA$15,0,1):OFFSET(CÁLCULO!$AL$231,0,-1))),2),0)</f>
        <v>0</v>
      </c>
      <c r="G58" s="622" t="str">
        <f t="shared" ca="1" si="6"/>
        <v/>
      </c>
      <c r="H58" s="621" cm="1">
        <f t="array" aca="1" ref="H58" ca="1">IF(AUTOEVENTO="Manual",ROUND(SUMPRODUCT((CÁLCULO!$M$15:$M$231=EVENTOS!$C58)*(OFFSET(CÁLCULO!$AA$15:$AA$231,0,H$13))),2),0)</f>
        <v>0</v>
      </c>
      <c r="I58" s="621" cm="1">
        <f t="array" aca="1" ref="I58" ca="1">IF(AUTOEVENTO="Manual",ROUND(SUMPRODUCT((CÁLCULO!$M$15:$M$231=EVENTOS!$C58)*(OFFSET(CÁLCULO!$AA$15:$AA$231,0,I$13))),2),0)</f>
        <v>0</v>
      </c>
      <c r="J58" s="621" cm="1">
        <f t="array" aca="1" ref="J58" ca="1">IF(AUTOEVENTO="Manual",ROUND(SUMPRODUCT((CÁLCULO!$M$15:$M$231=EVENTOS!$C58)*(OFFSET(CÁLCULO!$AA$15:$AA$231,0,J$13))),2),0)</f>
        <v>0</v>
      </c>
      <c r="K58" s="621" cm="1">
        <f t="array" aca="1" ref="K58" ca="1">IF(AUTOEVENTO="Manual",ROUND(SUMPRODUCT((CÁLCULO!$M$15:$M$231=EVENTOS!$C58)*(OFFSET(CÁLCULO!$AA$15:$AA$231,0,K$13))),2),0)</f>
        <v>0</v>
      </c>
      <c r="L58" s="621" cm="1">
        <f t="array" aca="1" ref="L58" ca="1">IF(AUTOEVENTO="Manual",ROUND(SUMPRODUCT((CÁLCULO!$M$15:$M$231=EVENTOS!$C58)*(OFFSET(CÁLCULO!$AA$15:$AA$231,0,L$13))),2),0)</f>
        <v>0</v>
      </c>
      <c r="M58" s="621" cm="1">
        <f t="array" aca="1" ref="M58" ca="1">IF(AUTOEVENTO="Manual",ROUND(SUMPRODUCT((CÁLCULO!$M$15:$M$231=EVENTOS!$C58)*(OFFSET(CÁLCULO!$AA$15:$AA$231,0,M$13))),2),0)</f>
        <v>0</v>
      </c>
      <c r="N58" s="621" cm="1">
        <f t="array" aca="1" ref="N58" ca="1">IF(AUTOEVENTO="Manual",ROUND(SUMPRODUCT((CÁLCULO!$M$15:$M$231=EVENTOS!$C58)*(OFFSET(CÁLCULO!$AA$15:$AA$231,0,N$13))),2),0)</f>
        <v>0</v>
      </c>
      <c r="O58" s="621" cm="1">
        <f t="array" aca="1" ref="O58" ca="1">IF(AUTOEVENTO="Manual",ROUND(SUMPRODUCT((CÁLCULO!$M$15:$M$231=EVENTOS!$C58)*(OFFSET(CÁLCULO!$AA$15:$AA$231,0,O$13))),2),0)</f>
        <v>0</v>
      </c>
      <c r="P58" s="621" cm="1">
        <f t="array" aca="1" ref="P58" ca="1">IF(AUTOEVENTO="Manual",ROUND(SUMPRODUCT((CÁLCULO!$M$15:$M$231=EVENTOS!$C58)*(OFFSET(CÁLCULO!$AA$15:$AA$231,0,P$13))),2),0)</f>
        <v>0</v>
      </c>
      <c r="Q58" s="621" cm="1">
        <f t="array" aca="1" ref="Q58" ca="1">IF(AUTOEVENTO="Manual",ROUND(SUMPRODUCT((CÁLCULO!$M$15:$M$231=EVENTOS!$C58)*(OFFSET(CÁLCULO!$AA$15:$AA$231,0,Q$13))),2),0)</f>
        <v>0</v>
      </c>
      <c r="R58" s="621" cm="1">
        <f t="array" aca="1" ref="R58" ca="1">IF(AUTOEVENTO="Manual",ROUND(SUMPRODUCT((CÁLCULO!$M$15:$M$231=EVENTOS!$C58)*(OFFSET(CÁLCULO!$AA$15:$AA$231,0,R$13))),2),0)</f>
        <v>0</v>
      </c>
      <c r="S58" s="621" cm="1">
        <f t="array" aca="1" ref="S58" ca="1">IF(AUTOEVENTO="Manual",ROUND(SUMPRODUCT((CÁLCULO!$M$15:$M$231=EVENTOS!$C58)*(OFFSET(CÁLCULO!$AA$15:$AA$231,0,S$13))),2),0)</f>
        <v>0</v>
      </c>
      <c r="T58" s="621" cm="1">
        <f t="array" aca="1" ref="T58" ca="1">IF(AUTOEVENTO="Manual",ROUND(SUMPRODUCT((CÁLCULO!$M$15:$M$231=EVENTOS!$C58)*(OFFSET(CÁLCULO!$AA$15:$AA$231,0,T$13))),2),0)</f>
        <v>0</v>
      </c>
      <c r="U58" s="621" cm="1">
        <f t="array" aca="1" ref="U58" ca="1">IF(AUTOEVENTO="Manual",ROUND(SUMPRODUCT((CÁLCULO!$M$15:$M$231=EVENTOS!$C58)*(OFFSET(CÁLCULO!$AA$15:$AA$231,0,U$13))),2),0)</f>
        <v>0</v>
      </c>
      <c r="V58" s="621" cm="1">
        <f t="array" aca="1" ref="V58" ca="1">IF(AUTOEVENTO="Manual",ROUND(SUMPRODUCT((CÁLCULO!$M$15:$M$231=EVENTOS!$C58)*(OFFSET(CÁLCULO!$AA$15:$AA$231,0,V$13))),2),0)</f>
        <v>0</v>
      </c>
      <c r="W58" s="621" cm="1">
        <f t="array" aca="1" ref="W58" ca="1">IF(AUTOEVENTO="Manual",ROUND(SUMPRODUCT((CÁLCULO!$M$15:$M$231=EVENTOS!$C58)*(OFFSET(CÁLCULO!$AA$15:$AA$231,0,W$13))),2),0)</f>
        <v>0</v>
      </c>
      <c r="X58" s="621" cm="1">
        <f t="array" aca="1" ref="X58" ca="1">IF(AUTOEVENTO="Manual",ROUND(SUMPRODUCT((CÁLCULO!$M$15:$M$231=EVENTOS!$C58)*(OFFSET(CÁLCULO!$AA$15:$AA$231,0,X$13))),2),0)</f>
        <v>0</v>
      </c>
      <c r="Y58" s="621" cm="1">
        <f t="array" aca="1" ref="Y58" ca="1">IF(AUTOEVENTO="Manual",ROUND(SUMPRODUCT((CÁLCULO!$M$15:$M$231=EVENTOS!$C58)*(OFFSET(CÁLCULO!$AA$15:$AA$231,0,Y$13))),2),0)</f>
        <v>0</v>
      </c>
    </row>
    <row r="59" spans="1:25" s="675" customFormat="1" x14ac:dyDescent="0.2">
      <c r="A59" s="507" t="str">
        <f t="shared" si="3"/>
        <v/>
      </c>
      <c r="B59" s="675" t="str">
        <f t="shared" ca="1" si="4"/>
        <v/>
      </c>
      <c r="C59" s="183" t="str" cm="1">
        <f t="array" aca="1" ref="C59" ca="1">IF(OR(ROW(C59)=ROW(EVENTOS.firstrow)+1,AND(OFFSET(C59,-1,0)&lt;&gt;" ",OFFSET(C59,-1,1)&lt;&gt;"")),OFFSET(C59,-1,0)+1," ")</f>
        <v xml:space="preserve"> </v>
      </c>
      <c r="D59" s="497"/>
      <c r="E59" s="621" cm="1">
        <f t="array" aca="1" ref="E59" ca="1">IF(AUTOEVENTO="Manual",ROUND(SUMPRODUCT((CÁLCULO!$M$15:$M$231=EVENTOS!$C59)*(OFFSET(CÁLCULO!$AA$15:$AA$231,0,E$13))),2),0)</f>
        <v>0</v>
      </c>
      <c r="F59" s="184">
        <f ca="1">IF(AUTOEVENTO="Manual",ROUND(SUMPRODUCT((CÁLCULO!$M$15:$M$231=EVENTOS!$C59)*(OFFSET(CÁLCULO!$AA$15,0,1):OFFSET(CÁLCULO!$AL$231,0,-1))),2),0)</f>
        <v>0</v>
      </c>
      <c r="G59" s="622" t="str">
        <f t="shared" ca="1" si="6"/>
        <v/>
      </c>
      <c r="H59" s="621" cm="1">
        <f t="array" aca="1" ref="H59" ca="1">IF(AUTOEVENTO="Manual",ROUND(SUMPRODUCT((CÁLCULO!$M$15:$M$231=EVENTOS!$C59)*(OFFSET(CÁLCULO!$AA$15:$AA$231,0,H$13))),2),0)</f>
        <v>0</v>
      </c>
      <c r="I59" s="621" cm="1">
        <f t="array" aca="1" ref="I59" ca="1">IF(AUTOEVENTO="Manual",ROUND(SUMPRODUCT((CÁLCULO!$M$15:$M$231=EVENTOS!$C59)*(OFFSET(CÁLCULO!$AA$15:$AA$231,0,I$13))),2),0)</f>
        <v>0</v>
      </c>
      <c r="J59" s="621" cm="1">
        <f t="array" aca="1" ref="J59" ca="1">IF(AUTOEVENTO="Manual",ROUND(SUMPRODUCT((CÁLCULO!$M$15:$M$231=EVENTOS!$C59)*(OFFSET(CÁLCULO!$AA$15:$AA$231,0,J$13))),2),0)</f>
        <v>0</v>
      </c>
      <c r="K59" s="621" cm="1">
        <f t="array" aca="1" ref="K59" ca="1">IF(AUTOEVENTO="Manual",ROUND(SUMPRODUCT((CÁLCULO!$M$15:$M$231=EVENTOS!$C59)*(OFFSET(CÁLCULO!$AA$15:$AA$231,0,K$13))),2),0)</f>
        <v>0</v>
      </c>
      <c r="L59" s="621" cm="1">
        <f t="array" aca="1" ref="L59" ca="1">IF(AUTOEVENTO="Manual",ROUND(SUMPRODUCT((CÁLCULO!$M$15:$M$231=EVENTOS!$C59)*(OFFSET(CÁLCULO!$AA$15:$AA$231,0,L$13))),2),0)</f>
        <v>0</v>
      </c>
      <c r="M59" s="621" cm="1">
        <f t="array" aca="1" ref="M59" ca="1">IF(AUTOEVENTO="Manual",ROUND(SUMPRODUCT((CÁLCULO!$M$15:$M$231=EVENTOS!$C59)*(OFFSET(CÁLCULO!$AA$15:$AA$231,0,M$13))),2),0)</f>
        <v>0</v>
      </c>
      <c r="N59" s="621" cm="1">
        <f t="array" aca="1" ref="N59" ca="1">IF(AUTOEVENTO="Manual",ROUND(SUMPRODUCT((CÁLCULO!$M$15:$M$231=EVENTOS!$C59)*(OFFSET(CÁLCULO!$AA$15:$AA$231,0,N$13))),2),0)</f>
        <v>0</v>
      </c>
      <c r="O59" s="621" cm="1">
        <f t="array" aca="1" ref="O59" ca="1">IF(AUTOEVENTO="Manual",ROUND(SUMPRODUCT((CÁLCULO!$M$15:$M$231=EVENTOS!$C59)*(OFFSET(CÁLCULO!$AA$15:$AA$231,0,O$13))),2),0)</f>
        <v>0</v>
      </c>
      <c r="P59" s="621" cm="1">
        <f t="array" aca="1" ref="P59" ca="1">IF(AUTOEVENTO="Manual",ROUND(SUMPRODUCT((CÁLCULO!$M$15:$M$231=EVENTOS!$C59)*(OFFSET(CÁLCULO!$AA$15:$AA$231,0,P$13))),2),0)</f>
        <v>0</v>
      </c>
      <c r="Q59" s="621" cm="1">
        <f t="array" aca="1" ref="Q59" ca="1">IF(AUTOEVENTO="Manual",ROUND(SUMPRODUCT((CÁLCULO!$M$15:$M$231=EVENTOS!$C59)*(OFFSET(CÁLCULO!$AA$15:$AA$231,0,Q$13))),2),0)</f>
        <v>0</v>
      </c>
      <c r="R59" s="621" cm="1">
        <f t="array" aca="1" ref="R59" ca="1">IF(AUTOEVENTO="Manual",ROUND(SUMPRODUCT((CÁLCULO!$M$15:$M$231=EVENTOS!$C59)*(OFFSET(CÁLCULO!$AA$15:$AA$231,0,R$13))),2),0)</f>
        <v>0</v>
      </c>
      <c r="S59" s="621" cm="1">
        <f t="array" aca="1" ref="S59" ca="1">IF(AUTOEVENTO="Manual",ROUND(SUMPRODUCT((CÁLCULO!$M$15:$M$231=EVENTOS!$C59)*(OFFSET(CÁLCULO!$AA$15:$AA$231,0,S$13))),2),0)</f>
        <v>0</v>
      </c>
      <c r="T59" s="621" cm="1">
        <f t="array" aca="1" ref="T59" ca="1">IF(AUTOEVENTO="Manual",ROUND(SUMPRODUCT((CÁLCULO!$M$15:$M$231=EVENTOS!$C59)*(OFFSET(CÁLCULO!$AA$15:$AA$231,0,T$13))),2),0)</f>
        <v>0</v>
      </c>
      <c r="U59" s="621" cm="1">
        <f t="array" aca="1" ref="U59" ca="1">IF(AUTOEVENTO="Manual",ROUND(SUMPRODUCT((CÁLCULO!$M$15:$M$231=EVENTOS!$C59)*(OFFSET(CÁLCULO!$AA$15:$AA$231,0,U$13))),2),0)</f>
        <v>0</v>
      </c>
      <c r="V59" s="621" cm="1">
        <f t="array" aca="1" ref="V59" ca="1">IF(AUTOEVENTO="Manual",ROUND(SUMPRODUCT((CÁLCULO!$M$15:$M$231=EVENTOS!$C59)*(OFFSET(CÁLCULO!$AA$15:$AA$231,0,V$13))),2),0)</f>
        <v>0</v>
      </c>
      <c r="W59" s="621" cm="1">
        <f t="array" aca="1" ref="W59" ca="1">IF(AUTOEVENTO="Manual",ROUND(SUMPRODUCT((CÁLCULO!$M$15:$M$231=EVENTOS!$C59)*(OFFSET(CÁLCULO!$AA$15:$AA$231,0,W$13))),2),0)</f>
        <v>0</v>
      </c>
      <c r="X59" s="621" cm="1">
        <f t="array" aca="1" ref="X59" ca="1">IF(AUTOEVENTO="Manual",ROUND(SUMPRODUCT((CÁLCULO!$M$15:$M$231=EVENTOS!$C59)*(OFFSET(CÁLCULO!$AA$15:$AA$231,0,X$13))),2),0)</f>
        <v>0</v>
      </c>
      <c r="Y59" s="621" cm="1">
        <f t="array" aca="1" ref="Y59" ca="1">IF(AUTOEVENTO="Manual",ROUND(SUMPRODUCT((CÁLCULO!$M$15:$M$231=EVENTOS!$C59)*(OFFSET(CÁLCULO!$AA$15:$AA$231,0,Y$13))),2),0)</f>
        <v>0</v>
      </c>
    </row>
    <row r="60" spans="1:25" s="675" customFormat="1" x14ac:dyDescent="0.2">
      <c r="A60" s="507" t="str">
        <f t="shared" si="3"/>
        <v/>
      </c>
      <c r="B60" s="675" t="str">
        <f t="shared" ca="1" si="4"/>
        <v/>
      </c>
      <c r="C60" s="183" t="str" cm="1">
        <f t="array" aca="1" ref="C60" ca="1">IF(OR(ROW(C60)=ROW(EVENTOS.firstrow)+1,AND(OFFSET(C60,-1,0)&lt;&gt;" ",OFFSET(C60,-1,1)&lt;&gt;"")),OFFSET(C60,-1,0)+1," ")</f>
        <v xml:space="preserve"> </v>
      </c>
      <c r="D60" s="497"/>
      <c r="E60" s="621" cm="1">
        <f t="array" aca="1" ref="E60" ca="1">IF(AUTOEVENTO="Manual",ROUND(SUMPRODUCT((CÁLCULO!$M$15:$M$231=EVENTOS!$C60)*(OFFSET(CÁLCULO!$AA$15:$AA$231,0,E$13))),2),0)</f>
        <v>0</v>
      </c>
      <c r="F60" s="184">
        <f ca="1">IF(AUTOEVENTO="Manual",ROUND(SUMPRODUCT((CÁLCULO!$M$15:$M$231=EVENTOS!$C60)*(OFFSET(CÁLCULO!$AA$15,0,1):OFFSET(CÁLCULO!$AL$231,0,-1))),2),0)</f>
        <v>0</v>
      </c>
      <c r="G60" s="622" t="str">
        <f t="shared" ca="1" si="6"/>
        <v/>
      </c>
      <c r="H60" s="621" cm="1">
        <f t="array" aca="1" ref="H60" ca="1">IF(AUTOEVENTO="Manual",ROUND(SUMPRODUCT((CÁLCULO!$M$15:$M$231=EVENTOS!$C60)*(OFFSET(CÁLCULO!$AA$15:$AA$231,0,H$13))),2),0)</f>
        <v>0</v>
      </c>
      <c r="I60" s="621" cm="1">
        <f t="array" aca="1" ref="I60" ca="1">IF(AUTOEVENTO="Manual",ROUND(SUMPRODUCT((CÁLCULO!$M$15:$M$231=EVENTOS!$C60)*(OFFSET(CÁLCULO!$AA$15:$AA$231,0,I$13))),2),0)</f>
        <v>0</v>
      </c>
      <c r="J60" s="621" cm="1">
        <f t="array" aca="1" ref="J60" ca="1">IF(AUTOEVENTO="Manual",ROUND(SUMPRODUCT((CÁLCULO!$M$15:$M$231=EVENTOS!$C60)*(OFFSET(CÁLCULO!$AA$15:$AA$231,0,J$13))),2),0)</f>
        <v>0</v>
      </c>
      <c r="K60" s="621" cm="1">
        <f t="array" aca="1" ref="K60" ca="1">IF(AUTOEVENTO="Manual",ROUND(SUMPRODUCT((CÁLCULO!$M$15:$M$231=EVENTOS!$C60)*(OFFSET(CÁLCULO!$AA$15:$AA$231,0,K$13))),2),0)</f>
        <v>0</v>
      </c>
      <c r="L60" s="621" cm="1">
        <f t="array" aca="1" ref="L60" ca="1">IF(AUTOEVENTO="Manual",ROUND(SUMPRODUCT((CÁLCULO!$M$15:$M$231=EVENTOS!$C60)*(OFFSET(CÁLCULO!$AA$15:$AA$231,0,L$13))),2),0)</f>
        <v>0</v>
      </c>
      <c r="M60" s="621" cm="1">
        <f t="array" aca="1" ref="M60" ca="1">IF(AUTOEVENTO="Manual",ROUND(SUMPRODUCT((CÁLCULO!$M$15:$M$231=EVENTOS!$C60)*(OFFSET(CÁLCULO!$AA$15:$AA$231,0,M$13))),2),0)</f>
        <v>0</v>
      </c>
      <c r="N60" s="621" cm="1">
        <f t="array" aca="1" ref="N60" ca="1">IF(AUTOEVENTO="Manual",ROUND(SUMPRODUCT((CÁLCULO!$M$15:$M$231=EVENTOS!$C60)*(OFFSET(CÁLCULO!$AA$15:$AA$231,0,N$13))),2),0)</f>
        <v>0</v>
      </c>
      <c r="O60" s="621" cm="1">
        <f t="array" aca="1" ref="O60" ca="1">IF(AUTOEVENTO="Manual",ROUND(SUMPRODUCT((CÁLCULO!$M$15:$M$231=EVENTOS!$C60)*(OFFSET(CÁLCULO!$AA$15:$AA$231,0,O$13))),2),0)</f>
        <v>0</v>
      </c>
      <c r="P60" s="621" cm="1">
        <f t="array" aca="1" ref="P60" ca="1">IF(AUTOEVENTO="Manual",ROUND(SUMPRODUCT((CÁLCULO!$M$15:$M$231=EVENTOS!$C60)*(OFFSET(CÁLCULO!$AA$15:$AA$231,0,P$13))),2),0)</f>
        <v>0</v>
      </c>
      <c r="Q60" s="621" cm="1">
        <f t="array" aca="1" ref="Q60" ca="1">IF(AUTOEVENTO="Manual",ROUND(SUMPRODUCT((CÁLCULO!$M$15:$M$231=EVENTOS!$C60)*(OFFSET(CÁLCULO!$AA$15:$AA$231,0,Q$13))),2),0)</f>
        <v>0</v>
      </c>
      <c r="R60" s="621" cm="1">
        <f t="array" aca="1" ref="R60" ca="1">IF(AUTOEVENTO="Manual",ROUND(SUMPRODUCT((CÁLCULO!$M$15:$M$231=EVENTOS!$C60)*(OFFSET(CÁLCULO!$AA$15:$AA$231,0,R$13))),2),0)</f>
        <v>0</v>
      </c>
      <c r="S60" s="621" cm="1">
        <f t="array" aca="1" ref="S60" ca="1">IF(AUTOEVENTO="Manual",ROUND(SUMPRODUCT((CÁLCULO!$M$15:$M$231=EVENTOS!$C60)*(OFFSET(CÁLCULO!$AA$15:$AA$231,0,S$13))),2),0)</f>
        <v>0</v>
      </c>
      <c r="T60" s="621" cm="1">
        <f t="array" aca="1" ref="T60" ca="1">IF(AUTOEVENTO="Manual",ROUND(SUMPRODUCT((CÁLCULO!$M$15:$M$231=EVENTOS!$C60)*(OFFSET(CÁLCULO!$AA$15:$AA$231,0,T$13))),2),0)</f>
        <v>0</v>
      </c>
      <c r="U60" s="621" cm="1">
        <f t="array" aca="1" ref="U60" ca="1">IF(AUTOEVENTO="Manual",ROUND(SUMPRODUCT((CÁLCULO!$M$15:$M$231=EVENTOS!$C60)*(OFFSET(CÁLCULO!$AA$15:$AA$231,0,U$13))),2),0)</f>
        <v>0</v>
      </c>
      <c r="V60" s="621" cm="1">
        <f t="array" aca="1" ref="V60" ca="1">IF(AUTOEVENTO="Manual",ROUND(SUMPRODUCT((CÁLCULO!$M$15:$M$231=EVENTOS!$C60)*(OFFSET(CÁLCULO!$AA$15:$AA$231,0,V$13))),2),0)</f>
        <v>0</v>
      </c>
      <c r="W60" s="621" cm="1">
        <f t="array" aca="1" ref="W60" ca="1">IF(AUTOEVENTO="Manual",ROUND(SUMPRODUCT((CÁLCULO!$M$15:$M$231=EVENTOS!$C60)*(OFFSET(CÁLCULO!$AA$15:$AA$231,0,W$13))),2),0)</f>
        <v>0</v>
      </c>
      <c r="X60" s="621" cm="1">
        <f t="array" aca="1" ref="X60" ca="1">IF(AUTOEVENTO="Manual",ROUND(SUMPRODUCT((CÁLCULO!$M$15:$M$231=EVENTOS!$C60)*(OFFSET(CÁLCULO!$AA$15:$AA$231,0,X$13))),2),0)</f>
        <v>0</v>
      </c>
      <c r="Y60" s="621" cm="1">
        <f t="array" aca="1" ref="Y60" ca="1">IF(AUTOEVENTO="Manual",ROUND(SUMPRODUCT((CÁLCULO!$M$15:$M$231=EVENTOS!$C60)*(OFFSET(CÁLCULO!$AA$15:$AA$231,0,Y$13))),2),0)</f>
        <v>0</v>
      </c>
    </row>
    <row r="61" spans="1:25" s="675" customFormat="1" x14ac:dyDescent="0.2">
      <c r="A61" s="507" t="str">
        <f t="shared" si="3"/>
        <v/>
      </c>
      <c r="B61" s="675" t="str">
        <f t="shared" ca="1" si="4"/>
        <v/>
      </c>
      <c r="C61" s="183" t="str" cm="1">
        <f t="array" aca="1" ref="C61" ca="1">IF(OR(ROW(C61)=ROW(EVENTOS.firstrow)+1,AND(OFFSET(C61,-1,0)&lt;&gt;" ",OFFSET(C61,-1,1)&lt;&gt;"")),OFFSET(C61,-1,0)+1," ")</f>
        <v xml:space="preserve"> </v>
      </c>
      <c r="D61" s="497"/>
      <c r="E61" s="621" cm="1">
        <f t="array" aca="1" ref="E61" ca="1">IF(AUTOEVENTO="Manual",ROUND(SUMPRODUCT((CÁLCULO!$M$15:$M$231=EVENTOS!$C61)*(OFFSET(CÁLCULO!$AA$15:$AA$231,0,E$13))),2),0)</f>
        <v>0</v>
      </c>
      <c r="F61" s="184">
        <f ca="1">IF(AUTOEVENTO="Manual",ROUND(SUMPRODUCT((CÁLCULO!$M$15:$M$231=EVENTOS!$C61)*(OFFSET(CÁLCULO!$AA$15,0,1):OFFSET(CÁLCULO!$AL$231,0,-1))),2),0)</f>
        <v>0</v>
      </c>
      <c r="G61" s="622" t="str">
        <f t="shared" ca="1" si="6"/>
        <v/>
      </c>
      <c r="H61" s="621" cm="1">
        <f t="array" aca="1" ref="H61" ca="1">IF(AUTOEVENTO="Manual",ROUND(SUMPRODUCT((CÁLCULO!$M$15:$M$231=EVENTOS!$C61)*(OFFSET(CÁLCULO!$AA$15:$AA$231,0,H$13))),2),0)</f>
        <v>0</v>
      </c>
      <c r="I61" s="621" cm="1">
        <f t="array" aca="1" ref="I61" ca="1">IF(AUTOEVENTO="Manual",ROUND(SUMPRODUCT((CÁLCULO!$M$15:$M$231=EVENTOS!$C61)*(OFFSET(CÁLCULO!$AA$15:$AA$231,0,I$13))),2),0)</f>
        <v>0</v>
      </c>
      <c r="J61" s="621" cm="1">
        <f t="array" aca="1" ref="J61" ca="1">IF(AUTOEVENTO="Manual",ROUND(SUMPRODUCT((CÁLCULO!$M$15:$M$231=EVENTOS!$C61)*(OFFSET(CÁLCULO!$AA$15:$AA$231,0,J$13))),2),0)</f>
        <v>0</v>
      </c>
      <c r="K61" s="621" cm="1">
        <f t="array" aca="1" ref="K61" ca="1">IF(AUTOEVENTO="Manual",ROUND(SUMPRODUCT((CÁLCULO!$M$15:$M$231=EVENTOS!$C61)*(OFFSET(CÁLCULO!$AA$15:$AA$231,0,K$13))),2),0)</f>
        <v>0</v>
      </c>
      <c r="L61" s="621" cm="1">
        <f t="array" aca="1" ref="L61" ca="1">IF(AUTOEVENTO="Manual",ROUND(SUMPRODUCT((CÁLCULO!$M$15:$M$231=EVENTOS!$C61)*(OFFSET(CÁLCULO!$AA$15:$AA$231,0,L$13))),2),0)</f>
        <v>0</v>
      </c>
      <c r="M61" s="621" cm="1">
        <f t="array" aca="1" ref="M61" ca="1">IF(AUTOEVENTO="Manual",ROUND(SUMPRODUCT((CÁLCULO!$M$15:$M$231=EVENTOS!$C61)*(OFFSET(CÁLCULO!$AA$15:$AA$231,0,M$13))),2),0)</f>
        <v>0</v>
      </c>
      <c r="N61" s="621" cm="1">
        <f t="array" aca="1" ref="N61" ca="1">IF(AUTOEVENTO="Manual",ROUND(SUMPRODUCT((CÁLCULO!$M$15:$M$231=EVENTOS!$C61)*(OFFSET(CÁLCULO!$AA$15:$AA$231,0,N$13))),2),0)</f>
        <v>0</v>
      </c>
      <c r="O61" s="621" cm="1">
        <f t="array" aca="1" ref="O61" ca="1">IF(AUTOEVENTO="Manual",ROUND(SUMPRODUCT((CÁLCULO!$M$15:$M$231=EVENTOS!$C61)*(OFFSET(CÁLCULO!$AA$15:$AA$231,0,O$13))),2),0)</f>
        <v>0</v>
      </c>
      <c r="P61" s="621" cm="1">
        <f t="array" aca="1" ref="P61" ca="1">IF(AUTOEVENTO="Manual",ROUND(SUMPRODUCT((CÁLCULO!$M$15:$M$231=EVENTOS!$C61)*(OFFSET(CÁLCULO!$AA$15:$AA$231,0,P$13))),2),0)</f>
        <v>0</v>
      </c>
      <c r="Q61" s="621" cm="1">
        <f t="array" aca="1" ref="Q61" ca="1">IF(AUTOEVENTO="Manual",ROUND(SUMPRODUCT((CÁLCULO!$M$15:$M$231=EVENTOS!$C61)*(OFFSET(CÁLCULO!$AA$15:$AA$231,0,Q$13))),2),0)</f>
        <v>0</v>
      </c>
      <c r="R61" s="621" cm="1">
        <f t="array" aca="1" ref="R61" ca="1">IF(AUTOEVENTO="Manual",ROUND(SUMPRODUCT((CÁLCULO!$M$15:$M$231=EVENTOS!$C61)*(OFFSET(CÁLCULO!$AA$15:$AA$231,0,R$13))),2),0)</f>
        <v>0</v>
      </c>
      <c r="S61" s="621" cm="1">
        <f t="array" aca="1" ref="S61" ca="1">IF(AUTOEVENTO="Manual",ROUND(SUMPRODUCT((CÁLCULO!$M$15:$M$231=EVENTOS!$C61)*(OFFSET(CÁLCULO!$AA$15:$AA$231,0,S$13))),2),0)</f>
        <v>0</v>
      </c>
      <c r="T61" s="621" cm="1">
        <f t="array" aca="1" ref="T61" ca="1">IF(AUTOEVENTO="Manual",ROUND(SUMPRODUCT((CÁLCULO!$M$15:$M$231=EVENTOS!$C61)*(OFFSET(CÁLCULO!$AA$15:$AA$231,0,T$13))),2),0)</f>
        <v>0</v>
      </c>
      <c r="U61" s="621" cm="1">
        <f t="array" aca="1" ref="U61" ca="1">IF(AUTOEVENTO="Manual",ROUND(SUMPRODUCT((CÁLCULO!$M$15:$M$231=EVENTOS!$C61)*(OFFSET(CÁLCULO!$AA$15:$AA$231,0,U$13))),2),0)</f>
        <v>0</v>
      </c>
      <c r="V61" s="621" cm="1">
        <f t="array" aca="1" ref="V61" ca="1">IF(AUTOEVENTO="Manual",ROUND(SUMPRODUCT((CÁLCULO!$M$15:$M$231=EVENTOS!$C61)*(OFFSET(CÁLCULO!$AA$15:$AA$231,0,V$13))),2),0)</f>
        <v>0</v>
      </c>
      <c r="W61" s="621" cm="1">
        <f t="array" aca="1" ref="W61" ca="1">IF(AUTOEVENTO="Manual",ROUND(SUMPRODUCT((CÁLCULO!$M$15:$M$231=EVENTOS!$C61)*(OFFSET(CÁLCULO!$AA$15:$AA$231,0,W$13))),2),0)</f>
        <v>0</v>
      </c>
      <c r="X61" s="621" cm="1">
        <f t="array" aca="1" ref="X61" ca="1">IF(AUTOEVENTO="Manual",ROUND(SUMPRODUCT((CÁLCULO!$M$15:$M$231=EVENTOS!$C61)*(OFFSET(CÁLCULO!$AA$15:$AA$231,0,X$13))),2),0)</f>
        <v>0</v>
      </c>
      <c r="Y61" s="621" cm="1">
        <f t="array" aca="1" ref="Y61" ca="1">IF(AUTOEVENTO="Manual",ROUND(SUMPRODUCT((CÁLCULO!$M$15:$M$231=EVENTOS!$C61)*(OFFSET(CÁLCULO!$AA$15:$AA$231,0,Y$13))),2),0)</f>
        <v>0</v>
      </c>
    </row>
    <row r="62" spans="1:25" s="675" customFormat="1" x14ac:dyDescent="0.2">
      <c r="A62" s="507" t="str">
        <f t="shared" si="3"/>
        <v/>
      </c>
      <c r="B62" s="675" t="str">
        <f t="shared" ca="1" si="4"/>
        <v/>
      </c>
      <c r="C62" s="183" t="str" cm="1">
        <f t="array" aca="1" ref="C62" ca="1">IF(OR(ROW(C62)=ROW(EVENTOS.firstrow)+1,AND(OFFSET(C62,-1,0)&lt;&gt;" ",OFFSET(C62,-1,1)&lt;&gt;"")),OFFSET(C62,-1,0)+1," ")</f>
        <v xml:space="preserve"> </v>
      </c>
      <c r="D62" s="497"/>
      <c r="E62" s="621" cm="1">
        <f t="array" aca="1" ref="E62" ca="1">IF(AUTOEVENTO="Manual",ROUND(SUMPRODUCT((CÁLCULO!$M$15:$M$231=EVENTOS!$C62)*(OFFSET(CÁLCULO!$AA$15:$AA$231,0,E$13))),2),0)</f>
        <v>0</v>
      </c>
      <c r="F62" s="184">
        <f ca="1">IF(AUTOEVENTO="Manual",ROUND(SUMPRODUCT((CÁLCULO!$M$15:$M$231=EVENTOS!$C62)*(OFFSET(CÁLCULO!$AA$15,0,1):OFFSET(CÁLCULO!$AL$231,0,-1))),2),0)</f>
        <v>0</v>
      </c>
      <c r="G62" s="622" t="str">
        <f t="shared" ca="1" si="6"/>
        <v/>
      </c>
      <c r="H62" s="621" cm="1">
        <f t="array" aca="1" ref="H62" ca="1">IF(AUTOEVENTO="Manual",ROUND(SUMPRODUCT((CÁLCULO!$M$15:$M$231=EVENTOS!$C62)*(OFFSET(CÁLCULO!$AA$15:$AA$231,0,H$13))),2),0)</f>
        <v>0</v>
      </c>
      <c r="I62" s="621" cm="1">
        <f t="array" aca="1" ref="I62" ca="1">IF(AUTOEVENTO="Manual",ROUND(SUMPRODUCT((CÁLCULO!$M$15:$M$231=EVENTOS!$C62)*(OFFSET(CÁLCULO!$AA$15:$AA$231,0,I$13))),2),0)</f>
        <v>0</v>
      </c>
      <c r="J62" s="621" cm="1">
        <f t="array" aca="1" ref="J62" ca="1">IF(AUTOEVENTO="Manual",ROUND(SUMPRODUCT((CÁLCULO!$M$15:$M$231=EVENTOS!$C62)*(OFFSET(CÁLCULO!$AA$15:$AA$231,0,J$13))),2),0)</f>
        <v>0</v>
      </c>
      <c r="K62" s="621" cm="1">
        <f t="array" aca="1" ref="K62" ca="1">IF(AUTOEVENTO="Manual",ROUND(SUMPRODUCT((CÁLCULO!$M$15:$M$231=EVENTOS!$C62)*(OFFSET(CÁLCULO!$AA$15:$AA$231,0,K$13))),2),0)</f>
        <v>0</v>
      </c>
      <c r="L62" s="621" cm="1">
        <f t="array" aca="1" ref="L62" ca="1">IF(AUTOEVENTO="Manual",ROUND(SUMPRODUCT((CÁLCULO!$M$15:$M$231=EVENTOS!$C62)*(OFFSET(CÁLCULO!$AA$15:$AA$231,0,L$13))),2),0)</f>
        <v>0</v>
      </c>
      <c r="M62" s="621" cm="1">
        <f t="array" aca="1" ref="M62" ca="1">IF(AUTOEVENTO="Manual",ROUND(SUMPRODUCT((CÁLCULO!$M$15:$M$231=EVENTOS!$C62)*(OFFSET(CÁLCULO!$AA$15:$AA$231,0,M$13))),2),0)</f>
        <v>0</v>
      </c>
      <c r="N62" s="621" cm="1">
        <f t="array" aca="1" ref="N62" ca="1">IF(AUTOEVENTO="Manual",ROUND(SUMPRODUCT((CÁLCULO!$M$15:$M$231=EVENTOS!$C62)*(OFFSET(CÁLCULO!$AA$15:$AA$231,0,N$13))),2),0)</f>
        <v>0</v>
      </c>
      <c r="O62" s="621" cm="1">
        <f t="array" aca="1" ref="O62" ca="1">IF(AUTOEVENTO="Manual",ROUND(SUMPRODUCT((CÁLCULO!$M$15:$M$231=EVENTOS!$C62)*(OFFSET(CÁLCULO!$AA$15:$AA$231,0,O$13))),2),0)</f>
        <v>0</v>
      </c>
      <c r="P62" s="621" cm="1">
        <f t="array" aca="1" ref="P62" ca="1">IF(AUTOEVENTO="Manual",ROUND(SUMPRODUCT((CÁLCULO!$M$15:$M$231=EVENTOS!$C62)*(OFFSET(CÁLCULO!$AA$15:$AA$231,0,P$13))),2),0)</f>
        <v>0</v>
      </c>
      <c r="Q62" s="621" cm="1">
        <f t="array" aca="1" ref="Q62" ca="1">IF(AUTOEVENTO="Manual",ROUND(SUMPRODUCT((CÁLCULO!$M$15:$M$231=EVENTOS!$C62)*(OFFSET(CÁLCULO!$AA$15:$AA$231,0,Q$13))),2),0)</f>
        <v>0</v>
      </c>
      <c r="R62" s="621" cm="1">
        <f t="array" aca="1" ref="R62" ca="1">IF(AUTOEVENTO="Manual",ROUND(SUMPRODUCT((CÁLCULO!$M$15:$M$231=EVENTOS!$C62)*(OFFSET(CÁLCULO!$AA$15:$AA$231,0,R$13))),2),0)</f>
        <v>0</v>
      </c>
      <c r="S62" s="621" cm="1">
        <f t="array" aca="1" ref="S62" ca="1">IF(AUTOEVENTO="Manual",ROUND(SUMPRODUCT((CÁLCULO!$M$15:$M$231=EVENTOS!$C62)*(OFFSET(CÁLCULO!$AA$15:$AA$231,0,S$13))),2),0)</f>
        <v>0</v>
      </c>
      <c r="T62" s="621" cm="1">
        <f t="array" aca="1" ref="T62" ca="1">IF(AUTOEVENTO="Manual",ROUND(SUMPRODUCT((CÁLCULO!$M$15:$M$231=EVENTOS!$C62)*(OFFSET(CÁLCULO!$AA$15:$AA$231,0,T$13))),2),0)</f>
        <v>0</v>
      </c>
      <c r="U62" s="621" cm="1">
        <f t="array" aca="1" ref="U62" ca="1">IF(AUTOEVENTO="Manual",ROUND(SUMPRODUCT((CÁLCULO!$M$15:$M$231=EVENTOS!$C62)*(OFFSET(CÁLCULO!$AA$15:$AA$231,0,U$13))),2),0)</f>
        <v>0</v>
      </c>
      <c r="V62" s="621" cm="1">
        <f t="array" aca="1" ref="V62" ca="1">IF(AUTOEVENTO="Manual",ROUND(SUMPRODUCT((CÁLCULO!$M$15:$M$231=EVENTOS!$C62)*(OFFSET(CÁLCULO!$AA$15:$AA$231,0,V$13))),2),0)</f>
        <v>0</v>
      </c>
      <c r="W62" s="621" cm="1">
        <f t="array" aca="1" ref="W62" ca="1">IF(AUTOEVENTO="Manual",ROUND(SUMPRODUCT((CÁLCULO!$M$15:$M$231=EVENTOS!$C62)*(OFFSET(CÁLCULO!$AA$15:$AA$231,0,W$13))),2),0)</f>
        <v>0</v>
      </c>
      <c r="X62" s="621" cm="1">
        <f t="array" aca="1" ref="X62" ca="1">IF(AUTOEVENTO="Manual",ROUND(SUMPRODUCT((CÁLCULO!$M$15:$M$231=EVENTOS!$C62)*(OFFSET(CÁLCULO!$AA$15:$AA$231,0,X$13))),2),0)</f>
        <v>0</v>
      </c>
      <c r="Y62" s="621" cm="1">
        <f t="array" aca="1" ref="Y62" ca="1">IF(AUTOEVENTO="Manual",ROUND(SUMPRODUCT((CÁLCULO!$M$15:$M$231=EVENTOS!$C62)*(OFFSET(CÁLCULO!$AA$15:$AA$231,0,Y$13))),2),0)</f>
        <v>0</v>
      </c>
    </row>
    <row r="63" spans="1:25" s="675" customFormat="1" x14ac:dyDescent="0.2">
      <c r="A63" s="507" t="str">
        <f t="shared" si="3"/>
        <v/>
      </c>
      <c r="B63" s="675" t="str">
        <f t="shared" ca="1" si="4"/>
        <v/>
      </c>
      <c r="C63" s="183" t="str" cm="1">
        <f t="array" aca="1" ref="C63" ca="1">IF(OR(ROW(C63)=ROW(EVENTOS.firstrow)+1,AND(OFFSET(C63,-1,0)&lt;&gt;" ",OFFSET(C63,-1,1)&lt;&gt;"")),OFFSET(C63,-1,0)+1," ")</f>
        <v xml:space="preserve"> </v>
      </c>
      <c r="D63" s="497"/>
      <c r="E63" s="621" cm="1">
        <f t="array" aca="1" ref="E63" ca="1">IF(AUTOEVENTO="Manual",ROUND(SUMPRODUCT((CÁLCULO!$M$15:$M$231=EVENTOS!$C63)*(OFFSET(CÁLCULO!$AA$15:$AA$231,0,E$13))),2),0)</f>
        <v>0</v>
      </c>
      <c r="F63" s="184">
        <f ca="1">IF(AUTOEVENTO="Manual",ROUND(SUMPRODUCT((CÁLCULO!$M$15:$M$231=EVENTOS!$C63)*(OFFSET(CÁLCULO!$AA$15,0,1):OFFSET(CÁLCULO!$AL$231,0,-1))),2),0)</f>
        <v>0</v>
      </c>
      <c r="G63" s="622" t="str">
        <f t="shared" ca="1" si="6"/>
        <v/>
      </c>
      <c r="H63" s="621" cm="1">
        <f t="array" aca="1" ref="H63" ca="1">IF(AUTOEVENTO="Manual",ROUND(SUMPRODUCT((CÁLCULO!$M$15:$M$231=EVENTOS!$C63)*(OFFSET(CÁLCULO!$AA$15:$AA$231,0,H$13))),2),0)</f>
        <v>0</v>
      </c>
      <c r="I63" s="621" cm="1">
        <f t="array" aca="1" ref="I63" ca="1">IF(AUTOEVENTO="Manual",ROUND(SUMPRODUCT((CÁLCULO!$M$15:$M$231=EVENTOS!$C63)*(OFFSET(CÁLCULO!$AA$15:$AA$231,0,I$13))),2),0)</f>
        <v>0</v>
      </c>
      <c r="J63" s="621" cm="1">
        <f t="array" aca="1" ref="J63" ca="1">IF(AUTOEVENTO="Manual",ROUND(SUMPRODUCT((CÁLCULO!$M$15:$M$231=EVENTOS!$C63)*(OFFSET(CÁLCULO!$AA$15:$AA$231,0,J$13))),2),0)</f>
        <v>0</v>
      </c>
      <c r="K63" s="621" cm="1">
        <f t="array" aca="1" ref="K63" ca="1">IF(AUTOEVENTO="Manual",ROUND(SUMPRODUCT((CÁLCULO!$M$15:$M$231=EVENTOS!$C63)*(OFFSET(CÁLCULO!$AA$15:$AA$231,0,K$13))),2),0)</f>
        <v>0</v>
      </c>
      <c r="L63" s="621" cm="1">
        <f t="array" aca="1" ref="L63" ca="1">IF(AUTOEVENTO="Manual",ROUND(SUMPRODUCT((CÁLCULO!$M$15:$M$231=EVENTOS!$C63)*(OFFSET(CÁLCULO!$AA$15:$AA$231,0,L$13))),2),0)</f>
        <v>0</v>
      </c>
      <c r="M63" s="621" cm="1">
        <f t="array" aca="1" ref="M63" ca="1">IF(AUTOEVENTO="Manual",ROUND(SUMPRODUCT((CÁLCULO!$M$15:$M$231=EVENTOS!$C63)*(OFFSET(CÁLCULO!$AA$15:$AA$231,0,M$13))),2),0)</f>
        <v>0</v>
      </c>
      <c r="N63" s="621" cm="1">
        <f t="array" aca="1" ref="N63" ca="1">IF(AUTOEVENTO="Manual",ROUND(SUMPRODUCT((CÁLCULO!$M$15:$M$231=EVENTOS!$C63)*(OFFSET(CÁLCULO!$AA$15:$AA$231,0,N$13))),2),0)</f>
        <v>0</v>
      </c>
      <c r="O63" s="621" cm="1">
        <f t="array" aca="1" ref="O63" ca="1">IF(AUTOEVENTO="Manual",ROUND(SUMPRODUCT((CÁLCULO!$M$15:$M$231=EVENTOS!$C63)*(OFFSET(CÁLCULO!$AA$15:$AA$231,0,O$13))),2),0)</f>
        <v>0</v>
      </c>
      <c r="P63" s="621" cm="1">
        <f t="array" aca="1" ref="P63" ca="1">IF(AUTOEVENTO="Manual",ROUND(SUMPRODUCT((CÁLCULO!$M$15:$M$231=EVENTOS!$C63)*(OFFSET(CÁLCULO!$AA$15:$AA$231,0,P$13))),2),0)</f>
        <v>0</v>
      </c>
      <c r="Q63" s="621" cm="1">
        <f t="array" aca="1" ref="Q63" ca="1">IF(AUTOEVENTO="Manual",ROUND(SUMPRODUCT((CÁLCULO!$M$15:$M$231=EVENTOS!$C63)*(OFFSET(CÁLCULO!$AA$15:$AA$231,0,Q$13))),2),0)</f>
        <v>0</v>
      </c>
      <c r="R63" s="621" cm="1">
        <f t="array" aca="1" ref="R63" ca="1">IF(AUTOEVENTO="Manual",ROUND(SUMPRODUCT((CÁLCULO!$M$15:$M$231=EVENTOS!$C63)*(OFFSET(CÁLCULO!$AA$15:$AA$231,0,R$13))),2),0)</f>
        <v>0</v>
      </c>
      <c r="S63" s="621" cm="1">
        <f t="array" aca="1" ref="S63" ca="1">IF(AUTOEVENTO="Manual",ROUND(SUMPRODUCT((CÁLCULO!$M$15:$M$231=EVENTOS!$C63)*(OFFSET(CÁLCULO!$AA$15:$AA$231,0,S$13))),2),0)</f>
        <v>0</v>
      </c>
      <c r="T63" s="621" cm="1">
        <f t="array" aca="1" ref="T63" ca="1">IF(AUTOEVENTO="Manual",ROUND(SUMPRODUCT((CÁLCULO!$M$15:$M$231=EVENTOS!$C63)*(OFFSET(CÁLCULO!$AA$15:$AA$231,0,T$13))),2),0)</f>
        <v>0</v>
      </c>
      <c r="U63" s="621" cm="1">
        <f t="array" aca="1" ref="U63" ca="1">IF(AUTOEVENTO="Manual",ROUND(SUMPRODUCT((CÁLCULO!$M$15:$M$231=EVENTOS!$C63)*(OFFSET(CÁLCULO!$AA$15:$AA$231,0,U$13))),2),0)</f>
        <v>0</v>
      </c>
      <c r="V63" s="621" cm="1">
        <f t="array" aca="1" ref="V63" ca="1">IF(AUTOEVENTO="Manual",ROUND(SUMPRODUCT((CÁLCULO!$M$15:$M$231=EVENTOS!$C63)*(OFFSET(CÁLCULO!$AA$15:$AA$231,0,V$13))),2),0)</f>
        <v>0</v>
      </c>
      <c r="W63" s="621" cm="1">
        <f t="array" aca="1" ref="W63" ca="1">IF(AUTOEVENTO="Manual",ROUND(SUMPRODUCT((CÁLCULO!$M$15:$M$231=EVENTOS!$C63)*(OFFSET(CÁLCULO!$AA$15:$AA$231,0,W$13))),2),0)</f>
        <v>0</v>
      </c>
      <c r="X63" s="621" cm="1">
        <f t="array" aca="1" ref="X63" ca="1">IF(AUTOEVENTO="Manual",ROUND(SUMPRODUCT((CÁLCULO!$M$15:$M$231=EVENTOS!$C63)*(OFFSET(CÁLCULO!$AA$15:$AA$231,0,X$13))),2),0)</f>
        <v>0</v>
      </c>
      <c r="Y63" s="621" cm="1">
        <f t="array" aca="1" ref="Y63" ca="1">IF(AUTOEVENTO="Manual",ROUND(SUMPRODUCT((CÁLCULO!$M$15:$M$231=EVENTOS!$C63)*(OFFSET(CÁLCULO!$AA$15:$AA$231,0,Y$13))),2),0)</f>
        <v>0</v>
      </c>
    </row>
    <row r="64" spans="1:25" s="675" customFormat="1" x14ac:dyDescent="0.2">
      <c r="A64" s="507" t="str">
        <f t="shared" si="3"/>
        <v/>
      </c>
      <c r="B64" s="675" t="str">
        <f t="shared" ca="1" si="4"/>
        <v/>
      </c>
      <c r="C64" s="183" t="str" cm="1">
        <f t="array" aca="1" ref="C64" ca="1">IF(OR(ROW(C64)=ROW(EVENTOS.firstrow)+1,AND(OFFSET(C64,-1,0)&lt;&gt;" ",OFFSET(C64,-1,1)&lt;&gt;"")),OFFSET(C64,-1,0)+1," ")</f>
        <v xml:space="preserve"> </v>
      </c>
      <c r="D64" s="497"/>
      <c r="E64" s="621" cm="1">
        <f t="array" aca="1" ref="E64" ca="1">IF(AUTOEVENTO="Manual",ROUND(SUMPRODUCT((CÁLCULO!$M$15:$M$231=EVENTOS!$C64)*(OFFSET(CÁLCULO!$AA$15:$AA$231,0,E$13))),2),0)</f>
        <v>0</v>
      </c>
      <c r="F64" s="184">
        <f ca="1">IF(AUTOEVENTO="Manual",ROUND(SUMPRODUCT((CÁLCULO!$M$15:$M$231=EVENTOS!$C64)*(OFFSET(CÁLCULO!$AA$15,0,1):OFFSET(CÁLCULO!$AL$231,0,-1))),2),0)</f>
        <v>0</v>
      </c>
      <c r="G64" s="622" t="str">
        <f t="shared" ca="1" si="6"/>
        <v/>
      </c>
      <c r="H64" s="621" cm="1">
        <f t="array" aca="1" ref="H64" ca="1">IF(AUTOEVENTO="Manual",ROUND(SUMPRODUCT((CÁLCULO!$M$15:$M$231=EVENTOS!$C64)*(OFFSET(CÁLCULO!$AA$15:$AA$231,0,H$13))),2),0)</f>
        <v>0</v>
      </c>
      <c r="I64" s="621" cm="1">
        <f t="array" aca="1" ref="I64" ca="1">IF(AUTOEVENTO="Manual",ROUND(SUMPRODUCT((CÁLCULO!$M$15:$M$231=EVENTOS!$C64)*(OFFSET(CÁLCULO!$AA$15:$AA$231,0,I$13))),2),0)</f>
        <v>0</v>
      </c>
      <c r="J64" s="621" cm="1">
        <f t="array" aca="1" ref="J64" ca="1">IF(AUTOEVENTO="Manual",ROUND(SUMPRODUCT((CÁLCULO!$M$15:$M$231=EVENTOS!$C64)*(OFFSET(CÁLCULO!$AA$15:$AA$231,0,J$13))),2),0)</f>
        <v>0</v>
      </c>
      <c r="K64" s="621" cm="1">
        <f t="array" aca="1" ref="K64" ca="1">IF(AUTOEVENTO="Manual",ROUND(SUMPRODUCT((CÁLCULO!$M$15:$M$231=EVENTOS!$C64)*(OFFSET(CÁLCULO!$AA$15:$AA$231,0,K$13))),2),0)</f>
        <v>0</v>
      </c>
      <c r="L64" s="621" cm="1">
        <f t="array" aca="1" ref="L64" ca="1">IF(AUTOEVENTO="Manual",ROUND(SUMPRODUCT((CÁLCULO!$M$15:$M$231=EVENTOS!$C64)*(OFFSET(CÁLCULO!$AA$15:$AA$231,0,L$13))),2),0)</f>
        <v>0</v>
      </c>
      <c r="M64" s="621" cm="1">
        <f t="array" aca="1" ref="M64" ca="1">IF(AUTOEVENTO="Manual",ROUND(SUMPRODUCT((CÁLCULO!$M$15:$M$231=EVENTOS!$C64)*(OFFSET(CÁLCULO!$AA$15:$AA$231,0,M$13))),2),0)</f>
        <v>0</v>
      </c>
      <c r="N64" s="621" cm="1">
        <f t="array" aca="1" ref="N64" ca="1">IF(AUTOEVENTO="Manual",ROUND(SUMPRODUCT((CÁLCULO!$M$15:$M$231=EVENTOS!$C64)*(OFFSET(CÁLCULO!$AA$15:$AA$231,0,N$13))),2),0)</f>
        <v>0</v>
      </c>
      <c r="O64" s="621" cm="1">
        <f t="array" aca="1" ref="O64" ca="1">IF(AUTOEVENTO="Manual",ROUND(SUMPRODUCT((CÁLCULO!$M$15:$M$231=EVENTOS!$C64)*(OFFSET(CÁLCULO!$AA$15:$AA$231,0,O$13))),2),0)</f>
        <v>0</v>
      </c>
      <c r="P64" s="621" cm="1">
        <f t="array" aca="1" ref="P64" ca="1">IF(AUTOEVENTO="Manual",ROUND(SUMPRODUCT((CÁLCULO!$M$15:$M$231=EVENTOS!$C64)*(OFFSET(CÁLCULO!$AA$15:$AA$231,0,P$13))),2),0)</f>
        <v>0</v>
      </c>
      <c r="Q64" s="621" cm="1">
        <f t="array" aca="1" ref="Q64" ca="1">IF(AUTOEVENTO="Manual",ROUND(SUMPRODUCT((CÁLCULO!$M$15:$M$231=EVENTOS!$C64)*(OFFSET(CÁLCULO!$AA$15:$AA$231,0,Q$13))),2),0)</f>
        <v>0</v>
      </c>
      <c r="R64" s="621" cm="1">
        <f t="array" aca="1" ref="R64" ca="1">IF(AUTOEVENTO="Manual",ROUND(SUMPRODUCT((CÁLCULO!$M$15:$M$231=EVENTOS!$C64)*(OFFSET(CÁLCULO!$AA$15:$AA$231,0,R$13))),2),0)</f>
        <v>0</v>
      </c>
      <c r="S64" s="621" cm="1">
        <f t="array" aca="1" ref="S64" ca="1">IF(AUTOEVENTO="Manual",ROUND(SUMPRODUCT((CÁLCULO!$M$15:$M$231=EVENTOS!$C64)*(OFFSET(CÁLCULO!$AA$15:$AA$231,0,S$13))),2),0)</f>
        <v>0</v>
      </c>
      <c r="T64" s="621" cm="1">
        <f t="array" aca="1" ref="T64" ca="1">IF(AUTOEVENTO="Manual",ROUND(SUMPRODUCT((CÁLCULO!$M$15:$M$231=EVENTOS!$C64)*(OFFSET(CÁLCULO!$AA$15:$AA$231,0,T$13))),2),0)</f>
        <v>0</v>
      </c>
      <c r="U64" s="621" cm="1">
        <f t="array" aca="1" ref="U64" ca="1">IF(AUTOEVENTO="Manual",ROUND(SUMPRODUCT((CÁLCULO!$M$15:$M$231=EVENTOS!$C64)*(OFFSET(CÁLCULO!$AA$15:$AA$231,0,U$13))),2),0)</f>
        <v>0</v>
      </c>
      <c r="V64" s="621" cm="1">
        <f t="array" aca="1" ref="V64" ca="1">IF(AUTOEVENTO="Manual",ROUND(SUMPRODUCT((CÁLCULO!$M$15:$M$231=EVENTOS!$C64)*(OFFSET(CÁLCULO!$AA$15:$AA$231,0,V$13))),2),0)</f>
        <v>0</v>
      </c>
      <c r="W64" s="621" cm="1">
        <f t="array" aca="1" ref="W64" ca="1">IF(AUTOEVENTO="Manual",ROUND(SUMPRODUCT((CÁLCULO!$M$15:$M$231=EVENTOS!$C64)*(OFFSET(CÁLCULO!$AA$15:$AA$231,0,W$13))),2),0)</f>
        <v>0</v>
      </c>
      <c r="X64" s="621" cm="1">
        <f t="array" aca="1" ref="X64" ca="1">IF(AUTOEVENTO="Manual",ROUND(SUMPRODUCT((CÁLCULO!$M$15:$M$231=EVENTOS!$C64)*(OFFSET(CÁLCULO!$AA$15:$AA$231,0,X$13))),2),0)</f>
        <v>0</v>
      </c>
      <c r="Y64" s="621" cm="1">
        <f t="array" aca="1" ref="Y64" ca="1">IF(AUTOEVENTO="Manual",ROUND(SUMPRODUCT((CÁLCULO!$M$15:$M$231=EVENTOS!$C64)*(OFFSET(CÁLCULO!$AA$15:$AA$231,0,Y$13))),2),0)</f>
        <v>0</v>
      </c>
    </row>
    <row r="65" spans="1:25" ht="5.0999999999999996" customHeight="1" x14ac:dyDescent="0.2">
      <c r="A65" s="507" t="s">
        <v>537</v>
      </c>
      <c r="C65" s="630"/>
      <c r="D65" s="631"/>
      <c r="E65" s="632"/>
      <c r="F65" s="185"/>
      <c r="G65" s="632"/>
      <c r="H65" s="632"/>
      <c r="I65" s="632"/>
      <c r="J65" s="632"/>
      <c r="K65" s="632"/>
      <c r="L65" s="632"/>
      <c r="M65" s="632"/>
      <c r="N65" s="632"/>
      <c r="O65" s="632"/>
      <c r="P65" s="632"/>
      <c r="Q65" s="632"/>
      <c r="R65" s="632"/>
      <c r="S65" s="632"/>
      <c r="T65" s="632"/>
      <c r="U65" s="632"/>
      <c r="V65" s="632"/>
      <c r="W65" s="632"/>
      <c r="X65" s="632"/>
      <c r="Y65" s="632"/>
    </row>
    <row r="66" spans="1:25" x14ac:dyDescent="0.2">
      <c r="A66" s="507" t="s">
        <v>537</v>
      </c>
    </row>
    <row r="67" spans="1:25" x14ac:dyDescent="0.2">
      <c r="A67" s="507" t="s">
        <v>537</v>
      </c>
    </row>
    <row r="68" spans="1:25" ht="15" x14ac:dyDescent="0.2">
      <c r="A68" s="507" t="s">
        <v>537</v>
      </c>
      <c r="D68" s="494" t="str">
        <f>Import.Município</f>
        <v>PASSOS/MG</v>
      </c>
      <c r="L68" s="461"/>
      <c r="M68" s="418"/>
      <c r="N68" s="418"/>
      <c r="O68" s="418"/>
      <c r="V68" s="461"/>
      <c r="W68" s="418"/>
      <c r="X68" s="418"/>
      <c r="Y68" s="418"/>
    </row>
    <row r="69" spans="1:25" x14ac:dyDescent="0.2">
      <c r="A69" s="507" t="s">
        <v>537</v>
      </c>
      <c r="D69" s="9" t="s">
        <v>694</v>
      </c>
      <c r="H69" s="545"/>
      <c r="I69" s="545"/>
      <c r="J69" s="545"/>
      <c r="L69" s="182" t="s">
        <v>697</v>
      </c>
      <c r="V69" s="182" t="s">
        <v>697</v>
      </c>
    </row>
    <row r="70" spans="1:25" x14ac:dyDescent="0.2">
      <c r="A70" s="507" t="s">
        <v>537</v>
      </c>
      <c r="H70" s="545"/>
      <c r="I70" s="545"/>
      <c r="J70" s="545"/>
      <c r="L70" s="399" t="str">
        <f t="array" aca="1" ref="L70:L72" ca="1">OFFSET(Import.RespOrçamento,0,-1) &amp; " " &amp; Import.RespOrçamento</f>
        <v>Nome: LUCAS REZENDE CARVALHO</v>
      </c>
      <c r="V70" s="399" t="str">
        <f t="array" aca="1" ref="V70:V72" ca="1">OFFSET(Import.RespOrçamento,0,-1) &amp; " " &amp; Import.RespOrçamento</f>
        <v>Nome: LUCAS REZENDE CARVALHO</v>
      </c>
    </row>
    <row r="71" spans="1:25" x14ac:dyDescent="0.2">
      <c r="A71" s="507" t="s">
        <v>537</v>
      </c>
      <c r="D71" s="495">
        <f>DADOS!$C$25</f>
        <v>45945</v>
      </c>
      <c r="L71" s="399" t="str">
        <f ca="1"/>
        <v>CREA/CAU: 126.061/D</v>
      </c>
      <c r="V71" s="399" t="str">
        <f ca="1"/>
        <v>CREA/CAU: 126.061/D</v>
      </c>
    </row>
    <row r="72" spans="1:25" x14ac:dyDescent="0.2">
      <c r="A72" s="507" t="s">
        <v>537</v>
      </c>
      <c r="D72" s="9" t="s">
        <v>695</v>
      </c>
      <c r="L72" s="399" t="str">
        <f ca="1"/>
        <v>ART/RRT: MG20253685005</v>
      </c>
      <c r="V72" s="399" t="str">
        <f ca="1"/>
        <v>ART/RRT: MG20253685005</v>
      </c>
    </row>
  </sheetData>
  <sheetProtection algorithmName="SHA-512" hashValue="J77FRoaLXwwE/aKGVG2uBp4KKweheYw2KNxdofxyDwGGl2pQspjp/zk63O6E1GLJjp1WYayz/J5f5uACKPZMdQ==" saltValue="RNE4gXIcTDjGdFcf3L8kWg==" spinCount="100000" sheet="1" objects="1" scenarios="1" autoFilter="0"/>
  <autoFilter ref="A13:A72"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65">
    <cfRule type="expression" dxfId="495" priority="1" stopIfTrue="1">
      <formula>OR(AUTOEVENTO&lt;&gt;"Manual",ACOMPANHAMENTO="BM",C$10=0,C$13=0,$C1=" ")</formula>
    </cfRule>
  </conditionalFormatting>
  <conditionalFormatting sqref="A15 C15:XFD15">
    <cfRule type="expression" dxfId="494" priority="151">
      <formula>$C$15=0</formula>
    </cfRule>
  </conditionalFormatting>
  <dataValidations count="1">
    <dataValidation type="list" allowBlank="1" showErrorMessage="1" sqref="C8:D8" xr:uid="{67AAE7CF-29D6-442C-80BA-C74F0E2464FB}">
      <formula1>$B$6:$B$9</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&amp;LPMv3.12&amp;R&amp;P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499"/>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3" cm="1">
        <f t="array" ref="O1">IF(OR(ACOMPANHAMENTO="BM",N1=0,O12=""),0,1)</f>
        <v>0</v>
      </c>
      <c r="P1" t="s">
        <v>765</v>
      </c>
      <c r="Q1" s="633" cm="1">
        <f t="array" ref="Q1">IF(OR(ACOMPANHAMENTO="BM",P1=0,Q12=""),0,1)</f>
        <v>0</v>
      </c>
      <c r="R1" s="633" cm="1">
        <f t="array" ref="R1">IF(OR(ACOMPANHAMENTO="BM",Q1=0,R12=""),0,1)</f>
        <v>0</v>
      </c>
      <c r="S1" s="633" cm="1">
        <f t="array" ref="S1">IF(OR(ACOMPANHAMENTO="BM",R1=0,S12=""),0,1)</f>
        <v>0</v>
      </c>
      <c r="T1" s="633" cm="1">
        <f t="array" ref="T1">IF(OR(ACOMPANHAMENTO="BM",S1=0,T12=""),0,1)</f>
        <v>0</v>
      </c>
      <c r="U1" s="633" cm="1">
        <f t="array" ref="U1">IF(OR(ACOMPANHAMENTO="BM",T1=0,U12=""),0,1)</f>
        <v>0</v>
      </c>
      <c r="V1" s="633" cm="1">
        <f t="array" ref="V1">IF(OR(ACOMPANHAMENTO="BM",U1=0,V12=""),0,1)</f>
        <v>0</v>
      </c>
      <c r="W1" s="633" cm="1">
        <f t="array" ref="W1">IF(OR(ACOMPANHAMENTO="BM",V1=0,W12=""),0,1)</f>
        <v>0</v>
      </c>
      <c r="X1" s="633" cm="1">
        <f t="array" ref="X1">IF(OR(ACOMPANHAMENTO="BM",W1=0,X12=""),0,1)</f>
        <v>0</v>
      </c>
      <c r="Y1" s="633" cm="1">
        <f t="array" ref="Y1">IF(OR(ACOMPANHAMENTO="BM",X1=0,Y12=""),0,1)</f>
        <v>0</v>
      </c>
      <c r="Z1" s="633" cm="1">
        <f t="array" ref="Z1">IF(OR(ACOMPANHAMENTO="BM",Y1=0,Z12=""),0,1)</f>
        <v>0</v>
      </c>
      <c r="AB1" t="s">
        <v>766</v>
      </c>
      <c r="AM1" t="s">
        <v>767</v>
      </c>
      <c r="AX1" t="s">
        <v>768</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83" t="str" cm="1">
        <f t="array" ref="F6">IF(ACOMPANHAMENTO="BM","MEMÓRIA DE CÁLCULO","PLQ - PLANILHA DE LEVANTAMENTO DE QUANTIDADES")</f>
        <v>MEMÓRIA DE CÁLCULO</v>
      </c>
      <c r="G6" s="783"/>
      <c r="H6" s="783"/>
      <c r="I6" s="142"/>
      <c r="K6" s="142"/>
      <c r="L6" s="142"/>
      <c r="M6" s="143"/>
      <c r="N6" s="142"/>
      <c r="P6" s="142"/>
      <c r="Q6" s="784" t="s">
        <v>645</v>
      </c>
      <c r="R6" s="785"/>
      <c r="Y6" s="729" t="s">
        <v>645</v>
      </c>
      <c r="Z6" s="729"/>
    </row>
    <row r="7" spans="1:59" ht="15" customHeight="1" x14ac:dyDescent="0.2">
      <c r="F7" s="786" t="str" cm="1">
        <f t="array" ref="F7">IF(ACOMPANHAMENTO="BM","","Memória de Cálculo")&amp;" - "&amp;import.recurso</f>
        <v xml:space="preserve"> - FGTS</v>
      </c>
      <c r="G7" s="786"/>
      <c r="H7" s="786"/>
      <c r="I7" s="144"/>
      <c r="K7" s="144"/>
      <c r="L7" s="144"/>
      <c r="M7" s="145"/>
      <c r="N7" s="144"/>
      <c r="P7" s="144"/>
      <c r="Q7" s="787" t="s">
        <v>648</v>
      </c>
      <c r="R7" s="788"/>
      <c r="Y7" s="730" t="s">
        <v>648</v>
      </c>
      <c r="Z7" s="730"/>
    </row>
    <row r="8" spans="1:59" ht="12.75" customHeight="1" x14ac:dyDescent="0.2">
      <c r="AE8" s="477"/>
    </row>
    <row r="9" spans="1:59" ht="12.75" customHeight="1" x14ac:dyDescent="0.2">
      <c r="E9" s="731" t="s">
        <v>709</v>
      </c>
      <c r="F9" s="731"/>
      <c r="G9" s="731" t="s">
        <v>708</v>
      </c>
      <c r="H9" s="731"/>
      <c r="I9" s="88" t="s">
        <v>651</v>
      </c>
      <c r="K9" s="146" t="s">
        <v>653</v>
      </c>
      <c r="L9" s="147"/>
      <c r="M9" s="147"/>
      <c r="N9" s="147"/>
      <c r="O9" s="147"/>
      <c r="P9" s="147"/>
      <c r="Q9" s="147"/>
      <c r="R9" s="148"/>
      <c r="S9" s="731" t="s">
        <v>651</v>
      </c>
      <c r="T9" s="731"/>
      <c r="U9" s="731" t="s">
        <v>653</v>
      </c>
      <c r="V9" s="731"/>
      <c r="W9" s="731"/>
      <c r="X9" s="731"/>
      <c r="Y9" s="731"/>
      <c r="Z9" s="731"/>
    </row>
    <row r="10" spans="1:59" ht="12.75" customHeight="1" x14ac:dyDescent="0.2">
      <c r="A10" s="602" t="s">
        <v>769</v>
      </c>
      <c r="E10" s="728" t="str">
        <f>Import.Apelido</f>
        <v>AMPLIAÇÃO DO SISTEMA DE ESGOTAMENTO SANITÁRIO</v>
      </c>
      <c r="F10" s="728"/>
      <c r="G10" s="728" t="str" cm="1">
        <f t="array" ref="G10">Import.TransfereGOV</f>
        <v>56000003291</v>
      </c>
      <c r="H10" s="728"/>
      <c r="I10" s="91" t="str">
        <f>Import.CR</f>
        <v>0639.998-99</v>
      </c>
      <c r="K10" s="149" t="str">
        <f>Import.Proponente</f>
        <v>PREFEITURA MUNICIPAL DE PASSOS/MG</v>
      </c>
      <c r="L10" s="150"/>
      <c r="M10" s="101"/>
      <c r="N10" s="150"/>
      <c r="O10" s="150"/>
      <c r="P10" s="150"/>
      <c r="Q10" s="150"/>
      <c r="R10" s="92"/>
      <c r="S10" s="728" t="str">
        <f>Import.CR</f>
        <v>0639.998-99</v>
      </c>
      <c r="T10" s="728"/>
      <c r="U10" s="728" t="str">
        <f>Import.Proponente</f>
        <v>PREFEITURA MUNICIPAL DE PASSOS/MG</v>
      </c>
      <c r="V10" s="728"/>
      <c r="W10" s="728"/>
      <c r="X10" s="728"/>
      <c r="Y10" s="728"/>
      <c r="Z10" s="728"/>
    </row>
    <row r="11" spans="1:59" ht="15" customHeight="1" x14ac:dyDescent="0.2">
      <c r="A11" s="451" t="str">
        <f>IF(AND(Import.TipoArredondamento="Tradicional",AUTOEVENTO="Manual"),"Automática",IF(CRONOPLE!$B$8="","Sem Adm","Manual"))</f>
        <v>Sem Adm</v>
      </c>
      <c r="F11" s="568" t="str">
        <f ca="1">IF(AND(ACOMPANHAMENTO="PLE",ISERROR(AUTOEVENTO)),"Selecione a forma de definição dos agrupadores de eventos na aba EVENTOS",
  IF(AND(ACOMPANHAMENTO="PLE",CÁLCULO.FrentesPreenchidas=0),"Preencher os nomes das Frentes de Obra",
  IF(COUNTIF($J$15:$J$231,"►")&gt;0,"Não pode haver serviços sem agrupador de eventos",
  IF(COUNTIF($P$11:$AA$11,"▼")&gt;0,"Não pode haver frentes de obra sem quantidades",
  IF(COUNTIF($P$11:$AA$11,"Nome &gt;100")&gt;0,"Nome da frente de obra com mais de 100 caracteres","")))))</f>
        <v/>
      </c>
      <c r="N11" s="574" t="str">
        <f ca="1">IF(OR(COUNTIF($J$15:$J$231,"►")&gt;0,COUNTIF($J$15:$J$231,"►►")&gt;0),"",
IF(COUNTIF($P$11:$AA$11,"▼")&gt;0,"Falta preencher a frente de obra nº " &amp; HLOOKUP("▼",$P$11:$AA$13,3,FALSE),
IF(COUNTIF($P$11:$AA$11,"Nome &gt;100")&gt;0,"Resuma o nome da frente de obra nº " &amp; HLOOKUP("Nome &gt;100",$P$11:$AA$13,3,FALSE),"")))</f>
        <v/>
      </c>
      <c r="O11" s="567" t="e">
        <f ca="1">IF(AND(O1=1,O15=0),"▼",IF(AND(O1=1,LEN(O12)&gt;100),"Nome &gt;100",""))</f>
        <v>#VALUE!</v>
      </c>
      <c r="P11" s="7"/>
      <c r="Q11" s="567" t="str">
        <f t="shared" ref="Q11:Z11" ca="1" si="0">IF(AND(Q1=1,Q15=0),"▼",IF(AND(Q1=1,LEN(Q12)&gt;100),"Nome &gt;100",""))</f>
        <v/>
      </c>
      <c r="R11" s="567" t="str">
        <f t="shared" ca="1" si="0"/>
        <v/>
      </c>
      <c r="S11" s="567" t="str">
        <f t="shared" ca="1" si="0"/>
        <v/>
      </c>
      <c r="T11" s="567" t="str">
        <f t="shared" ca="1" si="0"/>
        <v/>
      </c>
      <c r="U11" s="567" t="str">
        <f t="shared" ca="1" si="0"/>
        <v/>
      </c>
      <c r="V11" s="567" t="str">
        <f t="shared" ca="1" si="0"/>
        <v/>
      </c>
      <c r="W11" s="567" t="str">
        <f t="shared" ca="1" si="0"/>
        <v/>
      </c>
      <c r="X11" s="567" t="str">
        <f t="shared" ca="1" si="0"/>
        <v/>
      </c>
      <c r="Y11" s="567" t="str">
        <f t="shared" ca="1" si="0"/>
        <v/>
      </c>
      <c r="Z11" s="567" t="str">
        <f t="shared" ca="1" si="0"/>
        <v/>
      </c>
    </row>
    <row r="12" spans="1:59" ht="69.95" customHeight="1" x14ac:dyDescent="0.2">
      <c r="A12" s="600">
        <f>IF(Import.Eventos.Nível="Definir Manualmente","Manual",MATCH(Import.Eventos.Nível,EVENTOS!$B$6:$B$9,0)+1)</f>
        <v>2</v>
      </c>
      <c r="B12" s="7" t="s">
        <v>770</v>
      </c>
      <c r="C12" s="490" t="s">
        <v>656</v>
      </c>
      <c r="H12" s="151"/>
      <c r="I12" s="576" t="str">
        <f ca="1">IF(AND(ACOMPANHAMENTO="PLE",CÁLCULO.FrentesPreenchidas=0),"",
  IF(COUNTIF($J$15:$J$231,"►")&gt;0,"Falta Definir o Agrupador de Evento na linha "&amp;MATCH("►",$J$15:$J$231,0)+ROW($J$14),
  IF(COUNTIF($J$15:$J$231,"►►")&gt;0,"Falta preencher a quantidade do serviço na linha "&amp;MATCH("►►",$J$15:$J$231,0)+ROW($J$14),
  IF(AND(COUNTIF($P$11:$AA$11,"▼")=0,COUNTIF($J$15:$J$231,"◄")&gt;0),"Falta Preencher o Memorial de Cálculo na linha "&amp;MATCH("◄",$J$15:$J$231,0)+ROW($J$14),""))))</f>
        <v/>
      </c>
      <c r="J12" s="152" t="s">
        <v>765</v>
      </c>
      <c r="K12" s="153" t="s">
        <v>771</v>
      </c>
      <c r="L12" s="152" t="s">
        <v>765</v>
      </c>
      <c r="M12" s="571" cm="1">
        <f t="array" ref="M12">IF(ACOMPANHAMENTO="BM",0,MAX($M$15:$M$231))</f>
        <v>0</v>
      </c>
      <c r="N12" s="575" t="str">
        <f ca="1">IF(AND(ACOMPANHAMENTO="PLE",CÁLCULO.FrentesPreenchidas=0),"Preencher os nomes das Frentes de Obra ►","FRENTES DE OBRA:")</f>
        <v>FRENTES DE OBRA:</v>
      </c>
      <c r="O12" s="154"/>
      <c r="P12" s="152" t="s">
        <v>765</v>
      </c>
      <c r="Q12" s="453"/>
      <c r="R12" s="154"/>
      <c r="S12" s="154"/>
      <c r="T12" s="521"/>
      <c r="U12" s="154"/>
      <c r="V12" s="154"/>
      <c r="W12" s="154"/>
      <c r="X12" s="154"/>
      <c r="Y12" s="154"/>
      <c r="Z12" s="155"/>
      <c r="AA12" s="152" t="s">
        <v>765</v>
      </c>
      <c r="AB12" s="156">
        <f ca="1">IF(OFFSET($P$1,0,AB$13)=0,0,OFFSET($P$12,0,AB$13))</f>
        <v>0</v>
      </c>
      <c r="AC12" s="156">
        <f t="shared" ref="AC12:AK12" ca="1" si="1">IF(OFFSET($P$1,0,AC$13)=0,0,OFFSET($P$12,0,AC$13))</f>
        <v>0</v>
      </c>
      <c r="AD12" s="156">
        <f t="shared" ca="1" si="1"/>
        <v>0</v>
      </c>
      <c r="AE12" s="156">
        <f t="shared" ca="1" si="1"/>
        <v>0</v>
      </c>
      <c r="AF12" s="156">
        <f t="shared" ca="1" si="1"/>
        <v>0</v>
      </c>
      <c r="AG12" s="156">
        <f t="shared" ca="1" si="1"/>
        <v>0</v>
      </c>
      <c r="AH12" s="156">
        <f t="shared" ca="1" si="1"/>
        <v>0</v>
      </c>
      <c r="AI12" s="156">
        <f t="shared" ca="1" si="1"/>
        <v>0</v>
      </c>
      <c r="AJ12" s="156">
        <f t="shared" ca="1" si="1"/>
        <v>0</v>
      </c>
      <c r="AK12" s="156">
        <f t="shared" ca="1" si="1"/>
        <v>0</v>
      </c>
      <c r="AM12" s="156">
        <f t="shared" ref="AM12:BG12" ca="1" si="2">IF(OFFSET($P$1,0,AM$13)=0,0,OFFSET($P$12,0,AM$13))</f>
        <v>0</v>
      </c>
      <c r="AN12" s="157">
        <f t="shared" ca="1" si="2"/>
        <v>0</v>
      </c>
      <c r="AO12" s="157">
        <f t="shared" ca="1" si="2"/>
        <v>0</v>
      </c>
      <c r="AP12" s="157">
        <f t="shared" ca="1" si="2"/>
        <v>0</v>
      </c>
      <c r="AQ12" s="157">
        <f t="shared" ca="1" si="2"/>
        <v>0</v>
      </c>
      <c r="AR12" s="157">
        <f t="shared" ca="1" si="2"/>
        <v>0</v>
      </c>
      <c r="AS12" s="157">
        <f t="shared" ca="1" si="2"/>
        <v>0</v>
      </c>
      <c r="AT12" s="157">
        <f t="shared" ca="1" si="2"/>
        <v>0</v>
      </c>
      <c r="AU12" s="157">
        <f t="shared" ca="1" si="2"/>
        <v>0</v>
      </c>
      <c r="AV12" s="158">
        <f t="shared" ca="1" si="2"/>
        <v>0</v>
      </c>
      <c r="AX12" s="156">
        <f t="shared" ca="1" si="2"/>
        <v>0</v>
      </c>
      <c r="AY12" s="157">
        <f t="shared" ca="1" si="2"/>
        <v>0</v>
      </c>
      <c r="AZ12" s="157">
        <f t="shared" ca="1" si="2"/>
        <v>0</v>
      </c>
      <c r="BA12" s="157">
        <f t="shared" ca="1" si="2"/>
        <v>0</v>
      </c>
      <c r="BB12" s="157">
        <f t="shared" ca="1" si="2"/>
        <v>0</v>
      </c>
      <c r="BC12" s="157">
        <f t="shared" ca="1" si="2"/>
        <v>0</v>
      </c>
      <c r="BD12" s="157">
        <f t="shared" ca="1" si="2"/>
        <v>0</v>
      </c>
      <c r="BE12" s="157">
        <f t="shared" ca="1" si="2"/>
        <v>0</v>
      </c>
      <c r="BF12" s="157">
        <f t="shared" ca="1" si="2"/>
        <v>0</v>
      </c>
      <c r="BG12" s="158">
        <f t="shared" ca="1" si="2"/>
        <v>0</v>
      </c>
    </row>
    <row r="13" spans="1:59" ht="12.75" customHeight="1" x14ac:dyDescent="0.2">
      <c r="A13" s="601" t="s">
        <v>772</v>
      </c>
      <c r="B13" s="7" t="s">
        <v>770</v>
      </c>
      <c r="C13" s="491" t="s">
        <v>661</v>
      </c>
      <c r="D13" s="108" t="s">
        <v>734</v>
      </c>
      <c r="E13" s="108" t="s">
        <v>736</v>
      </c>
      <c r="F13" s="108" t="s">
        <v>118</v>
      </c>
      <c r="G13" s="110" t="s">
        <v>739</v>
      </c>
      <c r="H13" s="108" t="s">
        <v>713</v>
      </c>
      <c r="I13" s="108" t="s">
        <v>773</v>
      </c>
      <c r="J13" s="523"/>
      <c r="K13" s="293" t="s">
        <v>774</v>
      </c>
      <c r="L13" s="152"/>
      <c r="M13" s="108" t="s">
        <v>775</v>
      </c>
      <c r="N13" s="108" t="s">
        <v>776</v>
      </c>
      <c r="O13" s="159" t="e">
        <f ca="1">OFFSET(O13,0,-1)+1</f>
        <v>#VALUE!</v>
      </c>
      <c r="Q13" s="160">
        <f t="shared" ref="Q13:Z13" ca="1" si="3">OFFSET(Q13,0,-1)+1</f>
        <v>1</v>
      </c>
      <c r="R13" s="159">
        <f t="shared" ca="1" si="3"/>
        <v>2</v>
      </c>
      <c r="S13" s="159">
        <f t="shared" ca="1" si="3"/>
        <v>3</v>
      </c>
      <c r="T13" s="159">
        <f t="shared" ca="1" si="3"/>
        <v>4</v>
      </c>
      <c r="U13" s="159">
        <f t="shared" ca="1" si="3"/>
        <v>5</v>
      </c>
      <c r="V13" s="159">
        <f t="shared" ca="1" si="3"/>
        <v>6</v>
      </c>
      <c r="W13" s="159">
        <f t="shared" ca="1" si="3"/>
        <v>7</v>
      </c>
      <c r="X13" s="159">
        <f t="shared" ca="1" si="3"/>
        <v>8</v>
      </c>
      <c r="Y13" s="159">
        <f t="shared" ca="1" si="3"/>
        <v>9</v>
      </c>
      <c r="Z13" s="161">
        <f t="shared" ca="1" si="3"/>
        <v>10</v>
      </c>
      <c r="AB13" s="114">
        <f t="shared" ref="AB13:BG13" ca="1" si="4">OFFSET(AB13,0,-1)+1</f>
        <v>1</v>
      </c>
      <c r="AC13" s="162">
        <f t="shared" ca="1" si="4"/>
        <v>2</v>
      </c>
      <c r="AD13" s="162">
        <f t="shared" ca="1" si="4"/>
        <v>3</v>
      </c>
      <c r="AE13" s="162">
        <f t="shared" ca="1" si="4"/>
        <v>4</v>
      </c>
      <c r="AF13" s="162">
        <f t="shared" ca="1" si="4"/>
        <v>5</v>
      </c>
      <c r="AG13" s="162">
        <f t="shared" ca="1" si="4"/>
        <v>6</v>
      </c>
      <c r="AH13" s="162">
        <f t="shared" ca="1" si="4"/>
        <v>7</v>
      </c>
      <c r="AI13" s="162">
        <f t="shared" ca="1" si="4"/>
        <v>8</v>
      </c>
      <c r="AJ13" s="162">
        <f t="shared" ca="1" si="4"/>
        <v>9</v>
      </c>
      <c r="AK13" s="163">
        <f t="shared" ca="1" si="4"/>
        <v>10</v>
      </c>
      <c r="AM13" s="114">
        <f t="shared" ca="1" si="4"/>
        <v>1</v>
      </c>
      <c r="AN13" s="162">
        <f t="shared" ca="1" si="4"/>
        <v>2</v>
      </c>
      <c r="AO13" s="162">
        <f t="shared" ca="1" si="4"/>
        <v>3</v>
      </c>
      <c r="AP13" s="162">
        <f t="shared" ca="1" si="4"/>
        <v>4</v>
      </c>
      <c r="AQ13" s="162">
        <f t="shared" ca="1" si="4"/>
        <v>5</v>
      </c>
      <c r="AR13" s="162">
        <f t="shared" ca="1" si="4"/>
        <v>6</v>
      </c>
      <c r="AS13" s="162">
        <f t="shared" ca="1" si="4"/>
        <v>7</v>
      </c>
      <c r="AT13" s="162">
        <f t="shared" ca="1" si="4"/>
        <v>8</v>
      </c>
      <c r="AU13" s="162">
        <f t="shared" ca="1" si="4"/>
        <v>9</v>
      </c>
      <c r="AV13" s="163">
        <f t="shared" ca="1" si="4"/>
        <v>10</v>
      </c>
      <c r="AX13" s="114">
        <f t="shared" ca="1" si="4"/>
        <v>1</v>
      </c>
      <c r="AY13" s="162">
        <f t="shared" ca="1" si="4"/>
        <v>2</v>
      </c>
      <c r="AZ13" s="162">
        <f t="shared" ca="1" si="4"/>
        <v>3</v>
      </c>
      <c r="BA13" s="162">
        <f t="shared" ca="1" si="4"/>
        <v>4</v>
      </c>
      <c r="BB13" s="162">
        <f t="shared" ca="1" si="4"/>
        <v>5</v>
      </c>
      <c r="BC13" s="162">
        <f t="shared" ca="1" si="4"/>
        <v>6</v>
      </c>
      <c r="BD13" s="162">
        <f t="shared" ca="1" si="4"/>
        <v>7</v>
      </c>
      <c r="BE13" s="162">
        <f t="shared" ca="1" si="4"/>
        <v>8</v>
      </c>
      <c r="BF13" s="162">
        <f t="shared" ca="1" si="4"/>
        <v>9</v>
      </c>
      <c r="BG13" s="163">
        <f t="shared" ca="1" si="4"/>
        <v>10</v>
      </c>
    </row>
    <row r="14" spans="1:59" ht="12.75" hidden="1" x14ac:dyDescent="0.2">
      <c r="A14" s="666" t="str">
        <f t="shared" ref="A14" ca="1" si="5">IFERROR(IF(AUTOEVENTO="Manual",IF(K14&lt;&gt;"",MIN(VALUE(LEFT(K14,FIND(".",K14)-1)),COUNTA(EVENTOS.Lista)),0),IF(OR($B14&gt;AUTOEVENTO,$B14="S",$B14=0),SUBSTITUTE(OFFSET($A14,-1,0),IF($D14="Serviço",".",""),""),ROW(A14)-ROW($A$15)&amp;".")),0)</f>
        <v>AUTOEVENTO</v>
      </c>
      <c r="B14" s="7" t="str">
        <f ca="1">OFFSET(ORÇAMENTO!C$15,ROW(B14)-ROW(B$15),0)</f>
        <v>S</v>
      </c>
      <c r="C14" s="7" t="str">
        <f ca="1">OFFSET(ORÇAMENTO!L$15,ROW(C14)-ROW(C$15),0)</f>
        <v/>
      </c>
      <c r="D14" s="117" t="str">
        <f ca="1">OFFSET(ORÇAMENTO!N$15,ROW(D14)-ROW(D$15),0)</f>
        <v>Serviço</v>
      </c>
      <c r="E14" s="118" t="str">
        <f ca="1">OFFSET(ORÇAMENTO!O$15,ROW(E14)-ROW(E$15),0)</f>
        <v>-</v>
      </c>
      <c r="F14" s="164" t="str">
        <f ca="1">OFFSET(ORÇAMENTO!R$15,ROW(F14)-ROW(F$15),0)</f>
        <v>(abra o arquivo 'Referência 09-2025.xlsm)</v>
      </c>
      <c r="G14" s="165" t="str">
        <f ca="1">IF($D14&lt;&gt;"Serviço","",OFFSET(ORÇAMENTO!S$15,ROW(G14)-ROW(G$15),0))</f>
        <v>-</v>
      </c>
      <c r="H14" s="123">
        <f ca="1">IF($D14&lt;&gt;"Serviço",0,IF(ACOMPANHAMENTO="BM",ROUND(OFFSET(ORÇAMENTO!AJ$15,ROW(H14)-ROW(H$15),0),15-13*ORÇAMENTO!$AF$7),SUMPRODUCT(($Q$1:$AA$1=1)*ROUND($Q14:$AA14,15-13*ORÇAMENTO!$AF$7))))</f>
        <v>0</v>
      </c>
      <c r="I14" s="469"/>
      <c r="J14" s="667" t="str">
        <f ca="1">IF(OR(B14&lt;&gt;"S",CÁLCULO.FrentesPreenchidas=0),"",IF(AND(ACOMPANHAMENTO="PLE",AUTOEVENTO="Manual",OR(H14&gt;0,ORÇAMENTO!AC14="QUANT."),OR(K14="",M14=0,N14="")),"►",IF(AND(ACOMPANHAMENTO="PLE",ORÇAMENTO!AC14="QUANT."),"►►",IF(AND(COUNTIF($P$11:$AA$11,"▼")=0,H14&gt;0,I14=""),"◄",""))))</f>
        <v/>
      </c>
      <c r="K14" s="668"/>
      <c r="L14" s="166" t="s">
        <v>765</v>
      </c>
      <c r="M14" s="167" t="str">
        <f ca="1">IF($D14&lt;&gt;"Serviço","",
          IF(AUTOEVENTO="manual",$A14,
                IF(ISERROR(MATCH($A14,$A$15:OFFSET($A14,-1,0),0)),MAX($M$15:OFFSET(M14,-1,0))+1,
                      INDEX($M$15:OFFSET(M14,-1,0),MATCH($A14,$A$15:OFFSET($A14,-1,0),0)))))</f>
        <v># Evento</v>
      </c>
      <c r="N14" s="168" t="e">
        <f ca="1">IF($D14&lt;&gt;"Serviço","",
         IF(AUTOEVENTO="Manual",
                IF($A14=0,"&lt;-- defina o número do agrupador",
                       OFFSET(EVENTOS!$D$15,$A14-$A$15,0)),
                OFFSET($F$15,$A14,0)))</f>
        <v>#VALUE!</v>
      </c>
      <c r="O14" s="169"/>
      <c r="Q14" s="169"/>
      <c r="R14" s="170"/>
      <c r="S14" s="170"/>
      <c r="T14" s="170"/>
      <c r="U14" s="170"/>
      <c r="V14" s="170"/>
      <c r="W14" s="170"/>
      <c r="X14" s="170"/>
      <c r="Y14" s="170"/>
      <c r="Z14" s="171"/>
      <c r="AB14" s="454">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4">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4">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4">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4">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4">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4">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4">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4">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4">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2" t="e">
        <f ca="1">IF(OR($D14&lt;&gt;"Serviço",AND(AUTOEVENTO="Manual",$M14=$A$15)),0,
         IF(OFFSET(CRONOPLE!$F$15,$M14-$A$15,AM$13)=0,10^12,OFFSET(CRONOPLE!$F$15,$M14-$A$15,AM$13)))</f>
        <v>#VALUE!</v>
      </c>
      <c r="AN14" s="172" t="e">
        <f ca="1">IF(OR($D14&lt;&gt;"Serviço",AND(AUTOEVENTO="Manual",$M14=$A$15)),0,
         IF(OFFSET(CRONOPLE!$F$15,$M14-$A$15,AN$13)=0,10^12,OFFSET(CRONOPLE!$F$15,$M14-$A$15,AN$13)))</f>
        <v>#VALUE!</v>
      </c>
      <c r="AO14" s="172" t="e">
        <f ca="1">IF(OR($D14&lt;&gt;"Serviço",AND(AUTOEVENTO="Manual",$M14=$A$15)),0,
         IF(OFFSET(CRONOPLE!$F$15,$M14-$A$15,AO$13)=0,10^12,OFFSET(CRONOPLE!$F$15,$M14-$A$15,AO$13)))</f>
        <v>#VALUE!</v>
      </c>
      <c r="AP14" s="172" t="e">
        <f ca="1">IF(OR($D14&lt;&gt;"Serviço",AND(AUTOEVENTO="Manual",$M14=$A$15)),0,
         IF(OFFSET(CRONOPLE!$F$15,$M14-$A$15,AP$13)=0,10^12,OFFSET(CRONOPLE!$F$15,$M14-$A$15,AP$13)))</f>
        <v>#VALUE!</v>
      </c>
      <c r="AQ14" s="172" t="e">
        <f ca="1">IF(OR($D14&lt;&gt;"Serviço",AND(AUTOEVENTO="Manual",$M14=$A$15)),0,
         IF(OFFSET(CRONOPLE!$F$15,$M14-$A$15,AQ$13)=0,10^12,OFFSET(CRONOPLE!$F$15,$M14-$A$15,AQ$13)))</f>
        <v>#VALUE!</v>
      </c>
      <c r="AR14" s="172" t="e">
        <f ca="1">IF(OR($D14&lt;&gt;"Serviço",AND(AUTOEVENTO="Manual",$M14=$A$15)),0,
         IF(OFFSET(CRONOPLE!$F$15,$M14-$A$15,AR$13)=0,10^12,OFFSET(CRONOPLE!$F$15,$M14-$A$15,AR$13)))</f>
        <v>#VALUE!</v>
      </c>
      <c r="AS14" s="172" t="e">
        <f ca="1">IF(OR($D14&lt;&gt;"Serviço",AND(AUTOEVENTO="Manual",$M14=$A$15)),0,
         IF(OFFSET(CRONOPLE!$F$15,$M14-$A$15,AS$13)=0,10^12,OFFSET(CRONOPLE!$F$15,$M14-$A$15,AS$13)))</f>
        <v>#VALUE!</v>
      </c>
      <c r="AT14" s="172" t="e">
        <f ca="1">IF(OR($D14&lt;&gt;"Serviço",AND(AUTOEVENTO="Manual",$M14=$A$15)),0,
         IF(OFFSET(CRONOPLE!$F$15,$M14-$A$15,AT$13)=0,10^12,OFFSET(CRONOPLE!$F$15,$M14-$A$15,AT$13)))</f>
        <v>#VALUE!</v>
      </c>
      <c r="AU14" s="172" t="e">
        <f ca="1">IF(OR($D14&lt;&gt;"Serviço",AND(AUTOEVENTO="Manual",$M14=$A$15)),0,
         IF(OFFSET(CRONOPLE!$F$15,$M14-$A$15,AU$13)=0,10^12,OFFSET(CRONOPLE!$F$15,$M14-$A$15,AU$13)))</f>
        <v>#VALUE!</v>
      </c>
      <c r="AV14" s="172" t="e">
        <f ca="1">IF(OR($D14&lt;&gt;"Serviço",AND(AUTOEVENTO="Manual",$M14=$A$15)),0,
         IF(OFFSET(CRONOPLE!$F$15,$M14-$A$15,AV$13)=0,10^12,OFFSET(CRONOPLE!$F$15,$M14-$A$15,AV$13)))</f>
        <v>#VALUE!</v>
      </c>
      <c r="AX14" s="173">
        <f ca="1">IF(OR($D14&lt;&gt;"Serviço",AND(AUTOEVENTO="Manual",$M14=$A$15),$M14&gt;(ROW(PLE.lastrow)-ROW(PLE.firstrow))),0,
           IF(OFFSET(PLE!$G$15,$M14-$A$15,AX$13)="",10^12,OFFSET(PLE!$G$15,$M14-$A$15,AX$13)))</f>
        <v>0</v>
      </c>
      <c r="AY14" s="173">
        <f ca="1">IF(OR($D14&lt;&gt;"Serviço",AND(AUTOEVENTO="Manual",$M14=$A$15),$M14&gt;(ROW(PLE.lastrow)-ROW(PLE.firstrow))),0,
           IF(OFFSET(PLE!$G$15,$M14-$A$15,AY$13)="",10^12,OFFSET(PLE!$G$15,$M14-$A$15,AY$13)))</f>
        <v>0</v>
      </c>
      <c r="AZ14" s="173">
        <f ca="1">IF(OR($D14&lt;&gt;"Serviço",AND(AUTOEVENTO="Manual",$M14=$A$15),$M14&gt;(ROW(PLE.lastrow)-ROW(PLE.firstrow))),0,
           IF(OFFSET(PLE!$G$15,$M14-$A$15,AZ$13)="",10^12,OFFSET(PLE!$G$15,$M14-$A$15,AZ$13)))</f>
        <v>0</v>
      </c>
      <c r="BA14" s="173">
        <f ca="1">IF(OR($D14&lt;&gt;"Serviço",AND(AUTOEVENTO="Manual",$M14=$A$15),$M14&gt;(ROW(PLE.lastrow)-ROW(PLE.firstrow))),0,
           IF(OFFSET(PLE!$G$15,$M14-$A$15,BA$13)="",10^12,OFFSET(PLE!$G$15,$M14-$A$15,BA$13)))</f>
        <v>0</v>
      </c>
      <c r="BB14" s="173">
        <f ca="1">IF(OR($D14&lt;&gt;"Serviço",AND(AUTOEVENTO="Manual",$M14=$A$15),$M14&gt;(ROW(PLE.lastrow)-ROW(PLE.firstrow))),0,
           IF(OFFSET(PLE!$G$15,$M14-$A$15,BB$13)="",10^12,OFFSET(PLE!$G$15,$M14-$A$15,BB$13)))</f>
        <v>0</v>
      </c>
      <c r="BC14" s="173">
        <f ca="1">IF(OR($D14&lt;&gt;"Serviço",AND(AUTOEVENTO="Manual",$M14=$A$15),$M14&gt;(ROW(PLE.lastrow)-ROW(PLE.firstrow))),0,
           IF(OFFSET(PLE!$G$15,$M14-$A$15,BC$13)="",10^12,OFFSET(PLE!$G$15,$M14-$A$15,BC$13)))</f>
        <v>0</v>
      </c>
      <c r="BD14" s="173">
        <f ca="1">IF(OR($D14&lt;&gt;"Serviço",AND(AUTOEVENTO="Manual",$M14=$A$15),$M14&gt;(ROW(PLE.lastrow)-ROW(PLE.firstrow))),0,
           IF(OFFSET(PLE!$G$15,$M14-$A$15,BD$13)="",10^12,OFFSET(PLE!$G$15,$M14-$A$15,BD$13)))</f>
        <v>0</v>
      </c>
      <c r="BE14" s="173">
        <f ca="1">IF(OR($D14&lt;&gt;"Serviço",AND(AUTOEVENTO="Manual",$M14=$A$15),$M14&gt;(ROW(PLE.lastrow)-ROW(PLE.firstrow))),0,
           IF(OFFSET(PLE!$G$15,$M14-$A$15,BE$13)="",10^12,OFFSET(PLE!$G$15,$M14-$A$15,BE$13)))</f>
        <v>0</v>
      </c>
      <c r="BF14" s="173">
        <f ca="1">IF(OR($D14&lt;&gt;"Serviço",AND(AUTOEVENTO="Manual",$M14=$A$15),$M14&gt;(ROW(PLE.lastrow)-ROW(PLE.firstrow))),0,
           IF(OFFSET(PLE!$G$15,$M14-$A$15,BF$13)="",10^12,OFFSET(PLE!$G$15,$M14-$A$15,BF$13)))</f>
        <v>0</v>
      </c>
      <c r="BG14" s="173">
        <f ca="1">IF(OR($D14&lt;&gt;"Serviço",AND(AUTOEVENTO="Manual",$M14=$A$15),$M14&gt;(ROW(PLE.lastrow)-ROW(PLE.firstrow))),0,
           IF(OFFSET(PLE!$G$15,$M14-$A$15,BG$13)="",10^12,OFFSET(PLE!$G$15,$M14-$A$15,BG$13)))</f>
        <v>0</v>
      </c>
    </row>
    <row r="15" spans="1:59" ht="12.75" customHeight="1" x14ac:dyDescent="0.2">
      <c r="A15" s="670" cm="1">
        <f t="array" ref="A15">IF(AdmLocal="Automática",1,0)</f>
        <v>0</v>
      </c>
      <c r="B15" s="7" t="str">
        <f ca="1">OFFSET(ORÇAMENTO!C$15,ROW(B15)-ROW(B$15),0)</f>
        <v>L</v>
      </c>
      <c r="C15" s="7" t="str">
        <f ca="1">OFFSET(ORÇAMENTO!L$15,ROW(C15)-ROW(C$15),0)</f>
        <v>F</v>
      </c>
      <c r="D15" s="131" t="str">
        <f>IF(TIPOORCAMENTO="LICITADO","CTEF","LOTE")</f>
        <v>LOTE</v>
      </c>
      <c r="E15" s="789" t="str">
        <f>Import.DescLote</f>
        <v>ELEVATÓRIA DE ESGOTO BRUTO ACLIMAÇÃO, LINHA DE RECALQUE E EMISSÁRIO DE ESGOTO</v>
      </c>
      <c r="F15" s="789"/>
      <c r="G15" s="789"/>
      <c r="H15" s="789"/>
      <c r="I15" s="470"/>
      <c r="J15" s="523"/>
      <c r="K15" s="634"/>
      <c r="L15" s="166" t="s">
        <v>765</v>
      </c>
      <c r="M15" s="569">
        <v>0</v>
      </c>
      <c r="N15" s="174" t="s">
        <v>777</v>
      </c>
      <c r="O15" s="175" t="e">
        <f ca="1">OFFSET($AA$15,0,O$13)</f>
        <v>#VALUE!</v>
      </c>
      <c r="Q15" s="176">
        <f t="shared" ref="Q15:Z15" ca="1" si="6">OFFSET($AA$15,0,Q$13)</f>
        <v>0</v>
      </c>
      <c r="R15" s="175">
        <f t="shared" ca="1" si="6"/>
        <v>0</v>
      </c>
      <c r="S15" s="175">
        <f t="shared" ca="1" si="6"/>
        <v>0</v>
      </c>
      <c r="T15" s="175">
        <f t="shared" ca="1" si="6"/>
        <v>0</v>
      </c>
      <c r="U15" s="175">
        <f t="shared" ca="1" si="6"/>
        <v>0</v>
      </c>
      <c r="V15" s="175">
        <f t="shared" ca="1" si="6"/>
        <v>0</v>
      </c>
      <c r="W15" s="175">
        <f t="shared" ca="1" si="6"/>
        <v>0</v>
      </c>
      <c r="X15" s="175">
        <f t="shared" ca="1" si="6"/>
        <v>0</v>
      </c>
      <c r="Y15" s="175">
        <f t="shared" ca="1" si="6"/>
        <v>0</v>
      </c>
      <c r="Z15" s="177">
        <f t="shared" ca="1" si="6"/>
        <v>0</v>
      </c>
      <c r="AB15" s="178">
        <f ca="1">ROUND(SUM(OFFSET(AB$15,1,0):AB$231),2)</f>
        <v>0</v>
      </c>
      <c r="AC15" s="178">
        <f ca="1">SUM(OFFSET(AC$15,1,0):AC$231)</f>
        <v>0</v>
      </c>
      <c r="AD15" s="178">
        <f ca="1">SUM(OFFSET(AD$15,1,0):AD$231)</f>
        <v>0</v>
      </c>
      <c r="AE15" s="178">
        <f ca="1">SUM(OFFSET(AE$15,1,0):AE$231)</f>
        <v>0</v>
      </c>
      <c r="AF15" s="178">
        <f ca="1">SUM(OFFSET(AF$15,1,0):AF$231)</f>
        <v>0</v>
      </c>
      <c r="AG15" s="178">
        <f ca="1">SUM(OFFSET(AG$15,1,0):AG$231)</f>
        <v>0</v>
      </c>
      <c r="AH15" s="178">
        <f ca="1">SUM(OFFSET(AH$15,1,0):AH$231)</f>
        <v>0</v>
      </c>
      <c r="AI15" s="178">
        <f ca="1">SUM(OFFSET(AI$15,1,0):AI$231)</f>
        <v>0</v>
      </c>
      <c r="AJ15" s="178">
        <f ca="1">SUM(OFFSET(AJ$15,1,0):AJ$231)</f>
        <v>0</v>
      </c>
      <c r="AK15" s="178">
        <f ca="1">SUM(OFFSET(AK$15,1,0):AK$231)</f>
        <v>0</v>
      </c>
      <c r="AM15" s="179">
        <f>10^12</f>
        <v>1000000000000</v>
      </c>
      <c r="AN15" s="179">
        <f t="shared" ref="AN15:AV15" si="7">10^12</f>
        <v>1000000000000</v>
      </c>
      <c r="AO15" s="179">
        <f t="shared" si="7"/>
        <v>1000000000000</v>
      </c>
      <c r="AP15" s="179">
        <f t="shared" si="7"/>
        <v>1000000000000</v>
      </c>
      <c r="AQ15" s="179">
        <f t="shared" si="7"/>
        <v>1000000000000</v>
      </c>
      <c r="AR15" s="179">
        <f t="shared" si="7"/>
        <v>1000000000000</v>
      </c>
      <c r="AS15" s="179">
        <f t="shared" si="7"/>
        <v>1000000000000</v>
      </c>
      <c r="AT15" s="179">
        <f t="shared" si="7"/>
        <v>1000000000000</v>
      </c>
      <c r="AU15" s="179">
        <f t="shared" si="7"/>
        <v>1000000000000</v>
      </c>
      <c r="AV15" s="179">
        <f t="shared" si="7"/>
        <v>1000000000000</v>
      </c>
      <c r="AX15" s="179">
        <f t="shared" ref="AX15:BG15" si="8">10^12</f>
        <v>1000000000000</v>
      </c>
      <c r="AY15" s="179">
        <f t="shared" si="8"/>
        <v>1000000000000</v>
      </c>
      <c r="AZ15" s="179">
        <f t="shared" si="8"/>
        <v>1000000000000</v>
      </c>
      <c r="BA15" s="179">
        <f t="shared" si="8"/>
        <v>1000000000000</v>
      </c>
      <c r="BB15" s="179">
        <f t="shared" si="8"/>
        <v>1000000000000</v>
      </c>
      <c r="BC15" s="179">
        <f t="shared" si="8"/>
        <v>1000000000000</v>
      </c>
      <c r="BD15" s="179">
        <f t="shared" si="8"/>
        <v>1000000000000</v>
      </c>
      <c r="BE15" s="179">
        <f t="shared" si="8"/>
        <v>1000000000000</v>
      </c>
      <c r="BF15" s="179">
        <f t="shared" si="8"/>
        <v>1000000000000</v>
      </c>
      <c r="BG15" s="179">
        <f t="shared" si="8"/>
        <v>1000000000000</v>
      </c>
    </row>
    <row r="16" spans="1:59" s="675" customFormat="1" ht="25.5" x14ac:dyDescent="0.2">
      <c r="A16" s="671" t="str">
        <f t="shared" ref="A16:A73" ca="1" si="9">IFERROR(IF(AUTOEVENTO="Manual",IF(K16&lt;&gt;"",MIN(VALUE(LEFT(K16,FIND(".",K16)-1)),COUNTA(EVENTOS.Lista)),0),IF(OR($B16&gt;AUTOEVENTO,$B16="S",$B16=0),SUBSTITUTE(OFFSET($A16,-1,0),IF($D16="Serviço",".",""),""),ROW(A16)-ROW($A$15)&amp;".")),0)</f>
        <v>1.</v>
      </c>
      <c r="B16" s="671">
        <f ca="1">OFFSET(ORÇAMENTO!C$15,ROW(B16)-ROW(B$15),0)</f>
        <v>1</v>
      </c>
      <c r="C16" s="671" t="str">
        <f ca="1">OFFSET(ORÇAMENTO!L$15,ROW(C16)-ROW(C$15),0)</f>
        <v>F</v>
      </c>
      <c r="D16" s="117" t="str">
        <f ca="1">OFFSET(ORÇAMENTO!N$15,ROW(D16)-ROW(D$15),0)</f>
        <v>Meta</v>
      </c>
      <c r="E16" s="118" t="str">
        <f ca="1">OFFSET(ORÇAMENTO!O$15,ROW(E16)-ROW(E$15),0)</f>
        <v>1.</v>
      </c>
      <c r="F16" s="164" t="str">
        <f ca="1">OFFSET(ORÇAMENTO!R$15,ROW(F16)-ROW(F$15),0)</f>
        <v>ELEVATÓRIA DE ESGOTO BRUTO ACLIMAÇÃO, LINHA DE RECALQUE E EMISSÁRIO DE ESGOTO</v>
      </c>
      <c r="G16" s="165" t="str">
        <f ca="1">IF($D16&lt;&gt;"Serviço","",OFFSET(ORÇAMENTO!S$15,ROW(G16)-ROW(G$15),0))</f>
        <v/>
      </c>
      <c r="H16" s="123">
        <f ca="1">IF($D16&lt;&gt;"Serviço",0,IF(ACOMPANHAMENTO="BM",ROUND(OFFSET(ORÇAMENTO!AJ$15,ROW(H16)-ROW(H$15),0),15-13*ORÇAMENTO!$AF$7),SUMPRODUCT(($Q$1:$AA$1=1)*ROUND($Q16:$AA16,15-13*ORÇAMENTO!$AF$7))))</f>
        <v>0</v>
      </c>
      <c r="I16" s="469"/>
      <c r="J16" s="667" t="str">
        <f ca="1">IF(OR(B16&lt;&gt;"S",CÁLCULO.FrentesPreenchidas=0),"",IF(AND(ACOMPANHAMENTO="PLE",AUTOEVENTO="Manual",OR(H16&gt;0,ORÇAMENTO!AC16="QUANT."),OR(K16="",M16=0,N16="")),"►",IF(AND(ACOMPANHAMENTO="PLE",ORÇAMENTO!AC16="QUANT."),"►►",IF(AND(COUNTIF($P$11:$AA$11,"▼")=0,H16&gt;0,I16=""),"◄",""))))</f>
        <v/>
      </c>
      <c r="K16" s="668"/>
      <c r="L16" s="166" t="s">
        <v>765</v>
      </c>
      <c r="M16" s="167" t="str">
        <f ca="1">IF($D16&lt;&gt;"Serviço","",
          IF(AUTOEVENTO="manual",$A16,
                IF(ISERROR(MATCH($A16,$A$15:OFFSET($A16,-1,0),0)),MAX($M$15:OFFSET(M16,-1,0))+1,
                      INDEX($M$15:OFFSET(M16,-1,0),MATCH($A16,$A$15:OFFSET($A16,-1,0),0)))))</f>
        <v/>
      </c>
      <c r="N16" s="168" t="str">
        <f ca="1">IF($D16&lt;&gt;"Serviço","",
         IF(AUTOEVENTO="Manual",
                IF($A16=0,"&lt;-- defina o número do agrupador",
                       OFFSET(EVENTOS!$D$15,$A16-$A$15,0)),
                OFFSET($F$15,$A16,0)))</f>
        <v/>
      </c>
      <c r="O16" s="169"/>
      <c r="Q16" s="169"/>
      <c r="R16" s="170"/>
      <c r="S16" s="170"/>
      <c r="T16" s="170"/>
      <c r="U16" s="170"/>
      <c r="V16" s="170"/>
      <c r="W16" s="170"/>
      <c r="X16" s="170"/>
      <c r="Y16" s="170"/>
      <c r="Z16" s="171"/>
      <c r="AB16" s="454">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4">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4">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4">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4">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4">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4">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4">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4">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4">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2">
        <f ca="1">IF(OR($D16&lt;&gt;"Serviço",AND(AUTOEVENTO="Manual",$M16=$A$15)),0,
         IF(OFFSET(CRONOPLE!$F$15,$M16-$A$15,AM$13)=0,10^12,OFFSET(CRONOPLE!$F$15,$M16-$A$15,AM$13)))</f>
        <v>0</v>
      </c>
      <c r="AN16" s="172">
        <f ca="1">IF(OR($D16&lt;&gt;"Serviço",AND(AUTOEVENTO="Manual",$M16=$A$15)),0,
         IF(OFFSET(CRONOPLE!$F$15,$M16-$A$15,AN$13)=0,10^12,OFFSET(CRONOPLE!$F$15,$M16-$A$15,AN$13)))</f>
        <v>0</v>
      </c>
      <c r="AO16" s="172">
        <f ca="1">IF(OR($D16&lt;&gt;"Serviço",AND(AUTOEVENTO="Manual",$M16=$A$15)),0,
         IF(OFFSET(CRONOPLE!$F$15,$M16-$A$15,AO$13)=0,10^12,OFFSET(CRONOPLE!$F$15,$M16-$A$15,AO$13)))</f>
        <v>0</v>
      </c>
      <c r="AP16" s="172">
        <f ca="1">IF(OR($D16&lt;&gt;"Serviço",AND(AUTOEVENTO="Manual",$M16=$A$15)),0,
         IF(OFFSET(CRONOPLE!$F$15,$M16-$A$15,AP$13)=0,10^12,OFFSET(CRONOPLE!$F$15,$M16-$A$15,AP$13)))</f>
        <v>0</v>
      </c>
      <c r="AQ16" s="172">
        <f ca="1">IF(OR($D16&lt;&gt;"Serviço",AND(AUTOEVENTO="Manual",$M16=$A$15)),0,
         IF(OFFSET(CRONOPLE!$F$15,$M16-$A$15,AQ$13)=0,10^12,OFFSET(CRONOPLE!$F$15,$M16-$A$15,AQ$13)))</f>
        <v>0</v>
      </c>
      <c r="AR16" s="172">
        <f ca="1">IF(OR($D16&lt;&gt;"Serviço",AND(AUTOEVENTO="Manual",$M16=$A$15)),0,
         IF(OFFSET(CRONOPLE!$F$15,$M16-$A$15,AR$13)=0,10^12,OFFSET(CRONOPLE!$F$15,$M16-$A$15,AR$13)))</f>
        <v>0</v>
      </c>
      <c r="AS16" s="172">
        <f ca="1">IF(OR($D16&lt;&gt;"Serviço",AND(AUTOEVENTO="Manual",$M16=$A$15)),0,
         IF(OFFSET(CRONOPLE!$F$15,$M16-$A$15,AS$13)=0,10^12,OFFSET(CRONOPLE!$F$15,$M16-$A$15,AS$13)))</f>
        <v>0</v>
      </c>
      <c r="AT16" s="172">
        <f ca="1">IF(OR($D16&lt;&gt;"Serviço",AND(AUTOEVENTO="Manual",$M16=$A$15)),0,
         IF(OFFSET(CRONOPLE!$F$15,$M16-$A$15,AT$13)=0,10^12,OFFSET(CRONOPLE!$F$15,$M16-$A$15,AT$13)))</f>
        <v>0</v>
      </c>
      <c r="AU16" s="172">
        <f ca="1">IF(OR($D16&lt;&gt;"Serviço",AND(AUTOEVENTO="Manual",$M16=$A$15)),0,
         IF(OFFSET(CRONOPLE!$F$15,$M16-$A$15,AU$13)=0,10^12,OFFSET(CRONOPLE!$F$15,$M16-$A$15,AU$13)))</f>
        <v>0</v>
      </c>
      <c r="AV16" s="172">
        <f ca="1">IF(OR($D16&lt;&gt;"Serviço",AND(AUTOEVENTO="Manual",$M16=$A$15)),0,
         IF(OFFSET(CRONOPLE!$F$15,$M16-$A$15,AV$13)=0,10^12,OFFSET(CRONOPLE!$F$15,$M16-$A$15,AV$13)))</f>
        <v>0</v>
      </c>
      <c r="AX16" s="173">
        <f ca="1">IF(OR($D16&lt;&gt;"Serviço",AND(AUTOEVENTO="Manual",$M16=$A$15),$M16&gt;(ROW(PLE.lastrow)-ROW(PLE.firstrow))),0,
           IF(OFFSET(PLE!$G$15,$M16-$A$15,AX$13)="",10^12,OFFSET(PLE!$G$15,$M16-$A$15,AX$13)))</f>
        <v>0</v>
      </c>
      <c r="AY16" s="173">
        <f ca="1">IF(OR($D16&lt;&gt;"Serviço",AND(AUTOEVENTO="Manual",$M16=$A$15),$M16&gt;(ROW(PLE.lastrow)-ROW(PLE.firstrow))),0,
           IF(OFFSET(PLE!$G$15,$M16-$A$15,AY$13)="",10^12,OFFSET(PLE!$G$15,$M16-$A$15,AY$13)))</f>
        <v>0</v>
      </c>
      <c r="AZ16" s="173">
        <f ca="1">IF(OR($D16&lt;&gt;"Serviço",AND(AUTOEVENTO="Manual",$M16=$A$15),$M16&gt;(ROW(PLE.lastrow)-ROW(PLE.firstrow))),0,
           IF(OFFSET(PLE!$G$15,$M16-$A$15,AZ$13)="",10^12,OFFSET(PLE!$G$15,$M16-$A$15,AZ$13)))</f>
        <v>0</v>
      </c>
      <c r="BA16" s="173">
        <f ca="1">IF(OR($D16&lt;&gt;"Serviço",AND(AUTOEVENTO="Manual",$M16=$A$15),$M16&gt;(ROW(PLE.lastrow)-ROW(PLE.firstrow))),0,
           IF(OFFSET(PLE!$G$15,$M16-$A$15,BA$13)="",10^12,OFFSET(PLE!$G$15,$M16-$A$15,BA$13)))</f>
        <v>0</v>
      </c>
      <c r="BB16" s="173">
        <f ca="1">IF(OR($D16&lt;&gt;"Serviço",AND(AUTOEVENTO="Manual",$M16=$A$15),$M16&gt;(ROW(PLE.lastrow)-ROW(PLE.firstrow))),0,
           IF(OFFSET(PLE!$G$15,$M16-$A$15,BB$13)="",10^12,OFFSET(PLE!$G$15,$M16-$A$15,BB$13)))</f>
        <v>0</v>
      </c>
      <c r="BC16" s="173">
        <f ca="1">IF(OR($D16&lt;&gt;"Serviço",AND(AUTOEVENTO="Manual",$M16=$A$15),$M16&gt;(ROW(PLE.lastrow)-ROW(PLE.firstrow))),0,
           IF(OFFSET(PLE!$G$15,$M16-$A$15,BC$13)="",10^12,OFFSET(PLE!$G$15,$M16-$A$15,BC$13)))</f>
        <v>0</v>
      </c>
      <c r="BD16" s="173">
        <f ca="1">IF(OR($D16&lt;&gt;"Serviço",AND(AUTOEVENTO="Manual",$M16=$A$15),$M16&gt;(ROW(PLE.lastrow)-ROW(PLE.firstrow))),0,
           IF(OFFSET(PLE!$G$15,$M16-$A$15,BD$13)="",10^12,OFFSET(PLE!$G$15,$M16-$A$15,BD$13)))</f>
        <v>0</v>
      </c>
      <c r="BE16" s="173">
        <f ca="1">IF(OR($D16&lt;&gt;"Serviço",AND(AUTOEVENTO="Manual",$M16=$A$15),$M16&gt;(ROW(PLE.lastrow)-ROW(PLE.firstrow))),0,
           IF(OFFSET(PLE!$G$15,$M16-$A$15,BE$13)="",10^12,OFFSET(PLE!$G$15,$M16-$A$15,BE$13)))</f>
        <v>0</v>
      </c>
      <c r="BF16" s="173">
        <f ca="1">IF(OR($D16&lt;&gt;"Serviço",AND(AUTOEVENTO="Manual",$M16=$A$15),$M16&gt;(ROW(PLE.lastrow)-ROW(PLE.firstrow))),0,
           IF(OFFSET(PLE!$G$15,$M16-$A$15,BF$13)="",10^12,OFFSET(PLE!$G$15,$M16-$A$15,BF$13)))</f>
        <v>0</v>
      </c>
      <c r="BG16" s="173">
        <f ca="1">IF(OR($D16&lt;&gt;"Serviço",AND(AUTOEVENTO="Manual",$M16=$A$15),$M16&gt;(ROW(PLE.lastrow)-ROW(PLE.firstrow))),0,
           IF(OFFSET(PLE!$G$15,$M16-$A$15,BG$13)="",10^12,OFFSET(PLE!$G$15,$M16-$A$15,BG$13)))</f>
        <v>0</v>
      </c>
    </row>
    <row r="17" spans="1:59" s="675" customFormat="1" ht="12.75" x14ac:dyDescent="0.2">
      <c r="A17" s="671" t="str">
        <f t="shared" ca="1" si="9"/>
        <v>2.</v>
      </c>
      <c r="B17" s="671">
        <f ca="1">OFFSET(ORÇAMENTO!C$15,ROW(B17)-ROW(B$15),0)</f>
        <v>2</v>
      </c>
      <c r="C17" s="671" t="str">
        <f ca="1">OFFSET(ORÇAMENTO!L$15,ROW(C17)-ROW(C$15),0)</f>
        <v>F</v>
      </c>
      <c r="D17" s="117" t="str">
        <f ca="1">OFFSET(ORÇAMENTO!N$15,ROW(D17)-ROW(D$15),0)</f>
        <v>Nível 2</v>
      </c>
      <c r="E17" s="118" t="str">
        <f ca="1">OFFSET(ORÇAMENTO!O$15,ROW(E17)-ROW(E$15),0)</f>
        <v>1.1.</v>
      </c>
      <c r="F17" s="164" t="str">
        <f ca="1">OFFSET(ORÇAMENTO!R$15,ROW(F17)-ROW(F$15),0)</f>
        <v>ADMINISTRAÇÃO LOCAL - CANTEIRO DE OBRAS</v>
      </c>
      <c r="G17" s="165" t="str">
        <f ca="1">IF($D17&lt;&gt;"Serviço","",OFFSET(ORÇAMENTO!S$15,ROW(G17)-ROW(G$15),0))</f>
        <v/>
      </c>
      <c r="H17" s="123">
        <f ca="1">IF($D17&lt;&gt;"Serviço",0,IF(ACOMPANHAMENTO="BM",ROUND(OFFSET(ORÇAMENTO!AJ$15,ROW(H17)-ROW(H$15),0),15-13*ORÇAMENTO!$AF$7),SUMPRODUCT(($Q$1:$AA$1=1)*ROUND($Q17:$AA17,15-13*ORÇAMENTO!$AF$7))))</f>
        <v>0</v>
      </c>
      <c r="I17" s="469"/>
      <c r="J17" s="667" t="str">
        <f ca="1">IF(OR(B17&lt;&gt;"S",CÁLCULO.FrentesPreenchidas=0),"",IF(AND(ACOMPANHAMENTO="PLE",AUTOEVENTO="Manual",OR(H17&gt;0,ORÇAMENTO!AC17="QUANT."),OR(K17="",M17=0,N17="")),"►",IF(AND(ACOMPANHAMENTO="PLE",ORÇAMENTO!AC17="QUANT."),"►►",IF(AND(COUNTIF($P$11:$AA$11,"▼")=0,H17&gt;0,I17=""),"◄",""))))</f>
        <v/>
      </c>
      <c r="K17" s="668"/>
      <c r="L17" s="166" t="s">
        <v>765</v>
      </c>
      <c r="M17" s="167" t="str">
        <f ca="1">IF($D17&lt;&gt;"Serviço","",
          IF(AUTOEVENTO="manual",$A17,
                IF(ISERROR(MATCH($A17,$A$15:OFFSET($A17,-1,0),0)),MAX($M$15:OFFSET(M17,-1,0))+1,
                      INDEX($M$15:OFFSET(M17,-1,0),MATCH($A17,$A$15:OFFSET($A17,-1,0),0)))))</f>
        <v/>
      </c>
      <c r="N17" s="168" t="str">
        <f ca="1">IF($D17&lt;&gt;"Serviço","",
         IF(AUTOEVENTO="Manual",
                IF($A17=0,"&lt;-- defina o número do agrupador",
                       OFFSET(EVENTOS!$D$15,$A17-$A$15,0)),
                OFFSET($F$15,$A17,0)))</f>
        <v/>
      </c>
      <c r="O17" s="169"/>
      <c r="Q17" s="169"/>
      <c r="R17" s="170"/>
      <c r="S17" s="170"/>
      <c r="T17" s="170"/>
      <c r="U17" s="170"/>
      <c r="V17" s="170"/>
      <c r="W17" s="170"/>
      <c r="X17" s="170"/>
      <c r="Y17" s="170"/>
      <c r="Z17" s="171"/>
      <c r="AB17" s="454">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4">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4">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4">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4">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4">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4">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4">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4">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4">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2">
        <f ca="1">IF(OR($D17&lt;&gt;"Serviço",AND(AUTOEVENTO="Manual",$M17=$A$15)),0,
         IF(OFFSET(CRONOPLE!$F$15,$M17-$A$15,AM$13)=0,10^12,OFFSET(CRONOPLE!$F$15,$M17-$A$15,AM$13)))</f>
        <v>0</v>
      </c>
      <c r="AN17" s="172">
        <f ca="1">IF(OR($D17&lt;&gt;"Serviço",AND(AUTOEVENTO="Manual",$M17=$A$15)),0,
         IF(OFFSET(CRONOPLE!$F$15,$M17-$A$15,AN$13)=0,10^12,OFFSET(CRONOPLE!$F$15,$M17-$A$15,AN$13)))</f>
        <v>0</v>
      </c>
      <c r="AO17" s="172">
        <f ca="1">IF(OR($D17&lt;&gt;"Serviço",AND(AUTOEVENTO="Manual",$M17=$A$15)),0,
         IF(OFFSET(CRONOPLE!$F$15,$M17-$A$15,AO$13)=0,10^12,OFFSET(CRONOPLE!$F$15,$M17-$A$15,AO$13)))</f>
        <v>0</v>
      </c>
      <c r="AP17" s="172">
        <f ca="1">IF(OR($D17&lt;&gt;"Serviço",AND(AUTOEVENTO="Manual",$M17=$A$15)),0,
         IF(OFFSET(CRONOPLE!$F$15,$M17-$A$15,AP$13)=0,10^12,OFFSET(CRONOPLE!$F$15,$M17-$A$15,AP$13)))</f>
        <v>0</v>
      </c>
      <c r="AQ17" s="172">
        <f ca="1">IF(OR($D17&lt;&gt;"Serviço",AND(AUTOEVENTO="Manual",$M17=$A$15)),0,
         IF(OFFSET(CRONOPLE!$F$15,$M17-$A$15,AQ$13)=0,10^12,OFFSET(CRONOPLE!$F$15,$M17-$A$15,AQ$13)))</f>
        <v>0</v>
      </c>
      <c r="AR17" s="172">
        <f ca="1">IF(OR($D17&lt;&gt;"Serviço",AND(AUTOEVENTO="Manual",$M17=$A$15)),0,
         IF(OFFSET(CRONOPLE!$F$15,$M17-$A$15,AR$13)=0,10^12,OFFSET(CRONOPLE!$F$15,$M17-$A$15,AR$13)))</f>
        <v>0</v>
      </c>
      <c r="AS17" s="172">
        <f ca="1">IF(OR($D17&lt;&gt;"Serviço",AND(AUTOEVENTO="Manual",$M17=$A$15)),0,
         IF(OFFSET(CRONOPLE!$F$15,$M17-$A$15,AS$13)=0,10^12,OFFSET(CRONOPLE!$F$15,$M17-$A$15,AS$13)))</f>
        <v>0</v>
      </c>
      <c r="AT17" s="172">
        <f ca="1">IF(OR($D17&lt;&gt;"Serviço",AND(AUTOEVENTO="Manual",$M17=$A$15)),0,
         IF(OFFSET(CRONOPLE!$F$15,$M17-$A$15,AT$13)=0,10^12,OFFSET(CRONOPLE!$F$15,$M17-$A$15,AT$13)))</f>
        <v>0</v>
      </c>
      <c r="AU17" s="172">
        <f ca="1">IF(OR($D17&lt;&gt;"Serviço",AND(AUTOEVENTO="Manual",$M17=$A$15)),0,
         IF(OFFSET(CRONOPLE!$F$15,$M17-$A$15,AU$13)=0,10^12,OFFSET(CRONOPLE!$F$15,$M17-$A$15,AU$13)))</f>
        <v>0</v>
      </c>
      <c r="AV17" s="172">
        <f ca="1">IF(OR($D17&lt;&gt;"Serviço",AND(AUTOEVENTO="Manual",$M17=$A$15)),0,
         IF(OFFSET(CRONOPLE!$F$15,$M17-$A$15,AV$13)=0,10^12,OFFSET(CRONOPLE!$F$15,$M17-$A$15,AV$13)))</f>
        <v>0</v>
      </c>
      <c r="AX17" s="173">
        <f ca="1">IF(OR($D17&lt;&gt;"Serviço",AND(AUTOEVENTO="Manual",$M17=$A$15),$M17&gt;(ROW(PLE.lastrow)-ROW(PLE.firstrow))),0,
           IF(OFFSET(PLE!$G$15,$M17-$A$15,AX$13)="",10^12,OFFSET(PLE!$G$15,$M17-$A$15,AX$13)))</f>
        <v>0</v>
      </c>
      <c r="AY17" s="173">
        <f ca="1">IF(OR($D17&lt;&gt;"Serviço",AND(AUTOEVENTO="Manual",$M17=$A$15),$M17&gt;(ROW(PLE.lastrow)-ROW(PLE.firstrow))),0,
           IF(OFFSET(PLE!$G$15,$M17-$A$15,AY$13)="",10^12,OFFSET(PLE!$G$15,$M17-$A$15,AY$13)))</f>
        <v>0</v>
      </c>
      <c r="AZ17" s="173">
        <f ca="1">IF(OR($D17&lt;&gt;"Serviço",AND(AUTOEVENTO="Manual",$M17=$A$15),$M17&gt;(ROW(PLE.lastrow)-ROW(PLE.firstrow))),0,
           IF(OFFSET(PLE!$G$15,$M17-$A$15,AZ$13)="",10^12,OFFSET(PLE!$G$15,$M17-$A$15,AZ$13)))</f>
        <v>0</v>
      </c>
      <c r="BA17" s="173">
        <f ca="1">IF(OR($D17&lt;&gt;"Serviço",AND(AUTOEVENTO="Manual",$M17=$A$15),$M17&gt;(ROW(PLE.lastrow)-ROW(PLE.firstrow))),0,
           IF(OFFSET(PLE!$G$15,$M17-$A$15,BA$13)="",10^12,OFFSET(PLE!$G$15,$M17-$A$15,BA$13)))</f>
        <v>0</v>
      </c>
      <c r="BB17" s="173">
        <f ca="1">IF(OR($D17&lt;&gt;"Serviço",AND(AUTOEVENTO="Manual",$M17=$A$15),$M17&gt;(ROW(PLE.lastrow)-ROW(PLE.firstrow))),0,
           IF(OFFSET(PLE!$G$15,$M17-$A$15,BB$13)="",10^12,OFFSET(PLE!$G$15,$M17-$A$15,BB$13)))</f>
        <v>0</v>
      </c>
      <c r="BC17" s="173">
        <f ca="1">IF(OR($D17&lt;&gt;"Serviço",AND(AUTOEVENTO="Manual",$M17=$A$15),$M17&gt;(ROW(PLE.lastrow)-ROW(PLE.firstrow))),0,
           IF(OFFSET(PLE!$G$15,$M17-$A$15,BC$13)="",10^12,OFFSET(PLE!$G$15,$M17-$A$15,BC$13)))</f>
        <v>0</v>
      </c>
      <c r="BD17" s="173">
        <f ca="1">IF(OR($D17&lt;&gt;"Serviço",AND(AUTOEVENTO="Manual",$M17=$A$15),$M17&gt;(ROW(PLE.lastrow)-ROW(PLE.firstrow))),0,
           IF(OFFSET(PLE!$G$15,$M17-$A$15,BD$13)="",10^12,OFFSET(PLE!$G$15,$M17-$A$15,BD$13)))</f>
        <v>0</v>
      </c>
      <c r="BE17" s="173">
        <f ca="1">IF(OR($D17&lt;&gt;"Serviço",AND(AUTOEVENTO="Manual",$M17=$A$15),$M17&gt;(ROW(PLE.lastrow)-ROW(PLE.firstrow))),0,
           IF(OFFSET(PLE!$G$15,$M17-$A$15,BE$13)="",10^12,OFFSET(PLE!$G$15,$M17-$A$15,BE$13)))</f>
        <v>0</v>
      </c>
      <c r="BF17" s="173">
        <f ca="1">IF(OR($D17&lt;&gt;"Serviço",AND(AUTOEVENTO="Manual",$M17=$A$15),$M17&gt;(ROW(PLE.lastrow)-ROW(PLE.firstrow))),0,
           IF(OFFSET(PLE!$G$15,$M17-$A$15,BF$13)="",10^12,OFFSET(PLE!$G$15,$M17-$A$15,BF$13)))</f>
        <v>0</v>
      </c>
      <c r="BG17" s="173">
        <f ca="1">IF(OR($D17&lt;&gt;"Serviço",AND(AUTOEVENTO="Manual",$M17=$A$15),$M17&gt;(ROW(PLE.lastrow)-ROW(PLE.firstrow))),0,
           IF(OFFSET(PLE!$G$15,$M17-$A$15,BG$13)="",10^12,OFFSET(PLE!$G$15,$M17-$A$15,BG$13)))</f>
        <v>0</v>
      </c>
    </row>
    <row r="18" spans="1:59" s="675" customFormat="1" ht="25.5" x14ac:dyDescent="0.2">
      <c r="A18" s="671" t="str">
        <f t="shared" ca="1" si="9"/>
        <v>2</v>
      </c>
      <c r="B18" s="671" t="str">
        <f ca="1">OFFSET(ORÇAMENTO!C$15,ROW(B18)-ROW(B$15),0)</f>
        <v>S</v>
      </c>
      <c r="C18" s="671" t="str">
        <f ca="1">OFFSET(ORÇAMENTO!L$15,ROW(C18)-ROW(C$15),0)</f>
        <v/>
      </c>
      <c r="D18" s="117" t="str">
        <f ca="1">OFFSET(ORÇAMENTO!N$15,ROW(D18)-ROW(D$15),0)</f>
        <v>Serviço</v>
      </c>
      <c r="E18" s="118" t="str">
        <f ca="1">OFFSET(ORÇAMENTO!O$15,ROW(E18)-ROW(E$15),0)</f>
        <v>-</v>
      </c>
      <c r="F18" s="164" t="str">
        <f ca="1">OFFSET(ORÇAMENTO!R$15,ROW(F18)-ROW(F$15),0)</f>
        <v>(abra o arquivo 'Referência 09-2025.xlsm)</v>
      </c>
      <c r="G18" s="165" t="str">
        <f ca="1">IF($D18&lt;&gt;"Serviço","",OFFSET(ORÇAMENTO!S$15,ROW(G18)-ROW(G$15),0))</f>
        <v>-</v>
      </c>
      <c r="H18" s="123">
        <f ca="1">IF($D18&lt;&gt;"Serviço",0,IF(ACOMPANHAMENTO="BM",ROUND(OFFSET(ORÇAMENTO!AJ$15,ROW(H18)-ROW(H$15),0),15-13*ORÇAMENTO!$AF$7),SUMPRODUCT(($Q$1:$AA$1=1)*ROUND($Q18:$AA18,15-13*ORÇAMENTO!$AF$7))))</f>
        <v>6</v>
      </c>
      <c r="I18" s="469" t="s">
        <v>1097</v>
      </c>
      <c r="J18" s="667" t="str">
        <f ca="1">IF(OR(B18&lt;&gt;"S",CÁLCULO.FrentesPreenchidas=0),"",IF(AND(ACOMPANHAMENTO="PLE",AUTOEVENTO="Manual",OR(H18&gt;0,ORÇAMENTO!AC18="QUANT."),OR(K18="",M18=0,N18="")),"►",IF(AND(ACOMPANHAMENTO="PLE",ORÇAMENTO!AC18="QUANT."),"►►",IF(AND(COUNTIF($P$11:$AA$11,"▼")=0,H18&gt;0,I18=""),"◄",""))))</f>
        <v/>
      </c>
      <c r="K18" s="668"/>
      <c r="L18" s="166" t="s">
        <v>765</v>
      </c>
      <c r="M18" s="167">
        <f ca="1">IF($D18&lt;&gt;"Serviço","",
          IF(AUTOEVENTO="manual",$A18,
                IF(ISERROR(MATCH($A18,$A$15:OFFSET($A18,-1,0),0)),MAX($M$15:OFFSET(M18,-1,0))+1,
                      INDEX($M$15:OFFSET(M18,-1,0),MATCH($A18,$A$15:OFFSET($A18,-1,0),0)))))</f>
        <v>1</v>
      </c>
      <c r="N18" s="168" t="str">
        <f ca="1">IF($D18&lt;&gt;"Serviço","",
         IF(AUTOEVENTO="Manual",
                IF($A18=0,"&lt;-- defina o número do agrupador",
                       OFFSET(EVENTOS!$D$15,$A18-$A$15,0)),
                OFFSET($F$15,$A18,0)))</f>
        <v>ADMINISTRAÇÃO LOCAL - CANTEIRO DE OBRAS</v>
      </c>
      <c r="O18" s="169"/>
      <c r="Q18" s="169"/>
      <c r="R18" s="170"/>
      <c r="S18" s="170"/>
      <c r="T18" s="170"/>
      <c r="U18" s="170"/>
      <c r="V18" s="170"/>
      <c r="W18" s="170"/>
      <c r="X18" s="170"/>
      <c r="Y18" s="170"/>
      <c r="Z18" s="171"/>
      <c r="AB18" s="454">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4">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4">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4">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4">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4">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4">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4">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4">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4">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2">
        <f ca="1">IF(OR($D18&lt;&gt;"Serviço",AND(AUTOEVENTO="Manual",$M18=$A$15)),0,
         IF(OFFSET(CRONOPLE!$F$15,$M18-$A$15,AM$13)=0,10^12,OFFSET(CRONOPLE!$F$15,$M18-$A$15,AM$13)))</f>
        <v>1000000000000</v>
      </c>
      <c r="AN18" s="172">
        <f ca="1">IF(OR($D18&lt;&gt;"Serviço",AND(AUTOEVENTO="Manual",$M18=$A$15)),0,
         IF(OFFSET(CRONOPLE!$F$15,$M18-$A$15,AN$13)=0,10^12,OFFSET(CRONOPLE!$F$15,$M18-$A$15,AN$13)))</f>
        <v>1000000000000</v>
      </c>
      <c r="AO18" s="172">
        <f ca="1">IF(OR($D18&lt;&gt;"Serviço",AND(AUTOEVENTO="Manual",$M18=$A$15)),0,
         IF(OFFSET(CRONOPLE!$F$15,$M18-$A$15,AO$13)=0,10^12,OFFSET(CRONOPLE!$F$15,$M18-$A$15,AO$13)))</f>
        <v>1000000000000</v>
      </c>
      <c r="AP18" s="172">
        <f ca="1">IF(OR($D18&lt;&gt;"Serviço",AND(AUTOEVENTO="Manual",$M18=$A$15)),0,
         IF(OFFSET(CRONOPLE!$F$15,$M18-$A$15,AP$13)=0,10^12,OFFSET(CRONOPLE!$F$15,$M18-$A$15,AP$13)))</f>
        <v>1000000000000</v>
      </c>
      <c r="AQ18" s="172">
        <f ca="1">IF(OR($D18&lt;&gt;"Serviço",AND(AUTOEVENTO="Manual",$M18=$A$15)),0,
         IF(OFFSET(CRONOPLE!$F$15,$M18-$A$15,AQ$13)=0,10^12,OFFSET(CRONOPLE!$F$15,$M18-$A$15,AQ$13)))</f>
        <v>1000000000000</v>
      </c>
      <c r="AR18" s="172">
        <f ca="1">IF(OR($D18&lt;&gt;"Serviço",AND(AUTOEVENTO="Manual",$M18=$A$15)),0,
         IF(OFFSET(CRONOPLE!$F$15,$M18-$A$15,AR$13)=0,10^12,OFFSET(CRONOPLE!$F$15,$M18-$A$15,AR$13)))</f>
        <v>1000000000000</v>
      </c>
      <c r="AS18" s="172">
        <f ca="1">IF(OR($D18&lt;&gt;"Serviço",AND(AUTOEVENTO="Manual",$M18=$A$15)),0,
         IF(OFFSET(CRONOPLE!$F$15,$M18-$A$15,AS$13)=0,10^12,OFFSET(CRONOPLE!$F$15,$M18-$A$15,AS$13)))</f>
        <v>1000000000000</v>
      </c>
      <c r="AT18" s="172">
        <f ca="1">IF(OR($D18&lt;&gt;"Serviço",AND(AUTOEVENTO="Manual",$M18=$A$15)),0,
         IF(OFFSET(CRONOPLE!$F$15,$M18-$A$15,AT$13)=0,10^12,OFFSET(CRONOPLE!$F$15,$M18-$A$15,AT$13)))</f>
        <v>1000000000000</v>
      </c>
      <c r="AU18" s="172">
        <f ca="1">IF(OR($D18&lt;&gt;"Serviço",AND(AUTOEVENTO="Manual",$M18=$A$15)),0,
         IF(OFFSET(CRONOPLE!$F$15,$M18-$A$15,AU$13)=0,10^12,OFFSET(CRONOPLE!$F$15,$M18-$A$15,AU$13)))</f>
        <v>1000000000000</v>
      </c>
      <c r="AV18" s="172">
        <f ca="1">IF(OR($D18&lt;&gt;"Serviço",AND(AUTOEVENTO="Manual",$M18=$A$15)),0,
         IF(OFFSET(CRONOPLE!$F$15,$M18-$A$15,AV$13)=0,10^12,OFFSET(CRONOPLE!$F$15,$M18-$A$15,AV$13)))</f>
        <v>1000000000000</v>
      </c>
      <c r="AX18" s="173">
        <f ca="1">IF(OR($D18&lt;&gt;"Serviço",AND(AUTOEVENTO="Manual",$M18=$A$15),$M18&gt;(ROW(PLE.lastrow)-ROW(PLE.firstrow))),0,
           IF(OFFSET(PLE!$G$15,$M18-$A$15,AX$13)="",10^12,OFFSET(PLE!$G$15,$M18-$A$15,AX$13)))</f>
        <v>1000000000000</v>
      </c>
      <c r="AY18" s="173">
        <f ca="1">IF(OR($D18&lt;&gt;"Serviço",AND(AUTOEVENTO="Manual",$M18=$A$15),$M18&gt;(ROW(PLE.lastrow)-ROW(PLE.firstrow))),0,
           IF(OFFSET(PLE!$G$15,$M18-$A$15,AY$13)="",10^12,OFFSET(PLE!$G$15,$M18-$A$15,AY$13)))</f>
        <v>1000000000000</v>
      </c>
      <c r="AZ18" s="173">
        <f ca="1">IF(OR($D18&lt;&gt;"Serviço",AND(AUTOEVENTO="Manual",$M18=$A$15),$M18&gt;(ROW(PLE.lastrow)-ROW(PLE.firstrow))),0,
           IF(OFFSET(PLE!$G$15,$M18-$A$15,AZ$13)="",10^12,OFFSET(PLE!$G$15,$M18-$A$15,AZ$13)))</f>
        <v>1000000000000</v>
      </c>
      <c r="BA18" s="173">
        <f ca="1">IF(OR($D18&lt;&gt;"Serviço",AND(AUTOEVENTO="Manual",$M18=$A$15),$M18&gt;(ROW(PLE.lastrow)-ROW(PLE.firstrow))),0,
           IF(OFFSET(PLE!$G$15,$M18-$A$15,BA$13)="",10^12,OFFSET(PLE!$G$15,$M18-$A$15,BA$13)))</f>
        <v>1000000000000</v>
      </c>
      <c r="BB18" s="173">
        <f ca="1">IF(OR($D18&lt;&gt;"Serviço",AND(AUTOEVENTO="Manual",$M18=$A$15),$M18&gt;(ROW(PLE.lastrow)-ROW(PLE.firstrow))),0,
           IF(OFFSET(PLE!$G$15,$M18-$A$15,BB$13)="",10^12,OFFSET(PLE!$G$15,$M18-$A$15,BB$13)))</f>
        <v>1000000000000</v>
      </c>
      <c r="BC18" s="173">
        <f ca="1">IF(OR($D18&lt;&gt;"Serviço",AND(AUTOEVENTO="Manual",$M18=$A$15),$M18&gt;(ROW(PLE.lastrow)-ROW(PLE.firstrow))),0,
           IF(OFFSET(PLE!$G$15,$M18-$A$15,BC$13)="",10^12,OFFSET(PLE!$G$15,$M18-$A$15,BC$13)))</f>
        <v>1000000000000</v>
      </c>
      <c r="BD18" s="173">
        <f ca="1">IF(OR($D18&lt;&gt;"Serviço",AND(AUTOEVENTO="Manual",$M18=$A$15),$M18&gt;(ROW(PLE.lastrow)-ROW(PLE.firstrow))),0,
           IF(OFFSET(PLE!$G$15,$M18-$A$15,BD$13)="",10^12,OFFSET(PLE!$G$15,$M18-$A$15,BD$13)))</f>
        <v>1000000000000</v>
      </c>
      <c r="BE18" s="173">
        <f ca="1">IF(OR($D18&lt;&gt;"Serviço",AND(AUTOEVENTO="Manual",$M18=$A$15),$M18&gt;(ROW(PLE.lastrow)-ROW(PLE.firstrow))),0,
           IF(OFFSET(PLE!$G$15,$M18-$A$15,BE$13)="",10^12,OFFSET(PLE!$G$15,$M18-$A$15,BE$13)))</f>
        <v>1000000000000</v>
      </c>
      <c r="BF18" s="173">
        <f ca="1">IF(OR($D18&lt;&gt;"Serviço",AND(AUTOEVENTO="Manual",$M18=$A$15),$M18&gt;(ROW(PLE.lastrow)-ROW(PLE.firstrow))),0,
           IF(OFFSET(PLE!$G$15,$M18-$A$15,BF$13)="",10^12,OFFSET(PLE!$G$15,$M18-$A$15,BF$13)))</f>
        <v>1000000000000</v>
      </c>
      <c r="BG18" s="173">
        <f ca="1">IF(OR($D18&lt;&gt;"Serviço",AND(AUTOEVENTO="Manual",$M18=$A$15),$M18&gt;(ROW(PLE.lastrow)-ROW(PLE.firstrow))),0,
           IF(OFFSET(PLE!$G$15,$M18-$A$15,BG$13)="",10^12,OFFSET(PLE!$G$15,$M18-$A$15,BG$13)))</f>
        <v>1000000000000</v>
      </c>
    </row>
    <row r="19" spans="1:59" s="675" customFormat="1" ht="25.5" x14ac:dyDescent="0.2">
      <c r="A19" s="671" t="str">
        <f t="shared" ca="1" si="9"/>
        <v>2</v>
      </c>
      <c r="B19" s="671" t="str">
        <f ca="1">OFFSET(ORÇAMENTO!C$15,ROW(B19)-ROW(B$15),0)</f>
        <v>S</v>
      </c>
      <c r="C19" s="671" t="str">
        <f ca="1">OFFSET(ORÇAMENTO!L$15,ROW(C19)-ROW(C$15),0)</f>
        <v/>
      </c>
      <c r="D19" s="117" t="str">
        <f ca="1">OFFSET(ORÇAMENTO!N$15,ROW(D19)-ROW(D$15),0)</f>
        <v>Serviço</v>
      </c>
      <c r="E19" s="118" t="str">
        <f ca="1">OFFSET(ORÇAMENTO!O$15,ROW(E19)-ROW(E$15),0)</f>
        <v>-</v>
      </c>
      <c r="F19" s="164" t="str">
        <f ca="1">OFFSET(ORÇAMENTO!R$15,ROW(F19)-ROW(F$15),0)</f>
        <v>(abra o arquivo 'Referência 09-2025.xlsm)</v>
      </c>
      <c r="G19" s="165" t="str">
        <f ca="1">IF($D19&lt;&gt;"Serviço","",OFFSET(ORÇAMENTO!S$15,ROW(G19)-ROW(G$15),0))</f>
        <v>-</v>
      </c>
      <c r="H19" s="123">
        <f ca="1">IF($D19&lt;&gt;"Serviço",0,IF(ACOMPANHAMENTO="BM",ROUND(OFFSET(ORÇAMENTO!AJ$15,ROW(H19)-ROW(H$15),0),15-13*ORÇAMENTO!$AF$7),SUMPRODUCT(($Q$1:$AA$1=1)*ROUND($Q19:$AA19,15-13*ORÇAMENTO!$AF$7))))</f>
        <v>8</v>
      </c>
      <c r="I19" s="469" t="s">
        <v>1098</v>
      </c>
      <c r="J19" s="667" t="str">
        <f ca="1">IF(OR(B19&lt;&gt;"S",CÁLCULO.FrentesPreenchidas=0),"",IF(AND(ACOMPANHAMENTO="PLE",AUTOEVENTO="Manual",OR(H19&gt;0,ORÇAMENTO!AC19="QUANT."),OR(K19="",M19=0,N19="")),"►",IF(AND(ACOMPANHAMENTO="PLE",ORÇAMENTO!AC19="QUANT."),"►►",IF(AND(COUNTIF($P$11:$AA$11,"▼")=0,H19&gt;0,I19=""),"◄",""))))</f>
        <v/>
      </c>
      <c r="K19" s="668"/>
      <c r="L19" s="166" t="s">
        <v>765</v>
      </c>
      <c r="M19" s="167">
        <f ca="1">IF($D19&lt;&gt;"Serviço","",
          IF(AUTOEVENTO="manual",$A19,
                IF(ISERROR(MATCH($A19,$A$15:OFFSET($A19,-1,0),0)),MAX($M$15:OFFSET(M19,-1,0))+1,
                      INDEX($M$15:OFFSET(M19,-1,0),MATCH($A19,$A$15:OFFSET($A19,-1,0),0)))))</f>
        <v>1</v>
      </c>
      <c r="N19" s="168" t="str">
        <f ca="1">IF($D19&lt;&gt;"Serviço","",
         IF(AUTOEVENTO="Manual",
                IF($A19=0,"&lt;-- defina o número do agrupador",
                       OFFSET(EVENTOS!$D$15,$A19-$A$15,0)),
                OFFSET($F$15,$A19,0)))</f>
        <v>ADMINISTRAÇÃO LOCAL - CANTEIRO DE OBRAS</v>
      </c>
      <c r="O19" s="169"/>
      <c r="Q19" s="169"/>
      <c r="R19" s="170"/>
      <c r="S19" s="170"/>
      <c r="T19" s="170"/>
      <c r="U19" s="170"/>
      <c r="V19" s="170"/>
      <c r="W19" s="170"/>
      <c r="X19" s="170"/>
      <c r="Y19" s="170"/>
      <c r="Z19" s="171"/>
      <c r="AB19" s="454">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4">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4">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4">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4">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4">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4">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4">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4">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4">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2">
        <f ca="1">IF(OR($D19&lt;&gt;"Serviço",AND(AUTOEVENTO="Manual",$M19=$A$15)),0,
         IF(OFFSET(CRONOPLE!$F$15,$M19-$A$15,AM$13)=0,10^12,OFFSET(CRONOPLE!$F$15,$M19-$A$15,AM$13)))</f>
        <v>1000000000000</v>
      </c>
      <c r="AN19" s="172">
        <f ca="1">IF(OR($D19&lt;&gt;"Serviço",AND(AUTOEVENTO="Manual",$M19=$A$15)),0,
         IF(OFFSET(CRONOPLE!$F$15,$M19-$A$15,AN$13)=0,10^12,OFFSET(CRONOPLE!$F$15,$M19-$A$15,AN$13)))</f>
        <v>1000000000000</v>
      </c>
      <c r="AO19" s="172">
        <f ca="1">IF(OR($D19&lt;&gt;"Serviço",AND(AUTOEVENTO="Manual",$M19=$A$15)),0,
         IF(OFFSET(CRONOPLE!$F$15,$M19-$A$15,AO$13)=0,10^12,OFFSET(CRONOPLE!$F$15,$M19-$A$15,AO$13)))</f>
        <v>1000000000000</v>
      </c>
      <c r="AP19" s="172">
        <f ca="1">IF(OR($D19&lt;&gt;"Serviço",AND(AUTOEVENTO="Manual",$M19=$A$15)),0,
         IF(OFFSET(CRONOPLE!$F$15,$M19-$A$15,AP$13)=0,10^12,OFFSET(CRONOPLE!$F$15,$M19-$A$15,AP$13)))</f>
        <v>1000000000000</v>
      </c>
      <c r="AQ19" s="172">
        <f ca="1">IF(OR($D19&lt;&gt;"Serviço",AND(AUTOEVENTO="Manual",$M19=$A$15)),0,
         IF(OFFSET(CRONOPLE!$F$15,$M19-$A$15,AQ$13)=0,10^12,OFFSET(CRONOPLE!$F$15,$M19-$A$15,AQ$13)))</f>
        <v>1000000000000</v>
      </c>
      <c r="AR19" s="172">
        <f ca="1">IF(OR($D19&lt;&gt;"Serviço",AND(AUTOEVENTO="Manual",$M19=$A$15)),0,
         IF(OFFSET(CRONOPLE!$F$15,$M19-$A$15,AR$13)=0,10^12,OFFSET(CRONOPLE!$F$15,$M19-$A$15,AR$13)))</f>
        <v>1000000000000</v>
      </c>
      <c r="AS19" s="172">
        <f ca="1">IF(OR($D19&lt;&gt;"Serviço",AND(AUTOEVENTO="Manual",$M19=$A$15)),0,
         IF(OFFSET(CRONOPLE!$F$15,$M19-$A$15,AS$13)=0,10^12,OFFSET(CRONOPLE!$F$15,$M19-$A$15,AS$13)))</f>
        <v>1000000000000</v>
      </c>
      <c r="AT19" s="172">
        <f ca="1">IF(OR($D19&lt;&gt;"Serviço",AND(AUTOEVENTO="Manual",$M19=$A$15)),0,
         IF(OFFSET(CRONOPLE!$F$15,$M19-$A$15,AT$13)=0,10^12,OFFSET(CRONOPLE!$F$15,$M19-$A$15,AT$13)))</f>
        <v>1000000000000</v>
      </c>
      <c r="AU19" s="172">
        <f ca="1">IF(OR($D19&lt;&gt;"Serviço",AND(AUTOEVENTO="Manual",$M19=$A$15)),0,
         IF(OFFSET(CRONOPLE!$F$15,$M19-$A$15,AU$13)=0,10^12,OFFSET(CRONOPLE!$F$15,$M19-$A$15,AU$13)))</f>
        <v>1000000000000</v>
      </c>
      <c r="AV19" s="172">
        <f ca="1">IF(OR($D19&lt;&gt;"Serviço",AND(AUTOEVENTO="Manual",$M19=$A$15)),0,
         IF(OFFSET(CRONOPLE!$F$15,$M19-$A$15,AV$13)=0,10^12,OFFSET(CRONOPLE!$F$15,$M19-$A$15,AV$13)))</f>
        <v>1000000000000</v>
      </c>
      <c r="AX19" s="173">
        <f ca="1">IF(OR($D19&lt;&gt;"Serviço",AND(AUTOEVENTO="Manual",$M19=$A$15),$M19&gt;(ROW(PLE.lastrow)-ROW(PLE.firstrow))),0,
           IF(OFFSET(PLE!$G$15,$M19-$A$15,AX$13)="",10^12,OFFSET(PLE!$G$15,$M19-$A$15,AX$13)))</f>
        <v>1000000000000</v>
      </c>
      <c r="AY19" s="173">
        <f ca="1">IF(OR($D19&lt;&gt;"Serviço",AND(AUTOEVENTO="Manual",$M19=$A$15),$M19&gt;(ROW(PLE.lastrow)-ROW(PLE.firstrow))),0,
           IF(OFFSET(PLE!$G$15,$M19-$A$15,AY$13)="",10^12,OFFSET(PLE!$G$15,$M19-$A$15,AY$13)))</f>
        <v>1000000000000</v>
      </c>
      <c r="AZ19" s="173">
        <f ca="1">IF(OR($D19&lt;&gt;"Serviço",AND(AUTOEVENTO="Manual",$M19=$A$15),$M19&gt;(ROW(PLE.lastrow)-ROW(PLE.firstrow))),0,
           IF(OFFSET(PLE!$G$15,$M19-$A$15,AZ$13)="",10^12,OFFSET(PLE!$G$15,$M19-$A$15,AZ$13)))</f>
        <v>1000000000000</v>
      </c>
      <c r="BA19" s="173">
        <f ca="1">IF(OR($D19&lt;&gt;"Serviço",AND(AUTOEVENTO="Manual",$M19=$A$15),$M19&gt;(ROW(PLE.lastrow)-ROW(PLE.firstrow))),0,
           IF(OFFSET(PLE!$G$15,$M19-$A$15,BA$13)="",10^12,OFFSET(PLE!$G$15,$M19-$A$15,BA$13)))</f>
        <v>1000000000000</v>
      </c>
      <c r="BB19" s="173">
        <f ca="1">IF(OR($D19&lt;&gt;"Serviço",AND(AUTOEVENTO="Manual",$M19=$A$15),$M19&gt;(ROW(PLE.lastrow)-ROW(PLE.firstrow))),0,
           IF(OFFSET(PLE!$G$15,$M19-$A$15,BB$13)="",10^12,OFFSET(PLE!$G$15,$M19-$A$15,BB$13)))</f>
        <v>1000000000000</v>
      </c>
      <c r="BC19" s="173">
        <f ca="1">IF(OR($D19&lt;&gt;"Serviço",AND(AUTOEVENTO="Manual",$M19=$A$15),$M19&gt;(ROW(PLE.lastrow)-ROW(PLE.firstrow))),0,
           IF(OFFSET(PLE!$G$15,$M19-$A$15,BC$13)="",10^12,OFFSET(PLE!$G$15,$M19-$A$15,BC$13)))</f>
        <v>1000000000000</v>
      </c>
      <c r="BD19" s="173">
        <f ca="1">IF(OR($D19&lt;&gt;"Serviço",AND(AUTOEVENTO="Manual",$M19=$A$15),$M19&gt;(ROW(PLE.lastrow)-ROW(PLE.firstrow))),0,
           IF(OFFSET(PLE!$G$15,$M19-$A$15,BD$13)="",10^12,OFFSET(PLE!$G$15,$M19-$A$15,BD$13)))</f>
        <v>1000000000000</v>
      </c>
      <c r="BE19" s="173">
        <f ca="1">IF(OR($D19&lt;&gt;"Serviço",AND(AUTOEVENTO="Manual",$M19=$A$15),$M19&gt;(ROW(PLE.lastrow)-ROW(PLE.firstrow))),0,
           IF(OFFSET(PLE!$G$15,$M19-$A$15,BE$13)="",10^12,OFFSET(PLE!$G$15,$M19-$A$15,BE$13)))</f>
        <v>1000000000000</v>
      </c>
      <c r="BF19" s="173">
        <f ca="1">IF(OR($D19&lt;&gt;"Serviço",AND(AUTOEVENTO="Manual",$M19=$A$15),$M19&gt;(ROW(PLE.lastrow)-ROW(PLE.firstrow))),0,
           IF(OFFSET(PLE!$G$15,$M19-$A$15,BF$13)="",10^12,OFFSET(PLE!$G$15,$M19-$A$15,BF$13)))</f>
        <v>1000000000000</v>
      </c>
      <c r="BG19" s="173">
        <f ca="1">IF(OR($D19&lt;&gt;"Serviço",AND(AUTOEVENTO="Manual",$M19=$A$15),$M19&gt;(ROW(PLE.lastrow)-ROW(PLE.firstrow))),0,
           IF(OFFSET(PLE!$G$15,$M19-$A$15,BG$13)="",10^12,OFFSET(PLE!$G$15,$M19-$A$15,BG$13)))</f>
        <v>1000000000000</v>
      </c>
    </row>
    <row r="20" spans="1:59" s="675" customFormat="1" ht="38.25" x14ac:dyDescent="0.2">
      <c r="A20" s="671" t="str">
        <f t="shared" ca="1" si="9"/>
        <v>2</v>
      </c>
      <c r="B20" s="671" t="str">
        <f ca="1">OFFSET(ORÇAMENTO!C$15,ROW(B20)-ROW(B$15),0)</f>
        <v>S</v>
      </c>
      <c r="C20" s="671" t="str">
        <f ca="1">OFFSET(ORÇAMENTO!L$15,ROW(C20)-ROW(C$15),0)</f>
        <v/>
      </c>
      <c r="D20" s="117" t="str">
        <f ca="1">OFFSET(ORÇAMENTO!N$15,ROW(D20)-ROW(D$15),0)</f>
        <v>Serviço</v>
      </c>
      <c r="E20" s="118" t="str">
        <f ca="1">OFFSET(ORÇAMENTO!O$15,ROW(E20)-ROW(E$15),0)</f>
        <v>-</v>
      </c>
      <c r="F20" s="164" t="str">
        <f ca="1">OFFSET(ORÇAMENTO!R$15,ROW(F20)-ROW(F$15),0)</f>
        <v>(abra o arquivo 'Referência 09-2025.xlsm)</v>
      </c>
      <c r="G20" s="165" t="str">
        <f ca="1">IF($D20&lt;&gt;"Serviço","",OFFSET(ORÇAMENTO!S$15,ROW(G20)-ROW(G$15),0))</f>
        <v>-</v>
      </c>
      <c r="H20" s="123">
        <f ca="1">IF($D20&lt;&gt;"Serviço",0,IF(ACOMPANHAMENTO="BM",ROUND(OFFSET(ORÇAMENTO!AJ$15,ROW(H20)-ROW(H$15),0),15-13*ORÇAMENTO!$AF$7),SUMPRODUCT(($Q$1:$AA$1=1)*ROUND($Q20:$AA20,15-13*ORÇAMENTO!$AF$7))))</f>
        <v>80</v>
      </c>
      <c r="I20" s="469" t="s">
        <v>1099</v>
      </c>
      <c r="J20" s="667" t="str">
        <f ca="1">IF(OR(B20&lt;&gt;"S",CÁLCULO.FrentesPreenchidas=0),"",IF(AND(ACOMPANHAMENTO="PLE",AUTOEVENTO="Manual",OR(H20&gt;0,ORÇAMENTO!AC20="QUANT."),OR(K20="",M20=0,N20="")),"►",IF(AND(ACOMPANHAMENTO="PLE",ORÇAMENTO!AC20="QUANT."),"►►",IF(AND(COUNTIF($P$11:$AA$11,"▼")=0,H20&gt;0,I20=""),"◄",""))))</f>
        <v/>
      </c>
      <c r="K20" s="668"/>
      <c r="L20" s="166" t="s">
        <v>765</v>
      </c>
      <c r="M20" s="167">
        <f ca="1">IF($D20&lt;&gt;"Serviço","",
          IF(AUTOEVENTO="manual",$A20,
                IF(ISERROR(MATCH($A20,$A$15:OFFSET($A20,-1,0),0)),MAX($M$15:OFFSET(M20,-1,0))+1,
                      INDEX($M$15:OFFSET(M20,-1,0),MATCH($A20,$A$15:OFFSET($A20,-1,0),0)))))</f>
        <v>1</v>
      </c>
      <c r="N20" s="168" t="str">
        <f ca="1">IF($D20&lt;&gt;"Serviço","",
         IF(AUTOEVENTO="Manual",
                IF($A20=0,"&lt;-- defina o número do agrupador",
                       OFFSET(EVENTOS!$D$15,$A20-$A$15,0)),
                OFFSET($F$15,$A20,0)))</f>
        <v>ADMINISTRAÇÃO LOCAL - CANTEIRO DE OBRAS</v>
      </c>
      <c r="O20" s="169"/>
      <c r="Q20" s="169"/>
      <c r="R20" s="170"/>
      <c r="S20" s="170"/>
      <c r="T20" s="170"/>
      <c r="U20" s="170"/>
      <c r="V20" s="170"/>
      <c r="W20" s="170"/>
      <c r="X20" s="170"/>
      <c r="Y20" s="170"/>
      <c r="Z20" s="171"/>
      <c r="AB20" s="454">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4">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4">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4">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4">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4">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4">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4">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4">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4">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2">
        <f ca="1">IF(OR($D20&lt;&gt;"Serviço",AND(AUTOEVENTO="Manual",$M20=$A$15)),0,
         IF(OFFSET(CRONOPLE!$F$15,$M20-$A$15,AM$13)=0,10^12,OFFSET(CRONOPLE!$F$15,$M20-$A$15,AM$13)))</f>
        <v>1000000000000</v>
      </c>
      <c r="AN20" s="172">
        <f ca="1">IF(OR($D20&lt;&gt;"Serviço",AND(AUTOEVENTO="Manual",$M20=$A$15)),0,
         IF(OFFSET(CRONOPLE!$F$15,$M20-$A$15,AN$13)=0,10^12,OFFSET(CRONOPLE!$F$15,$M20-$A$15,AN$13)))</f>
        <v>1000000000000</v>
      </c>
      <c r="AO20" s="172">
        <f ca="1">IF(OR($D20&lt;&gt;"Serviço",AND(AUTOEVENTO="Manual",$M20=$A$15)),0,
         IF(OFFSET(CRONOPLE!$F$15,$M20-$A$15,AO$13)=0,10^12,OFFSET(CRONOPLE!$F$15,$M20-$A$15,AO$13)))</f>
        <v>1000000000000</v>
      </c>
      <c r="AP20" s="172">
        <f ca="1">IF(OR($D20&lt;&gt;"Serviço",AND(AUTOEVENTO="Manual",$M20=$A$15)),0,
         IF(OFFSET(CRONOPLE!$F$15,$M20-$A$15,AP$13)=0,10^12,OFFSET(CRONOPLE!$F$15,$M20-$A$15,AP$13)))</f>
        <v>1000000000000</v>
      </c>
      <c r="AQ20" s="172">
        <f ca="1">IF(OR($D20&lt;&gt;"Serviço",AND(AUTOEVENTO="Manual",$M20=$A$15)),0,
         IF(OFFSET(CRONOPLE!$F$15,$M20-$A$15,AQ$13)=0,10^12,OFFSET(CRONOPLE!$F$15,$M20-$A$15,AQ$13)))</f>
        <v>1000000000000</v>
      </c>
      <c r="AR20" s="172">
        <f ca="1">IF(OR($D20&lt;&gt;"Serviço",AND(AUTOEVENTO="Manual",$M20=$A$15)),0,
         IF(OFFSET(CRONOPLE!$F$15,$M20-$A$15,AR$13)=0,10^12,OFFSET(CRONOPLE!$F$15,$M20-$A$15,AR$13)))</f>
        <v>1000000000000</v>
      </c>
      <c r="AS20" s="172">
        <f ca="1">IF(OR($D20&lt;&gt;"Serviço",AND(AUTOEVENTO="Manual",$M20=$A$15)),0,
         IF(OFFSET(CRONOPLE!$F$15,$M20-$A$15,AS$13)=0,10^12,OFFSET(CRONOPLE!$F$15,$M20-$A$15,AS$13)))</f>
        <v>1000000000000</v>
      </c>
      <c r="AT20" s="172">
        <f ca="1">IF(OR($D20&lt;&gt;"Serviço",AND(AUTOEVENTO="Manual",$M20=$A$15)),0,
         IF(OFFSET(CRONOPLE!$F$15,$M20-$A$15,AT$13)=0,10^12,OFFSET(CRONOPLE!$F$15,$M20-$A$15,AT$13)))</f>
        <v>1000000000000</v>
      </c>
      <c r="AU20" s="172">
        <f ca="1">IF(OR($D20&lt;&gt;"Serviço",AND(AUTOEVENTO="Manual",$M20=$A$15)),0,
         IF(OFFSET(CRONOPLE!$F$15,$M20-$A$15,AU$13)=0,10^12,OFFSET(CRONOPLE!$F$15,$M20-$A$15,AU$13)))</f>
        <v>1000000000000</v>
      </c>
      <c r="AV20" s="172">
        <f ca="1">IF(OR($D20&lt;&gt;"Serviço",AND(AUTOEVENTO="Manual",$M20=$A$15)),0,
         IF(OFFSET(CRONOPLE!$F$15,$M20-$A$15,AV$13)=0,10^12,OFFSET(CRONOPLE!$F$15,$M20-$A$15,AV$13)))</f>
        <v>1000000000000</v>
      </c>
      <c r="AX20" s="173">
        <f ca="1">IF(OR($D20&lt;&gt;"Serviço",AND(AUTOEVENTO="Manual",$M20=$A$15),$M20&gt;(ROW(PLE.lastrow)-ROW(PLE.firstrow))),0,
           IF(OFFSET(PLE!$G$15,$M20-$A$15,AX$13)="",10^12,OFFSET(PLE!$G$15,$M20-$A$15,AX$13)))</f>
        <v>1000000000000</v>
      </c>
      <c r="AY20" s="173">
        <f ca="1">IF(OR($D20&lt;&gt;"Serviço",AND(AUTOEVENTO="Manual",$M20=$A$15),$M20&gt;(ROW(PLE.lastrow)-ROW(PLE.firstrow))),0,
           IF(OFFSET(PLE!$G$15,$M20-$A$15,AY$13)="",10^12,OFFSET(PLE!$G$15,$M20-$A$15,AY$13)))</f>
        <v>1000000000000</v>
      </c>
      <c r="AZ20" s="173">
        <f ca="1">IF(OR($D20&lt;&gt;"Serviço",AND(AUTOEVENTO="Manual",$M20=$A$15),$M20&gt;(ROW(PLE.lastrow)-ROW(PLE.firstrow))),0,
           IF(OFFSET(PLE!$G$15,$M20-$A$15,AZ$13)="",10^12,OFFSET(PLE!$G$15,$M20-$A$15,AZ$13)))</f>
        <v>1000000000000</v>
      </c>
      <c r="BA20" s="173">
        <f ca="1">IF(OR($D20&lt;&gt;"Serviço",AND(AUTOEVENTO="Manual",$M20=$A$15),$M20&gt;(ROW(PLE.lastrow)-ROW(PLE.firstrow))),0,
           IF(OFFSET(PLE!$G$15,$M20-$A$15,BA$13)="",10^12,OFFSET(PLE!$G$15,$M20-$A$15,BA$13)))</f>
        <v>1000000000000</v>
      </c>
      <c r="BB20" s="173">
        <f ca="1">IF(OR($D20&lt;&gt;"Serviço",AND(AUTOEVENTO="Manual",$M20=$A$15),$M20&gt;(ROW(PLE.lastrow)-ROW(PLE.firstrow))),0,
           IF(OFFSET(PLE!$G$15,$M20-$A$15,BB$13)="",10^12,OFFSET(PLE!$G$15,$M20-$A$15,BB$13)))</f>
        <v>1000000000000</v>
      </c>
      <c r="BC20" s="173">
        <f ca="1">IF(OR($D20&lt;&gt;"Serviço",AND(AUTOEVENTO="Manual",$M20=$A$15),$M20&gt;(ROW(PLE.lastrow)-ROW(PLE.firstrow))),0,
           IF(OFFSET(PLE!$G$15,$M20-$A$15,BC$13)="",10^12,OFFSET(PLE!$G$15,$M20-$A$15,BC$13)))</f>
        <v>1000000000000</v>
      </c>
      <c r="BD20" s="173">
        <f ca="1">IF(OR($D20&lt;&gt;"Serviço",AND(AUTOEVENTO="Manual",$M20=$A$15),$M20&gt;(ROW(PLE.lastrow)-ROW(PLE.firstrow))),0,
           IF(OFFSET(PLE!$G$15,$M20-$A$15,BD$13)="",10^12,OFFSET(PLE!$G$15,$M20-$A$15,BD$13)))</f>
        <v>1000000000000</v>
      </c>
      <c r="BE20" s="173">
        <f ca="1">IF(OR($D20&lt;&gt;"Serviço",AND(AUTOEVENTO="Manual",$M20=$A$15),$M20&gt;(ROW(PLE.lastrow)-ROW(PLE.firstrow))),0,
           IF(OFFSET(PLE!$G$15,$M20-$A$15,BE$13)="",10^12,OFFSET(PLE!$G$15,$M20-$A$15,BE$13)))</f>
        <v>1000000000000</v>
      </c>
      <c r="BF20" s="173">
        <f ca="1">IF(OR($D20&lt;&gt;"Serviço",AND(AUTOEVENTO="Manual",$M20=$A$15),$M20&gt;(ROW(PLE.lastrow)-ROW(PLE.firstrow))),0,
           IF(OFFSET(PLE!$G$15,$M20-$A$15,BF$13)="",10^12,OFFSET(PLE!$G$15,$M20-$A$15,BF$13)))</f>
        <v>1000000000000</v>
      </c>
      <c r="BG20" s="173">
        <f ca="1">IF(OR($D20&lt;&gt;"Serviço",AND(AUTOEVENTO="Manual",$M20=$A$15),$M20&gt;(ROW(PLE.lastrow)-ROW(PLE.firstrow))),0,
           IF(OFFSET(PLE!$G$15,$M20-$A$15,BG$13)="",10^12,OFFSET(PLE!$G$15,$M20-$A$15,BG$13)))</f>
        <v>1000000000000</v>
      </c>
    </row>
    <row r="21" spans="1:59" s="675" customFormat="1" ht="38.25" x14ac:dyDescent="0.2">
      <c r="A21" s="671" t="str">
        <f t="shared" ca="1" si="9"/>
        <v>2</v>
      </c>
      <c r="B21" s="671" t="str">
        <f ca="1">OFFSET(ORÇAMENTO!C$15,ROW(B21)-ROW(B$15),0)</f>
        <v>S</v>
      </c>
      <c r="C21" s="671" t="str">
        <f ca="1">OFFSET(ORÇAMENTO!L$15,ROW(C21)-ROW(C$15),0)</f>
        <v/>
      </c>
      <c r="D21" s="117" t="str">
        <f ca="1">OFFSET(ORÇAMENTO!N$15,ROW(D21)-ROW(D$15),0)</f>
        <v>Serviço</v>
      </c>
      <c r="E21" s="118" t="str">
        <f ca="1">OFFSET(ORÇAMENTO!O$15,ROW(E21)-ROW(E$15),0)</f>
        <v>-</v>
      </c>
      <c r="F21" s="164" t="str">
        <f ca="1">OFFSET(ORÇAMENTO!R$15,ROW(F21)-ROW(F$15),0)</f>
        <v>(abra o arquivo 'Referência 09-2025.xlsm)</v>
      </c>
      <c r="G21" s="165" t="str">
        <f ca="1">IF($D21&lt;&gt;"Serviço","",OFFSET(ORÇAMENTO!S$15,ROW(G21)-ROW(G$15),0))</f>
        <v>-</v>
      </c>
      <c r="H21" s="123">
        <f ca="1">IF($D21&lt;&gt;"Serviço",0,IF(ACOMPANHAMENTO="BM",ROUND(OFFSET(ORÇAMENTO!AJ$15,ROW(H21)-ROW(H$15),0),15-13*ORÇAMENTO!$AF$7),SUMPRODUCT(($Q$1:$AA$1=1)*ROUND($Q21:$AA21,15-13*ORÇAMENTO!$AF$7))))</f>
        <v>8</v>
      </c>
      <c r="I21" s="469" t="s">
        <v>1100</v>
      </c>
      <c r="J21" s="667" t="str">
        <f ca="1">IF(OR(B21&lt;&gt;"S",CÁLCULO.FrentesPreenchidas=0),"",IF(AND(ACOMPANHAMENTO="PLE",AUTOEVENTO="Manual",OR(H21&gt;0,ORÇAMENTO!AC21="QUANT."),OR(K21="",M21=0,N21="")),"►",IF(AND(ACOMPANHAMENTO="PLE",ORÇAMENTO!AC21="QUANT."),"►►",IF(AND(COUNTIF($P$11:$AA$11,"▼")=0,H21&gt;0,I21=""),"◄",""))))</f>
        <v/>
      </c>
      <c r="K21" s="668"/>
      <c r="L21" s="166" t="s">
        <v>765</v>
      </c>
      <c r="M21" s="167">
        <f ca="1">IF($D21&lt;&gt;"Serviço","",
          IF(AUTOEVENTO="manual",$A21,
                IF(ISERROR(MATCH($A21,$A$15:OFFSET($A21,-1,0),0)),MAX($M$15:OFFSET(M21,-1,0))+1,
                      INDEX($M$15:OFFSET(M21,-1,0),MATCH($A21,$A$15:OFFSET($A21,-1,0),0)))))</f>
        <v>1</v>
      </c>
      <c r="N21" s="168" t="str">
        <f ca="1">IF($D21&lt;&gt;"Serviço","",
         IF(AUTOEVENTO="Manual",
                IF($A21=0,"&lt;-- defina o número do agrupador",
                       OFFSET(EVENTOS!$D$15,$A21-$A$15,0)),
                OFFSET($F$15,$A21,0)))</f>
        <v>ADMINISTRAÇÃO LOCAL - CANTEIRO DE OBRAS</v>
      </c>
      <c r="O21" s="169"/>
      <c r="Q21" s="169"/>
      <c r="R21" s="170"/>
      <c r="S21" s="170"/>
      <c r="T21" s="170"/>
      <c r="U21" s="170"/>
      <c r="V21" s="170"/>
      <c r="W21" s="170"/>
      <c r="X21" s="170"/>
      <c r="Y21" s="170"/>
      <c r="Z21" s="171"/>
      <c r="AB21" s="454">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4">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4">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4">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4">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4">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4">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4">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4">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4">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2">
        <f ca="1">IF(OR($D21&lt;&gt;"Serviço",AND(AUTOEVENTO="Manual",$M21=$A$15)),0,
         IF(OFFSET(CRONOPLE!$F$15,$M21-$A$15,AM$13)=0,10^12,OFFSET(CRONOPLE!$F$15,$M21-$A$15,AM$13)))</f>
        <v>1000000000000</v>
      </c>
      <c r="AN21" s="172">
        <f ca="1">IF(OR($D21&lt;&gt;"Serviço",AND(AUTOEVENTO="Manual",$M21=$A$15)),0,
         IF(OFFSET(CRONOPLE!$F$15,$M21-$A$15,AN$13)=0,10^12,OFFSET(CRONOPLE!$F$15,$M21-$A$15,AN$13)))</f>
        <v>1000000000000</v>
      </c>
      <c r="AO21" s="172">
        <f ca="1">IF(OR($D21&lt;&gt;"Serviço",AND(AUTOEVENTO="Manual",$M21=$A$15)),0,
         IF(OFFSET(CRONOPLE!$F$15,$M21-$A$15,AO$13)=0,10^12,OFFSET(CRONOPLE!$F$15,$M21-$A$15,AO$13)))</f>
        <v>1000000000000</v>
      </c>
      <c r="AP21" s="172">
        <f ca="1">IF(OR($D21&lt;&gt;"Serviço",AND(AUTOEVENTO="Manual",$M21=$A$15)),0,
         IF(OFFSET(CRONOPLE!$F$15,$M21-$A$15,AP$13)=0,10^12,OFFSET(CRONOPLE!$F$15,$M21-$A$15,AP$13)))</f>
        <v>1000000000000</v>
      </c>
      <c r="AQ21" s="172">
        <f ca="1">IF(OR($D21&lt;&gt;"Serviço",AND(AUTOEVENTO="Manual",$M21=$A$15)),0,
         IF(OFFSET(CRONOPLE!$F$15,$M21-$A$15,AQ$13)=0,10^12,OFFSET(CRONOPLE!$F$15,$M21-$A$15,AQ$13)))</f>
        <v>1000000000000</v>
      </c>
      <c r="AR21" s="172">
        <f ca="1">IF(OR($D21&lt;&gt;"Serviço",AND(AUTOEVENTO="Manual",$M21=$A$15)),0,
         IF(OFFSET(CRONOPLE!$F$15,$M21-$A$15,AR$13)=0,10^12,OFFSET(CRONOPLE!$F$15,$M21-$A$15,AR$13)))</f>
        <v>1000000000000</v>
      </c>
      <c r="AS21" s="172">
        <f ca="1">IF(OR($D21&lt;&gt;"Serviço",AND(AUTOEVENTO="Manual",$M21=$A$15)),0,
         IF(OFFSET(CRONOPLE!$F$15,$M21-$A$15,AS$13)=0,10^12,OFFSET(CRONOPLE!$F$15,$M21-$A$15,AS$13)))</f>
        <v>1000000000000</v>
      </c>
      <c r="AT21" s="172">
        <f ca="1">IF(OR($D21&lt;&gt;"Serviço",AND(AUTOEVENTO="Manual",$M21=$A$15)),0,
         IF(OFFSET(CRONOPLE!$F$15,$M21-$A$15,AT$13)=0,10^12,OFFSET(CRONOPLE!$F$15,$M21-$A$15,AT$13)))</f>
        <v>1000000000000</v>
      </c>
      <c r="AU21" s="172">
        <f ca="1">IF(OR($D21&lt;&gt;"Serviço",AND(AUTOEVENTO="Manual",$M21=$A$15)),0,
         IF(OFFSET(CRONOPLE!$F$15,$M21-$A$15,AU$13)=0,10^12,OFFSET(CRONOPLE!$F$15,$M21-$A$15,AU$13)))</f>
        <v>1000000000000</v>
      </c>
      <c r="AV21" s="172">
        <f ca="1">IF(OR($D21&lt;&gt;"Serviço",AND(AUTOEVENTO="Manual",$M21=$A$15)),0,
         IF(OFFSET(CRONOPLE!$F$15,$M21-$A$15,AV$13)=0,10^12,OFFSET(CRONOPLE!$F$15,$M21-$A$15,AV$13)))</f>
        <v>1000000000000</v>
      </c>
      <c r="AX21" s="173">
        <f ca="1">IF(OR($D21&lt;&gt;"Serviço",AND(AUTOEVENTO="Manual",$M21=$A$15),$M21&gt;(ROW(PLE.lastrow)-ROW(PLE.firstrow))),0,
           IF(OFFSET(PLE!$G$15,$M21-$A$15,AX$13)="",10^12,OFFSET(PLE!$G$15,$M21-$A$15,AX$13)))</f>
        <v>1000000000000</v>
      </c>
      <c r="AY21" s="173">
        <f ca="1">IF(OR($D21&lt;&gt;"Serviço",AND(AUTOEVENTO="Manual",$M21=$A$15),$M21&gt;(ROW(PLE.lastrow)-ROW(PLE.firstrow))),0,
           IF(OFFSET(PLE!$G$15,$M21-$A$15,AY$13)="",10^12,OFFSET(PLE!$G$15,$M21-$A$15,AY$13)))</f>
        <v>1000000000000</v>
      </c>
      <c r="AZ21" s="173">
        <f ca="1">IF(OR($D21&lt;&gt;"Serviço",AND(AUTOEVENTO="Manual",$M21=$A$15),$M21&gt;(ROW(PLE.lastrow)-ROW(PLE.firstrow))),0,
           IF(OFFSET(PLE!$G$15,$M21-$A$15,AZ$13)="",10^12,OFFSET(PLE!$G$15,$M21-$A$15,AZ$13)))</f>
        <v>1000000000000</v>
      </c>
      <c r="BA21" s="173">
        <f ca="1">IF(OR($D21&lt;&gt;"Serviço",AND(AUTOEVENTO="Manual",$M21=$A$15),$M21&gt;(ROW(PLE.lastrow)-ROW(PLE.firstrow))),0,
           IF(OFFSET(PLE!$G$15,$M21-$A$15,BA$13)="",10^12,OFFSET(PLE!$G$15,$M21-$A$15,BA$13)))</f>
        <v>1000000000000</v>
      </c>
      <c r="BB21" s="173">
        <f ca="1">IF(OR($D21&lt;&gt;"Serviço",AND(AUTOEVENTO="Manual",$M21=$A$15),$M21&gt;(ROW(PLE.lastrow)-ROW(PLE.firstrow))),0,
           IF(OFFSET(PLE!$G$15,$M21-$A$15,BB$13)="",10^12,OFFSET(PLE!$G$15,$M21-$A$15,BB$13)))</f>
        <v>1000000000000</v>
      </c>
      <c r="BC21" s="173">
        <f ca="1">IF(OR($D21&lt;&gt;"Serviço",AND(AUTOEVENTO="Manual",$M21=$A$15),$M21&gt;(ROW(PLE.lastrow)-ROW(PLE.firstrow))),0,
           IF(OFFSET(PLE!$G$15,$M21-$A$15,BC$13)="",10^12,OFFSET(PLE!$G$15,$M21-$A$15,BC$13)))</f>
        <v>1000000000000</v>
      </c>
      <c r="BD21" s="173">
        <f ca="1">IF(OR($D21&lt;&gt;"Serviço",AND(AUTOEVENTO="Manual",$M21=$A$15),$M21&gt;(ROW(PLE.lastrow)-ROW(PLE.firstrow))),0,
           IF(OFFSET(PLE!$G$15,$M21-$A$15,BD$13)="",10^12,OFFSET(PLE!$G$15,$M21-$A$15,BD$13)))</f>
        <v>1000000000000</v>
      </c>
      <c r="BE21" s="173">
        <f ca="1">IF(OR($D21&lt;&gt;"Serviço",AND(AUTOEVENTO="Manual",$M21=$A$15),$M21&gt;(ROW(PLE.lastrow)-ROW(PLE.firstrow))),0,
           IF(OFFSET(PLE!$G$15,$M21-$A$15,BE$13)="",10^12,OFFSET(PLE!$G$15,$M21-$A$15,BE$13)))</f>
        <v>1000000000000</v>
      </c>
      <c r="BF21" s="173">
        <f ca="1">IF(OR($D21&lt;&gt;"Serviço",AND(AUTOEVENTO="Manual",$M21=$A$15),$M21&gt;(ROW(PLE.lastrow)-ROW(PLE.firstrow))),0,
           IF(OFFSET(PLE!$G$15,$M21-$A$15,BF$13)="",10^12,OFFSET(PLE!$G$15,$M21-$A$15,BF$13)))</f>
        <v>1000000000000</v>
      </c>
      <c r="BG21" s="173">
        <f ca="1">IF(OR($D21&lt;&gt;"Serviço",AND(AUTOEVENTO="Manual",$M21=$A$15),$M21&gt;(ROW(PLE.lastrow)-ROW(PLE.firstrow))),0,
           IF(OFFSET(PLE!$G$15,$M21-$A$15,BG$13)="",10^12,OFFSET(PLE!$G$15,$M21-$A$15,BG$13)))</f>
        <v>1000000000000</v>
      </c>
    </row>
    <row r="22" spans="1:59" s="675" customFormat="1" ht="12.75" x14ac:dyDescent="0.2">
      <c r="A22" s="671" t="str">
        <f t="shared" ca="1" si="9"/>
        <v>7.</v>
      </c>
      <c r="B22" s="671">
        <f ca="1">OFFSET(ORÇAMENTO!C$15,ROW(B22)-ROW(B$15),0)</f>
        <v>2</v>
      </c>
      <c r="C22" s="671" t="str">
        <f ca="1">OFFSET(ORÇAMENTO!L$15,ROW(C22)-ROW(C$15),0)</f>
        <v>F</v>
      </c>
      <c r="D22" s="117" t="str">
        <f ca="1">OFFSET(ORÇAMENTO!N$15,ROW(D22)-ROW(D$15),0)</f>
        <v>Nível 2</v>
      </c>
      <c r="E22" s="118" t="str">
        <f ca="1">OFFSET(ORÇAMENTO!O$15,ROW(E22)-ROW(E$15),0)</f>
        <v>1.2.</v>
      </c>
      <c r="F22" s="164" t="str">
        <f ca="1">OFFSET(ORÇAMENTO!R$15,ROW(F22)-ROW(F$15),0)</f>
        <v>LINHA DE RECALQUE</v>
      </c>
      <c r="G22" s="165" t="str">
        <f ca="1">IF($D22&lt;&gt;"Serviço","",OFFSET(ORÇAMENTO!S$15,ROW(G22)-ROW(G$15),0))</f>
        <v/>
      </c>
      <c r="H22" s="123">
        <f ca="1">IF($D22&lt;&gt;"Serviço",0,IF(ACOMPANHAMENTO="BM",ROUND(OFFSET(ORÇAMENTO!AJ$15,ROW(H22)-ROW(H$15),0),15-13*ORÇAMENTO!$AF$7),SUMPRODUCT(($Q$1:$AA$1=1)*ROUND($Q22:$AA22,15-13*ORÇAMENTO!$AF$7))))</f>
        <v>0</v>
      </c>
      <c r="I22" s="469"/>
      <c r="J22" s="667" t="str">
        <f ca="1">IF(OR(B22&lt;&gt;"S",CÁLCULO.FrentesPreenchidas=0),"",IF(AND(ACOMPANHAMENTO="PLE",AUTOEVENTO="Manual",OR(H22&gt;0,ORÇAMENTO!AC22="QUANT."),OR(K22="",M22=0,N22="")),"►",IF(AND(ACOMPANHAMENTO="PLE",ORÇAMENTO!AC22="QUANT."),"►►",IF(AND(COUNTIF($P$11:$AA$11,"▼")=0,H22&gt;0,I22=""),"◄",""))))</f>
        <v/>
      </c>
      <c r="K22" s="668"/>
      <c r="L22" s="166" t="s">
        <v>765</v>
      </c>
      <c r="M22" s="167" t="str">
        <f ca="1">IF($D22&lt;&gt;"Serviço","",
          IF(AUTOEVENTO="manual",$A22,
                IF(ISERROR(MATCH($A22,$A$15:OFFSET($A22,-1,0),0)),MAX($M$15:OFFSET(M22,-1,0))+1,
                      INDEX($M$15:OFFSET(M22,-1,0),MATCH($A22,$A$15:OFFSET($A22,-1,0),0)))))</f>
        <v/>
      </c>
      <c r="N22" s="168" t="str">
        <f ca="1">IF($D22&lt;&gt;"Serviço","",
         IF(AUTOEVENTO="Manual",
                IF($A22=0,"&lt;-- defina o número do agrupador",
                       OFFSET(EVENTOS!$D$15,$A22-$A$15,0)),
                OFFSET($F$15,$A22,0)))</f>
        <v/>
      </c>
      <c r="O22" s="169"/>
      <c r="Q22" s="169"/>
      <c r="R22" s="170"/>
      <c r="S22" s="170"/>
      <c r="T22" s="170"/>
      <c r="U22" s="170"/>
      <c r="V22" s="170"/>
      <c r="W22" s="170"/>
      <c r="X22" s="170"/>
      <c r="Y22" s="170"/>
      <c r="Z22" s="171"/>
      <c r="AB22" s="454">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4">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4">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4">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4">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4">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4">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4">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4">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4">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2">
        <f ca="1">IF(OR($D22&lt;&gt;"Serviço",AND(AUTOEVENTO="Manual",$M22=$A$15)),0,
         IF(OFFSET(CRONOPLE!$F$15,$M22-$A$15,AM$13)=0,10^12,OFFSET(CRONOPLE!$F$15,$M22-$A$15,AM$13)))</f>
        <v>0</v>
      </c>
      <c r="AN22" s="172">
        <f ca="1">IF(OR($D22&lt;&gt;"Serviço",AND(AUTOEVENTO="Manual",$M22=$A$15)),0,
         IF(OFFSET(CRONOPLE!$F$15,$M22-$A$15,AN$13)=0,10^12,OFFSET(CRONOPLE!$F$15,$M22-$A$15,AN$13)))</f>
        <v>0</v>
      </c>
      <c r="AO22" s="172">
        <f ca="1">IF(OR($D22&lt;&gt;"Serviço",AND(AUTOEVENTO="Manual",$M22=$A$15)),0,
         IF(OFFSET(CRONOPLE!$F$15,$M22-$A$15,AO$13)=0,10^12,OFFSET(CRONOPLE!$F$15,$M22-$A$15,AO$13)))</f>
        <v>0</v>
      </c>
      <c r="AP22" s="172">
        <f ca="1">IF(OR($D22&lt;&gt;"Serviço",AND(AUTOEVENTO="Manual",$M22=$A$15)),0,
         IF(OFFSET(CRONOPLE!$F$15,$M22-$A$15,AP$13)=0,10^12,OFFSET(CRONOPLE!$F$15,$M22-$A$15,AP$13)))</f>
        <v>0</v>
      </c>
      <c r="AQ22" s="172">
        <f ca="1">IF(OR($D22&lt;&gt;"Serviço",AND(AUTOEVENTO="Manual",$M22=$A$15)),0,
         IF(OFFSET(CRONOPLE!$F$15,$M22-$A$15,AQ$13)=0,10^12,OFFSET(CRONOPLE!$F$15,$M22-$A$15,AQ$13)))</f>
        <v>0</v>
      </c>
      <c r="AR22" s="172">
        <f ca="1">IF(OR($D22&lt;&gt;"Serviço",AND(AUTOEVENTO="Manual",$M22=$A$15)),0,
         IF(OFFSET(CRONOPLE!$F$15,$M22-$A$15,AR$13)=0,10^12,OFFSET(CRONOPLE!$F$15,$M22-$A$15,AR$13)))</f>
        <v>0</v>
      </c>
      <c r="AS22" s="172">
        <f ca="1">IF(OR($D22&lt;&gt;"Serviço",AND(AUTOEVENTO="Manual",$M22=$A$15)),0,
         IF(OFFSET(CRONOPLE!$F$15,$M22-$A$15,AS$13)=0,10^12,OFFSET(CRONOPLE!$F$15,$M22-$A$15,AS$13)))</f>
        <v>0</v>
      </c>
      <c r="AT22" s="172">
        <f ca="1">IF(OR($D22&lt;&gt;"Serviço",AND(AUTOEVENTO="Manual",$M22=$A$15)),0,
         IF(OFFSET(CRONOPLE!$F$15,$M22-$A$15,AT$13)=0,10^12,OFFSET(CRONOPLE!$F$15,$M22-$A$15,AT$13)))</f>
        <v>0</v>
      </c>
      <c r="AU22" s="172">
        <f ca="1">IF(OR($D22&lt;&gt;"Serviço",AND(AUTOEVENTO="Manual",$M22=$A$15)),0,
         IF(OFFSET(CRONOPLE!$F$15,$M22-$A$15,AU$13)=0,10^12,OFFSET(CRONOPLE!$F$15,$M22-$A$15,AU$13)))</f>
        <v>0</v>
      </c>
      <c r="AV22" s="172">
        <f ca="1">IF(OR($D22&lt;&gt;"Serviço",AND(AUTOEVENTO="Manual",$M22=$A$15)),0,
         IF(OFFSET(CRONOPLE!$F$15,$M22-$A$15,AV$13)=0,10^12,OFFSET(CRONOPLE!$F$15,$M22-$A$15,AV$13)))</f>
        <v>0</v>
      </c>
      <c r="AX22" s="173">
        <f ca="1">IF(OR($D22&lt;&gt;"Serviço",AND(AUTOEVENTO="Manual",$M22=$A$15),$M22&gt;(ROW(PLE.lastrow)-ROW(PLE.firstrow))),0,
           IF(OFFSET(PLE!$G$15,$M22-$A$15,AX$13)="",10^12,OFFSET(PLE!$G$15,$M22-$A$15,AX$13)))</f>
        <v>0</v>
      </c>
      <c r="AY22" s="173">
        <f ca="1">IF(OR($D22&lt;&gt;"Serviço",AND(AUTOEVENTO="Manual",$M22=$A$15),$M22&gt;(ROW(PLE.lastrow)-ROW(PLE.firstrow))),0,
           IF(OFFSET(PLE!$G$15,$M22-$A$15,AY$13)="",10^12,OFFSET(PLE!$G$15,$M22-$A$15,AY$13)))</f>
        <v>0</v>
      </c>
      <c r="AZ22" s="173">
        <f ca="1">IF(OR($D22&lt;&gt;"Serviço",AND(AUTOEVENTO="Manual",$M22=$A$15),$M22&gt;(ROW(PLE.lastrow)-ROW(PLE.firstrow))),0,
           IF(OFFSET(PLE!$G$15,$M22-$A$15,AZ$13)="",10^12,OFFSET(PLE!$G$15,$M22-$A$15,AZ$13)))</f>
        <v>0</v>
      </c>
      <c r="BA22" s="173">
        <f ca="1">IF(OR($D22&lt;&gt;"Serviço",AND(AUTOEVENTO="Manual",$M22=$A$15),$M22&gt;(ROW(PLE.lastrow)-ROW(PLE.firstrow))),0,
           IF(OFFSET(PLE!$G$15,$M22-$A$15,BA$13)="",10^12,OFFSET(PLE!$G$15,$M22-$A$15,BA$13)))</f>
        <v>0</v>
      </c>
      <c r="BB22" s="173">
        <f ca="1">IF(OR($D22&lt;&gt;"Serviço",AND(AUTOEVENTO="Manual",$M22=$A$15),$M22&gt;(ROW(PLE.lastrow)-ROW(PLE.firstrow))),0,
           IF(OFFSET(PLE!$G$15,$M22-$A$15,BB$13)="",10^12,OFFSET(PLE!$G$15,$M22-$A$15,BB$13)))</f>
        <v>0</v>
      </c>
      <c r="BC22" s="173">
        <f ca="1">IF(OR($D22&lt;&gt;"Serviço",AND(AUTOEVENTO="Manual",$M22=$A$15),$M22&gt;(ROW(PLE.lastrow)-ROW(PLE.firstrow))),0,
           IF(OFFSET(PLE!$G$15,$M22-$A$15,BC$13)="",10^12,OFFSET(PLE!$G$15,$M22-$A$15,BC$13)))</f>
        <v>0</v>
      </c>
      <c r="BD22" s="173">
        <f ca="1">IF(OR($D22&lt;&gt;"Serviço",AND(AUTOEVENTO="Manual",$M22=$A$15),$M22&gt;(ROW(PLE.lastrow)-ROW(PLE.firstrow))),0,
           IF(OFFSET(PLE!$G$15,$M22-$A$15,BD$13)="",10^12,OFFSET(PLE!$G$15,$M22-$A$15,BD$13)))</f>
        <v>0</v>
      </c>
      <c r="BE22" s="173">
        <f ca="1">IF(OR($D22&lt;&gt;"Serviço",AND(AUTOEVENTO="Manual",$M22=$A$15),$M22&gt;(ROW(PLE.lastrow)-ROW(PLE.firstrow))),0,
           IF(OFFSET(PLE!$G$15,$M22-$A$15,BE$13)="",10^12,OFFSET(PLE!$G$15,$M22-$A$15,BE$13)))</f>
        <v>0</v>
      </c>
      <c r="BF22" s="173">
        <f ca="1">IF(OR($D22&lt;&gt;"Serviço",AND(AUTOEVENTO="Manual",$M22=$A$15),$M22&gt;(ROW(PLE.lastrow)-ROW(PLE.firstrow))),0,
           IF(OFFSET(PLE!$G$15,$M22-$A$15,BF$13)="",10^12,OFFSET(PLE!$G$15,$M22-$A$15,BF$13)))</f>
        <v>0</v>
      </c>
      <c r="BG22" s="173">
        <f ca="1">IF(OR($D22&lt;&gt;"Serviço",AND(AUTOEVENTO="Manual",$M22=$A$15),$M22&gt;(ROW(PLE.lastrow)-ROW(PLE.firstrow))),0,
           IF(OFFSET(PLE!$G$15,$M22-$A$15,BG$13)="",10^12,OFFSET(PLE!$G$15,$M22-$A$15,BG$13)))</f>
        <v>0</v>
      </c>
    </row>
    <row r="23" spans="1:59" s="675" customFormat="1" ht="12.75" x14ac:dyDescent="0.2">
      <c r="A23" s="671" t="str">
        <f t="shared" ca="1" si="9"/>
        <v>8.</v>
      </c>
      <c r="B23" s="671">
        <f ca="1">OFFSET(ORÇAMENTO!C$15,ROW(B23)-ROW(B$15),0)</f>
        <v>2</v>
      </c>
      <c r="C23" s="671" t="str">
        <f ca="1">OFFSET(ORÇAMENTO!L$15,ROW(C23)-ROW(C$15),0)</f>
        <v>F</v>
      </c>
      <c r="D23" s="117" t="str">
        <f ca="1">OFFSET(ORÇAMENTO!N$15,ROW(D23)-ROW(D$15),0)</f>
        <v>Nível 2</v>
      </c>
      <c r="E23" s="118" t="str">
        <f ca="1">OFFSET(ORÇAMENTO!O$15,ROW(E23)-ROW(E$15),0)</f>
        <v>1.3.</v>
      </c>
      <c r="F23" s="164" t="str">
        <f ca="1">OFFSET(ORÇAMENTO!R$15,ROW(F23)-ROW(F$15),0)</f>
        <v>ASSENTAMENTO LINHA DE RECALQUE</v>
      </c>
      <c r="G23" s="165" t="str">
        <f ca="1">IF($D23&lt;&gt;"Serviço","",OFFSET(ORÇAMENTO!S$15,ROW(G23)-ROW(G$15),0))</f>
        <v/>
      </c>
      <c r="H23" s="123">
        <f ca="1">IF($D23&lt;&gt;"Serviço",0,IF(ACOMPANHAMENTO="BM",ROUND(OFFSET(ORÇAMENTO!AJ$15,ROW(H23)-ROW(H$15),0),15-13*ORÇAMENTO!$AF$7),SUMPRODUCT(($Q$1:$AA$1=1)*ROUND($Q23:$AA23,15-13*ORÇAMENTO!$AF$7))))</f>
        <v>0</v>
      </c>
      <c r="I23" s="469"/>
      <c r="J23" s="667" t="str">
        <f ca="1">IF(OR(B23&lt;&gt;"S",CÁLCULO.FrentesPreenchidas=0),"",IF(AND(ACOMPANHAMENTO="PLE",AUTOEVENTO="Manual",OR(H23&gt;0,ORÇAMENTO!AC23="QUANT."),OR(K23="",M23=0,N23="")),"►",IF(AND(ACOMPANHAMENTO="PLE",ORÇAMENTO!AC23="QUANT."),"►►",IF(AND(COUNTIF($P$11:$AA$11,"▼")=0,H23&gt;0,I23=""),"◄",""))))</f>
        <v/>
      </c>
      <c r="K23" s="668"/>
      <c r="L23" s="166" t="s">
        <v>765</v>
      </c>
      <c r="M23" s="167" t="str">
        <f ca="1">IF($D23&lt;&gt;"Serviço","",
          IF(AUTOEVENTO="manual",$A23,
                IF(ISERROR(MATCH($A23,$A$15:OFFSET($A23,-1,0),0)),MAX($M$15:OFFSET(M23,-1,0))+1,
                      INDEX($M$15:OFFSET(M23,-1,0),MATCH($A23,$A$15:OFFSET($A23,-1,0),0)))))</f>
        <v/>
      </c>
      <c r="N23" s="168" t="str">
        <f ca="1">IF($D23&lt;&gt;"Serviço","",
         IF(AUTOEVENTO="Manual",
                IF($A23=0,"&lt;-- defina o número do agrupador",
                       OFFSET(EVENTOS!$D$15,$A23-$A$15,0)),
                OFFSET($F$15,$A23,0)))</f>
        <v/>
      </c>
      <c r="O23" s="169"/>
      <c r="Q23" s="169"/>
      <c r="R23" s="170"/>
      <c r="S23" s="170"/>
      <c r="T23" s="170"/>
      <c r="U23" s="170"/>
      <c r="V23" s="170"/>
      <c r="W23" s="170"/>
      <c r="X23" s="170"/>
      <c r="Y23" s="170"/>
      <c r="Z23" s="171"/>
      <c r="AB23" s="454">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4">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4">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4">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4">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4">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4">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4">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4">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4">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2">
        <f ca="1">IF(OR($D23&lt;&gt;"Serviço",AND(AUTOEVENTO="Manual",$M23=$A$15)),0,
         IF(OFFSET(CRONOPLE!$F$15,$M23-$A$15,AM$13)=0,10^12,OFFSET(CRONOPLE!$F$15,$M23-$A$15,AM$13)))</f>
        <v>0</v>
      </c>
      <c r="AN23" s="172">
        <f ca="1">IF(OR($D23&lt;&gt;"Serviço",AND(AUTOEVENTO="Manual",$M23=$A$15)),0,
         IF(OFFSET(CRONOPLE!$F$15,$M23-$A$15,AN$13)=0,10^12,OFFSET(CRONOPLE!$F$15,$M23-$A$15,AN$13)))</f>
        <v>0</v>
      </c>
      <c r="AO23" s="172">
        <f ca="1">IF(OR($D23&lt;&gt;"Serviço",AND(AUTOEVENTO="Manual",$M23=$A$15)),0,
         IF(OFFSET(CRONOPLE!$F$15,$M23-$A$15,AO$13)=0,10^12,OFFSET(CRONOPLE!$F$15,$M23-$A$15,AO$13)))</f>
        <v>0</v>
      </c>
      <c r="AP23" s="172">
        <f ca="1">IF(OR($D23&lt;&gt;"Serviço",AND(AUTOEVENTO="Manual",$M23=$A$15)),0,
         IF(OFFSET(CRONOPLE!$F$15,$M23-$A$15,AP$13)=0,10^12,OFFSET(CRONOPLE!$F$15,$M23-$A$15,AP$13)))</f>
        <v>0</v>
      </c>
      <c r="AQ23" s="172">
        <f ca="1">IF(OR($D23&lt;&gt;"Serviço",AND(AUTOEVENTO="Manual",$M23=$A$15)),0,
         IF(OFFSET(CRONOPLE!$F$15,$M23-$A$15,AQ$13)=0,10^12,OFFSET(CRONOPLE!$F$15,$M23-$A$15,AQ$13)))</f>
        <v>0</v>
      </c>
      <c r="AR23" s="172">
        <f ca="1">IF(OR($D23&lt;&gt;"Serviço",AND(AUTOEVENTO="Manual",$M23=$A$15)),0,
         IF(OFFSET(CRONOPLE!$F$15,$M23-$A$15,AR$13)=0,10^12,OFFSET(CRONOPLE!$F$15,$M23-$A$15,AR$13)))</f>
        <v>0</v>
      </c>
      <c r="AS23" s="172">
        <f ca="1">IF(OR($D23&lt;&gt;"Serviço",AND(AUTOEVENTO="Manual",$M23=$A$15)),0,
         IF(OFFSET(CRONOPLE!$F$15,$M23-$A$15,AS$13)=0,10^12,OFFSET(CRONOPLE!$F$15,$M23-$A$15,AS$13)))</f>
        <v>0</v>
      </c>
      <c r="AT23" s="172">
        <f ca="1">IF(OR($D23&lt;&gt;"Serviço",AND(AUTOEVENTO="Manual",$M23=$A$15)),0,
         IF(OFFSET(CRONOPLE!$F$15,$M23-$A$15,AT$13)=0,10^12,OFFSET(CRONOPLE!$F$15,$M23-$A$15,AT$13)))</f>
        <v>0</v>
      </c>
      <c r="AU23" s="172">
        <f ca="1">IF(OR($D23&lt;&gt;"Serviço",AND(AUTOEVENTO="Manual",$M23=$A$15)),0,
         IF(OFFSET(CRONOPLE!$F$15,$M23-$A$15,AU$13)=0,10^12,OFFSET(CRONOPLE!$F$15,$M23-$A$15,AU$13)))</f>
        <v>0</v>
      </c>
      <c r="AV23" s="172">
        <f ca="1">IF(OR($D23&lt;&gt;"Serviço",AND(AUTOEVENTO="Manual",$M23=$A$15)),0,
         IF(OFFSET(CRONOPLE!$F$15,$M23-$A$15,AV$13)=0,10^12,OFFSET(CRONOPLE!$F$15,$M23-$A$15,AV$13)))</f>
        <v>0</v>
      </c>
      <c r="AX23" s="173">
        <f ca="1">IF(OR($D23&lt;&gt;"Serviço",AND(AUTOEVENTO="Manual",$M23=$A$15),$M23&gt;(ROW(PLE.lastrow)-ROW(PLE.firstrow))),0,
           IF(OFFSET(PLE!$G$15,$M23-$A$15,AX$13)="",10^12,OFFSET(PLE!$G$15,$M23-$A$15,AX$13)))</f>
        <v>0</v>
      </c>
      <c r="AY23" s="173">
        <f ca="1">IF(OR($D23&lt;&gt;"Serviço",AND(AUTOEVENTO="Manual",$M23=$A$15),$M23&gt;(ROW(PLE.lastrow)-ROW(PLE.firstrow))),0,
           IF(OFFSET(PLE!$G$15,$M23-$A$15,AY$13)="",10^12,OFFSET(PLE!$G$15,$M23-$A$15,AY$13)))</f>
        <v>0</v>
      </c>
      <c r="AZ23" s="173">
        <f ca="1">IF(OR($D23&lt;&gt;"Serviço",AND(AUTOEVENTO="Manual",$M23=$A$15),$M23&gt;(ROW(PLE.lastrow)-ROW(PLE.firstrow))),0,
           IF(OFFSET(PLE!$G$15,$M23-$A$15,AZ$13)="",10^12,OFFSET(PLE!$G$15,$M23-$A$15,AZ$13)))</f>
        <v>0</v>
      </c>
      <c r="BA23" s="173">
        <f ca="1">IF(OR($D23&lt;&gt;"Serviço",AND(AUTOEVENTO="Manual",$M23=$A$15),$M23&gt;(ROW(PLE.lastrow)-ROW(PLE.firstrow))),0,
           IF(OFFSET(PLE!$G$15,$M23-$A$15,BA$13)="",10^12,OFFSET(PLE!$G$15,$M23-$A$15,BA$13)))</f>
        <v>0</v>
      </c>
      <c r="BB23" s="173">
        <f ca="1">IF(OR($D23&lt;&gt;"Serviço",AND(AUTOEVENTO="Manual",$M23=$A$15),$M23&gt;(ROW(PLE.lastrow)-ROW(PLE.firstrow))),0,
           IF(OFFSET(PLE!$G$15,$M23-$A$15,BB$13)="",10^12,OFFSET(PLE!$G$15,$M23-$A$15,BB$13)))</f>
        <v>0</v>
      </c>
      <c r="BC23" s="173">
        <f ca="1">IF(OR($D23&lt;&gt;"Serviço",AND(AUTOEVENTO="Manual",$M23=$A$15),$M23&gt;(ROW(PLE.lastrow)-ROW(PLE.firstrow))),0,
           IF(OFFSET(PLE!$G$15,$M23-$A$15,BC$13)="",10^12,OFFSET(PLE!$G$15,$M23-$A$15,BC$13)))</f>
        <v>0</v>
      </c>
      <c r="BD23" s="173">
        <f ca="1">IF(OR($D23&lt;&gt;"Serviço",AND(AUTOEVENTO="Manual",$M23=$A$15),$M23&gt;(ROW(PLE.lastrow)-ROW(PLE.firstrow))),0,
           IF(OFFSET(PLE!$G$15,$M23-$A$15,BD$13)="",10^12,OFFSET(PLE!$G$15,$M23-$A$15,BD$13)))</f>
        <v>0</v>
      </c>
      <c r="BE23" s="173">
        <f ca="1">IF(OR($D23&lt;&gt;"Serviço",AND(AUTOEVENTO="Manual",$M23=$A$15),$M23&gt;(ROW(PLE.lastrow)-ROW(PLE.firstrow))),0,
           IF(OFFSET(PLE!$G$15,$M23-$A$15,BE$13)="",10^12,OFFSET(PLE!$G$15,$M23-$A$15,BE$13)))</f>
        <v>0</v>
      </c>
      <c r="BF23" s="173">
        <f ca="1">IF(OR($D23&lt;&gt;"Serviço",AND(AUTOEVENTO="Manual",$M23=$A$15),$M23&gt;(ROW(PLE.lastrow)-ROW(PLE.firstrow))),0,
           IF(OFFSET(PLE!$G$15,$M23-$A$15,BF$13)="",10^12,OFFSET(PLE!$G$15,$M23-$A$15,BF$13)))</f>
        <v>0</v>
      </c>
      <c r="BG23" s="173">
        <f ca="1">IF(OR($D23&lt;&gt;"Serviço",AND(AUTOEVENTO="Manual",$M23=$A$15),$M23&gt;(ROW(PLE.lastrow)-ROW(PLE.firstrow))),0,
           IF(OFFSET(PLE!$G$15,$M23-$A$15,BG$13)="",10^12,OFFSET(PLE!$G$15,$M23-$A$15,BG$13)))</f>
        <v>0</v>
      </c>
    </row>
    <row r="24" spans="1:59" s="675" customFormat="1" ht="25.5" x14ac:dyDescent="0.2">
      <c r="A24" s="671" t="str">
        <f t="shared" ca="1" si="9"/>
        <v>8</v>
      </c>
      <c r="B24" s="671" t="str">
        <f ca="1">OFFSET(ORÇAMENTO!C$15,ROW(B24)-ROW(B$15),0)</f>
        <v>S</v>
      </c>
      <c r="C24" s="671" t="str">
        <f ca="1">OFFSET(ORÇAMENTO!L$15,ROW(C24)-ROW(C$15),0)</f>
        <v/>
      </c>
      <c r="D24" s="117" t="str">
        <f ca="1">OFFSET(ORÇAMENTO!N$15,ROW(D24)-ROW(D$15),0)</f>
        <v>Serviço</v>
      </c>
      <c r="E24" s="118" t="str">
        <f ca="1">OFFSET(ORÇAMENTO!O$15,ROW(E24)-ROW(E$15),0)</f>
        <v>-</v>
      </c>
      <c r="F24" s="164" t="str">
        <f ca="1">OFFSET(ORÇAMENTO!R$15,ROW(F24)-ROW(F$15),0)</f>
        <v>(abra o arquivo 'Referência 09-2025.xlsm)</v>
      </c>
      <c r="G24" s="165" t="str">
        <f ca="1">IF($D24&lt;&gt;"Serviço","",OFFSET(ORÇAMENTO!S$15,ROW(G24)-ROW(G$15),0))</f>
        <v>-</v>
      </c>
      <c r="H24" s="123">
        <f ca="1">IF($D24&lt;&gt;"Serviço",0,IF(ACOMPANHAMENTO="BM",ROUND(OFFSET(ORÇAMENTO!AJ$15,ROW(H24)-ROW(H$15),0),15-13*ORÇAMENTO!$AF$7),SUMPRODUCT(($Q$1:$AA$1=1)*ROUND($Q24:$AA24,15-13*ORÇAMENTO!$AF$7))))</f>
        <v>1.2</v>
      </c>
      <c r="I24" s="469"/>
      <c r="J24" s="667" t="str">
        <f ca="1">IF(OR(B24&lt;&gt;"S",CÁLCULO.FrentesPreenchidas=0),"",IF(AND(ACOMPANHAMENTO="PLE",AUTOEVENTO="Manual",OR(H24&gt;0,ORÇAMENTO!AC24="QUANT."),OR(K24="",M24=0,N24="")),"►",IF(AND(ACOMPANHAMENTO="PLE",ORÇAMENTO!AC24="QUANT."),"►►",IF(AND(COUNTIF($P$11:$AA$11,"▼")=0,H24&gt;0,I24=""),"◄",""))))</f>
        <v/>
      </c>
      <c r="K24" s="668"/>
      <c r="L24" s="166" t="s">
        <v>765</v>
      </c>
      <c r="M24" s="167">
        <f ca="1">IF($D24&lt;&gt;"Serviço","",
          IF(AUTOEVENTO="manual",$A24,
                IF(ISERROR(MATCH($A24,$A$15:OFFSET($A24,-1,0),0)),MAX($M$15:OFFSET(M24,-1,0))+1,
                      INDEX($M$15:OFFSET(M24,-1,0),MATCH($A24,$A$15:OFFSET($A24,-1,0),0)))))</f>
        <v>2</v>
      </c>
      <c r="N24" s="168" t="str">
        <f ca="1">IF($D24&lt;&gt;"Serviço","",
         IF(AUTOEVENTO="Manual",
                IF($A24=0,"&lt;-- defina o número do agrupador",
                       OFFSET(EVENTOS!$D$15,$A24-$A$15,0)),
                OFFSET($F$15,$A24,0)))</f>
        <v>ASSENTAMENTO LINHA DE RECALQUE</v>
      </c>
      <c r="O24" s="169"/>
      <c r="Q24" s="169"/>
      <c r="R24" s="170"/>
      <c r="S24" s="170"/>
      <c r="T24" s="170"/>
      <c r="U24" s="170"/>
      <c r="V24" s="170"/>
      <c r="W24" s="170"/>
      <c r="X24" s="170"/>
      <c r="Y24" s="170"/>
      <c r="Z24" s="171"/>
      <c r="AB24" s="454">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4">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4">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4">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4">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4">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4">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4">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4">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4">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2">
        <f ca="1">IF(OR($D24&lt;&gt;"Serviço",AND(AUTOEVENTO="Manual",$M24=$A$15)),0,
         IF(OFFSET(CRONOPLE!$F$15,$M24-$A$15,AM$13)=0,10^12,OFFSET(CRONOPLE!$F$15,$M24-$A$15,AM$13)))</f>
        <v>1000000000000</v>
      </c>
      <c r="AN24" s="172">
        <f ca="1">IF(OR($D24&lt;&gt;"Serviço",AND(AUTOEVENTO="Manual",$M24=$A$15)),0,
         IF(OFFSET(CRONOPLE!$F$15,$M24-$A$15,AN$13)=0,10^12,OFFSET(CRONOPLE!$F$15,$M24-$A$15,AN$13)))</f>
        <v>1000000000000</v>
      </c>
      <c r="AO24" s="172">
        <f ca="1">IF(OR($D24&lt;&gt;"Serviço",AND(AUTOEVENTO="Manual",$M24=$A$15)),0,
         IF(OFFSET(CRONOPLE!$F$15,$M24-$A$15,AO$13)=0,10^12,OFFSET(CRONOPLE!$F$15,$M24-$A$15,AO$13)))</f>
        <v>1000000000000</v>
      </c>
      <c r="AP24" s="172">
        <f ca="1">IF(OR($D24&lt;&gt;"Serviço",AND(AUTOEVENTO="Manual",$M24=$A$15)),0,
         IF(OFFSET(CRONOPLE!$F$15,$M24-$A$15,AP$13)=0,10^12,OFFSET(CRONOPLE!$F$15,$M24-$A$15,AP$13)))</f>
        <v>1000000000000</v>
      </c>
      <c r="AQ24" s="172">
        <f ca="1">IF(OR($D24&lt;&gt;"Serviço",AND(AUTOEVENTO="Manual",$M24=$A$15)),0,
         IF(OFFSET(CRONOPLE!$F$15,$M24-$A$15,AQ$13)=0,10^12,OFFSET(CRONOPLE!$F$15,$M24-$A$15,AQ$13)))</f>
        <v>1000000000000</v>
      </c>
      <c r="AR24" s="172">
        <f ca="1">IF(OR($D24&lt;&gt;"Serviço",AND(AUTOEVENTO="Manual",$M24=$A$15)),0,
         IF(OFFSET(CRONOPLE!$F$15,$M24-$A$15,AR$13)=0,10^12,OFFSET(CRONOPLE!$F$15,$M24-$A$15,AR$13)))</f>
        <v>1000000000000</v>
      </c>
      <c r="AS24" s="172">
        <f ca="1">IF(OR($D24&lt;&gt;"Serviço",AND(AUTOEVENTO="Manual",$M24=$A$15)),0,
         IF(OFFSET(CRONOPLE!$F$15,$M24-$A$15,AS$13)=0,10^12,OFFSET(CRONOPLE!$F$15,$M24-$A$15,AS$13)))</f>
        <v>1000000000000</v>
      </c>
      <c r="AT24" s="172">
        <f ca="1">IF(OR($D24&lt;&gt;"Serviço",AND(AUTOEVENTO="Manual",$M24=$A$15)),0,
         IF(OFFSET(CRONOPLE!$F$15,$M24-$A$15,AT$13)=0,10^12,OFFSET(CRONOPLE!$F$15,$M24-$A$15,AT$13)))</f>
        <v>1000000000000</v>
      </c>
      <c r="AU24" s="172">
        <f ca="1">IF(OR($D24&lt;&gt;"Serviço",AND(AUTOEVENTO="Manual",$M24=$A$15)),0,
         IF(OFFSET(CRONOPLE!$F$15,$M24-$A$15,AU$13)=0,10^12,OFFSET(CRONOPLE!$F$15,$M24-$A$15,AU$13)))</f>
        <v>1000000000000</v>
      </c>
      <c r="AV24" s="172">
        <f ca="1">IF(OR($D24&lt;&gt;"Serviço",AND(AUTOEVENTO="Manual",$M24=$A$15)),0,
         IF(OFFSET(CRONOPLE!$F$15,$M24-$A$15,AV$13)=0,10^12,OFFSET(CRONOPLE!$F$15,$M24-$A$15,AV$13)))</f>
        <v>1000000000000</v>
      </c>
      <c r="AX24" s="173">
        <f ca="1">IF(OR($D24&lt;&gt;"Serviço",AND(AUTOEVENTO="Manual",$M24=$A$15),$M24&gt;(ROW(PLE.lastrow)-ROW(PLE.firstrow))),0,
           IF(OFFSET(PLE!$G$15,$M24-$A$15,AX$13)="",10^12,OFFSET(PLE!$G$15,$M24-$A$15,AX$13)))</f>
        <v>1000000000000</v>
      </c>
      <c r="AY24" s="173">
        <f ca="1">IF(OR($D24&lt;&gt;"Serviço",AND(AUTOEVENTO="Manual",$M24=$A$15),$M24&gt;(ROW(PLE.lastrow)-ROW(PLE.firstrow))),0,
           IF(OFFSET(PLE!$G$15,$M24-$A$15,AY$13)="",10^12,OFFSET(PLE!$G$15,$M24-$A$15,AY$13)))</f>
        <v>1000000000000</v>
      </c>
      <c r="AZ24" s="173">
        <f ca="1">IF(OR($D24&lt;&gt;"Serviço",AND(AUTOEVENTO="Manual",$M24=$A$15),$M24&gt;(ROW(PLE.lastrow)-ROW(PLE.firstrow))),0,
           IF(OFFSET(PLE!$G$15,$M24-$A$15,AZ$13)="",10^12,OFFSET(PLE!$G$15,$M24-$A$15,AZ$13)))</f>
        <v>1000000000000</v>
      </c>
      <c r="BA24" s="173">
        <f ca="1">IF(OR($D24&lt;&gt;"Serviço",AND(AUTOEVENTO="Manual",$M24=$A$15),$M24&gt;(ROW(PLE.lastrow)-ROW(PLE.firstrow))),0,
           IF(OFFSET(PLE!$G$15,$M24-$A$15,BA$13)="",10^12,OFFSET(PLE!$G$15,$M24-$A$15,BA$13)))</f>
        <v>1000000000000</v>
      </c>
      <c r="BB24" s="173">
        <f ca="1">IF(OR($D24&lt;&gt;"Serviço",AND(AUTOEVENTO="Manual",$M24=$A$15),$M24&gt;(ROW(PLE.lastrow)-ROW(PLE.firstrow))),0,
           IF(OFFSET(PLE!$G$15,$M24-$A$15,BB$13)="",10^12,OFFSET(PLE!$G$15,$M24-$A$15,BB$13)))</f>
        <v>1000000000000</v>
      </c>
      <c r="BC24" s="173">
        <f ca="1">IF(OR($D24&lt;&gt;"Serviço",AND(AUTOEVENTO="Manual",$M24=$A$15),$M24&gt;(ROW(PLE.lastrow)-ROW(PLE.firstrow))),0,
           IF(OFFSET(PLE!$G$15,$M24-$A$15,BC$13)="",10^12,OFFSET(PLE!$G$15,$M24-$A$15,BC$13)))</f>
        <v>1000000000000</v>
      </c>
      <c r="BD24" s="173">
        <f ca="1">IF(OR($D24&lt;&gt;"Serviço",AND(AUTOEVENTO="Manual",$M24=$A$15),$M24&gt;(ROW(PLE.lastrow)-ROW(PLE.firstrow))),0,
           IF(OFFSET(PLE!$G$15,$M24-$A$15,BD$13)="",10^12,OFFSET(PLE!$G$15,$M24-$A$15,BD$13)))</f>
        <v>1000000000000</v>
      </c>
      <c r="BE24" s="173">
        <f ca="1">IF(OR($D24&lt;&gt;"Serviço",AND(AUTOEVENTO="Manual",$M24=$A$15),$M24&gt;(ROW(PLE.lastrow)-ROW(PLE.firstrow))),0,
           IF(OFFSET(PLE!$G$15,$M24-$A$15,BE$13)="",10^12,OFFSET(PLE!$G$15,$M24-$A$15,BE$13)))</f>
        <v>1000000000000</v>
      </c>
      <c r="BF24" s="173">
        <f ca="1">IF(OR($D24&lt;&gt;"Serviço",AND(AUTOEVENTO="Manual",$M24=$A$15),$M24&gt;(ROW(PLE.lastrow)-ROW(PLE.firstrow))),0,
           IF(OFFSET(PLE!$G$15,$M24-$A$15,BF$13)="",10^12,OFFSET(PLE!$G$15,$M24-$A$15,BF$13)))</f>
        <v>1000000000000</v>
      </c>
      <c r="BG24" s="173">
        <f ca="1">IF(OR($D24&lt;&gt;"Serviço",AND(AUTOEVENTO="Manual",$M24=$A$15),$M24&gt;(ROW(PLE.lastrow)-ROW(PLE.firstrow))),0,
           IF(OFFSET(PLE!$G$15,$M24-$A$15,BG$13)="",10^12,OFFSET(PLE!$G$15,$M24-$A$15,BG$13)))</f>
        <v>1000000000000</v>
      </c>
    </row>
    <row r="25" spans="1:59" s="675" customFormat="1" ht="25.5" x14ac:dyDescent="0.2">
      <c r="A25" s="671" t="str">
        <f t="shared" ca="1" si="9"/>
        <v>8</v>
      </c>
      <c r="B25" s="671" t="str">
        <f ca="1">OFFSET(ORÇAMENTO!C$15,ROW(B25)-ROW(B$15),0)</f>
        <v>S</v>
      </c>
      <c r="C25" s="671" t="str">
        <f ca="1">OFFSET(ORÇAMENTO!L$15,ROW(C25)-ROW(C$15),0)</f>
        <v/>
      </c>
      <c r="D25" s="117" t="str">
        <f ca="1">OFFSET(ORÇAMENTO!N$15,ROW(D25)-ROW(D$15),0)</f>
        <v>Serviço</v>
      </c>
      <c r="E25" s="118" t="str">
        <f ca="1">OFFSET(ORÇAMENTO!O$15,ROW(E25)-ROW(E$15),0)</f>
        <v>-</v>
      </c>
      <c r="F25" s="164" t="str">
        <f ca="1">OFFSET(ORÇAMENTO!R$15,ROW(F25)-ROW(F$15),0)</f>
        <v>(abra o arquivo 'Referência 09-2025.xlsm)</v>
      </c>
      <c r="G25" s="165" t="str">
        <f ca="1">IF($D25&lt;&gt;"Serviço","",OFFSET(ORÇAMENTO!S$15,ROW(G25)-ROW(G$15),0))</f>
        <v>-</v>
      </c>
      <c r="H25" s="123">
        <f ca="1">IF($D25&lt;&gt;"Serviço",0,IF(ACOMPANHAMENTO="BM",ROUND(OFFSET(ORÇAMENTO!AJ$15,ROW(H25)-ROW(H$15),0),15-13*ORÇAMENTO!$AF$7),SUMPRODUCT(($Q$1:$AA$1=1)*ROUND($Q25:$AA25,15-13*ORÇAMENTO!$AF$7))))</f>
        <v>1327.75</v>
      </c>
      <c r="I25" s="469" t="s">
        <v>1146</v>
      </c>
      <c r="J25" s="667" t="str">
        <f ca="1">IF(OR(B25&lt;&gt;"S",CÁLCULO.FrentesPreenchidas=0),"",IF(AND(ACOMPANHAMENTO="PLE",AUTOEVENTO="Manual",OR(H25&gt;0,ORÇAMENTO!AC25="QUANT."),OR(K25="",M25=0,N25="")),"►",IF(AND(ACOMPANHAMENTO="PLE",ORÇAMENTO!AC25="QUANT."),"►►",IF(AND(COUNTIF($P$11:$AA$11,"▼")=0,H25&gt;0,I25=""),"◄",""))))</f>
        <v/>
      </c>
      <c r="K25" s="668"/>
      <c r="L25" s="166" t="s">
        <v>765</v>
      </c>
      <c r="M25" s="167">
        <f ca="1">IF($D25&lt;&gt;"Serviço","",
          IF(AUTOEVENTO="manual",$A25,
                IF(ISERROR(MATCH($A25,$A$15:OFFSET($A25,-1,0),0)),MAX($M$15:OFFSET(M25,-1,0))+1,
                      INDEX($M$15:OFFSET(M25,-1,0),MATCH($A25,$A$15:OFFSET($A25,-1,0),0)))))</f>
        <v>2</v>
      </c>
      <c r="N25" s="168" t="str">
        <f ca="1">IF($D25&lt;&gt;"Serviço","",
         IF(AUTOEVENTO="Manual",
                IF($A25=0,"&lt;-- defina o número do agrupador",
                       OFFSET(EVENTOS!$D$15,$A25-$A$15,0)),
                OFFSET($F$15,$A25,0)))</f>
        <v>ASSENTAMENTO LINHA DE RECALQUE</v>
      </c>
      <c r="O25" s="169"/>
      <c r="Q25" s="169"/>
      <c r="R25" s="170"/>
      <c r="S25" s="170"/>
      <c r="T25" s="170"/>
      <c r="U25" s="170"/>
      <c r="V25" s="170"/>
      <c r="W25" s="170"/>
      <c r="X25" s="170"/>
      <c r="Y25" s="170"/>
      <c r="Z25" s="171"/>
      <c r="AB25" s="454">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4">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4">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4">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4">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4">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4">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4">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4">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4">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2">
        <f ca="1">IF(OR($D25&lt;&gt;"Serviço",AND(AUTOEVENTO="Manual",$M25=$A$15)),0,
         IF(OFFSET(CRONOPLE!$F$15,$M25-$A$15,AM$13)=0,10^12,OFFSET(CRONOPLE!$F$15,$M25-$A$15,AM$13)))</f>
        <v>1000000000000</v>
      </c>
      <c r="AN25" s="172">
        <f ca="1">IF(OR($D25&lt;&gt;"Serviço",AND(AUTOEVENTO="Manual",$M25=$A$15)),0,
         IF(OFFSET(CRONOPLE!$F$15,$M25-$A$15,AN$13)=0,10^12,OFFSET(CRONOPLE!$F$15,$M25-$A$15,AN$13)))</f>
        <v>1000000000000</v>
      </c>
      <c r="AO25" s="172">
        <f ca="1">IF(OR($D25&lt;&gt;"Serviço",AND(AUTOEVENTO="Manual",$M25=$A$15)),0,
         IF(OFFSET(CRONOPLE!$F$15,$M25-$A$15,AO$13)=0,10^12,OFFSET(CRONOPLE!$F$15,$M25-$A$15,AO$13)))</f>
        <v>1000000000000</v>
      </c>
      <c r="AP25" s="172">
        <f ca="1">IF(OR($D25&lt;&gt;"Serviço",AND(AUTOEVENTO="Manual",$M25=$A$15)),0,
         IF(OFFSET(CRONOPLE!$F$15,$M25-$A$15,AP$13)=0,10^12,OFFSET(CRONOPLE!$F$15,$M25-$A$15,AP$13)))</f>
        <v>1000000000000</v>
      </c>
      <c r="AQ25" s="172">
        <f ca="1">IF(OR($D25&lt;&gt;"Serviço",AND(AUTOEVENTO="Manual",$M25=$A$15)),0,
         IF(OFFSET(CRONOPLE!$F$15,$M25-$A$15,AQ$13)=0,10^12,OFFSET(CRONOPLE!$F$15,$M25-$A$15,AQ$13)))</f>
        <v>1000000000000</v>
      </c>
      <c r="AR25" s="172">
        <f ca="1">IF(OR($D25&lt;&gt;"Serviço",AND(AUTOEVENTO="Manual",$M25=$A$15)),0,
         IF(OFFSET(CRONOPLE!$F$15,$M25-$A$15,AR$13)=0,10^12,OFFSET(CRONOPLE!$F$15,$M25-$A$15,AR$13)))</f>
        <v>1000000000000</v>
      </c>
      <c r="AS25" s="172">
        <f ca="1">IF(OR($D25&lt;&gt;"Serviço",AND(AUTOEVENTO="Manual",$M25=$A$15)),0,
         IF(OFFSET(CRONOPLE!$F$15,$M25-$A$15,AS$13)=0,10^12,OFFSET(CRONOPLE!$F$15,$M25-$A$15,AS$13)))</f>
        <v>1000000000000</v>
      </c>
      <c r="AT25" s="172">
        <f ca="1">IF(OR($D25&lt;&gt;"Serviço",AND(AUTOEVENTO="Manual",$M25=$A$15)),0,
         IF(OFFSET(CRONOPLE!$F$15,$M25-$A$15,AT$13)=0,10^12,OFFSET(CRONOPLE!$F$15,$M25-$A$15,AT$13)))</f>
        <v>1000000000000</v>
      </c>
      <c r="AU25" s="172">
        <f ca="1">IF(OR($D25&lt;&gt;"Serviço",AND(AUTOEVENTO="Manual",$M25=$A$15)),0,
         IF(OFFSET(CRONOPLE!$F$15,$M25-$A$15,AU$13)=0,10^12,OFFSET(CRONOPLE!$F$15,$M25-$A$15,AU$13)))</f>
        <v>1000000000000</v>
      </c>
      <c r="AV25" s="172">
        <f ca="1">IF(OR($D25&lt;&gt;"Serviço",AND(AUTOEVENTO="Manual",$M25=$A$15)),0,
         IF(OFFSET(CRONOPLE!$F$15,$M25-$A$15,AV$13)=0,10^12,OFFSET(CRONOPLE!$F$15,$M25-$A$15,AV$13)))</f>
        <v>1000000000000</v>
      </c>
      <c r="AX25" s="173">
        <f ca="1">IF(OR($D25&lt;&gt;"Serviço",AND(AUTOEVENTO="Manual",$M25=$A$15),$M25&gt;(ROW(PLE.lastrow)-ROW(PLE.firstrow))),0,
           IF(OFFSET(PLE!$G$15,$M25-$A$15,AX$13)="",10^12,OFFSET(PLE!$G$15,$M25-$A$15,AX$13)))</f>
        <v>1000000000000</v>
      </c>
      <c r="AY25" s="173">
        <f ca="1">IF(OR($D25&lt;&gt;"Serviço",AND(AUTOEVENTO="Manual",$M25=$A$15),$M25&gt;(ROW(PLE.lastrow)-ROW(PLE.firstrow))),0,
           IF(OFFSET(PLE!$G$15,$M25-$A$15,AY$13)="",10^12,OFFSET(PLE!$G$15,$M25-$A$15,AY$13)))</f>
        <v>1000000000000</v>
      </c>
      <c r="AZ25" s="173">
        <f ca="1">IF(OR($D25&lt;&gt;"Serviço",AND(AUTOEVENTO="Manual",$M25=$A$15),$M25&gt;(ROW(PLE.lastrow)-ROW(PLE.firstrow))),0,
           IF(OFFSET(PLE!$G$15,$M25-$A$15,AZ$13)="",10^12,OFFSET(PLE!$G$15,$M25-$A$15,AZ$13)))</f>
        <v>1000000000000</v>
      </c>
      <c r="BA25" s="173">
        <f ca="1">IF(OR($D25&lt;&gt;"Serviço",AND(AUTOEVENTO="Manual",$M25=$A$15),$M25&gt;(ROW(PLE.lastrow)-ROW(PLE.firstrow))),0,
           IF(OFFSET(PLE!$G$15,$M25-$A$15,BA$13)="",10^12,OFFSET(PLE!$G$15,$M25-$A$15,BA$13)))</f>
        <v>1000000000000</v>
      </c>
      <c r="BB25" s="173">
        <f ca="1">IF(OR($D25&lt;&gt;"Serviço",AND(AUTOEVENTO="Manual",$M25=$A$15),$M25&gt;(ROW(PLE.lastrow)-ROW(PLE.firstrow))),0,
           IF(OFFSET(PLE!$G$15,$M25-$A$15,BB$13)="",10^12,OFFSET(PLE!$G$15,$M25-$A$15,BB$13)))</f>
        <v>1000000000000</v>
      </c>
      <c r="BC25" s="173">
        <f ca="1">IF(OR($D25&lt;&gt;"Serviço",AND(AUTOEVENTO="Manual",$M25=$A$15),$M25&gt;(ROW(PLE.lastrow)-ROW(PLE.firstrow))),0,
           IF(OFFSET(PLE!$G$15,$M25-$A$15,BC$13)="",10^12,OFFSET(PLE!$G$15,$M25-$A$15,BC$13)))</f>
        <v>1000000000000</v>
      </c>
      <c r="BD25" s="173">
        <f ca="1">IF(OR($D25&lt;&gt;"Serviço",AND(AUTOEVENTO="Manual",$M25=$A$15),$M25&gt;(ROW(PLE.lastrow)-ROW(PLE.firstrow))),0,
           IF(OFFSET(PLE!$G$15,$M25-$A$15,BD$13)="",10^12,OFFSET(PLE!$G$15,$M25-$A$15,BD$13)))</f>
        <v>1000000000000</v>
      </c>
      <c r="BE25" s="173">
        <f ca="1">IF(OR($D25&lt;&gt;"Serviço",AND(AUTOEVENTO="Manual",$M25=$A$15),$M25&gt;(ROW(PLE.lastrow)-ROW(PLE.firstrow))),0,
           IF(OFFSET(PLE!$G$15,$M25-$A$15,BE$13)="",10^12,OFFSET(PLE!$G$15,$M25-$A$15,BE$13)))</f>
        <v>1000000000000</v>
      </c>
      <c r="BF25" s="173">
        <f ca="1">IF(OR($D25&lt;&gt;"Serviço",AND(AUTOEVENTO="Manual",$M25=$A$15),$M25&gt;(ROW(PLE.lastrow)-ROW(PLE.firstrow))),0,
           IF(OFFSET(PLE!$G$15,$M25-$A$15,BF$13)="",10^12,OFFSET(PLE!$G$15,$M25-$A$15,BF$13)))</f>
        <v>1000000000000</v>
      </c>
      <c r="BG25" s="173">
        <f ca="1">IF(OR($D25&lt;&gt;"Serviço",AND(AUTOEVENTO="Manual",$M25=$A$15),$M25&gt;(ROW(PLE.lastrow)-ROW(PLE.firstrow))),0,
           IF(OFFSET(PLE!$G$15,$M25-$A$15,BG$13)="",10^12,OFFSET(PLE!$G$15,$M25-$A$15,BG$13)))</f>
        <v>1000000000000</v>
      </c>
    </row>
    <row r="26" spans="1:59" s="720" customFormat="1" ht="38.25" x14ac:dyDescent="0.2">
      <c r="A26" s="718" t="str">
        <f t="shared" ca="1" si="9"/>
        <v>8</v>
      </c>
      <c r="B26" s="718" t="str">
        <f ca="1">OFFSET(ORÇAMENTO!C$15,ROW(B26)-ROW(B$15),0)</f>
        <v>S</v>
      </c>
      <c r="C26" s="718" t="str">
        <f ca="1">OFFSET(ORÇAMENTO!L$15,ROW(C26)-ROW(C$15),0)</f>
        <v/>
      </c>
      <c r="D26" s="117" t="str">
        <f ca="1">OFFSET(ORÇAMENTO!N$15,ROW(D26)-ROW(D$15),0)</f>
        <v>Serviço</v>
      </c>
      <c r="E26" s="118" t="str">
        <f ca="1">OFFSET(ORÇAMENTO!O$15,ROW(E26)-ROW(E$15),0)</f>
        <v>-</v>
      </c>
      <c r="F26" s="164" t="str">
        <f ca="1">OFFSET(ORÇAMENTO!R$15,ROW(F26)-ROW(F$15),0)</f>
        <v>(abra o arquivo 'Referência 09-2025.xlsm)</v>
      </c>
      <c r="G26" s="165" t="str">
        <f ca="1">IF($D26&lt;&gt;"Serviço","",OFFSET(ORÇAMENTO!S$15,ROW(G26)-ROW(G$15),0))</f>
        <v>-</v>
      </c>
      <c r="H26" s="123">
        <f ca="1">IF($D26&lt;&gt;"Serviço",0,IF(ACOMPANHAMENTO="BM",ROUND(OFFSET(ORÇAMENTO!AJ$15,ROW(H26)-ROW(H$15),0),15-13*ORÇAMENTO!$AF$7),SUMPRODUCT(($Q$1:$AA$1=1)*ROUND($Q26:$AA26,15-13*ORÇAMENTO!$AF$7))))</f>
        <v>2</v>
      </c>
      <c r="I26" s="469" t="s">
        <v>1153</v>
      </c>
      <c r="J26" s="667" t="str">
        <f ca="1">IF(OR(B26&lt;&gt;"S",CÁLCULO.FrentesPreenchidas=0),"",IF(AND(ACOMPANHAMENTO="PLE",AUTOEVENTO="Manual",OR(H26&gt;0,ORÇAMENTO!AC26="QUANT."),OR(K26="",M26=0,N26="")),"►",IF(AND(ACOMPANHAMENTO="PLE",ORÇAMENTO!AC26="QUANT."),"►►",IF(AND(COUNTIF($P$11:$AA$11,"▼")=0,H26&gt;0,I26=""),"◄",""))))</f>
        <v/>
      </c>
      <c r="K26" s="668"/>
      <c r="L26" s="166" t="s">
        <v>765</v>
      </c>
      <c r="M26" s="167">
        <f ca="1">IF($D26&lt;&gt;"Serviço","",
          IF(AUTOEVENTO="manual",$A26,
                IF(ISERROR(MATCH($A26,$A$15:OFFSET($A26,-1,0),0)),MAX($M$15:OFFSET(M26,-1,0))+1,
                      INDEX($M$15:OFFSET(M26,-1,0),MATCH($A26,$A$15:OFFSET($A26,-1,0),0)))))</f>
        <v>2</v>
      </c>
      <c r="N26" s="168" t="str">
        <f ca="1">IF($D26&lt;&gt;"Serviço","",
         IF(AUTOEVENTO="Manual",
                IF($A26=0,"&lt;-- defina o número do agrupador",
                       OFFSET(EVENTOS!$D$15,$A26-$A$15,0)),
                OFFSET($F$15,$A26,0)))</f>
        <v>ASSENTAMENTO LINHA DE RECALQUE</v>
      </c>
      <c r="O26" s="169"/>
      <c r="Q26" s="169"/>
      <c r="R26" s="170"/>
      <c r="S26" s="170"/>
      <c r="T26" s="170"/>
      <c r="U26" s="170"/>
      <c r="V26" s="170"/>
      <c r="W26" s="170"/>
      <c r="X26" s="170"/>
      <c r="Y26" s="170"/>
      <c r="Z26" s="171"/>
      <c r="AB26" s="454">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4">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4">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4">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4">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4">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4">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4">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4">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4">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2">
        <f ca="1">IF(OR($D26&lt;&gt;"Serviço",AND(AUTOEVENTO="Manual",$M26=$A$15)),0,
         IF(OFFSET(CRONOPLE!$F$15,$M26-$A$15,AM$13)=0,10^12,OFFSET(CRONOPLE!$F$15,$M26-$A$15,AM$13)))</f>
        <v>1000000000000</v>
      </c>
      <c r="AN26" s="172">
        <f ca="1">IF(OR($D26&lt;&gt;"Serviço",AND(AUTOEVENTO="Manual",$M26=$A$15)),0,
         IF(OFFSET(CRONOPLE!$F$15,$M26-$A$15,AN$13)=0,10^12,OFFSET(CRONOPLE!$F$15,$M26-$A$15,AN$13)))</f>
        <v>1000000000000</v>
      </c>
      <c r="AO26" s="172">
        <f ca="1">IF(OR($D26&lt;&gt;"Serviço",AND(AUTOEVENTO="Manual",$M26=$A$15)),0,
         IF(OFFSET(CRONOPLE!$F$15,$M26-$A$15,AO$13)=0,10^12,OFFSET(CRONOPLE!$F$15,$M26-$A$15,AO$13)))</f>
        <v>1000000000000</v>
      </c>
      <c r="AP26" s="172">
        <f ca="1">IF(OR($D26&lt;&gt;"Serviço",AND(AUTOEVENTO="Manual",$M26=$A$15)),0,
         IF(OFFSET(CRONOPLE!$F$15,$M26-$A$15,AP$13)=0,10^12,OFFSET(CRONOPLE!$F$15,$M26-$A$15,AP$13)))</f>
        <v>1000000000000</v>
      </c>
      <c r="AQ26" s="172">
        <f ca="1">IF(OR($D26&lt;&gt;"Serviço",AND(AUTOEVENTO="Manual",$M26=$A$15)),0,
         IF(OFFSET(CRONOPLE!$F$15,$M26-$A$15,AQ$13)=0,10^12,OFFSET(CRONOPLE!$F$15,$M26-$A$15,AQ$13)))</f>
        <v>1000000000000</v>
      </c>
      <c r="AR26" s="172">
        <f ca="1">IF(OR($D26&lt;&gt;"Serviço",AND(AUTOEVENTO="Manual",$M26=$A$15)),0,
         IF(OFFSET(CRONOPLE!$F$15,$M26-$A$15,AR$13)=0,10^12,OFFSET(CRONOPLE!$F$15,$M26-$A$15,AR$13)))</f>
        <v>1000000000000</v>
      </c>
      <c r="AS26" s="172">
        <f ca="1">IF(OR($D26&lt;&gt;"Serviço",AND(AUTOEVENTO="Manual",$M26=$A$15)),0,
         IF(OFFSET(CRONOPLE!$F$15,$M26-$A$15,AS$13)=0,10^12,OFFSET(CRONOPLE!$F$15,$M26-$A$15,AS$13)))</f>
        <v>1000000000000</v>
      </c>
      <c r="AT26" s="172">
        <f ca="1">IF(OR($D26&lt;&gt;"Serviço",AND(AUTOEVENTO="Manual",$M26=$A$15)),0,
         IF(OFFSET(CRONOPLE!$F$15,$M26-$A$15,AT$13)=0,10^12,OFFSET(CRONOPLE!$F$15,$M26-$A$15,AT$13)))</f>
        <v>1000000000000</v>
      </c>
      <c r="AU26" s="172">
        <f ca="1">IF(OR($D26&lt;&gt;"Serviço",AND(AUTOEVENTO="Manual",$M26=$A$15)),0,
         IF(OFFSET(CRONOPLE!$F$15,$M26-$A$15,AU$13)=0,10^12,OFFSET(CRONOPLE!$F$15,$M26-$A$15,AU$13)))</f>
        <v>1000000000000</v>
      </c>
      <c r="AV26" s="172">
        <f ca="1">IF(OR($D26&lt;&gt;"Serviço",AND(AUTOEVENTO="Manual",$M26=$A$15)),0,
         IF(OFFSET(CRONOPLE!$F$15,$M26-$A$15,AV$13)=0,10^12,OFFSET(CRONOPLE!$F$15,$M26-$A$15,AV$13)))</f>
        <v>1000000000000</v>
      </c>
      <c r="AX26" s="173">
        <f ca="1">IF(OR($D26&lt;&gt;"Serviço",AND(AUTOEVENTO="Manual",$M26=$A$15),$M26&gt;(ROW(PLE.lastrow)-ROW(PLE.firstrow))),0,
           IF(OFFSET(PLE!$G$15,$M26-$A$15,AX$13)="",10^12,OFFSET(PLE!$G$15,$M26-$A$15,AX$13)))</f>
        <v>1000000000000</v>
      </c>
      <c r="AY26" s="173">
        <f ca="1">IF(OR($D26&lt;&gt;"Serviço",AND(AUTOEVENTO="Manual",$M26=$A$15),$M26&gt;(ROW(PLE.lastrow)-ROW(PLE.firstrow))),0,
           IF(OFFSET(PLE!$G$15,$M26-$A$15,AY$13)="",10^12,OFFSET(PLE!$G$15,$M26-$A$15,AY$13)))</f>
        <v>1000000000000</v>
      </c>
      <c r="AZ26" s="173">
        <f ca="1">IF(OR($D26&lt;&gt;"Serviço",AND(AUTOEVENTO="Manual",$M26=$A$15),$M26&gt;(ROW(PLE.lastrow)-ROW(PLE.firstrow))),0,
           IF(OFFSET(PLE!$G$15,$M26-$A$15,AZ$13)="",10^12,OFFSET(PLE!$G$15,$M26-$A$15,AZ$13)))</f>
        <v>1000000000000</v>
      </c>
      <c r="BA26" s="173">
        <f ca="1">IF(OR($D26&lt;&gt;"Serviço",AND(AUTOEVENTO="Manual",$M26=$A$15),$M26&gt;(ROW(PLE.lastrow)-ROW(PLE.firstrow))),0,
           IF(OFFSET(PLE!$G$15,$M26-$A$15,BA$13)="",10^12,OFFSET(PLE!$G$15,$M26-$A$15,BA$13)))</f>
        <v>1000000000000</v>
      </c>
      <c r="BB26" s="173">
        <f ca="1">IF(OR($D26&lt;&gt;"Serviço",AND(AUTOEVENTO="Manual",$M26=$A$15),$M26&gt;(ROW(PLE.lastrow)-ROW(PLE.firstrow))),0,
           IF(OFFSET(PLE!$G$15,$M26-$A$15,BB$13)="",10^12,OFFSET(PLE!$G$15,$M26-$A$15,BB$13)))</f>
        <v>1000000000000</v>
      </c>
      <c r="BC26" s="173">
        <f ca="1">IF(OR($D26&lt;&gt;"Serviço",AND(AUTOEVENTO="Manual",$M26=$A$15),$M26&gt;(ROW(PLE.lastrow)-ROW(PLE.firstrow))),0,
           IF(OFFSET(PLE!$G$15,$M26-$A$15,BC$13)="",10^12,OFFSET(PLE!$G$15,$M26-$A$15,BC$13)))</f>
        <v>1000000000000</v>
      </c>
      <c r="BD26" s="173">
        <f ca="1">IF(OR($D26&lt;&gt;"Serviço",AND(AUTOEVENTO="Manual",$M26=$A$15),$M26&gt;(ROW(PLE.lastrow)-ROW(PLE.firstrow))),0,
           IF(OFFSET(PLE!$G$15,$M26-$A$15,BD$13)="",10^12,OFFSET(PLE!$G$15,$M26-$A$15,BD$13)))</f>
        <v>1000000000000</v>
      </c>
      <c r="BE26" s="173">
        <f ca="1">IF(OR($D26&lt;&gt;"Serviço",AND(AUTOEVENTO="Manual",$M26=$A$15),$M26&gt;(ROW(PLE.lastrow)-ROW(PLE.firstrow))),0,
           IF(OFFSET(PLE!$G$15,$M26-$A$15,BE$13)="",10^12,OFFSET(PLE!$G$15,$M26-$A$15,BE$13)))</f>
        <v>1000000000000</v>
      </c>
      <c r="BF26" s="173">
        <f ca="1">IF(OR($D26&lt;&gt;"Serviço",AND(AUTOEVENTO="Manual",$M26=$A$15),$M26&gt;(ROW(PLE.lastrow)-ROW(PLE.firstrow))),0,
           IF(OFFSET(PLE!$G$15,$M26-$A$15,BF$13)="",10^12,OFFSET(PLE!$G$15,$M26-$A$15,BF$13)))</f>
        <v>1000000000000</v>
      </c>
      <c r="BG26" s="173">
        <f ca="1">IF(OR($D26&lt;&gt;"Serviço",AND(AUTOEVENTO="Manual",$M26=$A$15),$M26&gt;(ROW(PLE.lastrow)-ROW(PLE.firstrow))),0,
           IF(OFFSET(PLE!$G$15,$M26-$A$15,BG$13)="",10^12,OFFSET(PLE!$G$15,$M26-$A$15,BG$13)))</f>
        <v>1000000000000</v>
      </c>
    </row>
    <row r="27" spans="1:59" s="720" customFormat="1" ht="38.25" x14ac:dyDescent="0.2">
      <c r="A27" s="718" t="str">
        <f t="shared" ca="1" si="9"/>
        <v>8</v>
      </c>
      <c r="B27" s="718" t="str">
        <f ca="1">OFFSET(ORÇAMENTO!C$15,ROW(B27)-ROW(B$15),0)</f>
        <v>S</v>
      </c>
      <c r="C27" s="718" t="str">
        <f ca="1">OFFSET(ORÇAMENTO!L$15,ROW(C27)-ROW(C$15),0)</f>
        <v/>
      </c>
      <c r="D27" s="117" t="str">
        <f ca="1">OFFSET(ORÇAMENTO!N$15,ROW(D27)-ROW(D$15),0)</f>
        <v>Serviço</v>
      </c>
      <c r="E27" s="118" t="str">
        <f ca="1">OFFSET(ORÇAMENTO!O$15,ROW(E27)-ROW(E$15),0)</f>
        <v>-</v>
      </c>
      <c r="F27" s="164" t="str">
        <f ca="1">OFFSET(ORÇAMENTO!R$15,ROW(F27)-ROW(F$15),0)</f>
        <v>(abra o arquivo 'Referência 09-2025.xlsm)</v>
      </c>
      <c r="G27" s="165" t="str">
        <f ca="1">IF($D27&lt;&gt;"Serviço","",OFFSET(ORÇAMENTO!S$15,ROW(G27)-ROW(G$15),0))</f>
        <v>-</v>
      </c>
      <c r="H27" s="123">
        <f ca="1">IF($D27&lt;&gt;"Serviço",0,IF(ACOMPANHAMENTO="BM",ROUND(OFFSET(ORÇAMENTO!AJ$15,ROW(H27)-ROW(H$15),0),15-13*ORÇAMENTO!$AF$7),SUMPRODUCT(($Q$1:$AA$1=1)*ROUND($Q27:$AA27,15-13*ORÇAMENTO!$AF$7))))</f>
        <v>30</v>
      </c>
      <c r="I27" s="469" t="s">
        <v>1178</v>
      </c>
      <c r="J27" s="667" t="str">
        <f ca="1">IF(OR(B27&lt;&gt;"S",CÁLCULO.FrentesPreenchidas=0),"",IF(AND(ACOMPANHAMENTO="PLE",AUTOEVENTO="Manual",OR(H27&gt;0,ORÇAMENTO!AC27="QUANT."),OR(K27="",M27=0,N27="")),"►",IF(AND(ACOMPANHAMENTO="PLE",ORÇAMENTO!AC27="QUANT."),"►►",IF(AND(COUNTIF($P$11:$AA$11,"▼")=0,H27&gt;0,I27=""),"◄",""))))</f>
        <v/>
      </c>
      <c r="K27" s="668"/>
      <c r="L27" s="166" t="s">
        <v>765</v>
      </c>
      <c r="M27" s="167">
        <f ca="1">IF($D27&lt;&gt;"Serviço","",
          IF(AUTOEVENTO="manual",$A27,
                IF(ISERROR(MATCH($A27,$A$15:OFFSET($A27,-1,0),0)),MAX($M$15:OFFSET(M27,-1,0))+1,
                      INDEX($M$15:OFFSET(M27,-1,0),MATCH($A27,$A$15:OFFSET($A27,-1,0),0)))))</f>
        <v>2</v>
      </c>
      <c r="N27" s="168" t="str">
        <f ca="1">IF($D27&lt;&gt;"Serviço","",
         IF(AUTOEVENTO="Manual",
                IF($A27=0,"&lt;-- defina o número do agrupador",
                       OFFSET(EVENTOS!$D$15,$A27-$A$15,0)),
                OFFSET($F$15,$A27,0)))</f>
        <v>ASSENTAMENTO LINHA DE RECALQUE</v>
      </c>
      <c r="O27" s="169"/>
      <c r="Q27" s="169"/>
      <c r="R27" s="170"/>
      <c r="S27" s="170"/>
      <c r="T27" s="170"/>
      <c r="U27" s="170"/>
      <c r="V27" s="170"/>
      <c r="W27" s="170"/>
      <c r="X27" s="170"/>
      <c r="Y27" s="170"/>
      <c r="Z27" s="171"/>
      <c r="AB27" s="454">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4">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4">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4">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4">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4">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4">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4">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4">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4">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2">
        <f ca="1">IF(OR($D27&lt;&gt;"Serviço",AND(AUTOEVENTO="Manual",$M27=$A$15)),0,
         IF(OFFSET(CRONOPLE!$F$15,$M27-$A$15,AM$13)=0,10^12,OFFSET(CRONOPLE!$F$15,$M27-$A$15,AM$13)))</f>
        <v>1000000000000</v>
      </c>
      <c r="AN27" s="172">
        <f ca="1">IF(OR($D27&lt;&gt;"Serviço",AND(AUTOEVENTO="Manual",$M27=$A$15)),0,
         IF(OFFSET(CRONOPLE!$F$15,$M27-$A$15,AN$13)=0,10^12,OFFSET(CRONOPLE!$F$15,$M27-$A$15,AN$13)))</f>
        <v>1000000000000</v>
      </c>
      <c r="AO27" s="172">
        <f ca="1">IF(OR($D27&lt;&gt;"Serviço",AND(AUTOEVENTO="Manual",$M27=$A$15)),0,
         IF(OFFSET(CRONOPLE!$F$15,$M27-$A$15,AO$13)=0,10^12,OFFSET(CRONOPLE!$F$15,$M27-$A$15,AO$13)))</f>
        <v>1000000000000</v>
      </c>
      <c r="AP27" s="172">
        <f ca="1">IF(OR($D27&lt;&gt;"Serviço",AND(AUTOEVENTO="Manual",$M27=$A$15)),0,
         IF(OFFSET(CRONOPLE!$F$15,$M27-$A$15,AP$13)=0,10^12,OFFSET(CRONOPLE!$F$15,$M27-$A$15,AP$13)))</f>
        <v>1000000000000</v>
      </c>
      <c r="AQ27" s="172">
        <f ca="1">IF(OR($D27&lt;&gt;"Serviço",AND(AUTOEVENTO="Manual",$M27=$A$15)),0,
         IF(OFFSET(CRONOPLE!$F$15,$M27-$A$15,AQ$13)=0,10^12,OFFSET(CRONOPLE!$F$15,$M27-$A$15,AQ$13)))</f>
        <v>1000000000000</v>
      </c>
      <c r="AR27" s="172">
        <f ca="1">IF(OR($D27&lt;&gt;"Serviço",AND(AUTOEVENTO="Manual",$M27=$A$15)),0,
         IF(OFFSET(CRONOPLE!$F$15,$M27-$A$15,AR$13)=0,10^12,OFFSET(CRONOPLE!$F$15,$M27-$A$15,AR$13)))</f>
        <v>1000000000000</v>
      </c>
      <c r="AS27" s="172">
        <f ca="1">IF(OR($D27&lt;&gt;"Serviço",AND(AUTOEVENTO="Manual",$M27=$A$15)),0,
         IF(OFFSET(CRONOPLE!$F$15,$M27-$A$15,AS$13)=0,10^12,OFFSET(CRONOPLE!$F$15,$M27-$A$15,AS$13)))</f>
        <v>1000000000000</v>
      </c>
      <c r="AT27" s="172">
        <f ca="1">IF(OR($D27&lt;&gt;"Serviço",AND(AUTOEVENTO="Manual",$M27=$A$15)),0,
         IF(OFFSET(CRONOPLE!$F$15,$M27-$A$15,AT$13)=0,10^12,OFFSET(CRONOPLE!$F$15,$M27-$A$15,AT$13)))</f>
        <v>1000000000000</v>
      </c>
      <c r="AU27" s="172">
        <f ca="1">IF(OR($D27&lt;&gt;"Serviço",AND(AUTOEVENTO="Manual",$M27=$A$15)),0,
         IF(OFFSET(CRONOPLE!$F$15,$M27-$A$15,AU$13)=0,10^12,OFFSET(CRONOPLE!$F$15,$M27-$A$15,AU$13)))</f>
        <v>1000000000000</v>
      </c>
      <c r="AV27" s="172">
        <f ca="1">IF(OR($D27&lt;&gt;"Serviço",AND(AUTOEVENTO="Manual",$M27=$A$15)),0,
         IF(OFFSET(CRONOPLE!$F$15,$M27-$A$15,AV$13)=0,10^12,OFFSET(CRONOPLE!$F$15,$M27-$A$15,AV$13)))</f>
        <v>1000000000000</v>
      </c>
      <c r="AX27" s="173">
        <f ca="1">IF(OR($D27&lt;&gt;"Serviço",AND(AUTOEVENTO="Manual",$M27=$A$15),$M27&gt;(ROW(PLE.lastrow)-ROW(PLE.firstrow))),0,
           IF(OFFSET(PLE!$G$15,$M27-$A$15,AX$13)="",10^12,OFFSET(PLE!$G$15,$M27-$A$15,AX$13)))</f>
        <v>1000000000000</v>
      </c>
      <c r="AY27" s="173">
        <f ca="1">IF(OR($D27&lt;&gt;"Serviço",AND(AUTOEVENTO="Manual",$M27=$A$15),$M27&gt;(ROW(PLE.lastrow)-ROW(PLE.firstrow))),0,
           IF(OFFSET(PLE!$G$15,$M27-$A$15,AY$13)="",10^12,OFFSET(PLE!$G$15,$M27-$A$15,AY$13)))</f>
        <v>1000000000000</v>
      </c>
      <c r="AZ27" s="173">
        <f ca="1">IF(OR($D27&lt;&gt;"Serviço",AND(AUTOEVENTO="Manual",$M27=$A$15),$M27&gt;(ROW(PLE.lastrow)-ROW(PLE.firstrow))),0,
           IF(OFFSET(PLE!$G$15,$M27-$A$15,AZ$13)="",10^12,OFFSET(PLE!$G$15,$M27-$A$15,AZ$13)))</f>
        <v>1000000000000</v>
      </c>
      <c r="BA27" s="173">
        <f ca="1">IF(OR($D27&lt;&gt;"Serviço",AND(AUTOEVENTO="Manual",$M27=$A$15),$M27&gt;(ROW(PLE.lastrow)-ROW(PLE.firstrow))),0,
           IF(OFFSET(PLE!$G$15,$M27-$A$15,BA$13)="",10^12,OFFSET(PLE!$G$15,$M27-$A$15,BA$13)))</f>
        <v>1000000000000</v>
      </c>
      <c r="BB27" s="173">
        <f ca="1">IF(OR($D27&lt;&gt;"Serviço",AND(AUTOEVENTO="Manual",$M27=$A$15),$M27&gt;(ROW(PLE.lastrow)-ROW(PLE.firstrow))),0,
           IF(OFFSET(PLE!$G$15,$M27-$A$15,BB$13)="",10^12,OFFSET(PLE!$G$15,$M27-$A$15,BB$13)))</f>
        <v>1000000000000</v>
      </c>
      <c r="BC27" s="173">
        <f ca="1">IF(OR($D27&lt;&gt;"Serviço",AND(AUTOEVENTO="Manual",$M27=$A$15),$M27&gt;(ROW(PLE.lastrow)-ROW(PLE.firstrow))),0,
           IF(OFFSET(PLE!$G$15,$M27-$A$15,BC$13)="",10^12,OFFSET(PLE!$G$15,$M27-$A$15,BC$13)))</f>
        <v>1000000000000</v>
      </c>
      <c r="BD27" s="173">
        <f ca="1">IF(OR($D27&lt;&gt;"Serviço",AND(AUTOEVENTO="Manual",$M27=$A$15),$M27&gt;(ROW(PLE.lastrow)-ROW(PLE.firstrow))),0,
           IF(OFFSET(PLE!$G$15,$M27-$A$15,BD$13)="",10^12,OFFSET(PLE!$G$15,$M27-$A$15,BD$13)))</f>
        <v>1000000000000</v>
      </c>
      <c r="BE27" s="173">
        <f ca="1">IF(OR($D27&lt;&gt;"Serviço",AND(AUTOEVENTO="Manual",$M27=$A$15),$M27&gt;(ROW(PLE.lastrow)-ROW(PLE.firstrow))),0,
           IF(OFFSET(PLE!$G$15,$M27-$A$15,BE$13)="",10^12,OFFSET(PLE!$G$15,$M27-$A$15,BE$13)))</f>
        <v>1000000000000</v>
      </c>
      <c r="BF27" s="173">
        <f ca="1">IF(OR($D27&lt;&gt;"Serviço",AND(AUTOEVENTO="Manual",$M27=$A$15),$M27&gt;(ROW(PLE.lastrow)-ROW(PLE.firstrow))),0,
           IF(OFFSET(PLE!$G$15,$M27-$A$15,BF$13)="",10^12,OFFSET(PLE!$G$15,$M27-$A$15,BF$13)))</f>
        <v>1000000000000</v>
      </c>
      <c r="BG27" s="173">
        <f ca="1">IF(OR($D27&lt;&gt;"Serviço",AND(AUTOEVENTO="Manual",$M27=$A$15),$M27&gt;(ROW(PLE.lastrow)-ROW(PLE.firstrow))),0,
           IF(OFFSET(PLE!$G$15,$M27-$A$15,BG$13)="",10^12,OFFSET(PLE!$G$15,$M27-$A$15,BG$13)))</f>
        <v>1000000000000</v>
      </c>
    </row>
    <row r="28" spans="1:59" s="675" customFormat="1" ht="25.5" x14ac:dyDescent="0.2">
      <c r="A28" s="671" t="str">
        <f t="shared" ca="1" si="9"/>
        <v>8</v>
      </c>
      <c r="B28" s="671" t="str">
        <f ca="1">OFFSET(ORÇAMENTO!C$15,ROW(B28)-ROW(B$15),0)</f>
        <v>S</v>
      </c>
      <c r="C28" s="671" t="str">
        <f ca="1">OFFSET(ORÇAMENTO!L$15,ROW(C28)-ROW(C$15),0)</f>
        <v/>
      </c>
      <c r="D28" s="117" t="str">
        <f ca="1">OFFSET(ORÇAMENTO!N$15,ROW(D28)-ROW(D$15),0)</f>
        <v>Serviço</v>
      </c>
      <c r="E28" s="118" t="str">
        <f ca="1">OFFSET(ORÇAMENTO!O$15,ROW(E28)-ROW(E$15),0)</f>
        <v>-</v>
      </c>
      <c r="F28" s="164" t="str">
        <f ca="1">OFFSET(ORÇAMENTO!R$15,ROW(F28)-ROW(F$15),0)</f>
        <v>(abra o arquivo 'Referência 09-2025.xlsm)</v>
      </c>
      <c r="G28" s="165" t="str">
        <f ca="1">IF($D28&lt;&gt;"Serviço","",OFFSET(ORÇAMENTO!S$15,ROW(G28)-ROW(G$15),0))</f>
        <v>-</v>
      </c>
      <c r="H28" s="123">
        <f ca="1">IF($D28&lt;&gt;"Serviço",0,IF(ACOMPANHAMENTO="BM",ROUND(OFFSET(ORÇAMENTO!AJ$15,ROW(H28)-ROW(H$15),0),15-13*ORÇAMENTO!$AF$7),SUMPRODUCT(($Q$1:$AA$1=1)*ROUND($Q28:$AA28,15-13*ORÇAMENTO!$AF$7))))</f>
        <v>15</v>
      </c>
      <c r="I28" s="469"/>
      <c r="J28" s="667" t="str">
        <f ca="1">IF(OR(B28&lt;&gt;"S",CÁLCULO.FrentesPreenchidas=0),"",IF(AND(ACOMPANHAMENTO="PLE",AUTOEVENTO="Manual",OR(H28&gt;0,ORÇAMENTO!AC28="QUANT."),OR(K28="",M28=0,N28="")),"►",IF(AND(ACOMPANHAMENTO="PLE",ORÇAMENTO!AC28="QUANT."),"►►",IF(AND(COUNTIF($P$11:$AA$11,"▼")=0,H28&gt;0,I28=""),"◄",""))))</f>
        <v/>
      </c>
      <c r="K28" s="668"/>
      <c r="L28" s="166" t="s">
        <v>765</v>
      </c>
      <c r="M28" s="167">
        <f ca="1">IF($D28&lt;&gt;"Serviço","",
          IF(AUTOEVENTO="manual",$A28,
                IF(ISERROR(MATCH($A28,$A$15:OFFSET($A28,-1,0),0)),MAX($M$15:OFFSET(M28,-1,0))+1,
                      INDEX($M$15:OFFSET(M28,-1,0),MATCH($A28,$A$15:OFFSET($A28,-1,0),0)))))</f>
        <v>2</v>
      </c>
      <c r="N28" s="168" t="str">
        <f ca="1">IF($D28&lt;&gt;"Serviço","",
         IF(AUTOEVENTO="Manual",
                IF($A28=0,"&lt;-- defina o número do agrupador",
                       OFFSET(EVENTOS!$D$15,$A28-$A$15,0)),
                OFFSET($F$15,$A28,0)))</f>
        <v>ASSENTAMENTO LINHA DE RECALQUE</v>
      </c>
      <c r="O28" s="169"/>
      <c r="Q28" s="169"/>
      <c r="R28" s="170"/>
      <c r="S28" s="170"/>
      <c r="T28" s="170"/>
      <c r="U28" s="170"/>
      <c r="V28" s="170"/>
      <c r="W28" s="170"/>
      <c r="X28" s="170"/>
      <c r="Y28" s="170"/>
      <c r="Z28" s="171"/>
      <c r="AB28" s="454">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4">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4">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4">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4">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4">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4">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4">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4">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4">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2">
        <f ca="1">IF(OR($D28&lt;&gt;"Serviço",AND(AUTOEVENTO="Manual",$M28=$A$15)),0,
         IF(OFFSET(CRONOPLE!$F$15,$M28-$A$15,AM$13)=0,10^12,OFFSET(CRONOPLE!$F$15,$M28-$A$15,AM$13)))</f>
        <v>1000000000000</v>
      </c>
      <c r="AN28" s="172">
        <f ca="1">IF(OR($D28&lt;&gt;"Serviço",AND(AUTOEVENTO="Manual",$M28=$A$15)),0,
         IF(OFFSET(CRONOPLE!$F$15,$M28-$A$15,AN$13)=0,10^12,OFFSET(CRONOPLE!$F$15,$M28-$A$15,AN$13)))</f>
        <v>1000000000000</v>
      </c>
      <c r="AO28" s="172">
        <f ca="1">IF(OR($D28&lt;&gt;"Serviço",AND(AUTOEVENTO="Manual",$M28=$A$15)),0,
         IF(OFFSET(CRONOPLE!$F$15,$M28-$A$15,AO$13)=0,10^12,OFFSET(CRONOPLE!$F$15,$M28-$A$15,AO$13)))</f>
        <v>1000000000000</v>
      </c>
      <c r="AP28" s="172">
        <f ca="1">IF(OR($D28&lt;&gt;"Serviço",AND(AUTOEVENTO="Manual",$M28=$A$15)),0,
         IF(OFFSET(CRONOPLE!$F$15,$M28-$A$15,AP$13)=0,10^12,OFFSET(CRONOPLE!$F$15,$M28-$A$15,AP$13)))</f>
        <v>1000000000000</v>
      </c>
      <c r="AQ28" s="172">
        <f ca="1">IF(OR($D28&lt;&gt;"Serviço",AND(AUTOEVENTO="Manual",$M28=$A$15)),0,
         IF(OFFSET(CRONOPLE!$F$15,$M28-$A$15,AQ$13)=0,10^12,OFFSET(CRONOPLE!$F$15,$M28-$A$15,AQ$13)))</f>
        <v>1000000000000</v>
      </c>
      <c r="AR28" s="172">
        <f ca="1">IF(OR($D28&lt;&gt;"Serviço",AND(AUTOEVENTO="Manual",$M28=$A$15)),0,
         IF(OFFSET(CRONOPLE!$F$15,$M28-$A$15,AR$13)=0,10^12,OFFSET(CRONOPLE!$F$15,$M28-$A$15,AR$13)))</f>
        <v>1000000000000</v>
      </c>
      <c r="AS28" s="172">
        <f ca="1">IF(OR($D28&lt;&gt;"Serviço",AND(AUTOEVENTO="Manual",$M28=$A$15)),0,
         IF(OFFSET(CRONOPLE!$F$15,$M28-$A$15,AS$13)=0,10^12,OFFSET(CRONOPLE!$F$15,$M28-$A$15,AS$13)))</f>
        <v>1000000000000</v>
      </c>
      <c r="AT28" s="172">
        <f ca="1">IF(OR($D28&lt;&gt;"Serviço",AND(AUTOEVENTO="Manual",$M28=$A$15)),0,
         IF(OFFSET(CRONOPLE!$F$15,$M28-$A$15,AT$13)=0,10^12,OFFSET(CRONOPLE!$F$15,$M28-$A$15,AT$13)))</f>
        <v>1000000000000</v>
      </c>
      <c r="AU28" s="172">
        <f ca="1">IF(OR($D28&lt;&gt;"Serviço",AND(AUTOEVENTO="Manual",$M28=$A$15)),0,
         IF(OFFSET(CRONOPLE!$F$15,$M28-$A$15,AU$13)=0,10^12,OFFSET(CRONOPLE!$F$15,$M28-$A$15,AU$13)))</f>
        <v>1000000000000</v>
      </c>
      <c r="AV28" s="172">
        <f ca="1">IF(OR($D28&lt;&gt;"Serviço",AND(AUTOEVENTO="Manual",$M28=$A$15)),0,
         IF(OFFSET(CRONOPLE!$F$15,$M28-$A$15,AV$13)=0,10^12,OFFSET(CRONOPLE!$F$15,$M28-$A$15,AV$13)))</f>
        <v>1000000000000</v>
      </c>
      <c r="AX28" s="173">
        <f ca="1">IF(OR($D28&lt;&gt;"Serviço",AND(AUTOEVENTO="Manual",$M28=$A$15),$M28&gt;(ROW(PLE.lastrow)-ROW(PLE.firstrow))),0,
           IF(OFFSET(PLE!$G$15,$M28-$A$15,AX$13)="",10^12,OFFSET(PLE!$G$15,$M28-$A$15,AX$13)))</f>
        <v>1000000000000</v>
      </c>
      <c r="AY28" s="173">
        <f ca="1">IF(OR($D28&lt;&gt;"Serviço",AND(AUTOEVENTO="Manual",$M28=$A$15),$M28&gt;(ROW(PLE.lastrow)-ROW(PLE.firstrow))),0,
           IF(OFFSET(PLE!$G$15,$M28-$A$15,AY$13)="",10^12,OFFSET(PLE!$G$15,$M28-$A$15,AY$13)))</f>
        <v>1000000000000</v>
      </c>
      <c r="AZ28" s="173">
        <f ca="1">IF(OR($D28&lt;&gt;"Serviço",AND(AUTOEVENTO="Manual",$M28=$A$15),$M28&gt;(ROW(PLE.lastrow)-ROW(PLE.firstrow))),0,
           IF(OFFSET(PLE!$G$15,$M28-$A$15,AZ$13)="",10^12,OFFSET(PLE!$G$15,$M28-$A$15,AZ$13)))</f>
        <v>1000000000000</v>
      </c>
      <c r="BA28" s="173">
        <f ca="1">IF(OR($D28&lt;&gt;"Serviço",AND(AUTOEVENTO="Manual",$M28=$A$15),$M28&gt;(ROW(PLE.lastrow)-ROW(PLE.firstrow))),0,
           IF(OFFSET(PLE!$G$15,$M28-$A$15,BA$13)="",10^12,OFFSET(PLE!$G$15,$M28-$A$15,BA$13)))</f>
        <v>1000000000000</v>
      </c>
      <c r="BB28" s="173">
        <f ca="1">IF(OR($D28&lt;&gt;"Serviço",AND(AUTOEVENTO="Manual",$M28=$A$15),$M28&gt;(ROW(PLE.lastrow)-ROW(PLE.firstrow))),0,
           IF(OFFSET(PLE!$G$15,$M28-$A$15,BB$13)="",10^12,OFFSET(PLE!$G$15,$M28-$A$15,BB$13)))</f>
        <v>1000000000000</v>
      </c>
      <c r="BC28" s="173">
        <f ca="1">IF(OR($D28&lt;&gt;"Serviço",AND(AUTOEVENTO="Manual",$M28=$A$15),$M28&gt;(ROW(PLE.lastrow)-ROW(PLE.firstrow))),0,
           IF(OFFSET(PLE!$G$15,$M28-$A$15,BC$13)="",10^12,OFFSET(PLE!$G$15,$M28-$A$15,BC$13)))</f>
        <v>1000000000000</v>
      </c>
      <c r="BD28" s="173">
        <f ca="1">IF(OR($D28&lt;&gt;"Serviço",AND(AUTOEVENTO="Manual",$M28=$A$15),$M28&gt;(ROW(PLE.lastrow)-ROW(PLE.firstrow))),0,
           IF(OFFSET(PLE!$G$15,$M28-$A$15,BD$13)="",10^12,OFFSET(PLE!$G$15,$M28-$A$15,BD$13)))</f>
        <v>1000000000000</v>
      </c>
      <c r="BE28" s="173">
        <f ca="1">IF(OR($D28&lt;&gt;"Serviço",AND(AUTOEVENTO="Manual",$M28=$A$15),$M28&gt;(ROW(PLE.lastrow)-ROW(PLE.firstrow))),0,
           IF(OFFSET(PLE!$G$15,$M28-$A$15,BE$13)="",10^12,OFFSET(PLE!$G$15,$M28-$A$15,BE$13)))</f>
        <v>1000000000000</v>
      </c>
      <c r="BF28" s="173">
        <f ca="1">IF(OR($D28&lt;&gt;"Serviço",AND(AUTOEVENTO="Manual",$M28=$A$15),$M28&gt;(ROW(PLE.lastrow)-ROW(PLE.firstrow))),0,
           IF(OFFSET(PLE!$G$15,$M28-$A$15,BF$13)="",10^12,OFFSET(PLE!$G$15,$M28-$A$15,BF$13)))</f>
        <v>1000000000000</v>
      </c>
      <c r="BG28" s="173">
        <f ca="1">IF(OR($D28&lt;&gt;"Serviço",AND(AUTOEVENTO="Manual",$M28=$A$15),$M28&gt;(ROW(PLE.lastrow)-ROW(PLE.firstrow))),0,
           IF(OFFSET(PLE!$G$15,$M28-$A$15,BG$13)="",10^12,OFFSET(PLE!$G$15,$M28-$A$15,BG$13)))</f>
        <v>1000000000000</v>
      </c>
    </row>
    <row r="29" spans="1:59" s="675" customFormat="1" ht="25.5" x14ac:dyDescent="0.2">
      <c r="A29" s="671" t="str">
        <f t="shared" ca="1" si="9"/>
        <v>8</v>
      </c>
      <c r="B29" s="671" t="str">
        <f ca="1">OFFSET(ORÇAMENTO!C$15,ROW(B29)-ROW(B$15),0)</f>
        <v>S</v>
      </c>
      <c r="C29" s="671" t="str">
        <f ca="1">OFFSET(ORÇAMENTO!L$15,ROW(C29)-ROW(C$15),0)</f>
        <v/>
      </c>
      <c r="D29" s="117" t="str">
        <f ca="1">OFFSET(ORÇAMENTO!N$15,ROW(D29)-ROW(D$15),0)</f>
        <v>Serviço</v>
      </c>
      <c r="E29" s="118" t="str">
        <f ca="1">OFFSET(ORÇAMENTO!O$15,ROW(E29)-ROW(E$15),0)</f>
        <v>-</v>
      </c>
      <c r="F29" s="164" t="str">
        <f ca="1">OFFSET(ORÇAMENTO!R$15,ROW(F29)-ROW(F$15),0)</f>
        <v>(abra o arquivo 'Referência 09-2025.xlsm)</v>
      </c>
      <c r="G29" s="165" t="str">
        <f ca="1">IF($D29&lt;&gt;"Serviço","",OFFSET(ORÇAMENTO!S$15,ROW(G29)-ROW(G$15),0))</f>
        <v>-</v>
      </c>
      <c r="H29" s="123">
        <f ca="1">IF($D29&lt;&gt;"Serviço",0,IF(ACOMPANHAMENTO="BM",ROUND(OFFSET(ORÇAMENTO!AJ$15,ROW(H29)-ROW(H$15),0),15-13*ORÇAMENTO!$AF$7),SUMPRODUCT(($Q$1:$AA$1=1)*ROUND($Q29:$AA29,15-13*ORÇAMENTO!$AF$7))))</f>
        <v>1</v>
      </c>
      <c r="I29" s="469"/>
      <c r="J29" s="667" t="str">
        <f ca="1">IF(OR(B29&lt;&gt;"S",CÁLCULO.FrentesPreenchidas=0),"",IF(AND(ACOMPANHAMENTO="PLE",AUTOEVENTO="Manual",OR(H29&gt;0,ORÇAMENTO!AC29="QUANT."),OR(K29="",M29=0,N29="")),"►",IF(AND(ACOMPANHAMENTO="PLE",ORÇAMENTO!AC29="QUANT."),"►►",IF(AND(COUNTIF($P$11:$AA$11,"▼")=0,H29&gt;0,I29=""),"◄",""))))</f>
        <v/>
      </c>
      <c r="K29" s="668"/>
      <c r="L29" s="166" t="s">
        <v>765</v>
      </c>
      <c r="M29" s="167">
        <f ca="1">IF($D29&lt;&gt;"Serviço","",
          IF(AUTOEVENTO="manual",$A29,
                IF(ISERROR(MATCH($A29,$A$15:OFFSET($A29,-1,0),0)),MAX($M$15:OFFSET(M29,-1,0))+1,
                      INDEX($M$15:OFFSET(M29,-1,0),MATCH($A29,$A$15:OFFSET($A29,-1,0),0)))))</f>
        <v>2</v>
      </c>
      <c r="N29" s="168" t="str">
        <f ca="1">IF($D29&lt;&gt;"Serviço","",
         IF(AUTOEVENTO="Manual",
                IF($A29=0,"&lt;-- defina o número do agrupador",
                       OFFSET(EVENTOS!$D$15,$A29-$A$15,0)),
                OFFSET($F$15,$A29,0)))</f>
        <v>ASSENTAMENTO LINHA DE RECALQUE</v>
      </c>
      <c r="O29" s="169"/>
      <c r="Q29" s="169"/>
      <c r="R29" s="170"/>
      <c r="S29" s="170"/>
      <c r="T29" s="170"/>
      <c r="U29" s="170"/>
      <c r="V29" s="170"/>
      <c r="W29" s="170"/>
      <c r="X29" s="170"/>
      <c r="Y29" s="170"/>
      <c r="Z29" s="171"/>
      <c r="AB29" s="454">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4">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4">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4">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4">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4">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4">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4">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4">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4">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2">
        <f ca="1">IF(OR($D29&lt;&gt;"Serviço",AND(AUTOEVENTO="Manual",$M29=$A$15)),0,
         IF(OFFSET(CRONOPLE!$F$15,$M29-$A$15,AM$13)=0,10^12,OFFSET(CRONOPLE!$F$15,$M29-$A$15,AM$13)))</f>
        <v>1000000000000</v>
      </c>
      <c r="AN29" s="172">
        <f ca="1">IF(OR($D29&lt;&gt;"Serviço",AND(AUTOEVENTO="Manual",$M29=$A$15)),0,
         IF(OFFSET(CRONOPLE!$F$15,$M29-$A$15,AN$13)=0,10^12,OFFSET(CRONOPLE!$F$15,$M29-$A$15,AN$13)))</f>
        <v>1000000000000</v>
      </c>
      <c r="AO29" s="172">
        <f ca="1">IF(OR($D29&lt;&gt;"Serviço",AND(AUTOEVENTO="Manual",$M29=$A$15)),0,
         IF(OFFSET(CRONOPLE!$F$15,$M29-$A$15,AO$13)=0,10^12,OFFSET(CRONOPLE!$F$15,$M29-$A$15,AO$13)))</f>
        <v>1000000000000</v>
      </c>
      <c r="AP29" s="172">
        <f ca="1">IF(OR($D29&lt;&gt;"Serviço",AND(AUTOEVENTO="Manual",$M29=$A$15)),0,
         IF(OFFSET(CRONOPLE!$F$15,$M29-$A$15,AP$13)=0,10^12,OFFSET(CRONOPLE!$F$15,$M29-$A$15,AP$13)))</f>
        <v>1000000000000</v>
      </c>
      <c r="AQ29" s="172">
        <f ca="1">IF(OR($D29&lt;&gt;"Serviço",AND(AUTOEVENTO="Manual",$M29=$A$15)),0,
         IF(OFFSET(CRONOPLE!$F$15,$M29-$A$15,AQ$13)=0,10^12,OFFSET(CRONOPLE!$F$15,$M29-$A$15,AQ$13)))</f>
        <v>1000000000000</v>
      </c>
      <c r="AR29" s="172">
        <f ca="1">IF(OR($D29&lt;&gt;"Serviço",AND(AUTOEVENTO="Manual",$M29=$A$15)),0,
         IF(OFFSET(CRONOPLE!$F$15,$M29-$A$15,AR$13)=0,10^12,OFFSET(CRONOPLE!$F$15,$M29-$A$15,AR$13)))</f>
        <v>1000000000000</v>
      </c>
      <c r="AS29" s="172">
        <f ca="1">IF(OR($D29&lt;&gt;"Serviço",AND(AUTOEVENTO="Manual",$M29=$A$15)),0,
         IF(OFFSET(CRONOPLE!$F$15,$M29-$A$15,AS$13)=0,10^12,OFFSET(CRONOPLE!$F$15,$M29-$A$15,AS$13)))</f>
        <v>1000000000000</v>
      </c>
      <c r="AT29" s="172">
        <f ca="1">IF(OR($D29&lt;&gt;"Serviço",AND(AUTOEVENTO="Manual",$M29=$A$15)),0,
         IF(OFFSET(CRONOPLE!$F$15,$M29-$A$15,AT$13)=0,10^12,OFFSET(CRONOPLE!$F$15,$M29-$A$15,AT$13)))</f>
        <v>1000000000000</v>
      </c>
      <c r="AU29" s="172">
        <f ca="1">IF(OR($D29&lt;&gt;"Serviço",AND(AUTOEVENTO="Manual",$M29=$A$15)),0,
         IF(OFFSET(CRONOPLE!$F$15,$M29-$A$15,AU$13)=0,10^12,OFFSET(CRONOPLE!$F$15,$M29-$A$15,AU$13)))</f>
        <v>1000000000000</v>
      </c>
      <c r="AV29" s="172">
        <f ca="1">IF(OR($D29&lt;&gt;"Serviço",AND(AUTOEVENTO="Manual",$M29=$A$15)),0,
         IF(OFFSET(CRONOPLE!$F$15,$M29-$A$15,AV$13)=0,10^12,OFFSET(CRONOPLE!$F$15,$M29-$A$15,AV$13)))</f>
        <v>1000000000000</v>
      </c>
      <c r="AX29" s="173">
        <f ca="1">IF(OR($D29&lt;&gt;"Serviço",AND(AUTOEVENTO="Manual",$M29=$A$15),$M29&gt;(ROW(PLE.lastrow)-ROW(PLE.firstrow))),0,
           IF(OFFSET(PLE!$G$15,$M29-$A$15,AX$13)="",10^12,OFFSET(PLE!$G$15,$M29-$A$15,AX$13)))</f>
        <v>1000000000000</v>
      </c>
      <c r="AY29" s="173">
        <f ca="1">IF(OR($D29&lt;&gt;"Serviço",AND(AUTOEVENTO="Manual",$M29=$A$15),$M29&gt;(ROW(PLE.lastrow)-ROW(PLE.firstrow))),0,
           IF(OFFSET(PLE!$G$15,$M29-$A$15,AY$13)="",10^12,OFFSET(PLE!$G$15,$M29-$A$15,AY$13)))</f>
        <v>1000000000000</v>
      </c>
      <c r="AZ29" s="173">
        <f ca="1">IF(OR($D29&lt;&gt;"Serviço",AND(AUTOEVENTO="Manual",$M29=$A$15),$M29&gt;(ROW(PLE.lastrow)-ROW(PLE.firstrow))),0,
           IF(OFFSET(PLE!$G$15,$M29-$A$15,AZ$13)="",10^12,OFFSET(PLE!$G$15,$M29-$A$15,AZ$13)))</f>
        <v>1000000000000</v>
      </c>
      <c r="BA29" s="173">
        <f ca="1">IF(OR($D29&lt;&gt;"Serviço",AND(AUTOEVENTO="Manual",$M29=$A$15),$M29&gt;(ROW(PLE.lastrow)-ROW(PLE.firstrow))),0,
           IF(OFFSET(PLE!$G$15,$M29-$A$15,BA$13)="",10^12,OFFSET(PLE!$G$15,$M29-$A$15,BA$13)))</f>
        <v>1000000000000</v>
      </c>
      <c r="BB29" s="173">
        <f ca="1">IF(OR($D29&lt;&gt;"Serviço",AND(AUTOEVENTO="Manual",$M29=$A$15),$M29&gt;(ROW(PLE.lastrow)-ROW(PLE.firstrow))),0,
           IF(OFFSET(PLE!$G$15,$M29-$A$15,BB$13)="",10^12,OFFSET(PLE!$G$15,$M29-$A$15,BB$13)))</f>
        <v>1000000000000</v>
      </c>
      <c r="BC29" s="173">
        <f ca="1">IF(OR($D29&lt;&gt;"Serviço",AND(AUTOEVENTO="Manual",$M29=$A$15),$M29&gt;(ROW(PLE.lastrow)-ROW(PLE.firstrow))),0,
           IF(OFFSET(PLE!$G$15,$M29-$A$15,BC$13)="",10^12,OFFSET(PLE!$G$15,$M29-$A$15,BC$13)))</f>
        <v>1000000000000</v>
      </c>
      <c r="BD29" s="173">
        <f ca="1">IF(OR($D29&lt;&gt;"Serviço",AND(AUTOEVENTO="Manual",$M29=$A$15),$M29&gt;(ROW(PLE.lastrow)-ROW(PLE.firstrow))),0,
           IF(OFFSET(PLE!$G$15,$M29-$A$15,BD$13)="",10^12,OFFSET(PLE!$G$15,$M29-$A$15,BD$13)))</f>
        <v>1000000000000</v>
      </c>
      <c r="BE29" s="173">
        <f ca="1">IF(OR($D29&lt;&gt;"Serviço",AND(AUTOEVENTO="Manual",$M29=$A$15),$M29&gt;(ROW(PLE.lastrow)-ROW(PLE.firstrow))),0,
           IF(OFFSET(PLE!$G$15,$M29-$A$15,BE$13)="",10^12,OFFSET(PLE!$G$15,$M29-$A$15,BE$13)))</f>
        <v>1000000000000</v>
      </c>
      <c r="BF29" s="173">
        <f ca="1">IF(OR($D29&lt;&gt;"Serviço",AND(AUTOEVENTO="Manual",$M29=$A$15),$M29&gt;(ROW(PLE.lastrow)-ROW(PLE.firstrow))),0,
           IF(OFFSET(PLE!$G$15,$M29-$A$15,BF$13)="",10^12,OFFSET(PLE!$G$15,$M29-$A$15,BF$13)))</f>
        <v>1000000000000</v>
      </c>
      <c r="BG29" s="173">
        <f ca="1">IF(OR($D29&lt;&gt;"Serviço",AND(AUTOEVENTO="Manual",$M29=$A$15),$M29&gt;(ROW(PLE.lastrow)-ROW(PLE.firstrow))),0,
           IF(OFFSET(PLE!$G$15,$M29-$A$15,BG$13)="",10^12,OFFSET(PLE!$G$15,$M29-$A$15,BG$13)))</f>
        <v>1000000000000</v>
      </c>
    </row>
    <row r="30" spans="1:59" s="675" customFormat="1" ht="25.5" x14ac:dyDescent="0.2">
      <c r="A30" s="671" t="str">
        <f t="shared" ca="1" si="9"/>
        <v>8</v>
      </c>
      <c r="B30" s="671" t="str">
        <f ca="1">OFFSET(ORÇAMENTO!C$15,ROW(B30)-ROW(B$15),0)</f>
        <v>S</v>
      </c>
      <c r="C30" s="671" t="str">
        <f ca="1">OFFSET(ORÇAMENTO!L$15,ROW(C30)-ROW(C$15),0)</f>
        <v/>
      </c>
      <c r="D30" s="117" t="str">
        <f ca="1">OFFSET(ORÇAMENTO!N$15,ROW(D30)-ROW(D$15),0)</f>
        <v>Serviço</v>
      </c>
      <c r="E30" s="118" t="str">
        <f ca="1">OFFSET(ORÇAMENTO!O$15,ROW(E30)-ROW(E$15),0)</f>
        <v>-</v>
      </c>
      <c r="F30" s="164" t="str">
        <f ca="1">OFFSET(ORÇAMENTO!R$15,ROW(F30)-ROW(F$15),0)</f>
        <v>(abra o arquivo 'Referência 09-2025.xlsm)</v>
      </c>
      <c r="G30" s="165" t="str">
        <f ca="1">IF($D30&lt;&gt;"Serviço","",OFFSET(ORÇAMENTO!S$15,ROW(G30)-ROW(G$15),0))</f>
        <v>-</v>
      </c>
      <c r="H30" s="123">
        <f ca="1">IF($D30&lt;&gt;"Serviço",0,IF(ACOMPANHAMENTO="BM",ROUND(OFFSET(ORÇAMENTO!AJ$15,ROW(H30)-ROW(H$15),0),15-13*ORÇAMENTO!$AF$7),SUMPRODUCT(($Q$1:$AA$1=1)*ROUND($Q30:$AA30,15-13*ORÇAMENTO!$AF$7))))</f>
        <v>863</v>
      </c>
      <c r="I30" s="469"/>
      <c r="J30" s="667" t="str">
        <f ca="1">IF(OR(B30&lt;&gt;"S",CÁLCULO.FrentesPreenchidas=0),"",IF(AND(ACOMPANHAMENTO="PLE",AUTOEVENTO="Manual",OR(H30&gt;0,ORÇAMENTO!AC30="QUANT."),OR(K30="",M30=0,N30="")),"►",IF(AND(ACOMPANHAMENTO="PLE",ORÇAMENTO!AC30="QUANT."),"►►",IF(AND(COUNTIF($P$11:$AA$11,"▼")=0,H30&gt;0,I30=""),"◄",""))))</f>
        <v/>
      </c>
      <c r="K30" s="668"/>
      <c r="L30" s="166" t="s">
        <v>765</v>
      </c>
      <c r="M30" s="167">
        <f ca="1">IF($D30&lt;&gt;"Serviço","",
          IF(AUTOEVENTO="manual",$A30,
                IF(ISERROR(MATCH($A30,$A$15:OFFSET($A30,-1,0),0)),MAX($M$15:OFFSET(M30,-1,0))+1,
                      INDEX($M$15:OFFSET(M30,-1,0),MATCH($A30,$A$15:OFFSET($A30,-1,0),0)))))</f>
        <v>2</v>
      </c>
      <c r="N30" s="168" t="str">
        <f ca="1">IF($D30&lt;&gt;"Serviço","",
         IF(AUTOEVENTO="Manual",
                IF($A30=0,"&lt;-- defina o número do agrupador",
                       OFFSET(EVENTOS!$D$15,$A30-$A$15,0)),
                OFFSET($F$15,$A30,0)))</f>
        <v>ASSENTAMENTO LINHA DE RECALQUE</v>
      </c>
      <c r="O30" s="169"/>
      <c r="Q30" s="169"/>
      <c r="R30" s="170"/>
      <c r="S30" s="170"/>
      <c r="T30" s="170"/>
      <c r="U30" s="170"/>
      <c r="V30" s="170"/>
      <c r="W30" s="170"/>
      <c r="X30" s="170"/>
      <c r="Y30" s="170"/>
      <c r="Z30" s="171"/>
      <c r="AB30" s="454">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4">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4">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4">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4">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4">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4">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4">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4">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4">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2">
        <f ca="1">IF(OR($D30&lt;&gt;"Serviço",AND(AUTOEVENTO="Manual",$M30=$A$15)),0,
         IF(OFFSET(CRONOPLE!$F$15,$M30-$A$15,AM$13)=0,10^12,OFFSET(CRONOPLE!$F$15,$M30-$A$15,AM$13)))</f>
        <v>1000000000000</v>
      </c>
      <c r="AN30" s="172">
        <f ca="1">IF(OR($D30&lt;&gt;"Serviço",AND(AUTOEVENTO="Manual",$M30=$A$15)),0,
         IF(OFFSET(CRONOPLE!$F$15,$M30-$A$15,AN$13)=0,10^12,OFFSET(CRONOPLE!$F$15,$M30-$A$15,AN$13)))</f>
        <v>1000000000000</v>
      </c>
      <c r="AO30" s="172">
        <f ca="1">IF(OR($D30&lt;&gt;"Serviço",AND(AUTOEVENTO="Manual",$M30=$A$15)),0,
         IF(OFFSET(CRONOPLE!$F$15,$M30-$A$15,AO$13)=0,10^12,OFFSET(CRONOPLE!$F$15,$M30-$A$15,AO$13)))</f>
        <v>1000000000000</v>
      </c>
      <c r="AP30" s="172">
        <f ca="1">IF(OR($D30&lt;&gt;"Serviço",AND(AUTOEVENTO="Manual",$M30=$A$15)),0,
         IF(OFFSET(CRONOPLE!$F$15,$M30-$A$15,AP$13)=0,10^12,OFFSET(CRONOPLE!$F$15,$M30-$A$15,AP$13)))</f>
        <v>1000000000000</v>
      </c>
      <c r="AQ30" s="172">
        <f ca="1">IF(OR($D30&lt;&gt;"Serviço",AND(AUTOEVENTO="Manual",$M30=$A$15)),0,
         IF(OFFSET(CRONOPLE!$F$15,$M30-$A$15,AQ$13)=0,10^12,OFFSET(CRONOPLE!$F$15,$M30-$A$15,AQ$13)))</f>
        <v>1000000000000</v>
      </c>
      <c r="AR30" s="172">
        <f ca="1">IF(OR($D30&lt;&gt;"Serviço",AND(AUTOEVENTO="Manual",$M30=$A$15)),0,
         IF(OFFSET(CRONOPLE!$F$15,$M30-$A$15,AR$13)=0,10^12,OFFSET(CRONOPLE!$F$15,$M30-$A$15,AR$13)))</f>
        <v>1000000000000</v>
      </c>
      <c r="AS30" s="172">
        <f ca="1">IF(OR($D30&lt;&gt;"Serviço",AND(AUTOEVENTO="Manual",$M30=$A$15)),0,
         IF(OFFSET(CRONOPLE!$F$15,$M30-$A$15,AS$13)=0,10^12,OFFSET(CRONOPLE!$F$15,$M30-$A$15,AS$13)))</f>
        <v>1000000000000</v>
      </c>
      <c r="AT30" s="172">
        <f ca="1">IF(OR($D30&lt;&gt;"Serviço",AND(AUTOEVENTO="Manual",$M30=$A$15)),0,
         IF(OFFSET(CRONOPLE!$F$15,$M30-$A$15,AT$13)=0,10^12,OFFSET(CRONOPLE!$F$15,$M30-$A$15,AT$13)))</f>
        <v>1000000000000</v>
      </c>
      <c r="AU30" s="172">
        <f ca="1">IF(OR($D30&lt;&gt;"Serviço",AND(AUTOEVENTO="Manual",$M30=$A$15)),0,
         IF(OFFSET(CRONOPLE!$F$15,$M30-$A$15,AU$13)=0,10^12,OFFSET(CRONOPLE!$F$15,$M30-$A$15,AU$13)))</f>
        <v>1000000000000</v>
      </c>
      <c r="AV30" s="172">
        <f ca="1">IF(OR($D30&lt;&gt;"Serviço",AND(AUTOEVENTO="Manual",$M30=$A$15)),0,
         IF(OFFSET(CRONOPLE!$F$15,$M30-$A$15,AV$13)=0,10^12,OFFSET(CRONOPLE!$F$15,$M30-$A$15,AV$13)))</f>
        <v>1000000000000</v>
      </c>
      <c r="AX30" s="173">
        <f ca="1">IF(OR($D30&lt;&gt;"Serviço",AND(AUTOEVENTO="Manual",$M30=$A$15),$M30&gt;(ROW(PLE.lastrow)-ROW(PLE.firstrow))),0,
           IF(OFFSET(PLE!$G$15,$M30-$A$15,AX$13)="",10^12,OFFSET(PLE!$G$15,$M30-$A$15,AX$13)))</f>
        <v>1000000000000</v>
      </c>
      <c r="AY30" s="173">
        <f ca="1">IF(OR($D30&lt;&gt;"Serviço",AND(AUTOEVENTO="Manual",$M30=$A$15),$M30&gt;(ROW(PLE.lastrow)-ROW(PLE.firstrow))),0,
           IF(OFFSET(PLE!$G$15,$M30-$A$15,AY$13)="",10^12,OFFSET(PLE!$G$15,$M30-$A$15,AY$13)))</f>
        <v>1000000000000</v>
      </c>
      <c r="AZ30" s="173">
        <f ca="1">IF(OR($D30&lt;&gt;"Serviço",AND(AUTOEVENTO="Manual",$M30=$A$15),$M30&gt;(ROW(PLE.lastrow)-ROW(PLE.firstrow))),0,
           IF(OFFSET(PLE!$G$15,$M30-$A$15,AZ$13)="",10^12,OFFSET(PLE!$G$15,$M30-$A$15,AZ$13)))</f>
        <v>1000000000000</v>
      </c>
      <c r="BA30" s="173">
        <f ca="1">IF(OR($D30&lt;&gt;"Serviço",AND(AUTOEVENTO="Manual",$M30=$A$15),$M30&gt;(ROW(PLE.lastrow)-ROW(PLE.firstrow))),0,
           IF(OFFSET(PLE!$G$15,$M30-$A$15,BA$13)="",10^12,OFFSET(PLE!$G$15,$M30-$A$15,BA$13)))</f>
        <v>1000000000000</v>
      </c>
      <c r="BB30" s="173">
        <f ca="1">IF(OR($D30&lt;&gt;"Serviço",AND(AUTOEVENTO="Manual",$M30=$A$15),$M30&gt;(ROW(PLE.lastrow)-ROW(PLE.firstrow))),0,
           IF(OFFSET(PLE!$G$15,$M30-$A$15,BB$13)="",10^12,OFFSET(PLE!$G$15,$M30-$A$15,BB$13)))</f>
        <v>1000000000000</v>
      </c>
      <c r="BC30" s="173">
        <f ca="1">IF(OR($D30&lt;&gt;"Serviço",AND(AUTOEVENTO="Manual",$M30=$A$15),$M30&gt;(ROW(PLE.lastrow)-ROW(PLE.firstrow))),0,
           IF(OFFSET(PLE!$G$15,$M30-$A$15,BC$13)="",10^12,OFFSET(PLE!$G$15,$M30-$A$15,BC$13)))</f>
        <v>1000000000000</v>
      </c>
      <c r="BD30" s="173">
        <f ca="1">IF(OR($D30&lt;&gt;"Serviço",AND(AUTOEVENTO="Manual",$M30=$A$15),$M30&gt;(ROW(PLE.lastrow)-ROW(PLE.firstrow))),0,
           IF(OFFSET(PLE!$G$15,$M30-$A$15,BD$13)="",10^12,OFFSET(PLE!$G$15,$M30-$A$15,BD$13)))</f>
        <v>1000000000000</v>
      </c>
      <c r="BE30" s="173">
        <f ca="1">IF(OR($D30&lt;&gt;"Serviço",AND(AUTOEVENTO="Manual",$M30=$A$15),$M30&gt;(ROW(PLE.lastrow)-ROW(PLE.firstrow))),0,
           IF(OFFSET(PLE!$G$15,$M30-$A$15,BE$13)="",10^12,OFFSET(PLE!$G$15,$M30-$A$15,BE$13)))</f>
        <v>1000000000000</v>
      </c>
      <c r="BF30" s="173">
        <f ca="1">IF(OR($D30&lt;&gt;"Serviço",AND(AUTOEVENTO="Manual",$M30=$A$15),$M30&gt;(ROW(PLE.lastrow)-ROW(PLE.firstrow))),0,
           IF(OFFSET(PLE!$G$15,$M30-$A$15,BF$13)="",10^12,OFFSET(PLE!$G$15,$M30-$A$15,BF$13)))</f>
        <v>1000000000000</v>
      </c>
      <c r="BG30" s="173">
        <f ca="1">IF(OR($D30&lt;&gt;"Serviço",AND(AUTOEVENTO="Manual",$M30=$A$15),$M30&gt;(ROW(PLE.lastrow)-ROW(PLE.firstrow))),0,
           IF(OFFSET(PLE!$G$15,$M30-$A$15,BG$13)="",10^12,OFFSET(PLE!$G$15,$M30-$A$15,BG$13)))</f>
        <v>1000000000000</v>
      </c>
    </row>
    <row r="31" spans="1:59" s="675" customFormat="1" ht="25.5" x14ac:dyDescent="0.2">
      <c r="A31" s="671" t="str">
        <f t="shared" ca="1" si="9"/>
        <v>8</v>
      </c>
      <c r="B31" s="671" t="str">
        <f ca="1">OFFSET(ORÇAMENTO!C$15,ROW(B31)-ROW(B$15),0)</f>
        <v>S</v>
      </c>
      <c r="C31" s="671" t="str">
        <f ca="1">OFFSET(ORÇAMENTO!L$15,ROW(C31)-ROW(C$15),0)</f>
        <v/>
      </c>
      <c r="D31" s="117" t="str">
        <f ca="1">OFFSET(ORÇAMENTO!N$15,ROW(D31)-ROW(D$15),0)</f>
        <v>Serviço</v>
      </c>
      <c r="E31" s="118" t="str">
        <f ca="1">OFFSET(ORÇAMENTO!O$15,ROW(E31)-ROW(E$15),0)</f>
        <v>-</v>
      </c>
      <c r="F31" s="164" t="str">
        <f ca="1">OFFSET(ORÇAMENTO!R$15,ROW(F31)-ROW(F$15),0)</f>
        <v>(abra o arquivo 'Referência 09-2025.xlsm)</v>
      </c>
      <c r="G31" s="165" t="str">
        <f ca="1">IF($D31&lt;&gt;"Serviço","",OFFSET(ORÇAMENTO!S$15,ROW(G31)-ROW(G$15),0))</f>
        <v>-</v>
      </c>
      <c r="H31" s="123">
        <f ca="1">IF($D31&lt;&gt;"Serviço",0,IF(ACOMPANHAMENTO="BM",ROUND(OFFSET(ORÇAMENTO!AJ$15,ROW(H31)-ROW(H$15),0),15-13*ORÇAMENTO!$AF$7),SUMPRODUCT(($Q$1:$AA$1=1)*ROUND($Q31:$AA31,15-13*ORÇAMENTO!$AF$7))))</f>
        <v>1276.54</v>
      </c>
      <c r="I31" s="469" t="s">
        <v>1146</v>
      </c>
      <c r="J31" s="667" t="str">
        <f ca="1">IF(OR(B31&lt;&gt;"S",CÁLCULO.FrentesPreenchidas=0),"",IF(AND(ACOMPANHAMENTO="PLE",AUTOEVENTO="Manual",OR(H31&gt;0,ORÇAMENTO!AC31="QUANT."),OR(K31="",M31=0,N31="")),"►",IF(AND(ACOMPANHAMENTO="PLE",ORÇAMENTO!AC31="QUANT."),"►►",IF(AND(COUNTIF($P$11:$AA$11,"▼")=0,H31&gt;0,I31=""),"◄",""))))</f>
        <v/>
      </c>
      <c r="K31" s="668"/>
      <c r="L31" s="166" t="s">
        <v>765</v>
      </c>
      <c r="M31" s="167">
        <f ca="1">IF($D31&lt;&gt;"Serviço","",
          IF(AUTOEVENTO="manual",$A31,
                IF(ISERROR(MATCH($A31,$A$15:OFFSET($A31,-1,0),0)),MAX($M$15:OFFSET(M31,-1,0))+1,
                      INDEX($M$15:OFFSET(M31,-1,0),MATCH($A31,$A$15:OFFSET($A31,-1,0),0)))))</f>
        <v>2</v>
      </c>
      <c r="N31" s="168" t="str">
        <f ca="1">IF($D31&lt;&gt;"Serviço","",
         IF(AUTOEVENTO="Manual",
                IF($A31=0,"&lt;-- defina o número do agrupador",
                       OFFSET(EVENTOS!$D$15,$A31-$A$15,0)),
                OFFSET($F$15,$A31,0)))</f>
        <v>ASSENTAMENTO LINHA DE RECALQUE</v>
      </c>
      <c r="O31" s="169"/>
      <c r="Q31" s="169"/>
      <c r="R31" s="170"/>
      <c r="S31" s="170"/>
      <c r="T31" s="170"/>
      <c r="U31" s="170"/>
      <c r="V31" s="170"/>
      <c r="W31" s="170"/>
      <c r="X31" s="170"/>
      <c r="Y31" s="170"/>
      <c r="Z31" s="171"/>
      <c r="AB31" s="454">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4">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4">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4">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4">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4">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4">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4">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4">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4">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2">
        <f ca="1">IF(OR($D31&lt;&gt;"Serviço",AND(AUTOEVENTO="Manual",$M31=$A$15)),0,
         IF(OFFSET(CRONOPLE!$F$15,$M31-$A$15,AM$13)=0,10^12,OFFSET(CRONOPLE!$F$15,$M31-$A$15,AM$13)))</f>
        <v>1000000000000</v>
      </c>
      <c r="AN31" s="172">
        <f ca="1">IF(OR($D31&lt;&gt;"Serviço",AND(AUTOEVENTO="Manual",$M31=$A$15)),0,
         IF(OFFSET(CRONOPLE!$F$15,$M31-$A$15,AN$13)=0,10^12,OFFSET(CRONOPLE!$F$15,$M31-$A$15,AN$13)))</f>
        <v>1000000000000</v>
      </c>
      <c r="AO31" s="172">
        <f ca="1">IF(OR($D31&lt;&gt;"Serviço",AND(AUTOEVENTO="Manual",$M31=$A$15)),0,
         IF(OFFSET(CRONOPLE!$F$15,$M31-$A$15,AO$13)=0,10^12,OFFSET(CRONOPLE!$F$15,$M31-$A$15,AO$13)))</f>
        <v>1000000000000</v>
      </c>
      <c r="AP31" s="172">
        <f ca="1">IF(OR($D31&lt;&gt;"Serviço",AND(AUTOEVENTO="Manual",$M31=$A$15)),0,
         IF(OFFSET(CRONOPLE!$F$15,$M31-$A$15,AP$13)=0,10^12,OFFSET(CRONOPLE!$F$15,$M31-$A$15,AP$13)))</f>
        <v>1000000000000</v>
      </c>
      <c r="AQ31" s="172">
        <f ca="1">IF(OR($D31&lt;&gt;"Serviço",AND(AUTOEVENTO="Manual",$M31=$A$15)),0,
         IF(OFFSET(CRONOPLE!$F$15,$M31-$A$15,AQ$13)=0,10^12,OFFSET(CRONOPLE!$F$15,$M31-$A$15,AQ$13)))</f>
        <v>1000000000000</v>
      </c>
      <c r="AR31" s="172">
        <f ca="1">IF(OR($D31&lt;&gt;"Serviço",AND(AUTOEVENTO="Manual",$M31=$A$15)),0,
         IF(OFFSET(CRONOPLE!$F$15,$M31-$A$15,AR$13)=0,10^12,OFFSET(CRONOPLE!$F$15,$M31-$A$15,AR$13)))</f>
        <v>1000000000000</v>
      </c>
      <c r="AS31" s="172">
        <f ca="1">IF(OR($D31&lt;&gt;"Serviço",AND(AUTOEVENTO="Manual",$M31=$A$15)),0,
         IF(OFFSET(CRONOPLE!$F$15,$M31-$A$15,AS$13)=0,10^12,OFFSET(CRONOPLE!$F$15,$M31-$A$15,AS$13)))</f>
        <v>1000000000000</v>
      </c>
      <c r="AT31" s="172">
        <f ca="1">IF(OR($D31&lt;&gt;"Serviço",AND(AUTOEVENTO="Manual",$M31=$A$15)),0,
         IF(OFFSET(CRONOPLE!$F$15,$M31-$A$15,AT$13)=0,10^12,OFFSET(CRONOPLE!$F$15,$M31-$A$15,AT$13)))</f>
        <v>1000000000000</v>
      </c>
      <c r="AU31" s="172">
        <f ca="1">IF(OR($D31&lt;&gt;"Serviço",AND(AUTOEVENTO="Manual",$M31=$A$15)),0,
         IF(OFFSET(CRONOPLE!$F$15,$M31-$A$15,AU$13)=0,10^12,OFFSET(CRONOPLE!$F$15,$M31-$A$15,AU$13)))</f>
        <v>1000000000000</v>
      </c>
      <c r="AV31" s="172">
        <f ca="1">IF(OR($D31&lt;&gt;"Serviço",AND(AUTOEVENTO="Manual",$M31=$A$15)),0,
         IF(OFFSET(CRONOPLE!$F$15,$M31-$A$15,AV$13)=0,10^12,OFFSET(CRONOPLE!$F$15,$M31-$A$15,AV$13)))</f>
        <v>1000000000000</v>
      </c>
      <c r="AX31" s="173">
        <f ca="1">IF(OR($D31&lt;&gt;"Serviço",AND(AUTOEVENTO="Manual",$M31=$A$15),$M31&gt;(ROW(PLE.lastrow)-ROW(PLE.firstrow))),0,
           IF(OFFSET(PLE!$G$15,$M31-$A$15,AX$13)="",10^12,OFFSET(PLE!$G$15,$M31-$A$15,AX$13)))</f>
        <v>1000000000000</v>
      </c>
      <c r="AY31" s="173">
        <f ca="1">IF(OR($D31&lt;&gt;"Serviço",AND(AUTOEVENTO="Manual",$M31=$A$15),$M31&gt;(ROW(PLE.lastrow)-ROW(PLE.firstrow))),0,
           IF(OFFSET(PLE!$G$15,$M31-$A$15,AY$13)="",10^12,OFFSET(PLE!$G$15,$M31-$A$15,AY$13)))</f>
        <v>1000000000000</v>
      </c>
      <c r="AZ31" s="173">
        <f ca="1">IF(OR($D31&lt;&gt;"Serviço",AND(AUTOEVENTO="Manual",$M31=$A$15),$M31&gt;(ROW(PLE.lastrow)-ROW(PLE.firstrow))),0,
           IF(OFFSET(PLE!$G$15,$M31-$A$15,AZ$13)="",10^12,OFFSET(PLE!$G$15,$M31-$A$15,AZ$13)))</f>
        <v>1000000000000</v>
      </c>
      <c r="BA31" s="173">
        <f ca="1">IF(OR($D31&lt;&gt;"Serviço",AND(AUTOEVENTO="Manual",$M31=$A$15),$M31&gt;(ROW(PLE.lastrow)-ROW(PLE.firstrow))),0,
           IF(OFFSET(PLE!$G$15,$M31-$A$15,BA$13)="",10^12,OFFSET(PLE!$G$15,$M31-$A$15,BA$13)))</f>
        <v>1000000000000</v>
      </c>
      <c r="BB31" s="173">
        <f ca="1">IF(OR($D31&lt;&gt;"Serviço",AND(AUTOEVENTO="Manual",$M31=$A$15),$M31&gt;(ROW(PLE.lastrow)-ROW(PLE.firstrow))),0,
           IF(OFFSET(PLE!$G$15,$M31-$A$15,BB$13)="",10^12,OFFSET(PLE!$G$15,$M31-$A$15,BB$13)))</f>
        <v>1000000000000</v>
      </c>
      <c r="BC31" s="173">
        <f ca="1">IF(OR($D31&lt;&gt;"Serviço",AND(AUTOEVENTO="Manual",$M31=$A$15),$M31&gt;(ROW(PLE.lastrow)-ROW(PLE.firstrow))),0,
           IF(OFFSET(PLE!$G$15,$M31-$A$15,BC$13)="",10^12,OFFSET(PLE!$G$15,$M31-$A$15,BC$13)))</f>
        <v>1000000000000</v>
      </c>
      <c r="BD31" s="173">
        <f ca="1">IF(OR($D31&lt;&gt;"Serviço",AND(AUTOEVENTO="Manual",$M31=$A$15),$M31&gt;(ROW(PLE.lastrow)-ROW(PLE.firstrow))),0,
           IF(OFFSET(PLE!$G$15,$M31-$A$15,BD$13)="",10^12,OFFSET(PLE!$G$15,$M31-$A$15,BD$13)))</f>
        <v>1000000000000</v>
      </c>
      <c r="BE31" s="173">
        <f ca="1">IF(OR($D31&lt;&gt;"Serviço",AND(AUTOEVENTO="Manual",$M31=$A$15),$M31&gt;(ROW(PLE.lastrow)-ROW(PLE.firstrow))),0,
           IF(OFFSET(PLE!$G$15,$M31-$A$15,BE$13)="",10^12,OFFSET(PLE!$G$15,$M31-$A$15,BE$13)))</f>
        <v>1000000000000</v>
      </c>
      <c r="BF31" s="173">
        <f ca="1">IF(OR($D31&lt;&gt;"Serviço",AND(AUTOEVENTO="Manual",$M31=$A$15),$M31&gt;(ROW(PLE.lastrow)-ROW(PLE.firstrow))),0,
           IF(OFFSET(PLE!$G$15,$M31-$A$15,BF$13)="",10^12,OFFSET(PLE!$G$15,$M31-$A$15,BF$13)))</f>
        <v>1000000000000</v>
      </c>
      <c r="BG31" s="173">
        <f ca="1">IF(OR($D31&lt;&gt;"Serviço",AND(AUTOEVENTO="Manual",$M31=$A$15),$M31&gt;(ROW(PLE.lastrow)-ROW(PLE.firstrow))),0,
           IF(OFFSET(PLE!$G$15,$M31-$A$15,BG$13)="",10^12,OFFSET(PLE!$G$15,$M31-$A$15,BG$13)))</f>
        <v>1000000000000</v>
      </c>
    </row>
    <row r="32" spans="1:59" s="675" customFormat="1" ht="25.5" x14ac:dyDescent="0.2">
      <c r="A32" s="671" t="str">
        <f t="shared" ca="1" si="9"/>
        <v>8</v>
      </c>
      <c r="B32" s="671" t="str">
        <f ca="1">OFFSET(ORÇAMENTO!C$15,ROW(B32)-ROW(B$15),0)</f>
        <v>S</v>
      </c>
      <c r="C32" s="671" t="str">
        <f ca="1">OFFSET(ORÇAMENTO!L$15,ROW(C32)-ROW(C$15),0)</f>
        <v/>
      </c>
      <c r="D32" s="117" t="str">
        <f ca="1">OFFSET(ORÇAMENTO!N$15,ROW(D32)-ROW(D$15),0)</f>
        <v>Serviço</v>
      </c>
      <c r="E32" s="118" t="str">
        <f ca="1">OFFSET(ORÇAMENTO!O$15,ROW(E32)-ROW(E$15),0)</f>
        <v>-</v>
      </c>
      <c r="F32" s="164" t="str">
        <f ca="1">OFFSET(ORÇAMENTO!R$15,ROW(F32)-ROW(F$15),0)</f>
        <v>(abra o arquivo 'Referência 09-2025.xlsm)</v>
      </c>
      <c r="G32" s="165" t="str">
        <f ca="1">IF($D32&lt;&gt;"Serviço","",OFFSET(ORÇAMENTO!S$15,ROW(G32)-ROW(G$15),0))</f>
        <v>-</v>
      </c>
      <c r="H32" s="123">
        <f ca="1">IF($D32&lt;&gt;"Serviço",0,IF(ACOMPANHAMENTO="BM",ROUND(OFFSET(ORÇAMENTO!AJ$15,ROW(H32)-ROW(H$15),0),15-13*ORÇAMENTO!$AF$7),SUMPRODUCT(($Q$1:$AA$1=1)*ROUND($Q32:$AA32,15-13*ORÇAMENTO!$AF$7))))</f>
        <v>67.209999999999994</v>
      </c>
      <c r="I32" s="469"/>
      <c r="J32" s="667" t="str">
        <f ca="1">IF(OR(B32&lt;&gt;"S",CÁLCULO.FrentesPreenchidas=0),"",IF(AND(ACOMPANHAMENTO="PLE",AUTOEVENTO="Manual",OR(H32&gt;0,ORÇAMENTO!AC32="QUANT."),OR(K32="",M32=0,N32="")),"►",IF(AND(ACOMPANHAMENTO="PLE",ORÇAMENTO!AC32="QUANT."),"►►",IF(AND(COUNTIF($P$11:$AA$11,"▼")=0,H32&gt;0,I32=""),"◄",""))))</f>
        <v/>
      </c>
      <c r="K32" s="668"/>
      <c r="L32" s="166" t="s">
        <v>765</v>
      </c>
      <c r="M32" s="167">
        <f ca="1">IF($D32&lt;&gt;"Serviço","",
          IF(AUTOEVENTO="manual",$A32,
                IF(ISERROR(MATCH($A32,$A$15:OFFSET($A32,-1,0),0)),MAX($M$15:OFFSET(M32,-1,0))+1,
                      INDEX($M$15:OFFSET(M32,-1,0),MATCH($A32,$A$15:OFFSET($A32,-1,0),0)))))</f>
        <v>2</v>
      </c>
      <c r="N32" s="168" t="str">
        <f ca="1">IF($D32&lt;&gt;"Serviço","",
         IF(AUTOEVENTO="Manual",
                IF($A32=0,"&lt;-- defina o número do agrupador",
                       OFFSET(EVENTOS!$D$15,$A32-$A$15,0)),
                OFFSET($F$15,$A32,0)))</f>
        <v>ASSENTAMENTO LINHA DE RECALQUE</v>
      </c>
      <c r="O32" s="169"/>
      <c r="Q32" s="169"/>
      <c r="R32" s="170"/>
      <c r="S32" s="170"/>
      <c r="T32" s="170"/>
      <c r="U32" s="170"/>
      <c r="V32" s="170"/>
      <c r="W32" s="170"/>
      <c r="X32" s="170"/>
      <c r="Y32" s="170"/>
      <c r="Z32" s="171"/>
      <c r="AB32" s="454">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4">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4">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4">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4">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4">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4">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4">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4">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4">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2">
        <f ca="1">IF(OR($D32&lt;&gt;"Serviço",AND(AUTOEVENTO="Manual",$M32=$A$15)),0,
         IF(OFFSET(CRONOPLE!$F$15,$M32-$A$15,AM$13)=0,10^12,OFFSET(CRONOPLE!$F$15,$M32-$A$15,AM$13)))</f>
        <v>1000000000000</v>
      </c>
      <c r="AN32" s="172">
        <f ca="1">IF(OR($D32&lt;&gt;"Serviço",AND(AUTOEVENTO="Manual",$M32=$A$15)),0,
         IF(OFFSET(CRONOPLE!$F$15,$M32-$A$15,AN$13)=0,10^12,OFFSET(CRONOPLE!$F$15,$M32-$A$15,AN$13)))</f>
        <v>1000000000000</v>
      </c>
      <c r="AO32" s="172">
        <f ca="1">IF(OR($D32&lt;&gt;"Serviço",AND(AUTOEVENTO="Manual",$M32=$A$15)),0,
         IF(OFFSET(CRONOPLE!$F$15,$M32-$A$15,AO$13)=0,10^12,OFFSET(CRONOPLE!$F$15,$M32-$A$15,AO$13)))</f>
        <v>1000000000000</v>
      </c>
      <c r="AP32" s="172">
        <f ca="1">IF(OR($D32&lt;&gt;"Serviço",AND(AUTOEVENTO="Manual",$M32=$A$15)),0,
         IF(OFFSET(CRONOPLE!$F$15,$M32-$A$15,AP$13)=0,10^12,OFFSET(CRONOPLE!$F$15,$M32-$A$15,AP$13)))</f>
        <v>1000000000000</v>
      </c>
      <c r="AQ32" s="172">
        <f ca="1">IF(OR($D32&lt;&gt;"Serviço",AND(AUTOEVENTO="Manual",$M32=$A$15)),0,
         IF(OFFSET(CRONOPLE!$F$15,$M32-$A$15,AQ$13)=0,10^12,OFFSET(CRONOPLE!$F$15,$M32-$A$15,AQ$13)))</f>
        <v>1000000000000</v>
      </c>
      <c r="AR32" s="172">
        <f ca="1">IF(OR($D32&lt;&gt;"Serviço",AND(AUTOEVENTO="Manual",$M32=$A$15)),0,
         IF(OFFSET(CRONOPLE!$F$15,$M32-$A$15,AR$13)=0,10^12,OFFSET(CRONOPLE!$F$15,$M32-$A$15,AR$13)))</f>
        <v>1000000000000</v>
      </c>
      <c r="AS32" s="172">
        <f ca="1">IF(OR($D32&lt;&gt;"Serviço",AND(AUTOEVENTO="Manual",$M32=$A$15)),0,
         IF(OFFSET(CRONOPLE!$F$15,$M32-$A$15,AS$13)=0,10^12,OFFSET(CRONOPLE!$F$15,$M32-$A$15,AS$13)))</f>
        <v>1000000000000</v>
      </c>
      <c r="AT32" s="172">
        <f ca="1">IF(OR($D32&lt;&gt;"Serviço",AND(AUTOEVENTO="Manual",$M32=$A$15)),0,
         IF(OFFSET(CRONOPLE!$F$15,$M32-$A$15,AT$13)=0,10^12,OFFSET(CRONOPLE!$F$15,$M32-$A$15,AT$13)))</f>
        <v>1000000000000</v>
      </c>
      <c r="AU32" s="172">
        <f ca="1">IF(OR($D32&lt;&gt;"Serviço",AND(AUTOEVENTO="Manual",$M32=$A$15)),0,
         IF(OFFSET(CRONOPLE!$F$15,$M32-$A$15,AU$13)=0,10^12,OFFSET(CRONOPLE!$F$15,$M32-$A$15,AU$13)))</f>
        <v>1000000000000</v>
      </c>
      <c r="AV32" s="172">
        <f ca="1">IF(OR($D32&lt;&gt;"Serviço",AND(AUTOEVENTO="Manual",$M32=$A$15)),0,
         IF(OFFSET(CRONOPLE!$F$15,$M32-$A$15,AV$13)=0,10^12,OFFSET(CRONOPLE!$F$15,$M32-$A$15,AV$13)))</f>
        <v>1000000000000</v>
      </c>
      <c r="AX32" s="173">
        <f ca="1">IF(OR($D32&lt;&gt;"Serviço",AND(AUTOEVENTO="Manual",$M32=$A$15),$M32&gt;(ROW(PLE.lastrow)-ROW(PLE.firstrow))),0,
           IF(OFFSET(PLE!$G$15,$M32-$A$15,AX$13)="",10^12,OFFSET(PLE!$G$15,$M32-$A$15,AX$13)))</f>
        <v>1000000000000</v>
      </c>
      <c r="AY32" s="173">
        <f ca="1">IF(OR($D32&lt;&gt;"Serviço",AND(AUTOEVENTO="Manual",$M32=$A$15),$M32&gt;(ROW(PLE.lastrow)-ROW(PLE.firstrow))),0,
           IF(OFFSET(PLE!$G$15,$M32-$A$15,AY$13)="",10^12,OFFSET(PLE!$G$15,$M32-$A$15,AY$13)))</f>
        <v>1000000000000</v>
      </c>
      <c r="AZ32" s="173">
        <f ca="1">IF(OR($D32&lt;&gt;"Serviço",AND(AUTOEVENTO="Manual",$M32=$A$15),$M32&gt;(ROW(PLE.lastrow)-ROW(PLE.firstrow))),0,
           IF(OFFSET(PLE!$G$15,$M32-$A$15,AZ$13)="",10^12,OFFSET(PLE!$G$15,$M32-$A$15,AZ$13)))</f>
        <v>1000000000000</v>
      </c>
      <c r="BA32" s="173">
        <f ca="1">IF(OR($D32&lt;&gt;"Serviço",AND(AUTOEVENTO="Manual",$M32=$A$15),$M32&gt;(ROW(PLE.lastrow)-ROW(PLE.firstrow))),0,
           IF(OFFSET(PLE!$G$15,$M32-$A$15,BA$13)="",10^12,OFFSET(PLE!$G$15,$M32-$A$15,BA$13)))</f>
        <v>1000000000000</v>
      </c>
      <c r="BB32" s="173">
        <f ca="1">IF(OR($D32&lt;&gt;"Serviço",AND(AUTOEVENTO="Manual",$M32=$A$15),$M32&gt;(ROW(PLE.lastrow)-ROW(PLE.firstrow))),0,
           IF(OFFSET(PLE!$G$15,$M32-$A$15,BB$13)="",10^12,OFFSET(PLE!$G$15,$M32-$A$15,BB$13)))</f>
        <v>1000000000000</v>
      </c>
      <c r="BC32" s="173">
        <f ca="1">IF(OR($D32&lt;&gt;"Serviço",AND(AUTOEVENTO="Manual",$M32=$A$15),$M32&gt;(ROW(PLE.lastrow)-ROW(PLE.firstrow))),0,
           IF(OFFSET(PLE!$G$15,$M32-$A$15,BC$13)="",10^12,OFFSET(PLE!$G$15,$M32-$A$15,BC$13)))</f>
        <v>1000000000000</v>
      </c>
      <c r="BD32" s="173">
        <f ca="1">IF(OR($D32&lt;&gt;"Serviço",AND(AUTOEVENTO="Manual",$M32=$A$15),$M32&gt;(ROW(PLE.lastrow)-ROW(PLE.firstrow))),0,
           IF(OFFSET(PLE!$G$15,$M32-$A$15,BD$13)="",10^12,OFFSET(PLE!$G$15,$M32-$A$15,BD$13)))</f>
        <v>1000000000000</v>
      </c>
      <c r="BE32" s="173">
        <f ca="1">IF(OR($D32&lt;&gt;"Serviço",AND(AUTOEVENTO="Manual",$M32=$A$15),$M32&gt;(ROW(PLE.lastrow)-ROW(PLE.firstrow))),0,
           IF(OFFSET(PLE!$G$15,$M32-$A$15,BE$13)="",10^12,OFFSET(PLE!$G$15,$M32-$A$15,BE$13)))</f>
        <v>1000000000000</v>
      </c>
      <c r="BF32" s="173">
        <f ca="1">IF(OR($D32&lt;&gt;"Serviço",AND(AUTOEVENTO="Manual",$M32=$A$15),$M32&gt;(ROW(PLE.lastrow)-ROW(PLE.firstrow))),0,
           IF(OFFSET(PLE!$G$15,$M32-$A$15,BF$13)="",10^12,OFFSET(PLE!$G$15,$M32-$A$15,BF$13)))</f>
        <v>1000000000000</v>
      </c>
      <c r="BG32" s="173">
        <f ca="1">IF(OR($D32&lt;&gt;"Serviço",AND(AUTOEVENTO="Manual",$M32=$A$15),$M32&gt;(ROW(PLE.lastrow)-ROW(PLE.firstrow))),0,
           IF(OFFSET(PLE!$G$15,$M32-$A$15,BG$13)="",10^12,OFFSET(PLE!$G$15,$M32-$A$15,BG$13)))</f>
        <v>1000000000000</v>
      </c>
    </row>
    <row r="33" spans="1:59" s="675" customFormat="1" ht="25.5" x14ac:dyDescent="0.2">
      <c r="A33" s="671" t="str">
        <f t="shared" ca="1" si="9"/>
        <v>8</v>
      </c>
      <c r="B33" s="671" t="str">
        <f ca="1">OFFSET(ORÇAMENTO!C$15,ROW(B33)-ROW(B$15),0)</f>
        <v>S</v>
      </c>
      <c r="C33" s="671" t="str">
        <f ca="1">OFFSET(ORÇAMENTO!L$15,ROW(C33)-ROW(C$15),0)</f>
        <v/>
      </c>
      <c r="D33" s="117" t="str">
        <f ca="1">OFFSET(ORÇAMENTO!N$15,ROW(D33)-ROW(D$15),0)</f>
        <v>Serviço</v>
      </c>
      <c r="E33" s="118" t="str">
        <f ca="1">OFFSET(ORÇAMENTO!O$15,ROW(E33)-ROW(E$15),0)</f>
        <v>-</v>
      </c>
      <c r="F33" s="164" t="str">
        <f ca="1">OFFSET(ORÇAMENTO!R$15,ROW(F33)-ROW(F$15),0)</f>
        <v>(abra o arquivo 'Referência 09-2025.xlsm)</v>
      </c>
      <c r="G33" s="165" t="str">
        <f ca="1">IF($D33&lt;&gt;"Serviço","",OFFSET(ORÇAMENTO!S$15,ROW(G33)-ROW(G$15),0))</f>
        <v>-</v>
      </c>
      <c r="H33" s="123">
        <f ca="1">IF($D33&lt;&gt;"Serviço",0,IF(ACOMPANHAMENTO="BM",ROUND(OFFSET(ORÇAMENTO!AJ$15,ROW(H33)-ROW(H$15),0),15-13*ORÇAMENTO!$AF$7),SUMPRODUCT(($Q$1:$AA$1=1)*ROUND($Q33:$AA33,15-13*ORÇAMENTO!$AF$7))))</f>
        <v>1</v>
      </c>
      <c r="I33" s="469"/>
      <c r="J33" s="667" t="str">
        <f ca="1">IF(OR(B33&lt;&gt;"S",CÁLCULO.FrentesPreenchidas=0),"",IF(AND(ACOMPANHAMENTO="PLE",AUTOEVENTO="Manual",OR(H33&gt;0,ORÇAMENTO!AC33="QUANT."),OR(K33="",M33=0,N33="")),"►",IF(AND(ACOMPANHAMENTO="PLE",ORÇAMENTO!AC33="QUANT."),"►►",IF(AND(COUNTIF($P$11:$AA$11,"▼")=0,H33&gt;0,I33=""),"◄",""))))</f>
        <v/>
      </c>
      <c r="K33" s="668"/>
      <c r="L33" s="166" t="s">
        <v>765</v>
      </c>
      <c r="M33" s="167">
        <f ca="1">IF($D33&lt;&gt;"Serviço","",
          IF(AUTOEVENTO="manual",$A33,
                IF(ISERROR(MATCH($A33,$A$15:OFFSET($A33,-1,0),0)),MAX($M$15:OFFSET(M33,-1,0))+1,
                      INDEX($M$15:OFFSET(M33,-1,0),MATCH($A33,$A$15:OFFSET($A33,-1,0),0)))))</f>
        <v>2</v>
      </c>
      <c r="N33" s="168" t="str">
        <f ca="1">IF($D33&lt;&gt;"Serviço","",
         IF(AUTOEVENTO="Manual",
                IF($A33=0,"&lt;-- defina o número do agrupador",
                       OFFSET(EVENTOS!$D$15,$A33-$A$15,0)),
                OFFSET($F$15,$A33,0)))</f>
        <v>ASSENTAMENTO LINHA DE RECALQUE</v>
      </c>
      <c r="O33" s="169"/>
      <c r="Q33" s="169"/>
      <c r="R33" s="170"/>
      <c r="S33" s="170"/>
      <c r="T33" s="170"/>
      <c r="U33" s="170"/>
      <c r="V33" s="170"/>
      <c r="W33" s="170"/>
      <c r="X33" s="170"/>
      <c r="Y33" s="170"/>
      <c r="Z33" s="171"/>
      <c r="AB33" s="454">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4">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4">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4">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4">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4">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4">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4">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4">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4">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2">
        <f ca="1">IF(OR($D33&lt;&gt;"Serviço",AND(AUTOEVENTO="Manual",$M33=$A$15)),0,
         IF(OFFSET(CRONOPLE!$F$15,$M33-$A$15,AM$13)=0,10^12,OFFSET(CRONOPLE!$F$15,$M33-$A$15,AM$13)))</f>
        <v>1000000000000</v>
      </c>
      <c r="AN33" s="172">
        <f ca="1">IF(OR($D33&lt;&gt;"Serviço",AND(AUTOEVENTO="Manual",$M33=$A$15)),0,
         IF(OFFSET(CRONOPLE!$F$15,$M33-$A$15,AN$13)=0,10^12,OFFSET(CRONOPLE!$F$15,$M33-$A$15,AN$13)))</f>
        <v>1000000000000</v>
      </c>
      <c r="AO33" s="172">
        <f ca="1">IF(OR($D33&lt;&gt;"Serviço",AND(AUTOEVENTO="Manual",$M33=$A$15)),0,
         IF(OFFSET(CRONOPLE!$F$15,$M33-$A$15,AO$13)=0,10^12,OFFSET(CRONOPLE!$F$15,$M33-$A$15,AO$13)))</f>
        <v>1000000000000</v>
      </c>
      <c r="AP33" s="172">
        <f ca="1">IF(OR($D33&lt;&gt;"Serviço",AND(AUTOEVENTO="Manual",$M33=$A$15)),0,
         IF(OFFSET(CRONOPLE!$F$15,$M33-$A$15,AP$13)=0,10^12,OFFSET(CRONOPLE!$F$15,$M33-$A$15,AP$13)))</f>
        <v>1000000000000</v>
      </c>
      <c r="AQ33" s="172">
        <f ca="1">IF(OR($D33&lt;&gt;"Serviço",AND(AUTOEVENTO="Manual",$M33=$A$15)),0,
         IF(OFFSET(CRONOPLE!$F$15,$M33-$A$15,AQ$13)=0,10^12,OFFSET(CRONOPLE!$F$15,$M33-$A$15,AQ$13)))</f>
        <v>1000000000000</v>
      </c>
      <c r="AR33" s="172">
        <f ca="1">IF(OR($D33&lt;&gt;"Serviço",AND(AUTOEVENTO="Manual",$M33=$A$15)),0,
         IF(OFFSET(CRONOPLE!$F$15,$M33-$A$15,AR$13)=0,10^12,OFFSET(CRONOPLE!$F$15,$M33-$A$15,AR$13)))</f>
        <v>1000000000000</v>
      </c>
      <c r="AS33" s="172">
        <f ca="1">IF(OR($D33&lt;&gt;"Serviço",AND(AUTOEVENTO="Manual",$M33=$A$15)),0,
         IF(OFFSET(CRONOPLE!$F$15,$M33-$A$15,AS$13)=0,10^12,OFFSET(CRONOPLE!$F$15,$M33-$A$15,AS$13)))</f>
        <v>1000000000000</v>
      </c>
      <c r="AT33" s="172">
        <f ca="1">IF(OR($D33&lt;&gt;"Serviço",AND(AUTOEVENTO="Manual",$M33=$A$15)),0,
         IF(OFFSET(CRONOPLE!$F$15,$M33-$A$15,AT$13)=0,10^12,OFFSET(CRONOPLE!$F$15,$M33-$A$15,AT$13)))</f>
        <v>1000000000000</v>
      </c>
      <c r="AU33" s="172">
        <f ca="1">IF(OR($D33&lt;&gt;"Serviço",AND(AUTOEVENTO="Manual",$M33=$A$15)),0,
         IF(OFFSET(CRONOPLE!$F$15,$M33-$A$15,AU$13)=0,10^12,OFFSET(CRONOPLE!$F$15,$M33-$A$15,AU$13)))</f>
        <v>1000000000000</v>
      </c>
      <c r="AV33" s="172">
        <f ca="1">IF(OR($D33&lt;&gt;"Serviço",AND(AUTOEVENTO="Manual",$M33=$A$15)),0,
         IF(OFFSET(CRONOPLE!$F$15,$M33-$A$15,AV$13)=0,10^12,OFFSET(CRONOPLE!$F$15,$M33-$A$15,AV$13)))</f>
        <v>1000000000000</v>
      </c>
      <c r="AX33" s="173">
        <f ca="1">IF(OR($D33&lt;&gt;"Serviço",AND(AUTOEVENTO="Manual",$M33=$A$15),$M33&gt;(ROW(PLE.lastrow)-ROW(PLE.firstrow))),0,
           IF(OFFSET(PLE!$G$15,$M33-$A$15,AX$13)="",10^12,OFFSET(PLE!$G$15,$M33-$A$15,AX$13)))</f>
        <v>1000000000000</v>
      </c>
      <c r="AY33" s="173">
        <f ca="1">IF(OR($D33&lt;&gt;"Serviço",AND(AUTOEVENTO="Manual",$M33=$A$15),$M33&gt;(ROW(PLE.lastrow)-ROW(PLE.firstrow))),0,
           IF(OFFSET(PLE!$G$15,$M33-$A$15,AY$13)="",10^12,OFFSET(PLE!$G$15,$M33-$A$15,AY$13)))</f>
        <v>1000000000000</v>
      </c>
      <c r="AZ33" s="173">
        <f ca="1">IF(OR($D33&lt;&gt;"Serviço",AND(AUTOEVENTO="Manual",$M33=$A$15),$M33&gt;(ROW(PLE.lastrow)-ROW(PLE.firstrow))),0,
           IF(OFFSET(PLE!$G$15,$M33-$A$15,AZ$13)="",10^12,OFFSET(PLE!$G$15,$M33-$A$15,AZ$13)))</f>
        <v>1000000000000</v>
      </c>
      <c r="BA33" s="173">
        <f ca="1">IF(OR($D33&lt;&gt;"Serviço",AND(AUTOEVENTO="Manual",$M33=$A$15),$M33&gt;(ROW(PLE.lastrow)-ROW(PLE.firstrow))),0,
           IF(OFFSET(PLE!$G$15,$M33-$A$15,BA$13)="",10^12,OFFSET(PLE!$G$15,$M33-$A$15,BA$13)))</f>
        <v>1000000000000</v>
      </c>
      <c r="BB33" s="173">
        <f ca="1">IF(OR($D33&lt;&gt;"Serviço",AND(AUTOEVENTO="Manual",$M33=$A$15),$M33&gt;(ROW(PLE.lastrow)-ROW(PLE.firstrow))),0,
           IF(OFFSET(PLE!$G$15,$M33-$A$15,BB$13)="",10^12,OFFSET(PLE!$G$15,$M33-$A$15,BB$13)))</f>
        <v>1000000000000</v>
      </c>
      <c r="BC33" s="173">
        <f ca="1">IF(OR($D33&lt;&gt;"Serviço",AND(AUTOEVENTO="Manual",$M33=$A$15),$M33&gt;(ROW(PLE.lastrow)-ROW(PLE.firstrow))),0,
           IF(OFFSET(PLE!$G$15,$M33-$A$15,BC$13)="",10^12,OFFSET(PLE!$G$15,$M33-$A$15,BC$13)))</f>
        <v>1000000000000</v>
      </c>
      <c r="BD33" s="173">
        <f ca="1">IF(OR($D33&lt;&gt;"Serviço",AND(AUTOEVENTO="Manual",$M33=$A$15),$M33&gt;(ROW(PLE.lastrow)-ROW(PLE.firstrow))),0,
           IF(OFFSET(PLE!$G$15,$M33-$A$15,BD$13)="",10^12,OFFSET(PLE!$G$15,$M33-$A$15,BD$13)))</f>
        <v>1000000000000</v>
      </c>
      <c r="BE33" s="173">
        <f ca="1">IF(OR($D33&lt;&gt;"Serviço",AND(AUTOEVENTO="Manual",$M33=$A$15),$M33&gt;(ROW(PLE.lastrow)-ROW(PLE.firstrow))),0,
           IF(OFFSET(PLE!$G$15,$M33-$A$15,BE$13)="",10^12,OFFSET(PLE!$G$15,$M33-$A$15,BE$13)))</f>
        <v>1000000000000</v>
      </c>
      <c r="BF33" s="173">
        <f ca="1">IF(OR($D33&lt;&gt;"Serviço",AND(AUTOEVENTO="Manual",$M33=$A$15),$M33&gt;(ROW(PLE.lastrow)-ROW(PLE.firstrow))),0,
           IF(OFFSET(PLE!$G$15,$M33-$A$15,BF$13)="",10^12,OFFSET(PLE!$G$15,$M33-$A$15,BF$13)))</f>
        <v>1000000000000</v>
      </c>
      <c r="BG33" s="173">
        <f ca="1">IF(OR($D33&lt;&gt;"Serviço",AND(AUTOEVENTO="Manual",$M33=$A$15),$M33&gt;(ROW(PLE.lastrow)-ROW(PLE.firstrow))),0,
           IF(OFFSET(PLE!$G$15,$M33-$A$15,BG$13)="",10^12,OFFSET(PLE!$G$15,$M33-$A$15,BG$13)))</f>
        <v>1000000000000</v>
      </c>
    </row>
    <row r="34" spans="1:59" s="675" customFormat="1" ht="25.5" x14ac:dyDescent="0.2">
      <c r="A34" s="671" t="str">
        <f t="shared" ca="1" si="9"/>
        <v>8</v>
      </c>
      <c r="B34" s="671" t="str">
        <f ca="1">OFFSET(ORÇAMENTO!C$15,ROW(B34)-ROW(B$15),0)</f>
        <v>S</v>
      </c>
      <c r="C34" s="671" t="str">
        <f ca="1">OFFSET(ORÇAMENTO!L$15,ROW(C34)-ROW(C$15),0)</f>
        <v/>
      </c>
      <c r="D34" s="117" t="str">
        <f ca="1">OFFSET(ORÇAMENTO!N$15,ROW(D34)-ROW(D$15),0)</f>
        <v>Serviço</v>
      </c>
      <c r="E34" s="118" t="str">
        <f ca="1">OFFSET(ORÇAMENTO!O$15,ROW(E34)-ROW(E$15),0)</f>
        <v>-</v>
      </c>
      <c r="F34" s="164" t="str">
        <f ca="1">OFFSET(ORÇAMENTO!R$15,ROW(F34)-ROW(F$15),0)</f>
        <v>(abra o arquivo 'Referência 09-2025.xlsm)</v>
      </c>
      <c r="G34" s="165" t="str">
        <f ca="1">IF($D34&lt;&gt;"Serviço","",OFFSET(ORÇAMENTO!S$15,ROW(G34)-ROW(G$15),0))</f>
        <v>-</v>
      </c>
      <c r="H34" s="123">
        <f ca="1">IF($D34&lt;&gt;"Serviço",0,IF(ACOMPANHAMENTO="BM",ROUND(OFFSET(ORÇAMENTO!AJ$15,ROW(H34)-ROW(H$15),0),15-13*ORÇAMENTO!$AF$7),SUMPRODUCT(($Q$1:$AA$1=1)*ROUND($Q34:$AA34,15-13*ORÇAMENTO!$AF$7))))</f>
        <v>1</v>
      </c>
      <c r="I34" s="469"/>
      <c r="J34" s="667" t="str">
        <f ca="1">IF(OR(B34&lt;&gt;"S",CÁLCULO.FrentesPreenchidas=0),"",IF(AND(ACOMPANHAMENTO="PLE",AUTOEVENTO="Manual",OR(H34&gt;0,ORÇAMENTO!AC34="QUANT."),OR(K34="",M34=0,N34="")),"►",IF(AND(ACOMPANHAMENTO="PLE",ORÇAMENTO!AC34="QUANT."),"►►",IF(AND(COUNTIF($P$11:$AA$11,"▼")=0,H34&gt;0,I34=""),"◄",""))))</f>
        <v/>
      </c>
      <c r="K34" s="668"/>
      <c r="L34" s="166" t="s">
        <v>765</v>
      </c>
      <c r="M34" s="167">
        <f ca="1">IF($D34&lt;&gt;"Serviço","",
          IF(AUTOEVENTO="manual",$A34,
                IF(ISERROR(MATCH($A34,$A$15:OFFSET($A34,-1,0),0)),MAX($M$15:OFFSET(M34,-1,0))+1,
                      INDEX($M$15:OFFSET(M34,-1,0),MATCH($A34,$A$15:OFFSET($A34,-1,0),0)))))</f>
        <v>2</v>
      </c>
      <c r="N34" s="168" t="str">
        <f ca="1">IF($D34&lt;&gt;"Serviço","",
         IF(AUTOEVENTO="Manual",
                IF($A34=0,"&lt;-- defina o número do agrupador",
                       OFFSET(EVENTOS!$D$15,$A34-$A$15,0)),
                OFFSET($F$15,$A34,0)))</f>
        <v>ASSENTAMENTO LINHA DE RECALQUE</v>
      </c>
      <c r="O34" s="169"/>
      <c r="Q34" s="169"/>
      <c r="R34" s="170"/>
      <c r="S34" s="170"/>
      <c r="T34" s="170"/>
      <c r="U34" s="170"/>
      <c r="V34" s="170"/>
      <c r="W34" s="170"/>
      <c r="X34" s="170"/>
      <c r="Y34" s="170"/>
      <c r="Z34" s="171"/>
      <c r="AB34" s="454">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4">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4">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4">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4">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4">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4">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4">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4">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4">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2">
        <f ca="1">IF(OR($D34&lt;&gt;"Serviço",AND(AUTOEVENTO="Manual",$M34=$A$15)),0,
         IF(OFFSET(CRONOPLE!$F$15,$M34-$A$15,AM$13)=0,10^12,OFFSET(CRONOPLE!$F$15,$M34-$A$15,AM$13)))</f>
        <v>1000000000000</v>
      </c>
      <c r="AN34" s="172">
        <f ca="1">IF(OR($D34&lt;&gt;"Serviço",AND(AUTOEVENTO="Manual",$M34=$A$15)),0,
         IF(OFFSET(CRONOPLE!$F$15,$M34-$A$15,AN$13)=0,10^12,OFFSET(CRONOPLE!$F$15,$M34-$A$15,AN$13)))</f>
        <v>1000000000000</v>
      </c>
      <c r="AO34" s="172">
        <f ca="1">IF(OR($D34&lt;&gt;"Serviço",AND(AUTOEVENTO="Manual",$M34=$A$15)),0,
         IF(OFFSET(CRONOPLE!$F$15,$M34-$A$15,AO$13)=0,10^12,OFFSET(CRONOPLE!$F$15,$M34-$A$15,AO$13)))</f>
        <v>1000000000000</v>
      </c>
      <c r="AP34" s="172">
        <f ca="1">IF(OR($D34&lt;&gt;"Serviço",AND(AUTOEVENTO="Manual",$M34=$A$15)),0,
         IF(OFFSET(CRONOPLE!$F$15,$M34-$A$15,AP$13)=0,10^12,OFFSET(CRONOPLE!$F$15,$M34-$A$15,AP$13)))</f>
        <v>1000000000000</v>
      </c>
      <c r="AQ34" s="172">
        <f ca="1">IF(OR($D34&lt;&gt;"Serviço",AND(AUTOEVENTO="Manual",$M34=$A$15)),0,
         IF(OFFSET(CRONOPLE!$F$15,$M34-$A$15,AQ$13)=0,10^12,OFFSET(CRONOPLE!$F$15,$M34-$A$15,AQ$13)))</f>
        <v>1000000000000</v>
      </c>
      <c r="AR34" s="172">
        <f ca="1">IF(OR($D34&lt;&gt;"Serviço",AND(AUTOEVENTO="Manual",$M34=$A$15)),0,
         IF(OFFSET(CRONOPLE!$F$15,$M34-$A$15,AR$13)=0,10^12,OFFSET(CRONOPLE!$F$15,$M34-$A$15,AR$13)))</f>
        <v>1000000000000</v>
      </c>
      <c r="AS34" s="172">
        <f ca="1">IF(OR($D34&lt;&gt;"Serviço",AND(AUTOEVENTO="Manual",$M34=$A$15)),0,
         IF(OFFSET(CRONOPLE!$F$15,$M34-$A$15,AS$13)=0,10^12,OFFSET(CRONOPLE!$F$15,$M34-$A$15,AS$13)))</f>
        <v>1000000000000</v>
      </c>
      <c r="AT34" s="172">
        <f ca="1">IF(OR($D34&lt;&gt;"Serviço",AND(AUTOEVENTO="Manual",$M34=$A$15)),0,
         IF(OFFSET(CRONOPLE!$F$15,$M34-$A$15,AT$13)=0,10^12,OFFSET(CRONOPLE!$F$15,$M34-$A$15,AT$13)))</f>
        <v>1000000000000</v>
      </c>
      <c r="AU34" s="172">
        <f ca="1">IF(OR($D34&lt;&gt;"Serviço",AND(AUTOEVENTO="Manual",$M34=$A$15)),0,
         IF(OFFSET(CRONOPLE!$F$15,$M34-$A$15,AU$13)=0,10^12,OFFSET(CRONOPLE!$F$15,$M34-$A$15,AU$13)))</f>
        <v>1000000000000</v>
      </c>
      <c r="AV34" s="172">
        <f ca="1">IF(OR($D34&lt;&gt;"Serviço",AND(AUTOEVENTO="Manual",$M34=$A$15)),0,
         IF(OFFSET(CRONOPLE!$F$15,$M34-$A$15,AV$13)=0,10^12,OFFSET(CRONOPLE!$F$15,$M34-$A$15,AV$13)))</f>
        <v>1000000000000</v>
      </c>
      <c r="AX34" s="173">
        <f ca="1">IF(OR($D34&lt;&gt;"Serviço",AND(AUTOEVENTO="Manual",$M34=$A$15),$M34&gt;(ROW(PLE.lastrow)-ROW(PLE.firstrow))),0,
           IF(OFFSET(PLE!$G$15,$M34-$A$15,AX$13)="",10^12,OFFSET(PLE!$G$15,$M34-$A$15,AX$13)))</f>
        <v>1000000000000</v>
      </c>
      <c r="AY34" s="173">
        <f ca="1">IF(OR($D34&lt;&gt;"Serviço",AND(AUTOEVENTO="Manual",$M34=$A$15),$M34&gt;(ROW(PLE.lastrow)-ROW(PLE.firstrow))),0,
           IF(OFFSET(PLE!$G$15,$M34-$A$15,AY$13)="",10^12,OFFSET(PLE!$G$15,$M34-$A$15,AY$13)))</f>
        <v>1000000000000</v>
      </c>
      <c r="AZ34" s="173">
        <f ca="1">IF(OR($D34&lt;&gt;"Serviço",AND(AUTOEVENTO="Manual",$M34=$A$15),$M34&gt;(ROW(PLE.lastrow)-ROW(PLE.firstrow))),0,
           IF(OFFSET(PLE!$G$15,$M34-$A$15,AZ$13)="",10^12,OFFSET(PLE!$G$15,$M34-$A$15,AZ$13)))</f>
        <v>1000000000000</v>
      </c>
      <c r="BA34" s="173">
        <f ca="1">IF(OR($D34&lt;&gt;"Serviço",AND(AUTOEVENTO="Manual",$M34=$A$15),$M34&gt;(ROW(PLE.lastrow)-ROW(PLE.firstrow))),0,
           IF(OFFSET(PLE!$G$15,$M34-$A$15,BA$13)="",10^12,OFFSET(PLE!$G$15,$M34-$A$15,BA$13)))</f>
        <v>1000000000000</v>
      </c>
      <c r="BB34" s="173">
        <f ca="1">IF(OR($D34&lt;&gt;"Serviço",AND(AUTOEVENTO="Manual",$M34=$A$15),$M34&gt;(ROW(PLE.lastrow)-ROW(PLE.firstrow))),0,
           IF(OFFSET(PLE!$G$15,$M34-$A$15,BB$13)="",10^12,OFFSET(PLE!$G$15,$M34-$A$15,BB$13)))</f>
        <v>1000000000000</v>
      </c>
      <c r="BC34" s="173">
        <f ca="1">IF(OR($D34&lt;&gt;"Serviço",AND(AUTOEVENTO="Manual",$M34=$A$15),$M34&gt;(ROW(PLE.lastrow)-ROW(PLE.firstrow))),0,
           IF(OFFSET(PLE!$G$15,$M34-$A$15,BC$13)="",10^12,OFFSET(PLE!$G$15,$M34-$A$15,BC$13)))</f>
        <v>1000000000000</v>
      </c>
      <c r="BD34" s="173">
        <f ca="1">IF(OR($D34&lt;&gt;"Serviço",AND(AUTOEVENTO="Manual",$M34=$A$15),$M34&gt;(ROW(PLE.lastrow)-ROW(PLE.firstrow))),0,
           IF(OFFSET(PLE!$G$15,$M34-$A$15,BD$13)="",10^12,OFFSET(PLE!$G$15,$M34-$A$15,BD$13)))</f>
        <v>1000000000000</v>
      </c>
      <c r="BE34" s="173">
        <f ca="1">IF(OR($D34&lt;&gt;"Serviço",AND(AUTOEVENTO="Manual",$M34=$A$15),$M34&gt;(ROW(PLE.lastrow)-ROW(PLE.firstrow))),0,
           IF(OFFSET(PLE!$G$15,$M34-$A$15,BE$13)="",10^12,OFFSET(PLE!$G$15,$M34-$A$15,BE$13)))</f>
        <v>1000000000000</v>
      </c>
      <c r="BF34" s="173">
        <f ca="1">IF(OR($D34&lt;&gt;"Serviço",AND(AUTOEVENTO="Manual",$M34=$A$15),$M34&gt;(ROW(PLE.lastrow)-ROW(PLE.firstrow))),0,
           IF(OFFSET(PLE!$G$15,$M34-$A$15,BF$13)="",10^12,OFFSET(PLE!$G$15,$M34-$A$15,BF$13)))</f>
        <v>1000000000000</v>
      </c>
      <c r="BG34" s="173">
        <f ca="1">IF(OR($D34&lt;&gt;"Serviço",AND(AUTOEVENTO="Manual",$M34=$A$15),$M34&gt;(ROW(PLE.lastrow)-ROW(PLE.firstrow))),0,
           IF(OFFSET(PLE!$G$15,$M34-$A$15,BG$13)="",10^12,OFFSET(PLE!$G$15,$M34-$A$15,BG$13)))</f>
        <v>1000000000000</v>
      </c>
    </row>
    <row r="35" spans="1:59" s="675" customFormat="1" ht="38.25" x14ac:dyDescent="0.2">
      <c r="A35" s="671" t="str">
        <f t="shared" ca="1" si="9"/>
        <v>8</v>
      </c>
      <c r="B35" s="671" t="str">
        <f ca="1">OFFSET(ORÇAMENTO!C$15,ROW(B35)-ROW(B$15),0)</f>
        <v>S</v>
      </c>
      <c r="C35" s="671" t="str">
        <f ca="1">OFFSET(ORÇAMENTO!L$15,ROW(C35)-ROW(C$15),0)</f>
        <v/>
      </c>
      <c r="D35" s="117" t="str">
        <f ca="1">OFFSET(ORÇAMENTO!N$15,ROW(D35)-ROW(D$15),0)</f>
        <v>Serviço</v>
      </c>
      <c r="E35" s="118" t="str">
        <f ca="1">OFFSET(ORÇAMENTO!O$15,ROW(E35)-ROW(E$15),0)</f>
        <v>-</v>
      </c>
      <c r="F35" s="164" t="str">
        <f ca="1">OFFSET(ORÇAMENTO!R$15,ROW(F35)-ROW(F$15),0)</f>
        <v>(abra o arquivo 'Referência 09-2025.xlsm)</v>
      </c>
      <c r="G35" s="165" t="str">
        <f ca="1">IF($D35&lt;&gt;"Serviço","",OFFSET(ORÇAMENTO!S$15,ROW(G35)-ROW(G$15),0))</f>
        <v>-</v>
      </c>
      <c r="H35" s="123">
        <f ca="1">IF($D35&lt;&gt;"Serviço",0,IF(ACOMPANHAMENTO="BM",ROUND(OFFSET(ORÇAMENTO!AJ$15,ROW(H35)-ROW(H$15),0),15-13*ORÇAMENTO!$AF$7),SUMPRODUCT(($Q$1:$AA$1=1)*ROUND($Q35:$AA35,15-13*ORÇAMENTO!$AF$7))))</f>
        <v>1140</v>
      </c>
      <c r="I35" s="469" t="s">
        <v>1113</v>
      </c>
      <c r="J35" s="667" t="str">
        <f ca="1">IF(OR(B35&lt;&gt;"S",CÁLCULO.FrentesPreenchidas=0),"",IF(AND(ACOMPANHAMENTO="PLE",AUTOEVENTO="Manual",OR(H35&gt;0,ORÇAMENTO!AC35="QUANT."),OR(K35="",M35=0,N35="")),"►",IF(AND(ACOMPANHAMENTO="PLE",ORÇAMENTO!AC35="QUANT."),"►►",IF(AND(COUNTIF($P$11:$AA$11,"▼")=0,H35&gt;0,I35=""),"◄",""))))</f>
        <v/>
      </c>
      <c r="K35" s="668"/>
      <c r="L35" s="166" t="s">
        <v>765</v>
      </c>
      <c r="M35" s="167">
        <f ca="1">IF($D35&lt;&gt;"Serviço","",
          IF(AUTOEVENTO="manual",$A35,
                IF(ISERROR(MATCH($A35,$A$15:OFFSET($A35,-1,0),0)),MAX($M$15:OFFSET(M35,-1,0))+1,
                      INDEX($M$15:OFFSET(M35,-1,0),MATCH($A35,$A$15:OFFSET($A35,-1,0),0)))))</f>
        <v>2</v>
      </c>
      <c r="N35" s="168" t="str">
        <f ca="1">IF($D35&lt;&gt;"Serviço","",
         IF(AUTOEVENTO="Manual",
                IF($A35=0,"&lt;-- defina o número do agrupador",
                       OFFSET(EVENTOS!$D$15,$A35-$A$15,0)),
                OFFSET($F$15,$A35,0)))</f>
        <v>ASSENTAMENTO LINHA DE RECALQUE</v>
      </c>
      <c r="O35" s="169"/>
      <c r="Q35" s="169"/>
      <c r="R35" s="170"/>
      <c r="S35" s="170"/>
      <c r="T35" s="170"/>
      <c r="U35" s="170"/>
      <c r="V35" s="170"/>
      <c r="W35" s="170"/>
      <c r="X35" s="170"/>
      <c r="Y35" s="170"/>
      <c r="Z35" s="171"/>
      <c r="AB35" s="454">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4">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4">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4">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4">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4">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4">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4">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4">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4">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2">
        <f ca="1">IF(OR($D35&lt;&gt;"Serviço",AND(AUTOEVENTO="Manual",$M35=$A$15)),0,
         IF(OFFSET(CRONOPLE!$F$15,$M35-$A$15,AM$13)=0,10^12,OFFSET(CRONOPLE!$F$15,$M35-$A$15,AM$13)))</f>
        <v>1000000000000</v>
      </c>
      <c r="AN35" s="172">
        <f ca="1">IF(OR($D35&lt;&gt;"Serviço",AND(AUTOEVENTO="Manual",$M35=$A$15)),0,
         IF(OFFSET(CRONOPLE!$F$15,$M35-$A$15,AN$13)=0,10^12,OFFSET(CRONOPLE!$F$15,$M35-$A$15,AN$13)))</f>
        <v>1000000000000</v>
      </c>
      <c r="AO35" s="172">
        <f ca="1">IF(OR($D35&lt;&gt;"Serviço",AND(AUTOEVENTO="Manual",$M35=$A$15)),0,
         IF(OFFSET(CRONOPLE!$F$15,$M35-$A$15,AO$13)=0,10^12,OFFSET(CRONOPLE!$F$15,$M35-$A$15,AO$13)))</f>
        <v>1000000000000</v>
      </c>
      <c r="AP35" s="172">
        <f ca="1">IF(OR($D35&lt;&gt;"Serviço",AND(AUTOEVENTO="Manual",$M35=$A$15)),0,
         IF(OFFSET(CRONOPLE!$F$15,$M35-$A$15,AP$13)=0,10^12,OFFSET(CRONOPLE!$F$15,$M35-$A$15,AP$13)))</f>
        <v>1000000000000</v>
      </c>
      <c r="AQ35" s="172">
        <f ca="1">IF(OR($D35&lt;&gt;"Serviço",AND(AUTOEVENTO="Manual",$M35=$A$15)),0,
         IF(OFFSET(CRONOPLE!$F$15,$M35-$A$15,AQ$13)=0,10^12,OFFSET(CRONOPLE!$F$15,$M35-$A$15,AQ$13)))</f>
        <v>1000000000000</v>
      </c>
      <c r="AR35" s="172">
        <f ca="1">IF(OR($D35&lt;&gt;"Serviço",AND(AUTOEVENTO="Manual",$M35=$A$15)),0,
         IF(OFFSET(CRONOPLE!$F$15,$M35-$A$15,AR$13)=0,10^12,OFFSET(CRONOPLE!$F$15,$M35-$A$15,AR$13)))</f>
        <v>1000000000000</v>
      </c>
      <c r="AS35" s="172">
        <f ca="1">IF(OR($D35&lt;&gt;"Serviço",AND(AUTOEVENTO="Manual",$M35=$A$15)),0,
         IF(OFFSET(CRONOPLE!$F$15,$M35-$A$15,AS$13)=0,10^12,OFFSET(CRONOPLE!$F$15,$M35-$A$15,AS$13)))</f>
        <v>1000000000000</v>
      </c>
      <c r="AT35" s="172">
        <f ca="1">IF(OR($D35&lt;&gt;"Serviço",AND(AUTOEVENTO="Manual",$M35=$A$15)),0,
         IF(OFFSET(CRONOPLE!$F$15,$M35-$A$15,AT$13)=0,10^12,OFFSET(CRONOPLE!$F$15,$M35-$A$15,AT$13)))</f>
        <v>1000000000000</v>
      </c>
      <c r="AU35" s="172">
        <f ca="1">IF(OR($D35&lt;&gt;"Serviço",AND(AUTOEVENTO="Manual",$M35=$A$15)),0,
         IF(OFFSET(CRONOPLE!$F$15,$M35-$A$15,AU$13)=0,10^12,OFFSET(CRONOPLE!$F$15,$M35-$A$15,AU$13)))</f>
        <v>1000000000000</v>
      </c>
      <c r="AV35" s="172">
        <f ca="1">IF(OR($D35&lt;&gt;"Serviço",AND(AUTOEVENTO="Manual",$M35=$A$15)),0,
         IF(OFFSET(CRONOPLE!$F$15,$M35-$A$15,AV$13)=0,10^12,OFFSET(CRONOPLE!$F$15,$M35-$A$15,AV$13)))</f>
        <v>1000000000000</v>
      </c>
      <c r="AX35" s="173">
        <f ca="1">IF(OR($D35&lt;&gt;"Serviço",AND(AUTOEVENTO="Manual",$M35=$A$15),$M35&gt;(ROW(PLE.lastrow)-ROW(PLE.firstrow))),0,
           IF(OFFSET(PLE!$G$15,$M35-$A$15,AX$13)="",10^12,OFFSET(PLE!$G$15,$M35-$A$15,AX$13)))</f>
        <v>1000000000000</v>
      </c>
      <c r="AY35" s="173">
        <f ca="1">IF(OR($D35&lt;&gt;"Serviço",AND(AUTOEVENTO="Manual",$M35=$A$15),$M35&gt;(ROW(PLE.lastrow)-ROW(PLE.firstrow))),0,
           IF(OFFSET(PLE!$G$15,$M35-$A$15,AY$13)="",10^12,OFFSET(PLE!$G$15,$M35-$A$15,AY$13)))</f>
        <v>1000000000000</v>
      </c>
      <c r="AZ35" s="173">
        <f ca="1">IF(OR($D35&lt;&gt;"Serviço",AND(AUTOEVENTO="Manual",$M35=$A$15),$M35&gt;(ROW(PLE.lastrow)-ROW(PLE.firstrow))),0,
           IF(OFFSET(PLE!$G$15,$M35-$A$15,AZ$13)="",10^12,OFFSET(PLE!$G$15,$M35-$A$15,AZ$13)))</f>
        <v>1000000000000</v>
      </c>
      <c r="BA35" s="173">
        <f ca="1">IF(OR($D35&lt;&gt;"Serviço",AND(AUTOEVENTO="Manual",$M35=$A$15),$M35&gt;(ROW(PLE.lastrow)-ROW(PLE.firstrow))),0,
           IF(OFFSET(PLE!$G$15,$M35-$A$15,BA$13)="",10^12,OFFSET(PLE!$G$15,$M35-$A$15,BA$13)))</f>
        <v>1000000000000</v>
      </c>
      <c r="BB35" s="173">
        <f ca="1">IF(OR($D35&lt;&gt;"Serviço",AND(AUTOEVENTO="Manual",$M35=$A$15),$M35&gt;(ROW(PLE.lastrow)-ROW(PLE.firstrow))),0,
           IF(OFFSET(PLE!$G$15,$M35-$A$15,BB$13)="",10^12,OFFSET(PLE!$G$15,$M35-$A$15,BB$13)))</f>
        <v>1000000000000</v>
      </c>
      <c r="BC35" s="173">
        <f ca="1">IF(OR($D35&lt;&gt;"Serviço",AND(AUTOEVENTO="Manual",$M35=$A$15),$M35&gt;(ROW(PLE.lastrow)-ROW(PLE.firstrow))),0,
           IF(OFFSET(PLE!$G$15,$M35-$A$15,BC$13)="",10^12,OFFSET(PLE!$G$15,$M35-$A$15,BC$13)))</f>
        <v>1000000000000</v>
      </c>
      <c r="BD35" s="173">
        <f ca="1">IF(OR($D35&lt;&gt;"Serviço",AND(AUTOEVENTO="Manual",$M35=$A$15),$M35&gt;(ROW(PLE.lastrow)-ROW(PLE.firstrow))),0,
           IF(OFFSET(PLE!$G$15,$M35-$A$15,BD$13)="",10^12,OFFSET(PLE!$G$15,$M35-$A$15,BD$13)))</f>
        <v>1000000000000</v>
      </c>
      <c r="BE35" s="173">
        <f ca="1">IF(OR($D35&lt;&gt;"Serviço",AND(AUTOEVENTO="Manual",$M35=$A$15),$M35&gt;(ROW(PLE.lastrow)-ROW(PLE.firstrow))),0,
           IF(OFFSET(PLE!$G$15,$M35-$A$15,BE$13)="",10^12,OFFSET(PLE!$G$15,$M35-$A$15,BE$13)))</f>
        <v>1000000000000</v>
      </c>
      <c r="BF35" s="173">
        <f ca="1">IF(OR($D35&lt;&gt;"Serviço",AND(AUTOEVENTO="Manual",$M35=$A$15),$M35&gt;(ROW(PLE.lastrow)-ROW(PLE.firstrow))),0,
           IF(OFFSET(PLE!$G$15,$M35-$A$15,BF$13)="",10^12,OFFSET(PLE!$G$15,$M35-$A$15,BF$13)))</f>
        <v>1000000000000</v>
      </c>
      <c r="BG35" s="173">
        <f ca="1">IF(OR($D35&lt;&gt;"Serviço",AND(AUTOEVENTO="Manual",$M35=$A$15),$M35&gt;(ROW(PLE.lastrow)-ROW(PLE.firstrow))),0,
           IF(OFFSET(PLE!$G$15,$M35-$A$15,BG$13)="",10^12,OFFSET(PLE!$G$15,$M35-$A$15,BG$13)))</f>
        <v>1000000000000</v>
      </c>
    </row>
    <row r="36" spans="1:59" s="675" customFormat="1" ht="25.5" x14ac:dyDescent="0.2">
      <c r="A36" s="671" t="str">
        <f t="shared" ca="1" si="9"/>
        <v>8</v>
      </c>
      <c r="B36" s="671" t="str">
        <f ca="1">OFFSET(ORÇAMENTO!C$15,ROW(B36)-ROW(B$15),0)</f>
        <v>S</v>
      </c>
      <c r="C36" s="671" t="str">
        <f ca="1">OFFSET(ORÇAMENTO!L$15,ROW(C36)-ROW(C$15),0)</f>
        <v/>
      </c>
      <c r="D36" s="117" t="str">
        <f ca="1">OFFSET(ORÇAMENTO!N$15,ROW(D36)-ROW(D$15),0)</f>
        <v>Serviço</v>
      </c>
      <c r="E36" s="118" t="str">
        <f ca="1">OFFSET(ORÇAMENTO!O$15,ROW(E36)-ROW(E$15),0)</f>
        <v>-</v>
      </c>
      <c r="F36" s="164" t="str">
        <f ca="1">OFFSET(ORÇAMENTO!R$15,ROW(F36)-ROW(F$15),0)</f>
        <v>(abra o arquivo 'Referência 09-2025.xlsm)</v>
      </c>
      <c r="G36" s="165" t="str">
        <f ca="1">IF($D36&lt;&gt;"Serviço","",OFFSET(ORÇAMENTO!S$15,ROW(G36)-ROW(G$15),0))</f>
        <v>-</v>
      </c>
      <c r="H36" s="123">
        <f ca="1">IF($D36&lt;&gt;"Serviço",0,IF(ACOMPANHAMENTO="BM",ROUND(OFFSET(ORÇAMENTO!AJ$15,ROW(H36)-ROW(H$15),0),15-13*ORÇAMENTO!$AF$7),SUMPRODUCT(($Q$1:$AA$1=1)*ROUND($Q36:$AA36,15-13*ORÇAMENTO!$AF$7))))</f>
        <v>3300</v>
      </c>
      <c r="I36" s="469" t="s">
        <v>1146</v>
      </c>
      <c r="J36" s="667" t="str">
        <f ca="1">IF(OR(B36&lt;&gt;"S",CÁLCULO.FrentesPreenchidas=0),"",IF(AND(ACOMPANHAMENTO="PLE",AUTOEVENTO="Manual",OR(H36&gt;0,ORÇAMENTO!AC36="QUANT."),OR(K36="",M36=0,N36="")),"►",IF(AND(ACOMPANHAMENTO="PLE",ORÇAMENTO!AC36="QUANT."),"►►",IF(AND(COUNTIF($P$11:$AA$11,"▼")=0,H36&gt;0,I36=""),"◄",""))))</f>
        <v/>
      </c>
      <c r="K36" s="668"/>
      <c r="L36" s="166" t="s">
        <v>765</v>
      </c>
      <c r="M36" s="167">
        <f ca="1">IF($D36&lt;&gt;"Serviço","",
          IF(AUTOEVENTO="manual",$A36,
                IF(ISERROR(MATCH($A36,$A$15:OFFSET($A36,-1,0),0)),MAX($M$15:OFFSET(M36,-1,0))+1,
                      INDEX($M$15:OFFSET(M36,-1,0),MATCH($A36,$A$15:OFFSET($A36,-1,0),0)))))</f>
        <v>2</v>
      </c>
      <c r="N36" s="168" t="str">
        <f ca="1">IF($D36&lt;&gt;"Serviço","",
         IF(AUTOEVENTO="Manual",
                IF($A36=0,"&lt;-- defina o número do agrupador",
                       OFFSET(EVENTOS!$D$15,$A36-$A$15,0)),
                OFFSET($F$15,$A36,0)))</f>
        <v>ASSENTAMENTO LINHA DE RECALQUE</v>
      </c>
      <c r="O36" s="169"/>
      <c r="Q36" s="169"/>
      <c r="R36" s="170"/>
      <c r="S36" s="170"/>
      <c r="T36" s="170"/>
      <c r="U36" s="170"/>
      <c r="V36" s="170"/>
      <c r="W36" s="170"/>
      <c r="X36" s="170"/>
      <c r="Y36" s="170"/>
      <c r="Z36" s="171"/>
      <c r="AB36" s="454">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4">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4">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4">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4">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4">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4">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4">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4">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4">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2">
        <f ca="1">IF(OR($D36&lt;&gt;"Serviço",AND(AUTOEVENTO="Manual",$M36=$A$15)),0,
         IF(OFFSET(CRONOPLE!$F$15,$M36-$A$15,AM$13)=0,10^12,OFFSET(CRONOPLE!$F$15,$M36-$A$15,AM$13)))</f>
        <v>1000000000000</v>
      </c>
      <c r="AN36" s="172">
        <f ca="1">IF(OR($D36&lt;&gt;"Serviço",AND(AUTOEVENTO="Manual",$M36=$A$15)),0,
         IF(OFFSET(CRONOPLE!$F$15,$M36-$A$15,AN$13)=0,10^12,OFFSET(CRONOPLE!$F$15,$M36-$A$15,AN$13)))</f>
        <v>1000000000000</v>
      </c>
      <c r="AO36" s="172">
        <f ca="1">IF(OR($D36&lt;&gt;"Serviço",AND(AUTOEVENTO="Manual",$M36=$A$15)),0,
         IF(OFFSET(CRONOPLE!$F$15,$M36-$A$15,AO$13)=0,10^12,OFFSET(CRONOPLE!$F$15,$M36-$A$15,AO$13)))</f>
        <v>1000000000000</v>
      </c>
      <c r="AP36" s="172">
        <f ca="1">IF(OR($D36&lt;&gt;"Serviço",AND(AUTOEVENTO="Manual",$M36=$A$15)),0,
         IF(OFFSET(CRONOPLE!$F$15,$M36-$A$15,AP$13)=0,10^12,OFFSET(CRONOPLE!$F$15,$M36-$A$15,AP$13)))</f>
        <v>1000000000000</v>
      </c>
      <c r="AQ36" s="172">
        <f ca="1">IF(OR($D36&lt;&gt;"Serviço",AND(AUTOEVENTO="Manual",$M36=$A$15)),0,
         IF(OFFSET(CRONOPLE!$F$15,$M36-$A$15,AQ$13)=0,10^12,OFFSET(CRONOPLE!$F$15,$M36-$A$15,AQ$13)))</f>
        <v>1000000000000</v>
      </c>
      <c r="AR36" s="172">
        <f ca="1">IF(OR($D36&lt;&gt;"Serviço",AND(AUTOEVENTO="Manual",$M36=$A$15)),0,
         IF(OFFSET(CRONOPLE!$F$15,$M36-$A$15,AR$13)=0,10^12,OFFSET(CRONOPLE!$F$15,$M36-$A$15,AR$13)))</f>
        <v>1000000000000</v>
      </c>
      <c r="AS36" s="172">
        <f ca="1">IF(OR($D36&lt;&gt;"Serviço",AND(AUTOEVENTO="Manual",$M36=$A$15)),0,
         IF(OFFSET(CRONOPLE!$F$15,$M36-$A$15,AS$13)=0,10^12,OFFSET(CRONOPLE!$F$15,$M36-$A$15,AS$13)))</f>
        <v>1000000000000</v>
      </c>
      <c r="AT36" s="172">
        <f ca="1">IF(OR($D36&lt;&gt;"Serviço",AND(AUTOEVENTO="Manual",$M36=$A$15)),0,
         IF(OFFSET(CRONOPLE!$F$15,$M36-$A$15,AT$13)=0,10^12,OFFSET(CRONOPLE!$F$15,$M36-$A$15,AT$13)))</f>
        <v>1000000000000</v>
      </c>
      <c r="AU36" s="172">
        <f ca="1">IF(OR($D36&lt;&gt;"Serviço",AND(AUTOEVENTO="Manual",$M36=$A$15)),0,
         IF(OFFSET(CRONOPLE!$F$15,$M36-$A$15,AU$13)=0,10^12,OFFSET(CRONOPLE!$F$15,$M36-$A$15,AU$13)))</f>
        <v>1000000000000</v>
      </c>
      <c r="AV36" s="172">
        <f ca="1">IF(OR($D36&lt;&gt;"Serviço",AND(AUTOEVENTO="Manual",$M36=$A$15)),0,
         IF(OFFSET(CRONOPLE!$F$15,$M36-$A$15,AV$13)=0,10^12,OFFSET(CRONOPLE!$F$15,$M36-$A$15,AV$13)))</f>
        <v>1000000000000</v>
      </c>
      <c r="AX36" s="173">
        <f ca="1">IF(OR($D36&lt;&gt;"Serviço",AND(AUTOEVENTO="Manual",$M36=$A$15),$M36&gt;(ROW(PLE.lastrow)-ROW(PLE.firstrow))),0,
           IF(OFFSET(PLE!$G$15,$M36-$A$15,AX$13)="",10^12,OFFSET(PLE!$G$15,$M36-$A$15,AX$13)))</f>
        <v>1000000000000</v>
      </c>
      <c r="AY36" s="173">
        <f ca="1">IF(OR($D36&lt;&gt;"Serviço",AND(AUTOEVENTO="Manual",$M36=$A$15),$M36&gt;(ROW(PLE.lastrow)-ROW(PLE.firstrow))),0,
           IF(OFFSET(PLE!$G$15,$M36-$A$15,AY$13)="",10^12,OFFSET(PLE!$G$15,$M36-$A$15,AY$13)))</f>
        <v>1000000000000</v>
      </c>
      <c r="AZ36" s="173">
        <f ca="1">IF(OR($D36&lt;&gt;"Serviço",AND(AUTOEVENTO="Manual",$M36=$A$15),$M36&gt;(ROW(PLE.lastrow)-ROW(PLE.firstrow))),0,
           IF(OFFSET(PLE!$G$15,$M36-$A$15,AZ$13)="",10^12,OFFSET(PLE!$G$15,$M36-$A$15,AZ$13)))</f>
        <v>1000000000000</v>
      </c>
      <c r="BA36" s="173">
        <f ca="1">IF(OR($D36&lt;&gt;"Serviço",AND(AUTOEVENTO="Manual",$M36=$A$15),$M36&gt;(ROW(PLE.lastrow)-ROW(PLE.firstrow))),0,
           IF(OFFSET(PLE!$G$15,$M36-$A$15,BA$13)="",10^12,OFFSET(PLE!$G$15,$M36-$A$15,BA$13)))</f>
        <v>1000000000000</v>
      </c>
      <c r="BB36" s="173">
        <f ca="1">IF(OR($D36&lt;&gt;"Serviço",AND(AUTOEVENTO="Manual",$M36=$A$15),$M36&gt;(ROW(PLE.lastrow)-ROW(PLE.firstrow))),0,
           IF(OFFSET(PLE!$G$15,$M36-$A$15,BB$13)="",10^12,OFFSET(PLE!$G$15,$M36-$A$15,BB$13)))</f>
        <v>1000000000000</v>
      </c>
      <c r="BC36" s="173">
        <f ca="1">IF(OR($D36&lt;&gt;"Serviço",AND(AUTOEVENTO="Manual",$M36=$A$15),$M36&gt;(ROW(PLE.lastrow)-ROW(PLE.firstrow))),0,
           IF(OFFSET(PLE!$G$15,$M36-$A$15,BC$13)="",10^12,OFFSET(PLE!$G$15,$M36-$A$15,BC$13)))</f>
        <v>1000000000000</v>
      </c>
      <c r="BD36" s="173">
        <f ca="1">IF(OR($D36&lt;&gt;"Serviço",AND(AUTOEVENTO="Manual",$M36=$A$15),$M36&gt;(ROW(PLE.lastrow)-ROW(PLE.firstrow))),0,
           IF(OFFSET(PLE!$G$15,$M36-$A$15,BD$13)="",10^12,OFFSET(PLE!$G$15,$M36-$A$15,BD$13)))</f>
        <v>1000000000000</v>
      </c>
      <c r="BE36" s="173">
        <f ca="1">IF(OR($D36&lt;&gt;"Serviço",AND(AUTOEVENTO="Manual",$M36=$A$15),$M36&gt;(ROW(PLE.lastrow)-ROW(PLE.firstrow))),0,
           IF(OFFSET(PLE!$G$15,$M36-$A$15,BE$13)="",10^12,OFFSET(PLE!$G$15,$M36-$A$15,BE$13)))</f>
        <v>1000000000000</v>
      </c>
      <c r="BF36" s="173">
        <f ca="1">IF(OR($D36&lt;&gt;"Serviço",AND(AUTOEVENTO="Manual",$M36=$A$15),$M36&gt;(ROW(PLE.lastrow)-ROW(PLE.firstrow))),0,
           IF(OFFSET(PLE!$G$15,$M36-$A$15,BF$13)="",10^12,OFFSET(PLE!$G$15,$M36-$A$15,BF$13)))</f>
        <v>1000000000000</v>
      </c>
      <c r="BG36" s="173">
        <f ca="1">IF(OR($D36&lt;&gt;"Serviço",AND(AUTOEVENTO="Manual",$M36=$A$15),$M36&gt;(ROW(PLE.lastrow)-ROW(PLE.firstrow))),0,
           IF(OFFSET(PLE!$G$15,$M36-$A$15,BG$13)="",10^12,OFFSET(PLE!$G$15,$M36-$A$15,BG$13)))</f>
        <v>1000000000000</v>
      </c>
    </row>
    <row r="37" spans="1:59" s="675" customFormat="1" ht="25.5" x14ac:dyDescent="0.2">
      <c r="A37" s="671" t="str">
        <f t="shared" ca="1" si="9"/>
        <v>8</v>
      </c>
      <c r="B37" s="671" t="str">
        <f ca="1">OFFSET(ORÇAMENTO!C$15,ROW(B37)-ROW(B$15),0)</f>
        <v>S</v>
      </c>
      <c r="C37" s="671" t="str">
        <f ca="1">OFFSET(ORÇAMENTO!L$15,ROW(C37)-ROW(C$15),0)</f>
        <v/>
      </c>
      <c r="D37" s="117" t="str">
        <f ca="1">OFFSET(ORÇAMENTO!N$15,ROW(D37)-ROW(D$15),0)</f>
        <v>Serviço</v>
      </c>
      <c r="E37" s="118" t="str">
        <f ca="1">OFFSET(ORÇAMENTO!O$15,ROW(E37)-ROW(E$15),0)</f>
        <v>-</v>
      </c>
      <c r="F37" s="164" t="str">
        <f ca="1">OFFSET(ORÇAMENTO!R$15,ROW(F37)-ROW(F$15),0)</f>
        <v>(abra o arquivo 'Referência 09-2025.xlsm)</v>
      </c>
      <c r="G37" s="165" t="str">
        <f ca="1">IF($D37&lt;&gt;"Serviço","",OFFSET(ORÇAMENTO!S$15,ROW(G37)-ROW(G$15),0))</f>
        <v>-</v>
      </c>
      <c r="H37" s="123">
        <f ca="1">IF($D37&lt;&gt;"Serviço",0,IF(ACOMPANHAMENTO="BM",ROUND(OFFSET(ORÇAMENTO!AJ$15,ROW(H37)-ROW(H$15),0),15-13*ORÇAMENTO!$AF$7),SUMPRODUCT(($Q$1:$AA$1=1)*ROUND($Q37:$AA37,15-13*ORÇAMENTO!$AF$7))))</f>
        <v>200</v>
      </c>
      <c r="I37" s="469" t="s">
        <v>1146</v>
      </c>
      <c r="J37" s="667" t="str">
        <f ca="1">IF(OR(B37&lt;&gt;"S",CÁLCULO.FrentesPreenchidas=0),"",IF(AND(ACOMPANHAMENTO="PLE",AUTOEVENTO="Manual",OR(H37&gt;0,ORÇAMENTO!AC37="QUANT."),OR(K37="",M37=0,N37="")),"►",IF(AND(ACOMPANHAMENTO="PLE",ORÇAMENTO!AC37="QUANT."),"►►",IF(AND(COUNTIF($P$11:$AA$11,"▼")=0,H37&gt;0,I37=""),"◄",""))))</f>
        <v/>
      </c>
      <c r="K37" s="668"/>
      <c r="L37" s="166" t="s">
        <v>765</v>
      </c>
      <c r="M37" s="167">
        <f ca="1">IF($D37&lt;&gt;"Serviço","",
          IF(AUTOEVENTO="manual",$A37,
                IF(ISERROR(MATCH($A37,$A$15:OFFSET($A37,-1,0),0)),MAX($M$15:OFFSET(M37,-1,0))+1,
                      INDEX($M$15:OFFSET(M37,-1,0),MATCH($A37,$A$15:OFFSET($A37,-1,0),0)))))</f>
        <v>2</v>
      </c>
      <c r="N37" s="168" t="str">
        <f ca="1">IF($D37&lt;&gt;"Serviço","",
         IF(AUTOEVENTO="Manual",
                IF($A37=0,"&lt;-- defina o número do agrupador",
                       OFFSET(EVENTOS!$D$15,$A37-$A$15,0)),
                OFFSET($F$15,$A37,0)))</f>
        <v>ASSENTAMENTO LINHA DE RECALQUE</v>
      </c>
      <c r="O37" s="169"/>
      <c r="Q37" s="169"/>
      <c r="R37" s="170"/>
      <c r="S37" s="170"/>
      <c r="T37" s="170"/>
      <c r="U37" s="170"/>
      <c r="V37" s="170"/>
      <c r="W37" s="170"/>
      <c r="X37" s="170"/>
      <c r="Y37" s="170"/>
      <c r="Z37" s="171"/>
      <c r="AB37" s="454">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4">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4">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4">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4">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4">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4">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4">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4">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4">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2">
        <f ca="1">IF(OR($D37&lt;&gt;"Serviço",AND(AUTOEVENTO="Manual",$M37=$A$15)),0,
         IF(OFFSET(CRONOPLE!$F$15,$M37-$A$15,AM$13)=0,10^12,OFFSET(CRONOPLE!$F$15,$M37-$A$15,AM$13)))</f>
        <v>1000000000000</v>
      </c>
      <c r="AN37" s="172">
        <f ca="1">IF(OR($D37&lt;&gt;"Serviço",AND(AUTOEVENTO="Manual",$M37=$A$15)),0,
         IF(OFFSET(CRONOPLE!$F$15,$M37-$A$15,AN$13)=0,10^12,OFFSET(CRONOPLE!$F$15,$M37-$A$15,AN$13)))</f>
        <v>1000000000000</v>
      </c>
      <c r="AO37" s="172">
        <f ca="1">IF(OR($D37&lt;&gt;"Serviço",AND(AUTOEVENTO="Manual",$M37=$A$15)),0,
         IF(OFFSET(CRONOPLE!$F$15,$M37-$A$15,AO$13)=0,10^12,OFFSET(CRONOPLE!$F$15,$M37-$A$15,AO$13)))</f>
        <v>1000000000000</v>
      </c>
      <c r="AP37" s="172">
        <f ca="1">IF(OR($D37&lt;&gt;"Serviço",AND(AUTOEVENTO="Manual",$M37=$A$15)),0,
         IF(OFFSET(CRONOPLE!$F$15,$M37-$A$15,AP$13)=0,10^12,OFFSET(CRONOPLE!$F$15,$M37-$A$15,AP$13)))</f>
        <v>1000000000000</v>
      </c>
      <c r="AQ37" s="172">
        <f ca="1">IF(OR($D37&lt;&gt;"Serviço",AND(AUTOEVENTO="Manual",$M37=$A$15)),0,
         IF(OFFSET(CRONOPLE!$F$15,$M37-$A$15,AQ$13)=0,10^12,OFFSET(CRONOPLE!$F$15,$M37-$A$15,AQ$13)))</f>
        <v>1000000000000</v>
      </c>
      <c r="AR37" s="172">
        <f ca="1">IF(OR($D37&lt;&gt;"Serviço",AND(AUTOEVENTO="Manual",$M37=$A$15)),0,
         IF(OFFSET(CRONOPLE!$F$15,$M37-$A$15,AR$13)=0,10^12,OFFSET(CRONOPLE!$F$15,$M37-$A$15,AR$13)))</f>
        <v>1000000000000</v>
      </c>
      <c r="AS37" s="172">
        <f ca="1">IF(OR($D37&lt;&gt;"Serviço",AND(AUTOEVENTO="Manual",$M37=$A$15)),0,
         IF(OFFSET(CRONOPLE!$F$15,$M37-$A$15,AS$13)=0,10^12,OFFSET(CRONOPLE!$F$15,$M37-$A$15,AS$13)))</f>
        <v>1000000000000</v>
      </c>
      <c r="AT37" s="172">
        <f ca="1">IF(OR($D37&lt;&gt;"Serviço",AND(AUTOEVENTO="Manual",$M37=$A$15)),0,
         IF(OFFSET(CRONOPLE!$F$15,$M37-$A$15,AT$13)=0,10^12,OFFSET(CRONOPLE!$F$15,$M37-$A$15,AT$13)))</f>
        <v>1000000000000</v>
      </c>
      <c r="AU37" s="172">
        <f ca="1">IF(OR($D37&lt;&gt;"Serviço",AND(AUTOEVENTO="Manual",$M37=$A$15)),0,
         IF(OFFSET(CRONOPLE!$F$15,$M37-$A$15,AU$13)=0,10^12,OFFSET(CRONOPLE!$F$15,$M37-$A$15,AU$13)))</f>
        <v>1000000000000</v>
      </c>
      <c r="AV37" s="172">
        <f ca="1">IF(OR($D37&lt;&gt;"Serviço",AND(AUTOEVENTO="Manual",$M37=$A$15)),0,
         IF(OFFSET(CRONOPLE!$F$15,$M37-$A$15,AV$13)=0,10^12,OFFSET(CRONOPLE!$F$15,$M37-$A$15,AV$13)))</f>
        <v>1000000000000</v>
      </c>
      <c r="AX37" s="173">
        <f ca="1">IF(OR($D37&lt;&gt;"Serviço",AND(AUTOEVENTO="Manual",$M37=$A$15),$M37&gt;(ROW(PLE.lastrow)-ROW(PLE.firstrow))),0,
           IF(OFFSET(PLE!$G$15,$M37-$A$15,AX$13)="",10^12,OFFSET(PLE!$G$15,$M37-$A$15,AX$13)))</f>
        <v>1000000000000</v>
      </c>
      <c r="AY37" s="173">
        <f ca="1">IF(OR($D37&lt;&gt;"Serviço",AND(AUTOEVENTO="Manual",$M37=$A$15),$M37&gt;(ROW(PLE.lastrow)-ROW(PLE.firstrow))),0,
           IF(OFFSET(PLE!$G$15,$M37-$A$15,AY$13)="",10^12,OFFSET(PLE!$G$15,$M37-$A$15,AY$13)))</f>
        <v>1000000000000</v>
      </c>
      <c r="AZ37" s="173">
        <f ca="1">IF(OR($D37&lt;&gt;"Serviço",AND(AUTOEVENTO="Manual",$M37=$A$15),$M37&gt;(ROW(PLE.lastrow)-ROW(PLE.firstrow))),0,
           IF(OFFSET(PLE!$G$15,$M37-$A$15,AZ$13)="",10^12,OFFSET(PLE!$G$15,$M37-$A$15,AZ$13)))</f>
        <v>1000000000000</v>
      </c>
      <c r="BA37" s="173">
        <f ca="1">IF(OR($D37&lt;&gt;"Serviço",AND(AUTOEVENTO="Manual",$M37=$A$15),$M37&gt;(ROW(PLE.lastrow)-ROW(PLE.firstrow))),0,
           IF(OFFSET(PLE!$G$15,$M37-$A$15,BA$13)="",10^12,OFFSET(PLE!$G$15,$M37-$A$15,BA$13)))</f>
        <v>1000000000000</v>
      </c>
      <c r="BB37" s="173">
        <f ca="1">IF(OR($D37&lt;&gt;"Serviço",AND(AUTOEVENTO="Manual",$M37=$A$15),$M37&gt;(ROW(PLE.lastrow)-ROW(PLE.firstrow))),0,
           IF(OFFSET(PLE!$G$15,$M37-$A$15,BB$13)="",10^12,OFFSET(PLE!$G$15,$M37-$A$15,BB$13)))</f>
        <v>1000000000000</v>
      </c>
      <c r="BC37" s="173">
        <f ca="1">IF(OR($D37&lt;&gt;"Serviço",AND(AUTOEVENTO="Manual",$M37=$A$15),$M37&gt;(ROW(PLE.lastrow)-ROW(PLE.firstrow))),0,
           IF(OFFSET(PLE!$G$15,$M37-$A$15,BC$13)="",10^12,OFFSET(PLE!$G$15,$M37-$A$15,BC$13)))</f>
        <v>1000000000000</v>
      </c>
      <c r="BD37" s="173">
        <f ca="1">IF(OR($D37&lt;&gt;"Serviço",AND(AUTOEVENTO="Manual",$M37=$A$15),$M37&gt;(ROW(PLE.lastrow)-ROW(PLE.firstrow))),0,
           IF(OFFSET(PLE!$G$15,$M37-$A$15,BD$13)="",10^12,OFFSET(PLE!$G$15,$M37-$A$15,BD$13)))</f>
        <v>1000000000000</v>
      </c>
      <c r="BE37" s="173">
        <f ca="1">IF(OR($D37&lt;&gt;"Serviço",AND(AUTOEVENTO="Manual",$M37=$A$15),$M37&gt;(ROW(PLE.lastrow)-ROW(PLE.firstrow))),0,
           IF(OFFSET(PLE!$G$15,$M37-$A$15,BE$13)="",10^12,OFFSET(PLE!$G$15,$M37-$A$15,BE$13)))</f>
        <v>1000000000000</v>
      </c>
      <c r="BF37" s="173">
        <f ca="1">IF(OR($D37&lt;&gt;"Serviço",AND(AUTOEVENTO="Manual",$M37=$A$15),$M37&gt;(ROW(PLE.lastrow)-ROW(PLE.firstrow))),0,
           IF(OFFSET(PLE!$G$15,$M37-$A$15,BF$13)="",10^12,OFFSET(PLE!$G$15,$M37-$A$15,BF$13)))</f>
        <v>1000000000000</v>
      </c>
      <c r="BG37" s="173">
        <f ca="1">IF(OR($D37&lt;&gt;"Serviço",AND(AUTOEVENTO="Manual",$M37=$A$15),$M37&gt;(ROW(PLE.lastrow)-ROW(PLE.firstrow))),0,
           IF(OFFSET(PLE!$G$15,$M37-$A$15,BG$13)="",10^12,OFFSET(PLE!$G$15,$M37-$A$15,BG$13)))</f>
        <v>1000000000000</v>
      </c>
    </row>
    <row r="38" spans="1:59" s="675" customFormat="1" ht="12.75" x14ac:dyDescent="0.2">
      <c r="A38" s="671" t="str">
        <f t="shared" ca="1" si="9"/>
        <v>23.</v>
      </c>
      <c r="B38" s="671">
        <f ca="1">OFFSET(ORÇAMENTO!C$15,ROW(B38)-ROW(B$15),0)</f>
        <v>2</v>
      </c>
      <c r="C38" s="671" t="str">
        <f ca="1">OFFSET(ORÇAMENTO!L$15,ROW(C38)-ROW(C$15),0)</f>
        <v>F</v>
      </c>
      <c r="D38" s="117" t="str">
        <f ca="1">OFFSET(ORÇAMENTO!N$15,ROW(D38)-ROW(D$15),0)</f>
        <v>Nível 2</v>
      </c>
      <c r="E38" s="118" t="str">
        <f ca="1">OFFSET(ORÇAMENTO!O$15,ROW(E38)-ROW(E$15),0)</f>
        <v>1.4.</v>
      </c>
      <c r="F38" s="164" t="str">
        <f ca="1">OFFSET(ORÇAMENTO!R$15,ROW(F38)-ROW(F$15),0)</f>
        <v>BLOCOS DE ANCORAGEM</v>
      </c>
      <c r="G38" s="165" t="str">
        <f ca="1">IF($D38&lt;&gt;"Serviço","",OFFSET(ORÇAMENTO!S$15,ROW(G38)-ROW(G$15),0))</f>
        <v/>
      </c>
      <c r="H38" s="123">
        <f ca="1">IF($D38&lt;&gt;"Serviço",0,IF(ACOMPANHAMENTO="BM",ROUND(OFFSET(ORÇAMENTO!AJ$15,ROW(H38)-ROW(H$15),0),15-13*ORÇAMENTO!$AF$7),SUMPRODUCT(($Q$1:$AA$1=1)*ROUND($Q38:$AA38,15-13*ORÇAMENTO!$AF$7))))</f>
        <v>0</v>
      </c>
      <c r="I38" s="469"/>
      <c r="J38" s="667" t="str">
        <f ca="1">IF(OR(B38&lt;&gt;"S",CÁLCULO.FrentesPreenchidas=0),"",IF(AND(ACOMPANHAMENTO="PLE",AUTOEVENTO="Manual",OR(H38&gt;0,ORÇAMENTO!AC38="QUANT."),OR(K38="",M38=0,N38="")),"►",IF(AND(ACOMPANHAMENTO="PLE",ORÇAMENTO!AC38="QUANT."),"►►",IF(AND(COUNTIF($P$11:$AA$11,"▼")=0,H38&gt;0,I38=""),"◄",""))))</f>
        <v/>
      </c>
      <c r="K38" s="668"/>
      <c r="L38" s="166" t="s">
        <v>765</v>
      </c>
      <c r="M38" s="167" t="str">
        <f ca="1">IF($D38&lt;&gt;"Serviço","",
          IF(AUTOEVENTO="manual",$A38,
                IF(ISERROR(MATCH($A38,$A$15:OFFSET($A38,-1,0),0)),MAX($M$15:OFFSET(M38,-1,0))+1,
                      INDEX($M$15:OFFSET(M38,-1,0),MATCH($A38,$A$15:OFFSET($A38,-1,0),0)))))</f>
        <v/>
      </c>
      <c r="N38" s="168" t="str">
        <f ca="1">IF($D38&lt;&gt;"Serviço","",
         IF(AUTOEVENTO="Manual",
                IF($A38=0,"&lt;-- defina o número do agrupador",
                       OFFSET(EVENTOS!$D$15,$A38-$A$15,0)),
                OFFSET($F$15,$A38,0)))</f>
        <v/>
      </c>
      <c r="O38" s="169"/>
      <c r="Q38" s="169"/>
      <c r="R38" s="170"/>
      <c r="S38" s="170"/>
      <c r="T38" s="170"/>
      <c r="U38" s="170"/>
      <c r="V38" s="170"/>
      <c r="W38" s="170"/>
      <c r="X38" s="170"/>
      <c r="Y38" s="170"/>
      <c r="Z38" s="171"/>
      <c r="AB38" s="454">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4">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4">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4">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4">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4">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4">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4">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4">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4">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2">
        <f ca="1">IF(OR($D38&lt;&gt;"Serviço",AND(AUTOEVENTO="Manual",$M38=$A$15)),0,
         IF(OFFSET(CRONOPLE!$F$15,$M38-$A$15,AM$13)=0,10^12,OFFSET(CRONOPLE!$F$15,$M38-$A$15,AM$13)))</f>
        <v>0</v>
      </c>
      <c r="AN38" s="172">
        <f ca="1">IF(OR($D38&lt;&gt;"Serviço",AND(AUTOEVENTO="Manual",$M38=$A$15)),0,
         IF(OFFSET(CRONOPLE!$F$15,$M38-$A$15,AN$13)=0,10^12,OFFSET(CRONOPLE!$F$15,$M38-$A$15,AN$13)))</f>
        <v>0</v>
      </c>
      <c r="AO38" s="172">
        <f ca="1">IF(OR($D38&lt;&gt;"Serviço",AND(AUTOEVENTO="Manual",$M38=$A$15)),0,
         IF(OFFSET(CRONOPLE!$F$15,$M38-$A$15,AO$13)=0,10^12,OFFSET(CRONOPLE!$F$15,$M38-$A$15,AO$13)))</f>
        <v>0</v>
      </c>
      <c r="AP38" s="172">
        <f ca="1">IF(OR($D38&lt;&gt;"Serviço",AND(AUTOEVENTO="Manual",$M38=$A$15)),0,
         IF(OFFSET(CRONOPLE!$F$15,$M38-$A$15,AP$13)=0,10^12,OFFSET(CRONOPLE!$F$15,$M38-$A$15,AP$13)))</f>
        <v>0</v>
      </c>
      <c r="AQ38" s="172">
        <f ca="1">IF(OR($D38&lt;&gt;"Serviço",AND(AUTOEVENTO="Manual",$M38=$A$15)),0,
         IF(OFFSET(CRONOPLE!$F$15,$M38-$A$15,AQ$13)=0,10^12,OFFSET(CRONOPLE!$F$15,$M38-$A$15,AQ$13)))</f>
        <v>0</v>
      </c>
      <c r="AR38" s="172">
        <f ca="1">IF(OR($D38&lt;&gt;"Serviço",AND(AUTOEVENTO="Manual",$M38=$A$15)),0,
         IF(OFFSET(CRONOPLE!$F$15,$M38-$A$15,AR$13)=0,10^12,OFFSET(CRONOPLE!$F$15,$M38-$A$15,AR$13)))</f>
        <v>0</v>
      </c>
      <c r="AS38" s="172">
        <f ca="1">IF(OR($D38&lt;&gt;"Serviço",AND(AUTOEVENTO="Manual",$M38=$A$15)),0,
         IF(OFFSET(CRONOPLE!$F$15,$M38-$A$15,AS$13)=0,10^12,OFFSET(CRONOPLE!$F$15,$M38-$A$15,AS$13)))</f>
        <v>0</v>
      </c>
      <c r="AT38" s="172">
        <f ca="1">IF(OR($D38&lt;&gt;"Serviço",AND(AUTOEVENTO="Manual",$M38=$A$15)),0,
         IF(OFFSET(CRONOPLE!$F$15,$M38-$A$15,AT$13)=0,10^12,OFFSET(CRONOPLE!$F$15,$M38-$A$15,AT$13)))</f>
        <v>0</v>
      </c>
      <c r="AU38" s="172">
        <f ca="1">IF(OR($D38&lt;&gt;"Serviço",AND(AUTOEVENTO="Manual",$M38=$A$15)),0,
         IF(OFFSET(CRONOPLE!$F$15,$M38-$A$15,AU$13)=0,10^12,OFFSET(CRONOPLE!$F$15,$M38-$A$15,AU$13)))</f>
        <v>0</v>
      </c>
      <c r="AV38" s="172">
        <f ca="1">IF(OR($D38&lt;&gt;"Serviço",AND(AUTOEVENTO="Manual",$M38=$A$15)),0,
         IF(OFFSET(CRONOPLE!$F$15,$M38-$A$15,AV$13)=0,10^12,OFFSET(CRONOPLE!$F$15,$M38-$A$15,AV$13)))</f>
        <v>0</v>
      </c>
      <c r="AX38" s="173">
        <f ca="1">IF(OR($D38&lt;&gt;"Serviço",AND(AUTOEVENTO="Manual",$M38=$A$15),$M38&gt;(ROW(PLE.lastrow)-ROW(PLE.firstrow))),0,
           IF(OFFSET(PLE!$G$15,$M38-$A$15,AX$13)="",10^12,OFFSET(PLE!$G$15,$M38-$A$15,AX$13)))</f>
        <v>0</v>
      </c>
      <c r="AY38" s="173">
        <f ca="1">IF(OR($D38&lt;&gt;"Serviço",AND(AUTOEVENTO="Manual",$M38=$A$15),$M38&gt;(ROW(PLE.lastrow)-ROW(PLE.firstrow))),0,
           IF(OFFSET(PLE!$G$15,$M38-$A$15,AY$13)="",10^12,OFFSET(PLE!$G$15,$M38-$A$15,AY$13)))</f>
        <v>0</v>
      </c>
      <c r="AZ38" s="173">
        <f ca="1">IF(OR($D38&lt;&gt;"Serviço",AND(AUTOEVENTO="Manual",$M38=$A$15),$M38&gt;(ROW(PLE.lastrow)-ROW(PLE.firstrow))),0,
           IF(OFFSET(PLE!$G$15,$M38-$A$15,AZ$13)="",10^12,OFFSET(PLE!$G$15,$M38-$A$15,AZ$13)))</f>
        <v>0</v>
      </c>
      <c r="BA38" s="173">
        <f ca="1">IF(OR($D38&lt;&gt;"Serviço",AND(AUTOEVENTO="Manual",$M38=$A$15),$M38&gt;(ROW(PLE.lastrow)-ROW(PLE.firstrow))),0,
           IF(OFFSET(PLE!$G$15,$M38-$A$15,BA$13)="",10^12,OFFSET(PLE!$G$15,$M38-$A$15,BA$13)))</f>
        <v>0</v>
      </c>
      <c r="BB38" s="173">
        <f ca="1">IF(OR($D38&lt;&gt;"Serviço",AND(AUTOEVENTO="Manual",$M38=$A$15),$M38&gt;(ROW(PLE.lastrow)-ROW(PLE.firstrow))),0,
           IF(OFFSET(PLE!$G$15,$M38-$A$15,BB$13)="",10^12,OFFSET(PLE!$G$15,$M38-$A$15,BB$13)))</f>
        <v>0</v>
      </c>
      <c r="BC38" s="173">
        <f ca="1">IF(OR($D38&lt;&gt;"Serviço",AND(AUTOEVENTO="Manual",$M38=$A$15),$M38&gt;(ROW(PLE.lastrow)-ROW(PLE.firstrow))),0,
           IF(OFFSET(PLE!$G$15,$M38-$A$15,BC$13)="",10^12,OFFSET(PLE!$G$15,$M38-$A$15,BC$13)))</f>
        <v>0</v>
      </c>
      <c r="BD38" s="173">
        <f ca="1">IF(OR($D38&lt;&gt;"Serviço",AND(AUTOEVENTO="Manual",$M38=$A$15),$M38&gt;(ROW(PLE.lastrow)-ROW(PLE.firstrow))),0,
           IF(OFFSET(PLE!$G$15,$M38-$A$15,BD$13)="",10^12,OFFSET(PLE!$G$15,$M38-$A$15,BD$13)))</f>
        <v>0</v>
      </c>
      <c r="BE38" s="173">
        <f ca="1">IF(OR($D38&lt;&gt;"Serviço",AND(AUTOEVENTO="Manual",$M38=$A$15),$M38&gt;(ROW(PLE.lastrow)-ROW(PLE.firstrow))),0,
           IF(OFFSET(PLE!$G$15,$M38-$A$15,BE$13)="",10^12,OFFSET(PLE!$G$15,$M38-$A$15,BE$13)))</f>
        <v>0</v>
      </c>
      <c r="BF38" s="173">
        <f ca="1">IF(OR($D38&lt;&gt;"Serviço",AND(AUTOEVENTO="Manual",$M38=$A$15),$M38&gt;(ROW(PLE.lastrow)-ROW(PLE.firstrow))),0,
           IF(OFFSET(PLE!$G$15,$M38-$A$15,BF$13)="",10^12,OFFSET(PLE!$G$15,$M38-$A$15,BF$13)))</f>
        <v>0</v>
      </c>
      <c r="BG38" s="173">
        <f ca="1">IF(OR($D38&lt;&gt;"Serviço",AND(AUTOEVENTO="Manual",$M38=$A$15),$M38&gt;(ROW(PLE.lastrow)-ROW(PLE.firstrow))),0,
           IF(OFFSET(PLE!$G$15,$M38-$A$15,BG$13)="",10^12,OFFSET(PLE!$G$15,$M38-$A$15,BG$13)))</f>
        <v>0</v>
      </c>
    </row>
    <row r="39" spans="1:59" s="675" customFormat="1" ht="25.5" x14ac:dyDescent="0.2">
      <c r="A39" s="671" t="str">
        <f t="shared" ca="1" si="9"/>
        <v>23</v>
      </c>
      <c r="B39" s="671" t="str">
        <f ca="1">OFFSET(ORÇAMENTO!C$15,ROW(B39)-ROW(B$15),0)</f>
        <v>S</v>
      </c>
      <c r="C39" s="671" t="str">
        <f ca="1">OFFSET(ORÇAMENTO!L$15,ROW(C39)-ROW(C$15),0)</f>
        <v/>
      </c>
      <c r="D39" s="117" t="str">
        <f ca="1">OFFSET(ORÇAMENTO!N$15,ROW(D39)-ROW(D$15),0)</f>
        <v>Serviço</v>
      </c>
      <c r="E39" s="118" t="str">
        <f ca="1">OFFSET(ORÇAMENTO!O$15,ROW(E39)-ROW(E$15),0)</f>
        <v>-</v>
      </c>
      <c r="F39" s="164" t="str">
        <f ca="1">OFFSET(ORÇAMENTO!R$15,ROW(F39)-ROW(F$15),0)</f>
        <v>(abra o arquivo 'Referência 09-2025.xlsm)</v>
      </c>
      <c r="G39" s="165" t="str">
        <f ca="1">IF($D39&lt;&gt;"Serviço","",OFFSET(ORÇAMENTO!S$15,ROW(G39)-ROW(G$15),0))</f>
        <v>-</v>
      </c>
      <c r="H39" s="123">
        <f ca="1">IF($D39&lt;&gt;"Serviço",0,IF(ACOMPANHAMENTO="BM",ROUND(OFFSET(ORÇAMENTO!AJ$15,ROW(H39)-ROW(H$15),0),15-13*ORÇAMENTO!$AF$7),SUMPRODUCT(($Q$1:$AA$1=1)*ROUND($Q39:$AA39,15-13*ORÇAMENTO!$AF$7))))</f>
        <v>3.52</v>
      </c>
      <c r="I39" s="469" t="s">
        <v>1110</v>
      </c>
      <c r="J39" s="667" t="str">
        <f ca="1">IF(OR(B39&lt;&gt;"S",CÁLCULO.FrentesPreenchidas=0),"",IF(AND(ACOMPANHAMENTO="PLE",AUTOEVENTO="Manual",OR(H39&gt;0,ORÇAMENTO!AC39="QUANT."),OR(K39="",M39=0,N39="")),"►",IF(AND(ACOMPANHAMENTO="PLE",ORÇAMENTO!AC39="QUANT."),"►►",IF(AND(COUNTIF($P$11:$AA$11,"▼")=0,H39&gt;0,I39=""),"◄",""))))</f>
        <v/>
      </c>
      <c r="K39" s="668"/>
      <c r="L39" s="166" t="s">
        <v>765</v>
      </c>
      <c r="M39" s="167">
        <f ca="1">IF($D39&lt;&gt;"Serviço","",
          IF(AUTOEVENTO="manual",$A39,
                IF(ISERROR(MATCH($A39,$A$15:OFFSET($A39,-1,0),0)),MAX($M$15:OFFSET(M39,-1,0))+1,
                      INDEX($M$15:OFFSET(M39,-1,0),MATCH($A39,$A$15:OFFSET($A39,-1,0),0)))))</f>
        <v>3</v>
      </c>
      <c r="N39" s="168" t="str">
        <f ca="1">IF($D39&lt;&gt;"Serviço","",
         IF(AUTOEVENTO="Manual",
                IF($A39=0,"&lt;-- defina o número do agrupador",
                       OFFSET(EVENTOS!$D$15,$A39-$A$15,0)),
                OFFSET($F$15,$A39,0)))</f>
        <v>BLOCOS DE ANCORAGEM</v>
      </c>
      <c r="O39" s="169"/>
      <c r="Q39" s="169"/>
      <c r="R39" s="170"/>
      <c r="S39" s="170"/>
      <c r="T39" s="170"/>
      <c r="U39" s="170"/>
      <c r="V39" s="170"/>
      <c r="W39" s="170"/>
      <c r="X39" s="170"/>
      <c r="Y39" s="170"/>
      <c r="Z39" s="171"/>
      <c r="AB39" s="454">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4">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4">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4">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4">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4">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4">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4">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4">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4">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2">
        <f ca="1">IF(OR($D39&lt;&gt;"Serviço",AND(AUTOEVENTO="Manual",$M39=$A$15)),0,
         IF(OFFSET(CRONOPLE!$F$15,$M39-$A$15,AM$13)=0,10^12,OFFSET(CRONOPLE!$F$15,$M39-$A$15,AM$13)))</f>
        <v>1000000000000</v>
      </c>
      <c r="AN39" s="172">
        <f ca="1">IF(OR($D39&lt;&gt;"Serviço",AND(AUTOEVENTO="Manual",$M39=$A$15)),0,
         IF(OFFSET(CRONOPLE!$F$15,$M39-$A$15,AN$13)=0,10^12,OFFSET(CRONOPLE!$F$15,$M39-$A$15,AN$13)))</f>
        <v>1000000000000</v>
      </c>
      <c r="AO39" s="172">
        <f ca="1">IF(OR($D39&lt;&gt;"Serviço",AND(AUTOEVENTO="Manual",$M39=$A$15)),0,
         IF(OFFSET(CRONOPLE!$F$15,$M39-$A$15,AO$13)=0,10^12,OFFSET(CRONOPLE!$F$15,$M39-$A$15,AO$13)))</f>
        <v>1000000000000</v>
      </c>
      <c r="AP39" s="172">
        <f ca="1">IF(OR($D39&lt;&gt;"Serviço",AND(AUTOEVENTO="Manual",$M39=$A$15)),0,
         IF(OFFSET(CRONOPLE!$F$15,$M39-$A$15,AP$13)=0,10^12,OFFSET(CRONOPLE!$F$15,$M39-$A$15,AP$13)))</f>
        <v>1000000000000</v>
      </c>
      <c r="AQ39" s="172">
        <f ca="1">IF(OR($D39&lt;&gt;"Serviço",AND(AUTOEVENTO="Manual",$M39=$A$15)),0,
         IF(OFFSET(CRONOPLE!$F$15,$M39-$A$15,AQ$13)=0,10^12,OFFSET(CRONOPLE!$F$15,$M39-$A$15,AQ$13)))</f>
        <v>1000000000000</v>
      </c>
      <c r="AR39" s="172">
        <f ca="1">IF(OR($D39&lt;&gt;"Serviço",AND(AUTOEVENTO="Manual",$M39=$A$15)),0,
         IF(OFFSET(CRONOPLE!$F$15,$M39-$A$15,AR$13)=0,10^12,OFFSET(CRONOPLE!$F$15,$M39-$A$15,AR$13)))</f>
        <v>1000000000000</v>
      </c>
      <c r="AS39" s="172">
        <f ca="1">IF(OR($D39&lt;&gt;"Serviço",AND(AUTOEVENTO="Manual",$M39=$A$15)),0,
         IF(OFFSET(CRONOPLE!$F$15,$M39-$A$15,AS$13)=0,10^12,OFFSET(CRONOPLE!$F$15,$M39-$A$15,AS$13)))</f>
        <v>1000000000000</v>
      </c>
      <c r="AT39" s="172">
        <f ca="1">IF(OR($D39&lt;&gt;"Serviço",AND(AUTOEVENTO="Manual",$M39=$A$15)),0,
         IF(OFFSET(CRONOPLE!$F$15,$M39-$A$15,AT$13)=0,10^12,OFFSET(CRONOPLE!$F$15,$M39-$A$15,AT$13)))</f>
        <v>1000000000000</v>
      </c>
      <c r="AU39" s="172">
        <f ca="1">IF(OR($D39&lt;&gt;"Serviço",AND(AUTOEVENTO="Manual",$M39=$A$15)),0,
         IF(OFFSET(CRONOPLE!$F$15,$M39-$A$15,AU$13)=0,10^12,OFFSET(CRONOPLE!$F$15,$M39-$A$15,AU$13)))</f>
        <v>1000000000000</v>
      </c>
      <c r="AV39" s="172">
        <f ca="1">IF(OR($D39&lt;&gt;"Serviço",AND(AUTOEVENTO="Manual",$M39=$A$15)),0,
         IF(OFFSET(CRONOPLE!$F$15,$M39-$A$15,AV$13)=0,10^12,OFFSET(CRONOPLE!$F$15,$M39-$A$15,AV$13)))</f>
        <v>1000000000000</v>
      </c>
      <c r="AX39" s="173">
        <f ca="1">IF(OR($D39&lt;&gt;"Serviço",AND(AUTOEVENTO="Manual",$M39=$A$15),$M39&gt;(ROW(PLE.lastrow)-ROW(PLE.firstrow))),0,
           IF(OFFSET(PLE!$G$15,$M39-$A$15,AX$13)="",10^12,OFFSET(PLE!$G$15,$M39-$A$15,AX$13)))</f>
        <v>1000000000000</v>
      </c>
      <c r="AY39" s="173">
        <f ca="1">IF(OR($D39&lt;&gt;"Serviço",AND(AUTOEVENTO="Manual",$M39=$A$15),$M39&gt;(ROW(PLE.lastrow)-ROW(PLE.firstrow))),0,
           IF(OFFSET(PLE!$G$15,$M39-$A$15,AY$13)="",10^12,OFFSET(PLE!$G$15,$M39-$A$15,AY$13)))</f>
        <v>1000000000000</v>
      </c>
      <c r="AZ39" s="173">
        <f ca="1">IF(OR($D39&lt;&gt;"Serviço",AND(AUTOEVENTO="Manual",$M39=$A$15),$M39&gt;(ROW(PLE.lastrow)-ROW(PLE.firstrow))),0,
           IF(OFFSET(PLE!$G$15,$M39-$A$15,AZ$13)="",10^12,OFFSET(PLE!$G$15,$M39-$A$15,AZ$13)))</f>
        <v>1000000000000</v>
      </c>
      <c r="BA39" s="173">
        <f ca="1">IF(OR($D39&lt;&gt;"Serviço",AND(AUTOEVENTO="Manual",$M39=$A$15),$M39&gt;(ROW(PLE.lastrow)-ROW(PLE.firstrow))),0,
           IF(OFFSET(PLE!$G$15,$M39-$A$15,BA$13)="",10^12,OFFSET(PLE!$G$15,$M39-$A$15,BA$13)))</f>
        <v>1000000000000</v>
      </c>
      <c r="BB39" s="173">
        <f ca="1">IF(OR($D39&lt;&gt;"Serviço",AND(AUTOEVENTO="Manual",$M39=$A$15),$M39&gt;(ROW(PLE.lastrow)-ROW(PLE.firstrow))),0,
           IF(OFFSET(PLE!$G$15,$M39-$A$15,BB$13)="",10^12,OFFSET(PLE!$G$15,$M39-$A$15,BB$13)))</f>
        <v>1000000000000</v>
      </c>
      <c r="BC39" s="173">
        <f ca="1">IF(OR($D39&lt;&gt;"Serviço",AND(AUTOEVENTO="Manual",$M39=$A$15),$M39&gt;(ROW(PLE.lastrow)-ROW(PLE.firstrow))),0,
           IF(OFFSET(PLE!$G$15,$M39-$A$15,BC$13)="",10^12,OFFSET(PLE!$G$15,$M39-$A$15,BC$13)))</f>
        <v>1000000000000</v>
      </c>
      <c r="BD39" s="173">
        <f ca="1">IF(OR($D39&lt;&gt;"Serviço",AND(AUTOEVENTO="Manual",$M39=$A$15),$M39&gt;(ROW(PLE.lastrow)-ROW(PLE.firstrow))),0,
           IF(OFFSET(PLE!$G$15,$M39-$A$15,BD$13)="",10^12,OFFSET(PLE!$G$15,$M39-$A$15,BD$13)))</f>
        <v>1000000000000</v>
      </c>
      <c r="BE39" s="173">
        <f ca="1">IF(OR($D39&lt;&gt;"Serviço",AND(AUTOEVENTO="Manual",$M39=$A$15),$M39&gt;(ROW(PLE.lastrow)-ROW(PLE.firstrow))),0,
           IF(OFFSET(PLE!$G$15,$M39-$A$15,BE$13)="",10^12,OFFSET(PLE!$G$15,$M39-$A$15,BE$13)))</f>
        <v>1000000000000</v>
      </c>
      <c r="BF39" s="173">
        <f ca="1">IF(OR($D39&lt;&gt;"Serviço",AND(AUTOEVENTO="Manual",$M39=$A$15),$M39&gt;(ROW(PLE.lastrow)-ROW(PLE.firstrow))),0,
           IF(OFFSET(PLE!$G$15,$M39-$A$15,BF$13)="",10^12,OFFSET(PLE!$G$15,$M39-$A$15,BF$13)))</f>
        <v>1000000000000</v>
      </c>
      <c r="BG39" s="173">
        <f ca="1">IF(OR($D39&lt;&gt;"Serviço",AND(AUTOEVENTO="Manual",$M39=$A$15),$M39&gt;(ROW(PLE.lastrow)-ROW(PLE.firstrow))),0,
           IF(OFFSET(PLE!$G$15,$M39-$A$15,BG$13)="",10^12,OFFSET(PLE!$G$15,$M39-$A$15,BG$13)))</f>
        <v>1000000000000</v>
      </c>
    </row>
    <row r="40" spans="1:59" s="675" customFormat="1" ht="25.5" x14ac:dyDescent="0.2">
      <c r="A40" s="671" t="str">
        <f t="shared" ca="1" si="9"/>
        <v>23</v>
      </c>
      <c r="B40" s="671" t="str">
        <f ca="1">OFFSET(ORÇAMENTO!C$15,ROW(B40)-ROW(B$15),0)</f>
        <v>S</v>
      </c>
      <c r="C40" s="671" t="str">
        <f ca="1">OFFSET(ORÇAMENTO!L$15,ROW(C40)-ROW(C$15),0)</f>
        <v/>
      </c>
      <c r="D40" s="117" t="str">
        <f ca="1">OFFSET(ORÇAMENTO!N$15,ROW(D40)-ROW(D$15),0)</f>
        <v>Serviço</v>
      </c>
      <c r="E40" s="118" t="str">
        <f ca="1">OFFSET(ORÇAMENTO!O$15,ROW(E40)-ROW(E$15),0)</f>
        <v>-</v>
      </c>
      <c r="F40" s="164" t="str">
        <f ca="1">OFFSET(ORÇAMENTO!R$15,ROW(F40)-ROW(F$15),0)</f>
        <v>(abra o arquivo 'Referência 09-2025.xlsm)</v>
      </c>
      <c r="G40" s="165" t="str">
        <f ca="1">IF($D40&lt;&gt;"Serviço","",OFFSET(ORÇAMENTO!S$15,ROW(G40)-ROW(G$15),0))</f>
        <v>-</v>
      </c>
      <c r="H40" s="123">
        <f ca="1">IF($D40&lt;&gt;"Serviço",0,IF(ACOMPANHAMENTO="BM",ROUND(OFFSET(ORÇAMENTO!AJ$15,ROW(H40)-ROW(H$15),0),15-13*ORÇAMENTO!$AF$7),SUMPRODUCT(($Q$1:$AA$1=1)*ROUND($Q40:$AA40,15-13*ORÇAMENTO!$AF$7))))</f>
        <v>1.51</v>
      </c>
      <c r="I40" s="469" t="s">
        <v>1110</v>
      </c>
      <c r="J40" s="667" t="str">
        <f ca="1">IF(OR(B40&lt;&gt;"S",CÁLCULO.FrentesPreenchidas=0),"",IF(AND(ACOMPANHAMENTO="PLE",AUTOEVENTO="Manual",OR(H40&gt;0,ORÇAMENTO!AC40="QUANT."),OR(K40="",M40=0,N40="")),"►",IF(AND(ACOMPANHAMENTO="PLE",ORÇAMENTO!AC40="QUANT."),"►►",IF(AND(COUNTIF($P$11:$AA$11,"▼")=0,H40&gt;0,I40=""),"◄",""))))</f>
        <v/>
      </c>
      <c r="K40" s="668"/>
      <c r="L40" s="166" t="s">
        <v>765</v>
      </c>
      <c r="M40" s="167">
        <f ca="1">IF($D40&lt;&gt;"Serviço","",
          IF(AUTOEVENTO="manual",$A40,
                IF(ISERROR(MATCH($A40,$A$15:OFFSET($A40,-1,0),0)),MAX($M$15:OFFSET(M40,-1,0))+1,
                      INDEX($M$15:OFFSET(M40,-1,0),MATCH($A40,$A$15:OFFSET($A40,-1,0),0)))))</f>
        <v>3</v>
      </c>
      <c r="N40" s="168" t="str">
        <f ca="1">IF($D40&lt;&gt;"Serviço","",
         IF(AUTOEVENTO="Manual",
                IF($A40=0,"&lt;-- defina o número do agrupador",
                       OFFSET(EVENTOS!$D$15,$A40-$A$15,0)),
                OFFSET($F$15,$A40,0)))</f>
        <v>BLOCOS DE ANCORAGEM</v>
      </c>
      <c r="O40" s="169"/>
      <c r="Q40" s="169"/>
      <c r="R40" s="170"/>
      <c r="S40" s="170"/>
      <c r="T40" s="170"/>
      <c r="U40" s="170"/>
      <c r="V40" s="170"/>
      <c r="W40" s="170"/>
      <c r="X40" s="170"/>
      <c r="Y40" s="170"/>
      <c r="Z40" s="171"/>
      <c r="AB40" s="454">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4">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4">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4">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4">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4">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4">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4">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4">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4">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2">
        <f ca="1">IF(OR($D40&lt;&gt;"Serviço",AND(AUTOEVENTO="Manual",$M40=$A$15)),0,
         IF(OFFSET(CRONOPLE!$F$15,$M40-$A$15,AM$13)=0,10^12,OFFSET(CRONOPLE!$F$15,$M40-$A$15,AM$13)))</f>
        <v>1000000000000</v>
      </c>
      <c r="AN40" s="172">
        <f ca="1">IF(OR($D40&lt;&gt;"Serviço",AND(AUTOEVENTO="Manual",$M40=$A$15)),0,
         IF(OFFSET(CRONOPLE!$F$15,$M40-$A$15,AN$13)=0,10^12,OFFSET(CRONOPLE!$F$15,$M40-$A$15,AN$13)))</f>
        <v>1000000000000</v>
      </c>
      <c r="AO40" s="172">
        <f ca="1">IF(OR($D40&lt;&gt;"Serviço",AND(AUTOEVENTO="Manual",$M40=$A$15)),0,
         IF(OFFSET(CRONOPLE!$F$15,$M40-$A$15,AO$13)=0,10^12,OFFSET(CRONOPLE!$F$15,$M40-$A$15,AO$13)))</f>
        <v>1000000000000</v>
      </c>
      <c r="AP40" s="172">
        <f ca="1">IF(OR($D40&lt;&gt;"Serviço",AND(AUTOEVENTO="Manual",$M40=$A$15)),0,
         IF(OFFSET(CRONOPLE!$F$15,$M40-$A$15,AP$13)=0,10^12,OFFSET(CRONOPLE!$F$15,$M40-$A$15,AP$13)))</f>
        <v>1000000000000</v>
      </c>
      <c r="AQ40" s="172">
        <f ca="1">IF(OR($D40&lt;&gt;"Serviço",AND(AUTOEVENTO="Manual",$M40=$A$15)),0,
         IF(OFFSET(CRONOPLE!$F$15,$M40-$A$15,AQ$13)=0,10^12,OFFSET(CRONOPLE!$F$15,$M40-$A$15,AQ$13)))</f>
        <v>1000000000000</v>
      </c>
      <c r="AR40" s="172">
        <f ca="1">IF(OR($D40&lt;&gt;"Serviço",AND(AUTOEVENTO="Manual",$M40=$A$15)),0,
         IF(OFFSET(CRONOPLE!$F$15,$M40-$A$15,AR$13)=0,10^12,OFFSET(CRONOPLE!$F$15,$M40-$A$15,AR$13)))</f>
        <v>1000000000000</v>
      </c>
      <c r="AS40" s="172">
        <f ca="1">IF(OR($D40&lt;&gt;"Serviço",AND(AUTOEVENTO="Manual",$M40=$A$15)),0,
         IF(OFFSET(CRONOPLE!$F$15,$M40-$A$15,AS$13)=0,10^12,OFFSET(CRONOPLE!$F$15,$M40-$A$15,AS$13)))</f>
        <v>1000000000000</v>
      </c>
      <c r="AT40" s="172">
        <f ca="1">IF(OR($D40&lt;&gt;"Serviço",AND(AUTOEVENTO="Manual",$M40=$A$15)),0,
         IF(OFFSET(CRONOPLE!$F$15,$M40-$A$15,AT$13)=0,10^12,OFFSET(CRONOPLE!$F$15,$M40-$A$15,AT$13)))</f>
        <v>1000000000000</v>
      </c>
      <c r="AU40" s="172">
        <f ca="1">IF(OR($D40&lt;&gt;"Serviço",AND(AUTOEVENTO="Manual",$M40=$A$15)),0,
         IF(OFFSET(CRONOPLE!$F$15,$M40-$A$15,AU$13)=0,10^12,OFFSET(CRONOPLE!$F$15,$M40-$A$15,AU$13)))</f>
        <v>1000000000000</v>
      </c>
      <c r="AV40" s="172">
        <f ca="1">IF(OR($D40&lt;&gt;"Serviço",AND(AUTOEVENTO="Manual",$M40=$A$15)),0,
         IF(OFFSET(CRONOPLE!$F$15,$M40-$A$15,AV$13)=0,10^12,OFFSET(CRONOPLE!$F$15,$M40-$A$15,AV$13)))</f>
        <v>1000000000000</v>
      </c>
      <c r="AX40" s="173">
        <f ca="1">IF(OR($D40&lt;&gt;"Serviço",AND(AUTOEVENTO="Manual",$M40=$A$15),$M40&gt;(ROW(PLE.lastrow)-ROW(PLE.firstrow))),0,
           IF(OFFSET(PLE!$G$15,$M40-$A$15,AX$13)="",10^12,OFFSET(PLE!$G$15,$M40-$A$15,AX$13)))</f>
        <v>1000000000000</v>
      </c>
      <c r="AY40" s="173">
        <f ca="1">IF(OR($D40&lt;&gt;"Serviço",AND(AUTOEVENTO="Manual",$M40=$A$15),$M40&gt;(ROW(PLE.lastrow)-ROW(PLE.firstrow))),0,
           IF(OFFSET(PLE!$G$15,$M40-$A$15,AY$13)="",10^12,OFFSET(PLE!$G$15,$M40-$A$15,AY$13)))</f>
        <v>1000000000000</v>
      </c>
      <c r="AZ40" s="173">
        <f ca="1">IF(OR($D40&lt;&gt;"Serviço",AND(AUTOEVENTO="Manual",$M40=$A$15),$M40&gt;(ROW(PLE.lastrow)-ROW(PLE.firstrow))),0,
           IF(OFFSET(PLE!$G$15,$M40-$A$15,AZ$13)="",10^12,OFFSET(PLE!$G$15,$M40-$A$15,AZ$13)))</f>
        <v>1000000000000</v>
      </c>
      <c r="BA40" s="173">
        <f ca="1">IF(OR($D40&lt;&gt;"Serviço",AND(AUTOEVENTO="Manual",$M40=$A$15),$M40&gt;(ROW(PLE.lastrow)-ROW(PLE.firstrow))),0,
           IF(OFFSET(PLE!$G$15,$M40-$A$15,BA$13)="",10^12,OFFSET(PLE!$G$15,$M40-$A$15,BA$13)))</f>
        <v>1000000000000</v>
      </c>
      <c r="BB40" s="173">
        <f ca="1">IF(OR($D40&lt;&gt;"Serviço",AND(AUTOEVENTO="Manual",$M40=$A$15),$M40&gt;(ROW(PLE.lastrow)-ROW(PLE.firstrow))),0,
           IF(OFFSET(PLE!$G$15,$M40-$A$15,BB$13)="",10^12,OFFSET(PLE!$G$15,$M40-$A$15,BB$13)))</f>
        <v>1000000000000</v>
      </c>
      <c r="BC40" s="173">
        <f ca="1">IF(OR($D40&lt;&gt;"Serviço",AND(AUTOEVENTO="Manual",$M40=$A$15),$M40&gt;(ROW(PLE.lastrow)-ROW(PLE.firstrow))),0,
           IF(OFFSET(PLE!$G$15,$M40-$A$15,BC$13)="",10^12,OFFSET(PLE!$G$15,$M40-$A$15,BC$13)))</f>
        <v>1000000000000</v>
      </c>
      <c r="BD40" s="173">
        <f ca="1">IF(OR($D40&lt;&gt;"Serviço",AND(AUTOEVENTO="Manual",$M40=$A$15),$M40&gt;(ROW(PLE.lastrow)-ROW(PLE.firstrow))),0,
           IF(OFFSET(PLE!$G$15,$M40-$A$15,BD$13)="",10^12,OFFSET(PLE!$G$15,$M40-$A$15,BD$13)))</f>
        <v>1000000000000</v>
      </c>
      <c r="BE40" s="173">
        <f ca="1">IF(OR($D40&lt;&gt;"Serviço",AND(AUTOEVENTO="Manual",$M40=$A$15),$M40&gt;(ROW(PLE.lastrow)-ROW(PLE.firstrow))),0,
           IF(OFFSET(PLE!$G$15,$M40-$A$15,BE$13)="",10^12,OFFSET(PLE!$G$15,$M40-$A$15,BE$13)))</f>
        <v>1000000000000</v>
      </c>
      <c r="BF40" s="173">
        <f ca="1">IF(OR($D40&lt;&gt;"Serviço",AND(AUTOEVENTO="Manual",$M40=$A$15),$M40&gt;(ROW(PLE.lastrow)-ROW(PLE.firstrow))),0,
           IF(OFFSET(PLE!$G$15,$M40-$A$15,BF$13)="",10^12,OFFSET(PLE!$G$15,$M40-$A$15,BF$13)))</f>
        <v>1000000000000</v>
      </c>
      <c r="BG40" s="173">
        <f ca="1">IF(OR($D40&lt;&gt;"Serviço",AND(AUTOEVENTO="Manual",$M40=$A$15),$M40&gt;(ROW(PLE.lastrow)-ROW(PLE.firstrow))),0,
           IF(OFFSET(PLE!$G$15,$M40-$A$15,BG$13)="",10^12,OFFSET(PLE!$G$15,$M40-$A$15,BG$13)))</f>
        <v>1000000000000</v>
      </c>
    </row>
    <row r="41" spans="1:59" s="675" customFormat="1" ht="25.5" x14ac:dyDescent="0.2">
      <c r="A41" s="671" t="str">
        <f t="shared" ca="1" si="9"/>
        <v>23</v>
      </c>
      <c r="B41" s="671" t="str">
        <f ca="1">OFFSET(ORÇAMENTO!C$15,ROW(B41)-ROW(B$15),0)</f>
        <v>S</v>
      </c>
      <c r="C41" s="671" t="str">
        <f ca="1">OFFSET(ORÇAMENTO!L$15,ROW(C41)-ROW(C$15),0)</f>
        <v/>
      </c>
      <c r="D41" s="117" t="str">
        <f ca="1">OFFSET(ORÇAMENTO!N$15,ROW(D41)-ROW(D$15),0)</f>
        <v>Serviço</v>
      </c>
      <c r="E41" s="118" t="str">
        <f ca="1">OFFSET(ORÇAMENTO!O$15,ROW(E41)-ROW(E$15),0)</f>
        <v>-</v>
      </c>
      <c r="F41" s="164" t="str">
        <f ca="1">OFFSET(ORÇAMENTO!R$15,ROW(F41)-ROW(F$15),0)</f>
        <v>(abra o arquivo 'Referência 09-2025.xlsm)</v>
      </c>
      <c r="G41" s="165" t="str">
        <f ca="1">IF($D41&lt;&gt;"Serviço","",OFFSET(ORÇAMENTO!S$15,ROW(G41)-ROW(G$15),0))</f>
        <v>-</v>
      </c>
      <c r="H41" s="123">
        <f ca="1">IF($D41&lt;&gt;"Serviço",0,IF(ACOMPANHAMENTO="BM",ROUND(OFFSET(ORÇAMENTO!AJ$15,ROW(H41)-ROW(H$15),0),15-13*ORÇAMENTO!$AF$7),SUMPRODUCT(($Q$1:$AA$1=1)*ROUND($Q41:$AA41,15-13*ORÇAMENTO!$AF$7))))</f>
        <v>3.04</v>
      </c>
      <c r="I41" s="469" t="s">
        <v>1110</v>
      </c>
      <c r="J41" s="667" t="str">
        <f ca="1">IF(OR(B41&lt;&gt;"S",CÁLCULO.FrentesPreenchidas=0),"",IF(AND(ACOMPANHAMENTO="PLE",AUTOEVENTO="Manual",OR(H41&gt;0,ORÇAMENTO!AC41="QUANT."),OR(K41="",M41=0,N41="")),"►",IF(AND(ACOMPANHAMENTO="PLE",ORÇAMENTO!AC41="QUANT."),"►►",IF(AND(COUNTIF($P$11:$AA$11,"▼")=0,H41&gt;0,I41=""),"◄",""))))</f>
        <v/>
      </c>
      <c r="K41" s="668"/>
      <c r="L41" s="166" t="s">
        <v>765</v>
      </c>
      <c r="M41" s="167">
        <f ca="1">IF($D41&lt;&gt;"Serviço","",
          IF(AUTOEVENTO="manual",$A41,
                IF(ISERROR(MATCH($A41,$A$15:OFFSET($A41,-1,0),0)),MAX($M$15:OFFSET(M41,-1,0))+1,
                      INDEX($M$15:OFFSET(M41,-1,0),MATCH($A41,$A$15:OFFSET($A41,-1,0),0)))))</f>
        <v>3</v>
      </c>
      <c r="N41" s="168" t="str">
        <f ca="1">IF($D41&lt;&gt;"Serviço","",
         IF(AUTOEVENTO="Manual",
                IF($A41=0,"&lt;-- defina o número do agrupador",
                       OFFSET(EVENTOS!$D$15,$A41-$A$15,0)),
                OFFSET($F$15,$A41,0)))</f>
        <v>BLOCOS DE ANCORAGEM</v>
      </c>
      <c r="O41" s="169"/>
      <c r="Q41" s="169"/>
      <c r="R41" s="170"/>
      <c r="S41" s="170"/>
      <c r="T41" s="170"/>
      <c r="U41" s="170"/>
      <c r="V41" s="170"/>
      <c r="W41" s="170"/>
      <c r="X41" s="170"/>
      <c r="Y41" s="170"/>
      <c r="Z41" s="171"/>
      <c r="AB41" s="454">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4">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4">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4">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4">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4">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4">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4">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4">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4">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2">
        <f ca="1">IF(OR($D41&lt;&gt;"Serviço",AND(AUTOEVENTO="Manual",$M41=$A$15)),0,
         IF(OFFSET(CRONOPLE!$F$15,$M41-$A$15,AM$13)=0,10^12,OFFSET(CRONOPLE!$F$15,$M41-$A$15,AM$13)))</f>
        <v>1000000000000</v>
      </c>
      <c r="AN41" s="172">
        <f ca="1">IF(OR($D41&lt;&gt;"Serviço",AND(AUTOEVENTO="Manual",$M41=$A$15)),0,
         IF(OFFSET(CRONOPLE!$F$15,$M41-$A$15,AN$13)=0,10^12,OFFSET(CRONOPLE!$F$15,$M41-$A$15,AN$13)))</f>
        <v>1000000000000</v>
      </c>
      <c r="AO41" s="172">
        <f ca="1">IF(OR($D41&lt;&gt;"Serviço",AND(AUTOEVENTO="Manual",$M41=$A$15)),0,
         IF(OFFSET(CRONOPLE!$F$15,$M41-$A$15,AO$13)=0,10^12,OFFSET(CRONOPLE!$F$15,$M41-$A$15,AO$13)))</f>
        <v>1000000000000</v>
      </c>
      <c r="AP41" s="172">
        <f ca="1">IF(OR($D41&lt;&gt;"Serviço",AND(AUTOEVENTO="Manual",$M41=$A$15)),0,
         IF(OFFSET(CRONOPLE!$F$15,$M41-$A$15,AP$13)=0,10^12,OFFSET(CRONOPLE!$F$15,$M41-$A$15,AP$13)))</f>
        <v>1000000000000</v>
      </c>
      <c r="AQ41" s="172">
        <f ca="1">IF(OR($D41&lt;&gt;"Serviço",AND(AUTOEVENTO="Manual",$M41=$A$15)),0,
         IF(OFFSET(CRONOPLE!$F$15,$M41-$A$15,AQ$13)=0,10^12,OFFSET(CRONOPLE!$F$15,$M41-$A$15,AQ$13)))</f>
        <v>1000000000000</v>
      </c>
      <c r="AR41" s="172">
        <f ca="1">IF(OR($D41&lt;&gt;"Serviço",AND(AUTOEVENTO="Manual",$M41=$A$15)),0,
         IF(OFFSET(CRONOPLE!$F$15,$M41-$A$15,AR$13)=0,10^12,OFFSET(CRONOPLE!$F$15,$M41-$A$15,AR$13)))</f>
        <v>1000000000000</v>
      </c>
      <c r="AS41" s="172">
        <f ca="1">IF(OR($D41&lt;&gt;"Serviço",AND(AUTOEVENTO="Manual",$M41=$A$15)),0,
         IF(OFFSET(CRONOPLE!$F$15,$M41-$A$15,AS$13)=0,10^12,OFFSET(CRONOPLE!$F$15,$M41-$A$15,AS$13)))</f>
        <v>1000000000000</v>
      </c>
      <c r="AT41" s="172">
        <f ca="1">IF(OR($D41&lt;&gt;"Serviço",AND(AUTOEVENTO="Manual",$M41=$A$15)),0,
         IF(OFFSET(CRONOPLE!$F$15,$M41-$A$15,AT$13)=0,10^12,OFFSET(CRONOPLE!$F$15,$M41-$A$15,AT$13)))</f>
        <v>1000000000000</v>
      </c>
      <c r="AU41" s="172">
        <f ca="1">IF(OR($D41&lt;&gt;"Serviço",AND(AUTOEVENTO="Manual",$M41=$A$15)),0,
         IF(OFFSET(CRONOPLE!$F$15,$M41-$A$15,AU$13)=0,10^12,OFFSET(CRONOPLE!$F$15,$M41-$A$15,AU$13)))</f>
        <v>1000000000000</v>
      </c>
      <c r="AV41" s="172">
        <f ca="1">IF(OR($D41&lt;&gt;"Serviço",AND(AUTOEVENTO="Manual",$M41=$A$15)),0,
         IF(OFFSET(CRONOPLE!$F$15,$M41-$A$15,AV$13)=0,10^12,OFFSET(CRONOPLE!$F$15,$M41-$A$15,AV$13)))</f>
        <v>1000000000000</v>
      </c>
      <c r="AX41" s="173">
        <f ca="1">IF(OR($D41&lt;&gt;"Serviço",AND(AUTOEVENTO="Manual",$M41=$A$15),$M41&gt;(ROW(PLE.lastrow)-ROW(PLE.firstrow))),0,
           IF(OFFSET(PLE!$G$15,$M41-$A$15,AX$13)="",10^12,OFFSET(PLE!$G$15,$M41-$A$15,AX$13)))</f>
        <v>1000000000000</v>
      </c>
      <c r="AY41" s="173">
        <f ca="1">IF(OR($D41&lt;&gt;"Serviço",AND(AUTOEVENTO="Manual",$M41=$A$15),$M41&gt;(ROW(PLE.lastrow)-ROW(PLE.firstrow))),0,
           IF(OFFSET(PLE!$G$15,$M41-$A$15,AY$13)="",10^12,OFFSET(PLE!$G$15,$M41-$A$15,AY$13)))</f>
        <v>1000000000000</v>
      </c>
      <c r="AZ41" s="173">
        <f ca="1">IF(OR($D41&lt;&gt;"Serviço",AND(AUTOEVENTO="Manual",$M41=$A$15),$M41&gt;(ROW(PLE.lastrow)-ROW(PLE.firstrow))),0,
           IF(OFFSET(PLE!$G$15,$M41-$A$15,AZ$13)="",10^12,OFFSET(PLE!$G$15,$M41-$A$15,AZ$13)))</f>
        <v>1000000000000</v>
      </c>
      <c r="BA41" s="173">
        <f ca="1">IF(OR($D41&lt;&gt;"Serviço",AND(AUTOEVENTO="Manual",$M41=$A$15),$M41&gt;(ROW(PLE.lastrow)-ROW(PLE.firstrow))),0,
           IF(OFFSET(PLE!$G$15,$M41-$A$15,BA$13)="",10^12,OFFSET(PLE!$G$15,$M41-$A$15,BA$13)))</f>
        <v>1000000000000</v>
      </c>
      <c r="BB41" s="173">
        <f ca="1">IF(OR($D41&lt;&gt;"Serviço",AND(AUTOEVENTO="Manual",$M41=$A$15),$M41&gt;(ROW(PLE.lastrow)-ROW(PLE.firstrow))),0,
           IF(OFFSET(PLE!$G$15,$M41-$A$15,BB$13)="",10^12,OFFSET(PLE!$G$15,$M41-$A$15,BB$13)))</f>
        <v>1000000000000</v>
      </c>
      <c r="BC41" s="173">
        <f ca="1">IF(OR($D41&lt;&gt;"Serviço",AND(AUTOEVENTO="Manual",$M41=$A$15),$M41&gt;(ROW(PLE.lastrow)-ROW(PLE.firstrow))),0,
           IF(OFFSET(PLE!$G$15,$M41-$A$15,BC$13)="",10^12,OFFSET(PLE!$G$15,$M41-$A$15,BC$13)))</f>
        <v>1000000000000</v>
      </c>
      <c r="BD41" s="173">
        <f ca="1">IF(OR($D41&lt;&gt;"Serviço",AND(AUTOEVENTO="Manual",$M41=$A$15),$M41&gt;(ROW(PLE.lastrow)-ROW(PLE.firstrow))),0,
           IF(OFFSET(PLE!$G$15,$M41-$A$15,BD$13)="",10^12,OFFSET(PLE!$G$15,$M41-$A$15,BD$13)))</f>
        <v>1000000000000</v>
      </c>
      <c r="BE41" s="173">
        <f ca="1">IF(OR($D41&lt;&gt;"Serviço",AND(AUTOEVENTO="Manual",$M41=$A$15),$M41&gt;(ROW(PLE.lastrow)-ROW(PLE.firstrow))),0,
           IF(OFFSET(PLE!$G$15,$M41-$A$15,BE$13)="",10^12,OFFSET(PLE!$G$15,$M41-$A$15,BE$13)))</f>
        <v>1000000000000</v>
      </c>
      <c r="BF41" s="173">
        <f ca="1">IF(OR($D41&lt;&gt;"Serviço",AND(AUTOEVENTO="Manual",$M41=$A$15),$M41&gt;(ROW(PLE.lastrow)-ROW(PLE.firstrow))),0,
           IF(OFFSET(PLE!$G$15,$M41-$A$15,BF$13)="",10^12,OFFSET(PLE!$G$15,$M41-$A$15,BF$13)))</f>
        <v>1000000000000</v>
      </c>
      <c r="BG41" s="173">
        <f ca="1">IF(OR($D41&lt;&gt;"Serviço",AND(AUTOEVENTO="Manual",$M41=$A$15),$M41&gt;(ROW(PLE.lastrow)-ROW(PLE.firstrow))),0,
           IF(OFFSET(PLE!$G$15,$M41-$A$15,BG$13)="",10^12,OFFSET(PLE!$G$15,$M41-$A$15,BG$13)))</f>
        <v>1000000000000</v>
      </c>
    </row>
    <row r="42" spans="1:59" s="675" customFormat="1" ht="25.5" x14ac:dyDescent="0.2">
      <c r="A42" s="671" t="str">
        <f t="shared" ca="1" si="9"/>
        <v>23</v>
      </c>
      <c r="B42" s="671" t="str">
        <f ca="1">OFFSET(ORÇAMENTO!C$15,ROW(B42)-ROW(B$15),0)</f>
        <v>S</v>
      </c>
      <c r="C42" s="671" t="str">
        <f ca="1">OFFSET(ORÇAMENTO!L$15,ROW(C42)-ROW(C$15),0)</f>
        <v/>
      </c>
      <c r="D42" s="117" t="str">
        <f ca="1">OFFSET(ORÇAMENTO!N$15,ROW(D42)-ROW(D$15),0)</f>
        <v>Serviço</v>
      </c>
      <c r="E42" s="118" t="str">
        <f ca="1">OFFSET(ORÇAMENTO!O$15,ROW(E42)-ROW(E$15),0)</f>
        <v>-</v>
      </c>
      <c r="F42" s="164" t="str">
        <f ca="1">OFFSET(ORÇAMENTO!R$15,ROW(F42)-ROW(F$15),0)</f>
        <v>(abra o arquivo 'Referência 09-2025.xlsm)</v>
      </c>
      <c r="G42" s="165" t="str">
        <f ca="1">IF($D42&lt;&gt;"Serviço","",OFFSET(ORÇAMENTO!S$15,ROW(G42)-ROW(G$15),0))</f>
        <v>-</v>
      </c>
      <c r="H42" s="123">
        <f ca="1">IF($D42&lt;&gt;"Serviço",0,IF(ACOMPANHAMENTO="BM",ROUND(OFFSET(ORÇAMENTO!AJ$15,ROW(H42)-ROW(H$15),0),15-13*ORÇAMENTO!$AF$7),SUMPRODUCT(($Q$1:$AA$1=1)*ROUND($Q42:$AA42,15-13*ORÇAMENTO!$AF$7))))</f>
        <v>0.83</v>
      </c>
      <c r="I42" s="469" t="s">
        <v>1110</v>
      </c>
      <c r="J42" s="667" t="str">
        <f ca="1">IF(OR(B42&lt;&gt;"S",CÁLCULO.FrentesPreenchidas=0),"",IF(AND(ACOMPANHAMENTO="PLE",AUTOEVENTO="Manual",OR(H42&gt;0,ORÇAMENTO!AC42="QUANT."),OR(K42="",M42=0,N42="")),"►",IF(AND(ACOMPANHAMENTO="PLE",ORÇAMENTO!AC42="QUANT."),"►►",IF(AND(COUNTIF($P$11:$AA$11,"▼")=0,H42&gt;0,I42=""),"◄",""))))</f>
        <v/>
      </c>
      <c r="K42" s="668"/>
      <c r="L42" s="166" t="s">
        <v>765</v>
      </c>
      <c r="M42" s="167">
        <f ca="1">IF($D42&lt;&gt;"Serviço","",
          IF(AUTOEVENTO="manual",$A42,
                IF(ISERROR(MATCH($A42,$A$15:OFFSET($A42,-1,0),0)),MAX($M$15:OFFSET(M42,-1,0))+1,
                      INDEX($M$15:OFFSET(M42,-1,0),MATCH($A42,$A$15:OFFSET($A42,-1,0),0)))))</f>
        <v>3</v>
      </c>
      <c r="N42" s="168" t="str">
        <f ca="1">IF($D42&lt;&gt;"Serviço","",
         IF(AUTOEVENTO="Manual",
                IF($A42=0,"&lt;-- defina o número do agrupador",
                       OFFSET(EVENTOS!$D$15,$A42-$A$15,0)),
                OFFSET($F$15,$A42,0)))</f>
        <v>BLOCOS DE ANCORAGEM</v>
      </c>
      <c r="O42" s="169"/>
      <c r="Q42" s="169"/>
      <c r="R42" s="170"/>
      <c r="S42" s="170"/>
      <c r="T42" s="170"/>
      <c r="U42" s="170"/>
      <c r="V42" s="170"/>
      <c r="W42" s="170"/>
      <c r="X42" s="170"/>
      <c r="Y42" s="170"/>
      <c r="Z42" s="171"/>
      <c r="AB42" s="454">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4">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4">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4">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4">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4">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4">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4">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4">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4">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2">
        <f ca="1">IF(OR($D42&lt;&gt;"Serviço",AND(AUTOEVENTO="Manual",$M42=$A$15)),0,
         IF(OFFSET(CRONOPLE!$F$15,$M42-$A$15,AM$13)=0,10^12,OFFSET(CRONOPLE!$F$15,$M42-$A$15,AM$13)))</f>
        <v>1000000000000</v>
      </c>
      <c r="AN42" s="172">
        <f ca="1">IF(OR($D42&lt;&gt;"Serviço",AND(AUTOEVENTO="Manual",$M42=$A$15)),0,
         IF(OFFSET(CRONOPLE!$F$15,$M42-$A$15,AN$13)=0,10^12,OFFSET(CRONOPLE!$F$15,$M42-$A$15,AN$13)))</f>
        <v>1000000000000</v>
      </c>
      <c r="AO42" s="172">
        <f ca="1">IF(OR($D42&lt;&gt;"Serviço",AND(AUTOEVENTO="Manual",$M42=$A$15)),0,
         IF(OFFSET(CRONOPLE!$F$15,$M42-$A$15,AO$13)=0,10^12,OFFSET(CRONOPLE!$F$15,$M42-$A$15,AO$13)))</f>
        <v>1000000000000</v>
      </c>
      <c r="AP42" s="172">
        <f ca="1">IF(OR($D42&lt;&gt;"Serviço",AND(AUTOEVENTO="Manual",$M42=$A$15)),0,
         IF(OFFSET(CRONOPLE!$F$15,$M42-$A$15,AP$13)=0,10^12,OFFSET(CRONOPLE!$F$15,$M42-$A$15,AP$13)))</f>
        <v>1000000000000</v>
      </c>
      <c r="AQ42" s="172">
        <f ca="1">IF(OR($D42&lt;&gt;"Serviço",AND(AUTOEVENTO="Manual",$M42=$A$15)),0,
         IF(OFFSET(CRONOPLE!$F$15,$M42-$A$15,AQ$13)=0,10^12,OFFSET(CRONOPLE!$F$15,$M42-$A$15,AQ$13)))</f>
        <v>1000000000000</v>
      </c>
      <c r="AR42" s="172">
        <f ca="1">IF(OR($D42&lt;&gt;"Serviço",AND(AUTOEVENTO="Manual",$M42=$A$15)),0,
         IF(OFFSET(CRONOPLE!$F$15,$M42-$A$15,AR$13)=0,10^12,OFFSET(CRONOPLE!$F$15,$M42-$A$15,AR$13)))</f>
        <v>1000000000000</v>
      </c>
      <c r="AS42" s="172">
        <f ca="1">IF(OR($D42&lt;&gt;"Serviço",AND(AUTOEVENTO="Manual",$M42=$A$15)),0,
         IF(OFFSET(CRONOPLE!$F$15,$M42-$A$15,AS$13)=0,10^12,OFFSET(CRONOPLE!$F$15,$M42-$A$15,AS$13)))</f>
        <v>1000000000000</v>
      </c>
      <c r="AT42" s="172">
        <f ca="1">IF(OR($D42&lt;&gt;"Serviço",AND(AUTOEVENTO="Manual",$M42=$A$15)),0,
         IF(OFFSET(CRONOPLE!$F$15,$M42-$A$15,AT$13)=0,10^12,OFFSET(CRONOPLE!$F$15,$M42-$A$15,AT$13)))</f>
        <v>1000000000000</v>
      </c>
      <c r="AU42" s="172">
        <f ca="1">IF(OR($D42&lt;&gt;"Serviço",AND(AUTOEVENTO="Manual",$M42=$A$15)),0,
         IF(OFFSET(CRONOPLE!$F$15,$M42-$A$15,AU$13)=0,10^12,OFFSET(CRONOPLE!$F$15,$M42-$A$15,AU$13)))</f>
        <v>1000000000000</v>
      </c>
      <c r="AV42" s="172">
        <f ca="1">IF(OR($D42&lt;&gt;"Serviço",AND(AUTOEVENTO="Manual",$M42=$A$15)),0,
         IF(OFFSET(CRONOPLE!$F$15,$M42-$A$15,AV$13)=0,10^12,OFFSET(CRONOPLE!$F$15,$M42-$A$15,AV$13)))</f>
        <v>1000000000000</v>
      </c>
      <c r="AX42" s="173">
        <f ca="1">IF(OR($D42&lt;&gt;"Serviço",AND(AUTOEVENTO="Manual",$M42=$A$15),$M42&gt;(ROW(PLE.lastrow)-ROW(PLE.firstrow))),0,
           IF(OFFSET(PLE!$G$15,$M42-$A$15,AX$13)="",10^12,OFFSET(PLE!$G$15,$M42-$A$15,AX$13)))</f>
        <v>1000000000000</v>
      </c>
      <c r="AY42" s="173">
        <f ca="1">IF(OR($D42&lt;&gt;"Serviço",AND(AUTOEVENTO="Manual",$M42=$A$15),$M42&gt;(ROW(PLE.lastrow)-ROW(PLE.firstrow))),0,
           IF(OFFSET(PLE!$G$15,$M42-$A$15,AY$13)="",10^12,OFFSET(PLE!$G$15,$M42-$A$15,AY$13)))</f>
        <v>1000000000000</v>
      </c>
      <c r="AZ42" s="173">
        <f ca="1">IF(OR($D42&lt;&gt;"Serviço",AND(AUTOEVENTO="Manual",$M42=$A$15),$M42&gt;(ROW(PLE.lastrow)-ROW(PLE.firstrow))),0,
           IF(OFFSET(PLE!$G$15,$M42-$A$15,AZ$13)="",10^12,OFFSET(PLE!$G$15,$M42-$A$15,AZ$13)))</f>
        <v>1000000000000</v>
      </c>
      <c r="BA42" s="173">
        <f ca="1">IF(OR($D42&lt;&gt;"Serviço",AND(AUTOEVENTO="Manual",$M42=$A$15),$M42&gt;(ROW(PLE.lastrow)-ROW(PLE.firstrow))),0,
           IF(OFFSET(PLE!$G$15,$M42-$A$15,BA$13)="",10^12,OFFSET(PLE!$G$15,$M42-$A$15,BA$13)))</f>
        <v>1000000000000</v>
      </c>
      <c r="BB42" s="173">
        <f ca="1">IF(OR($D42&lt;&gt;"Serviço",AND(AUTOEVENTO="Manual",$M42=$A$15),$M42&gt;(ROW(PLE.lastrow)-ROW(PLE.firstrow))),0,
           IF(OFFSET(PLE!$G$15,$M42-$A$15,BB$13)="",10^12,OFFSET(PLE!$G$15,$M42-$A$15,BB$13)))</f>
        <v>1000000000000</v>
      </c>
      <c r="BC42" s="173">
        <f ca="1">IF(OR($D42&lt;&gt;"Serviço",AND(AUTOEVENTO="Manual",$M42=$A$15),$M42&gt;(ROW(PLE.lastrow)-ROW(PLE.firstrow))),0,
           IF(OFFSET(PLE!$G$15,$M42-$A$15,BC$13)="",10^12,OFFSET(PLE!$G$15,$M42-$A$15,BC$13)))</f>
        <v>1000000000000</v>
      </c>
      <c r="BD42" s="173">
        <f ca="1">IF(OR($D42&lt;&gt;"Serviço",AND(AUTOEVENTO="Manual",$M42=$A$15),$M42&gt;(ROW(PLE.lastrow)-ROW(PLE.firstrow))),0,
           IF(OFFSET(PLE!$G$15,$M42-$A$15,BD$13)="",10^12,OFFSET(PLE!$G$15,$M42-$A$15,BD$13)))</f>
        <v>1000000000000</v>
      </c>
      <c r="BE42" s="173">
        <f ca="1">IF(OR($D42&lt;&gt;"Serviço",AND(AUTOEVENTO="Manual",$M42=$A$15),$M42&gt;(ROW(PLE.lastrow)-ROW(PLE.firstrow))),0,
           IF(OFFSET(PLE!$G$15,$M42-$A$15,BE$13)="",10^12,OFFSET(PLE!$G$15,$M42-$A$15,BE$13)))</f>
        <v>1000000000000</v>
      </c>
      <c r="BF42" s="173">
        <f ca="1">IF(OR($D42&lt;&gt;"Serviço",AND(AUTOEVENTO="Manual",$M42=$A$15),$M42&gt;(ROW(PLE.lastrow)-ROW(PLE.firstrow))),0,
           IF(OFFSET(PLE!$G$15,$M42-$A$15,BF$13)="",10^12,OFFSET(PLE!$G$15,$M42-$A$15,BF$13)))</f>
        <v>1000000000000</v>
      </c>
      <c r="BG42" s="173">
        <f ca="1">IF(OR($D42&lt;&gt;"Serviço",AND(AUTOEVENTO="Manual",$M42=$A$15),$M42&gt;(ROW(PLE.lastrow)-ROW(PLE.firstrow))),0,
           IF(OFFSET(PLE!$G$15,$M42-$A$15,BG$13)="",10^12,OFFSET(PLE!$G$15,$M42-$A$15,BG$13)))</f>
        <v>1000000000000</v>
      </c>
    </row>
    <row r="43" spans="1:59" s="675" customFormat="1" ht="25.5" x14ac:dyDescent="0.2">
      <c r="A43" s="671" t="str">
        <f t="shared" ca="1" si="9"/>
        <v>23</v>
      </c>
      <c r="B43" s="671" t="str">
        <f ca="1">OFFSET(ORÇAMENTO!C$15,ROW(B43)-ROW(B$15),0)</f>
        <v>S</v>
      </c>
      <c r="C43" s="671" t="str">
        <f ca="1">OFFSET(ORÇAMENTO!L$15,ROW(C43)-ROW(C$15),0)</f>
        <v/>
      </c>
      <c r="D43" s="117" t="str">
        <f ca="1">OFFSET(ORÇAMENTO!N$15,ROW(D43)-ROW(D$15),0)</f>
        <v>Serviço</v>
      </c>
      <c r="E43" s="118" t="str">
        <f ca="1">OFFSET(ORÇAMENTO!O$15,ROW(E43)-ROW(E$15),0)</f>
        <v>-</v>
      </c>
      <c r="F43" s="164" t="str">
        <f ca="1">OFFSET(ORÇAMENTO!R$15,ROW(F43)-ROW(F$15),0)</f>
        <v>(abra o arquivo 'Referência 09-2025.xlsm)</v>
      </c>
      <c r="G43" s="165" t="str">
        <f ca="1">IF($D43&lt;&gt;"Serviço","",OFFSET(ORÇAMENTO!S$15,ROW(G43)-ROW(G$15),0))</f>
        <v>-</v>
      </c>
      <c r="H43" s="123">
        <f ca="1">IF($D43&lt;&gt;"Serviço",0,IF(ACOMPANHAMENTO="BM",ROUND(OFFSET(ORÇAMENTO!AJ$15,ROW(H43)-ROW(H$15),0),15-13*ORÇAMENTO!$AF$7),SUMPRODUCT(($Q$1:$AA$1=1)*ROUND($Q43:$AA43,15-13*ORÇAMENTO!$AF$7))))</f>
        <v>2.65</v>
      </c>
      <c r="I43" s="469" t="s">
        <v>1110</v>
      </c>
      <c r="J43" s="667" t="str">
        <f ca="1">IF(OR(B43&lt;&gt;"S",CÁLCULO.FrentesPreenchidas=0),"",IF(AND(ACOMPANHAMENTO="PLE",AUTOEVENTO="Manual",OR(H43&gt;0,ORÇAMENTO!AC43="QUANT."),OR(K43="",M43=0,N43="")),"►",IF(AND(ACOMPANHAMENTO="PLE",ORÇAMENTO!AC43="QUANT."),"►►",IF(AND(COUNTIF($P$11:$AA$11,"▼")=0,H43&gt;0,I43=""),"◄",""))))</f>
        <v/>
      </c>
      <c r="K43" s="668"/>
      <c r="L43" s="166" t="s">
        <v>765</v>
      </c>
      <c r="M43" s="167">
        <f ca="1">IF($D43&lt;&gt;"Serviço","",
          IF(AUTOEVENTO="manual",$A43,
                IF(ISERROR(MATCH($A43,$A$15:OFFSET($A43,-1,0),0)),MAX($M$15:OFFSET(M43,-1,0))+1,
                      INDEX($M$15:OFFSET(M43,-1,0),MATCH($A43,$A$15:OFFSET($A43,-1,0),0)))))</f>
        <v>3</v>
      </c>
      <c r="N43" s="168" t="str">
        <f ca="1">IF($D43&lt;&gt;"Serviço","",
         IF(AUTOEVENTO="Manual",
                IF($A43=0,"&lt;-- defina o número do agrupador",
                       OFFSET(EVENTOS!$D$15,$A43-$A$15,0)),
                OFFSET($F$15,$A43,0)))</f>
        <v>BLOCOS DE ANCORAGEM</v>
      </c>
      <c r="O43" s="169"/>
      <c r="Q43" s="169"/>
      <c r="R43" s="170"/>
      <c r="S43" s="170"/>
      <c r="T43" s="170"/>
      <c r="U43" s="170"/>
      <c r="V43" s="170"/>
      <c r="W43" s="170"/>
      <c r="X43" s="170"/>
      <c r="Y43" s="170"/>
      <c r="Z43" s="171"/>
      <c r="AB43" s="454">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4">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4">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4">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4">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4">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4">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4">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4">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4">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2">
        <f ca="1">IF(OR($D43&lt;&gt;"Serviço",AND(AUTOEVENTO="Manual",$M43=$A$15)),0,
         IF(OFFSET(CRONOPLE!$F$15,$M43-$A$15,AM$13)=0,10^12,OFFSET(CRONOPLE!$F$15,$M43-$A$15,AM$13)))</f>
        <v>1000000000000</v>
      </c>
      <c r="AN43" s="172">
        <f ca="1">IF(OR($D43&lt;&gt;"Serviço",AND(AUTOEVENTO="Manual",$M43=$A$15)),0,
         IF(OFFSET(CRONOPLE!$F$15,$M43-$A$15,AN$13)=0,10^12,OFFSET(CRONOPLE!$F$15,$M43-$A$15,AN$13)))</f>
        <v>1000000000000</v>
      </c>
      <c r="AO43" s="172">
        <f ca="1">IF(OR($D43&lt;&gt;"Serviço",AND(AUTOEVENTO="Manual",$M43=$A$15)),0,
         IF(OFFSET(CRONOPLE!$F$15,$M43-$A$15,AO$13)=0,10^12,OFFSET(CRONOPLE!$F$15,$M43-$A$15,AO$13)))</f>
        <v>1000000000000</v>
      </c>
      <c r="AP43" s="172">
        <f ca="1">IF(OR($D43&lt;&gt;"Serviço",AND(AUTOEVENTO="Manual",$M43=$A$15)),0,
         IF(OFFSET(CRONOPLE!$F$15,$M43-$A$15,AP$13)=0,10^12,OFFSET(CRONOPLE!$F$15,$M43-$A$15,AP$13)))</f>
        <v>1000000000000</v>
      </c>
      <c r="AQ43" s="172">
        <f ca="1">IF(OR($D43&lt;&gt;"Serviço",AND(AUTOEVENTO="Manual",$M43=$A$15)),0,
         IF(OFFSET(CRONOPLE!$F$15,$M43-$A$15,AQ$13)=0,10^12,OFFSET(CRONOPLE!$F$15,$M43-$A$15,AQ$13)))</f>
        <v>1000000000000</v>
      </c>
      <c r="AR43" s="172">
        <f ca="1">IF(OR($D43&lt;&gt;"Serviço",AND(AUTOEVENTO="Manual",$M43=$A$15)),0,
         IF(OFFSET(CRONOPLE!$F$15,$M43-$A$15,AR$13)=0,10^12,OFFSET(CRONOPLE!$F$15,$M43-$A$15,AR$13)))</f>
        <v>1000000000000</v>
      </c>
      <c r="AS43" s="172">
        <f ca="1">IF(OR($D43&lt;&gt;"Serviço",AND(AUTOEVENTO="Manual",$M43=$A$15)),0,
         IF(OFFSET(CRONOPLE!$F$15,$M43-$A$15,AS$13)=0,10^12,OFFSET(CRONOPLE!$F$15,$M43-$A$15,AS$13)))</f>
        <v>1000000000000</v>
      </c>
      <c r="AT43" s="172">
        <f ca="1">IF(OR($D43&lt;&gt;"Serviço",AND(AUTOEVENTO="Manual",$M43=$A$15)),0,
         IF(OFFSET(CRONOPLE!$F$15,$M43-$A$15,AT$13)=0,10^12,OFFSET(CRONOPLE!$F$15,$M43-$A$15,AT$13)))</f>
        <v>1000000000000</v>
      </c>
      <c r="AU43" s="172">
        <f ca="1">IF(OR($D43&lt;&gt;"Serviço",AND(AUTOEVENTO="Manual",$M43=$A$15)),0,
         IF(OFFSET(CRONOPLE!$F$15,$M43-$A$15,AU$13)=0,10^12,OFFSET(CRONOPLE!$F$15,$M43-$A$15,AU$13)))</f>
        <v>1000000000000</v>
      </c>
      <c r="AV43" s="172">
        <f ca="1">IF(OR($D43&lt;&gt;"Serviço",AND(AUTOEVENTO="Manual",$M43=$A$15)),0,
         IF(OFFSET(CRONOPLE!$F$15,$M43-$A$15,AV$13)=0,10^12,OFFSET(CRONOPLE!$F$15,$M43-$A$15,AV$13)))</f>
        <v>1000000000000</v>
      </c>
      <c r="AX43" s="173">
        <f ca="1">IF(OR($D43&lt;&gt;"Serviço",AND(AUTOEVENTO="Manual",$M43=$A$15),$M43&gt;(ROW(PLE.lastrow)-ROW(PLE.firstrow))),0,
           IF(OFFSET(PLE!$G$15,$M43-$A$15,AX$13)="",10^12,OFFSET(PLE!$G$15,$M43-$A$15,AX$13)))</f>
        <v>1000000000000</v>
      </c>
      <c r="AY43" s="173">
        <f ca="1">IF(OR($D43&lt;&gt;"Serviço",AND(AUTOEVENTO="Manual",$M43=$A$15),$M43&gt;(ROW(PLE.lastrow)-ROW(PLE.firstrow))),0,
           IF(OFFSET(PLE!$G$15,$M43-$A$15,AY$13)="",10^12,OFFSET(PLE!$G$15,$M43-$A$15,AY$13)))</f>
        <v>1000000000000</v>
      </c>
      <c r="AZ43" s="173">
        <f ca="1">IF(OR($D43&lt;&gt;"Serviço",AND(AUTOEVENTO="Manual",$M43=$A$15),$M43&gt;(ROW(PLE.lastrow)-ROW(PLE.firstrow))),0,
           IF(OFFSET(PLE!$G$15,$M43-$A$15,AZ$13)="",10^12,OFFSET(PLE!$G$15,$M43-$A$15,AZ$13)))</f>
        <v>1000000000000</v>
      </c>
      <c r="BA43" s="173">
        <f ca="1">IF(OR($D43&lt;&gt;"Serviço",AND(AUTOEVENTO="Manual",$M43=$A$15),$M43&gt;(ROW(PLE.lastrow)-ROW(PLE.firstrow))),0,
           IF(OFFSET(PLE!$G$15,$M43-$A$15,BA$13)="",10^12,OFFSET(PLE!$G$15,$M43-$A$15,BA$13)))</f>
        <v>1000000000000</v>
      </c>
      <c r="BB43" s="173">
        <f ca="1">IF(OR($D43&lt;&gt;"Serviço",AND(AUTOEVENTO="Manual",$M43=$A$15),$M43&gt;(ROW(PLE.lastrow)-ROW(PLE.firstrow))),0,
           IF(OFFSET(PLE!$G$15,$M43-$A$15,BB$13)="",10^12,OFFSET(PLE!$G$15,$M43-$A$15,BB$13)))</f>
        <v>1000000000000</v>
      </c>
      <c r="BC43" s="173">
        <f ca="1">IF(OR($D43&lt;&gt;"Serviço",AND(AUTOEVENTO="Manual",$M43=$A$15),$M43&gt;(ROW(PLE.lastrow)-ROW(PLE.firstrow))),0,
           IF(OFFSET(PLE!$G$15,$M43-$A$15,BC$13)="",10^12,OFFSET(PLE!$G$15,$M43-$A$15,BC$13)))</f>
        <v>1000000000000</v>
      </c>
      <c r="BD43" s="173">
        <f ca="1">IF(OR($D43&lt;&gt;"Serviço",AND(AUTOEVENTO="Manual",$M43=$A$15),$M43&gt;(ROW(PLE.lastrow)-ROW(PLE.firstrow))),0,
           IF(OFFSET(PLE!$G$15,$M43-$A$15,BD$13)="",10^12,OFFSET(PLE!$G$15,$M43-$A$15,BD$13)))</f>
        <v>1000000000000</v>
      </c>
      <c r="BE43" s="173">
        <f ca="1">IF(OR($D43&lt;&gt;"Serviço",AND(AUTOEVENTO="Manual",$M43=$A$15),$M43&gt;(ROW(PLE.lastrow)-ROW(PLE.firstrow))),0,
           IF(OFFSET(PLE!$G$15,$M43-$A$15,BE$13)="",10^12,OFFSET(PLE!$G$15,$M43-$A$15,BE$13)))</f>
        <v>1000000000000</v>
      </c>
      <c r="BF43" s="173">
        <f ca="1">IF(OR($D43&lt;&gt;"Serviço",AND(AUTOEVENTO="Manual",$M43=$A$15),$M43&gt;(ROW(PLE.lastrow)-ROW(PLE.firstrow))),0,
           IF(OFFSET(PLE!$G$15,$M43-$A$15,BF$13)="",10^12,OFFSET(PLE!$G$15,$M43-$A$15,BF$13)))</f>
        <v>1000000000000</v>
      </c>
      <c r="BG43" s="173">
        <f ca="1">IF(OR($D43&lt;&gt;"Serviço",AND(AUTOEVENTO="Manual",$M43=$A$15),$M43&gt;(ROW(PLE.lastrow)-ROW(PLE.firstrow))),0,
           IF(OFFSET(PLE!$G$15,$M43-$A$15,BG$13)="",10^12,OFFSET(PLE!$G$15,$M43-$A$15,BG$13)))</f>
        <v>1000000000000</v>
      </c>
    </row>
    <row r="44" spans="1:59" s="675" customFormat="1" ht="25.5" x14ac:dyDescent="0.2">
      <c r="A44" s="671" t="str">
        <f t="shared" ca="1" si="9"/>
        <v>23</v>
      </c>
      <c r="B44" s="671" t="str">
        <f ca="1">OFFSET(ORÇAMENTO!C$15,ROW(B44)-ROW(B$15),0)</f>
        <v>S</v>
      </c>
      <c r="C44" s="671" t="str">
        <f ca="1">OFFSET(ORÇAMENTO!L$15,ROW(C44)-ROW(C$15),0)</f>
        <v/>
      </c>
      <c r="D44" s="117" t="str">
        <f ca="1">OFFSET(ORÇAMENTO!N$15,ROW(D44)-ROW(D$15),0)</f>
        <v>Serviço</v>
      </c>
      <c r="E44" s="118" t="str">
        <f ca="1">OFFSET(ORÇAMENTO!O$15,ROW(E44)-ROW(E$15),0)</f>
        <v>-</v>
      </c>
      <c r="F44" s="164" t="str">
        <f ca="1">OFFSET(ORÇAMENTO!R$15,ROW(F44)-ROW(F$15),0)</f>
        <v>(abra o arquivo 'Referência 09-2025.xlsm)</v>
      </c>
      <c r="G44" s="165" t="str">
        <f ca="1">IF($D44&lt;&gt;"Serviço","",OFFSET(ORÇAMENTO!S$15,ROW(G44)-ROW(G$15),0))</f>
        <v>-</v>
      </c>
      <c r="H44" s="123">
        <f ca="1">IF($D44&lt;&gt;"Serviço",0,IF(ACOMPANHAMENTO="BM",ROUND(OFFSET(ORÇAMENTO!AJ$15,ROW(H44)-ROW(H$15),0),15-13*ORÇAMENTO!$AF$7),SUMPRODUCT(($Q$1:$AA$1=1)*ROUND($Q44:$AA44,15-13*ORÇAMENTO!$AF$7))))</f>
        <v>2.04</v>
      </c>
      <c r="I44" s="469" t="s">
        <v>1110</v>
      </c>
      <c r="J44" s="667" t="str">
        <f ca="1">IF(OR(B44&lt;&gt;"S",CÁLCULO.FrentesPreenchidas=0),"",IF(AND(ACOMPANHAMENTO="PLE",AUTOEVENTO="Manual",OR(H44&gt;0,ORÇAMENTO!AC44="QUANT."),OR(K44="",M44=0,N44="")),"►",IF(AND(ACOMPANHAMENTO="PLE",ORÇAMENTO!AC44="QUANT."),"►►",IF(AND(COUNTIF($P$11:$AA$11,"▼")=0,H44&gt;0,I44=""),"◄",""))))</f>
        <v/>
      </c>
      <c r="K44" s="668"/>
      <c r="L44" s="166" t="s">
        <v>765</v>
      </c>
      <c r="M44" s="167">
        <f ca="1">IF($D44&lt;&gt;"Serviço","",
          IF(AUTOEVENTO="manual",$A44,
                IF(ISERROR(MATCH($A44,$A$15:OFFSET($A44,-1,0),0)),MAX($M$15:OFFSET(M44,-1,0))+1,
                      INDEX($M$15:OFFSET(M44,-1,0),MATCH($A44,$A$15:OFFSET($A44,-1,0),0)))))</f>
        <v>3</v>
      </c>
      <c r="N44" s="168" t="str">
        <f ca="1">IF($D44&lt;&gt;"Serviço","",
         IF(AUTOEVENTO="Manual",
                IF($A44=0,"&lt;-- defina o número do agrupador",
                       OFFSET(EVENTOS!$D$15,$A44-$A$15,0)),
                OFFSET($F$15,$A44,0)))</f>
        <v>BLOCOS DE ANCORAGEM</v>
      </c>
      <c r="O44" s="169"/>
      <c r="Q44" s="169"/>
      <c r="R44" s="170"/>
      <c r="S44" s="170"/>
      <c r="T44" s="170"/>
      <c r="U44" s="170"/>
      <c r="V44" s="170"/>
      <c r="W44" s="170"/>
      <c r="X44" s="170"/>
      <c r="Y44" s="170"/>
      <c r="Z44" s="171"/>
      <c r="AB44" s="454">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4">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4">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4">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4">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4">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4">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4">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4">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4">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2">
        <f ca="1">IF(OR($D44&lt;&gt;"Serviço",AND(AUTOEVENTO="Manual",$M44=$A$15)),0,
         IF(OFFSET(CRONOPLE!$F$15,$M44-$A$15,AM$13)=0,10^12,OFFSET(CRONOPLE!$F$15,$M44-$A$15,AM$13)))</f>
        <v>1000000000000</v>
      </c>
      <c r="AN44" s="172">
        <f ca="1">IF(OR($D44&lt;&gt;"Serviço",AND(AUTOEVENTO="Manual",$M44=$A$15)),0,
         IF(OFFSET(CRONOPLE!$F$15,$M44-$A$15,AN$13)=0,10^12,OFFSET(CRONOPLE!$F$15,$M44-$A$15,AN$13)))</f>
        <v>1000000000000</v>
      </c>
      <c r="AO44" s="172">
        <f ca="1">IF(OR($D44&lt;&gt;"Serviço",AND(AUTOEVENTO="Manual",$M44=$A$15)),0,
         IF(OFFSET(CRONOPLE!$F$15,$M44-$A$15,AO$13)=0,10^12,OFFSET(CRONOPLE!$F$15,$M44-$A$15,AO$13)))</f>
        <v>1000000000000</v>
      </c>
      <c r="AP44" s="172">
        <f ca="1">IF(OR($D44&lt;&gt;"Serviço",AND(AUTOEVENTO="Manual",$M44=$A$15)),0,
         IF(OFFSET(CRONOPLE!$F$15,$M44-$A$15,AP$13)=0,10^12,OFFSET(CRONOPLE!$F$15,$M44-$A$15,AP$13)))</f>
        <v>1000000000000</v>
      </c>
      <c r="AQ44" s="172">
        <f ca="1">IF(OR($D44&lt;&gt;"Serviço",AND(AUTOEVENTO="Manual",$M44=$A$15)),0,
         IF(OFFSET(CRONOPLE!$F$15,$M44-$A$15,AQ$13)=0,10^12,OFFSET(CRONOPLE!$F$15,$M44-$A$15,AQ$13)))</f>
        <v>1000000000000</v>
      </c>
      <c r="AR44" s="172">
        <f ca="1">IF(OR($D44&lt;&gt;"Serviço",AND(AUTOEVENTO="Manual",$M44=$A$15)),0,
         IF(OFFSET(CRONOPLE!$F$15,$M44-$A$15,AR$13)=0,10^12,OFFSET(CRONOPLE!$F$15,$M44-$A$15,AR$13)))</f>
        <v>1000000000000</v>
      </c>
      <c r="AS44" s="172">
        <f ca="1">IF(OR($D44&lt;&gt;"Serviço",AND(AUTOEVENTO="Manual",$M44=$A$15)),0,
         IF(OFFSET(CRONOPLE!$F$15,$M44-$A$15,AS$13)=0,10^12,OFFSET(CRONOPLE!$F$15,$M44-$A$15,AS$13)))</f>
        <v>1000000000000</v>
      </c>
      <c r="AT44" s="172">
        <f ca="1">IF(OR($D44&lt;&gt;"Serviço",AND(AUTOEVENTO="Manual",$M44=$A$15)),0,
         IF(OFFSET(CRONOPLE!$F$15,$M44-$A$15,AT$13)=0,10^12,OFFSET(CRONOPLE!$F$15,$M44-$A$15,AT$13)))</f>
        <v>1000000000000</v>
      </c>
      <c r="AU44" s="172">
        <f ca="1">IF(OR($D44&lt;&gt;"Serviço",AND(AUTOEVENTO="Manual",$M44=$A$15)),0,
         IF(OFFSET(CRONOPLE!$F$15,$M44-$A$15,AU$13)=0,10^12,OFFSET(CRONOPLE!$F$15,$M44-$A$15,AU$13)))</f>
        <v>1000000000000</v>
      </c>
      <c r="AV44" s="172">
        <f ca="1">IF(OR($D44&lt;&gt;"Serviço",AND(AUTOEVENTO="Manual",$M44=$A$15)),0,
         IF(OFFSET(CRONOPLE!$F$15,$M44-$A$15,AV$13)=0,10^12,OFFSET(CRONOPLE!$F$15,$M44-$A$15,AV$13)))</f>
        <v>1000000000000</v>
      </c>
      <c r="AX44" s="173">
        <f ca="1">IF(OR($D44&lt;&gt;"Serviço",AND(AUTOEVENTO="Manual",$M44=$A$15),$M44&gt;(ROW(PLE.lastrow)-ROW(PLE.firstrow))),0,
           IF(OFFSET(PLE!$G$15,$M44-$A$15,AX$13)="",10^12,OFFSET(PLE!$G$15,$M44-$A$15,AX$13)))</f>
        <v>1000000000000</v>
      </c>
      <c r="AY44" s="173">
        <f ca="1">IF(OR($D44&lt;&gt;"Serviço",AND(AUTOEVENTO="Manual",$M44=$A$15),$M44&gt;(ROW(PLE.lastrow)-ROW(PLE.firstrow))),0,
           IF(OFFSET(PLE!$G$15,$M44-$A$15,AY$13)="",10^12,OFFSET(PLE!$G$15,$M44-$A$15,AY$13)))</f>
        <v>1000000000000</v>
      </c>
      <c r="AZ44" s="173">
        <f ca="1">IF(OR($D44&lt;&gt;"Serviço",AND(AUTOEVENTO="Manual",$M44=$A$15),$M44&gt;(ROW(PLE.lastrow)-ROW(PLE.firstrow))),0,
           IF(OFFSET(PLE!$G$15,$M44-$A$15,AZ$13)="",10^12,OFFSET(PLE!$G$15,$M44-$A$15,AZ$13)))</f>
        <v>1000000000000</v>
      </c>
      <c r="BA44" s="173">
        <f ca="1">IF(OR($D44&lt;&gt;"Serviço",AND(AUTOEVENTO="Manual",$M44=$A$15),$M44&gt;(ROW(PLE.lastrow)-ROW(PLE.firstrow))),0,
           IF(OFFSET(PLE!$G$15,$M44-$A$15,BA$13)="",10^12,OFFSET(PLE!$G$15,$M44-$A$15,BA$13)))</f>
        <v>1000000000000</v>
      </c>
      <c r="BB44" s="173">
        <f ca="1">IF(OR($D44&lt;&gt;"Serviço",AND(AUTOEVENTO="Manual",$M44=$A$15),$M44&gt;(ROW(PLE.lastrow)-ROW(PLE.firstrow))),0,
           IF(OFFSET(PLE!$G$15,$M44-$A$15,BB$13)="",10^12,OFFSET(PLE!$G$15,$M44-$A$15,BB$13)))</f>
        <v>1000000000000</v>
      </c>
      <c r="BC44" s="173">
        <f ca="1">IF(OR($D44&lt;&gt;"Serviço",AND(AUTOEVENTO="Manual",$M44=$A$15),$M44&gt;(ROW(PLE.lastrow)-ROW(PLE.firstrow))),0,
           IF(OFFSET(PLE!$G$15,$M44-$A$15,BC$13)="",10^12,OFFSET(PLE!$G$15,$M44-$A$15,BC$13)))</f>
        <v>1000000000000</v>
      </c>
      <c r="BD44" s="173">
        <f ca="1">IF(OR($D44&lt;&gt;"Serviço",AND(AUTOEVENTO="Manual",$M44=$A$15),$M44&gt;(ROW(PLE.lastrow)-ROW(PLE.firstrow))),0,
           IF(OFFSET(PLE!$G$15,$M44-$A$15,BD$13)="",10^12,OFFSET(PLE!$G$15,$M44-$A$15,BD$13)))</f>
        <v>1000000000000</v>
      </c>
      <c r="BE44" s="173">
        <f ca="1">IF(OR($D44&lt;&gt;"Serviço",AND(AUTOEVENTO="Manual",$M44=$A$15),$M44&gt;(ROW(PLE.lastrow)-ROW(PLE.firstrow))),0,
           IF(OFFSET(PLE!$G$15,$M44-$A$15,BE$13)="",10^12,OFFSET(PLE!$G$15,$M44-$A$15,BE$13)))</f>
        <v>1000000000000</v>
      </c>
      <c r="BF44" s="173">
        <f ca="1">IF(OR($D44&lt;&gt;"Serviço",AND(AUTOEVENTO="Manual",$M44=$A$15),$M44&gt;(ROW(PLE.lastrow)-ROW(PLE.firstrow))),0,
           IF(OFFSET(PLE!$G$15,$M44-$A$15,BF$13)="",10^12,OFFSET(PLE!$G$15,$M44-$A$15,BF$13)))</f>
        <v>1000000000000</v>
      </c>
      <c r="BG44" s="173">
        <f ca="1">IF(OR($D44&lt;&gt;"Serviço",AND(AUTOEVENTO="Manual",$M44=$A$15),$M44&gt;(ROW(PLE.lastrow)-ROW(PLE.firstrow))),0,
           IF(OFFSET(PLE!$G$15,$M44-$A$15,BG$13)="",10^12,OFFSET(PLE!$G$15,$M44-$A$15,BG$13)))</f>
        <v>1000000000000</v>
      </c>
    </row>
    <row r="45" spans="1:59" s="675" customFormat="1" ht="25.5" x14ac:dyDescent="0.2">
      <c r="A45" s="671" t="str">
        <f t="shared" ca="1" si="9"/>
        <v>23</v>
      </c>
      <c r="B45" s="671" t="str">
        <f ca="1">OFFSET(ORÇAMENTO!C$15,ROW(B45)-ROW(B$15),0)</f>
        <v>S</v>
      </c>
      <c r="C45" s="671" t="str">
        <f ca="1">OFFSET(ORÇAMENTO!L$15,ROW(C45)-ROW(C$15),0)</f>
        <v/>
      </c>
      <c r="D45" s="117" t="str">
        <f ca="1">OFFSET(ORÇAMENTO!N$15,ROW(D45)-ROW(D$15),0)</f>
        <v>Serviço</v>
      </c>
      <c r="E45" s="118" t="str">
        <f ca="1">OFFSET(ORÇAMENTO!O$15,ROW(E45)-ROW(E$15),0)</f>
        <v>-</v>
      </c>
      <c r="F45" s="164" t="str">
        <f ca="1">OFFSET(ORÇAMENTO!R$15,ROW(F45)-ROW(F$15),0)</f>
        <v>(abra o arquivo 'Referência 09-2025.xlsm)</v>
      </c>
      <c r="G45" s="165" t="str">
        <f ca="1">IF($D45&lt;&gt;"Serviço","",OFFSET(ORÇAMENTO!S$15,ROW(G45)-ROW(G$15),0))</f>
        <v>-</v>
      </c>
      <c r="H45" s="123">
        <f ca="1">IF($D45&lt;&gt;"Serviço",0,IF(ACOMPANHAMENTO="BM",ROUND(OFFSET(ORÇAMENTO!AJ$15,ROW(H45)-ROW(H$15),0),15-13*ORÇAMENTO!$AF$7),SUMPRODUCT(($Q$1:$AA$1=1)*ROUND($Q45:$AA45,15-13*ORÇAMENTO!$AF$7))))</f>
        <v>1.2</v>
      </c>
      <c r="I45" s="469" t="s">
        <v>1110</v>
      </c>
      <c r="J45" s="667" t="str">
        <f ca="1">IF(OR(B45&lt;&gt;"S",CÁLCULO.FrentesPreenchidas=0),"",IF(AND(ACOMPANHAMENTO="PLE",AUTOEVENTO="Manual",OR(H45&gt;0,ORÇAMENTO!AC45="QUANT."),OR(K45="",M45=0,N45="")),"►",IF(AND(ACOMPANHAMENTO="PLE",ORÇAMENTO!AC45="QUANT."),"►►",IF(AND(COUNTIF($P$11:$AA$11,"▼")=0,H45&gt;0,I45=""),"◄",""))))</f>
        <v/>
      </c>
      <c r="K45" s="668"/>
      <c r="L45" s="166" t="s">
        <v>765</v>
      </c>
      <c r="M45" s="167">
        <f ca="1">IF($D45&lt;&gt;"Serviço","",
          IF(AUTOEVENTO="manual",$A45,
                IF(ISERROR(MATCH($A45,$A$15:OFFSET($A45,-1,0),0)),MAX($M$15:OFFSET(M45,-1,0))+1,
                      INDEX($M$15:OFFSET(M45,-1,0),MATCH($A45,$A$15:OFFSET($A45,-1,0),0)))))</f>
        <v>3</v>
      </c>
      <c r="N45" s="168" t="str">
        <f ca="1">IF($D45&lt;&gt;"Serviço","",
         IF(AUTOEVENTO="Manual",
                IF($A45=0,"&lt;-- defina o número do agrupador",
                       OFFSET(EVENTOS!$D$15,$A45-$A$15,0)),
                OFFSET($F$15,$A45,0)))</f>
        <v>BLOCOS DE ANCORAGEM</v>
      </c>
      <c r="O45" s="169"/>
      <c r="Q45" s="169"/>
      <c r="R45" s="170"/>
      <c r="S45" s="170"/>
      <c r="T45" s="170"/>
      <c r="U45" s="170"/>
      <c r="V45" s="170"/>
      <c r="W45" s="170"/>
      <c r="X45" s="170"/>
      <c r="Y45" s="170"/>
      <c r="Z45" s="171"/>
      <c r="AB45" s="454">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4">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4">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4">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4">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4">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4">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4">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4">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4">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2">
        <f ca="1">IF(OR($D45&lt;&gt;"Serviço",AND(AUTOEVENTO="Manual",$M45=$A$15)),0,
         IF(OFFSET(CRONOPLE!$F$15,$M45-$A$15,AM$13)=0,10^12,OFFSET(CRONOPLE!$F$15,$M45-$A$15,AM$13)))</f>
        <v>1000000000000</v>
      </c>
      <c r="AN45" s="172">
        <f ca="1">IF(OR($D45&lt;&gt;"Serviço",AND(AUTOEVENTO="Manual",$M45=$A$15)),0,
         IF(OFFSET(CRONOPLE!$F$15,$M45-$A$15,AN$13)=0,10^12,OFFSET(CRONOPLE!$F$15,$M45-$A$15,AN$13)))</f>
        <v>1000000000000</v>
      </c>
      <c r="AO45" s="172">
        <f ca="1">IF(OR($D45&lt;&gt;"Serviço",AND(AUTOEVENTO="Manual",$M45=$A$15)),0,
         IF(OFFSET(CRONOPLE!$F$15,$M45-$A$15,AO$13)=0,10^12,OFFSET(CRONOPLE!$F$15,$M45-$A$15,AO$13)))</f>
        <v>1000000000000</v>
      </c>
      <c r="AP45" s="172">
        <f ca="1">IF(OR($D45&lt;&gt;"Serviço",AND(AUTOEVENTO="Manual",$M45=$A$15)),0,
         IF(OFFSET(CRONOPLE!$F$15,$M45-$A$15,AP$13)=0,10^12,OFFSET(CRONOPLE!$F$15,$M45-$A$15,AP$13)))</f>
        <v>1000000000000</v>
      </c>
      <c r="AQ45" s="172">
        <f ca="1">IF(OR($D45&lt;&gt;"Serviço",AND(AUTOEVENTO="Manual",$M45=$A$15)),0,
         IF(OFFSET(CRONOPLE!$F$15,$M45-$A$15,AQ$13)=0,10^12,OFFSET(CRONOPLE!$F$15,$M45-$A$15,AQ$13)))</f>
        <v>1000000000000</v>
      </c>
      <c r="AR45" s="172">
        <f ca="1">IF(OR($D45&lt;&gt;"Serviço",AND(AUTOEVENTO="Manual",$M45=$A$15)),0,
         IF(OFFSET(CRONOPLE!$F$15,$M45-$A$15,AR$13)=0,10^12,OFFSET(CRONOPLE!$F$15,$M45-$A$15,AR$13)))</f>
        <v>1000000000000</v>
      </c>
      <c r="AS45" s="172">
        <f ca="1">IF(OR($D45&lt;&gt;"Serviço",AND(AUTOEVENTO="Manual",$M45=$A$15)),0,
         IF(OFFSET(CRONOPLE!$F$15,$M45-$A$15,AS$13)=0,10^12,OFFSET(CRONOPLE!$F$15,$M45-$A$15,AS$13)))</f>
        <v>1000000000000</v>
      </c>
      <c r="AT45" s="172">
        <f ca="1">IF(OR($D45&lt;&gt;"Serviço",AND(AUTOEVENTO="Manual",$M45=$A$15)),0,
         IF(OFFSET(CRONOPLE!$F$15,$M45-$A$15,AT$13)=0,10^12,OFFSET(CRONOPLE!$F$15,$M45-$A$15,AT$13)))</f>
        <v>1000000000000</v>
      </c>
      <c r="AU45" s="172">
        <f ca="1">IF(OR($D45&lt;&gt;"Serviço",AND(AUTOEVENTO="Manual",$M45=$A$15)),0,
         IF(OFFSET(CRONOPLE!$F$15,$M45-$A$15,AU$13)=0,10^12,OFFSET(CRONOPLE!$F$15,$M45-$A$15,AU$13)))</f>
        <v>1000000000000</v>
      </c>
      <c r="AV45" s="172">
        <f ca="1">IF(OR($D45&lt;&gt;"Serviço",AND(AUTOEVENTO="Manual",$M45=$A$15)),0,
         IF(OFFSET(CRONOPLE!$F$15,$M45-$A$15,AV$13)=0,10^12,OFFSET(CRONOPLE!$F$15,$M45-$A$15,AV$13)))</f>
        <v>1000000000000</v>
      </c>
      <c r="AX45" s="173">
        <f ca="1">IF(OR($D45&lt;&gt;"Serviço",AND(AUTOEVENTO="Manual",$M45=$A$15),$M45&gt;(ROW(PLE.lastrow)-ROW(PLE.firstrow))),0,
           IF(OFFSET(PLE!$G$15,$M45-$A$15,AX$13)="",10^12,OFFSET(PLE!$G$15,$M45-$A$15,AX$13)))</f>
        <v>1000000000000</v>
      </c>
      <c r="AY45" s="173">
        <f ca="1">IF(OR($D45&lt;&gt;"Serviço",AND(AUTOEVENTO="Manual",$M45=$A$15),$M45&gt;(ROW(PLE.lastrow)-ROW(PLE.firstrow))),0,
           IF(OFFSET(PLE!$G$15,$M45-$A$15,AY$13)="",10^12,OFFSET(PLE!$G$15,$M45-$A$15,AY$13)))</f>
        <v>1000000000000</v>
      </c>
      <c r="AZ45" s="173">
        <f ca="1">IF(OR($D45&lt;&gt;"Serviço",AND(AUTOEVENTO="Manual",$M45=$A$15),$M45&gt;(ROW(PLE.lastrow)-ROW(PLE.firstrow))),0,
           IF(OFFSET(PLE!$G$15,$M45-$A$15,AZ$13)="",10^12,OFFSET(PLE!$G$15,$M45-$A$15,AZ$13)))</f>
        <v>1000000000000</v>
      </c>
      <c r="BA45" s="173">
        <f ca="1">IF(OR($D45&lt;&gt;"Serviço",AND(AUTOEVENTO="Manual",$M45=$A$15),$M45&gt;(ROW(PLE.lastrow)-ROW(PLE.firstrow))),0,
           IF(OFFSET(PLE!$G$15,$M45-$A$15,BA$13)="",10^12,OFFSET(PLE!$G$15,$M45-$A$15,BA$13)))</f>
        <v>1000000000000</v>
      </c>
      <c r="BB45" s="173">
        <f ca="1">IF(OR($D45&lt;&gt;"Serviço",AND(AUTOEVENTO="Manual",$M45=$A$15),$M45&gt;(ROW(PLE.lastrow)-ROW(PLE.firstrow))),0,
           IF(OFFSET(PLE!$G$15,$M45-$A$15,BB$13)="",10^12,OFFSET(PLE!$G$15,$M45-$A$15,BB$13)))</f>
        <v>1000000000000</v>
      </c>
      <c r="BC45" s="173">
        <f ca="1">IF(OR($D45&lt;&gt;"Serviço",AND(AUTOEVENTO="Manual",$M45=$A$15),$M45&gt;(ROW(PLE.lastrow)-ROW(PLE.firstrow))),0,
           IF(OFFSET(PLE!$G$15,$M45-$A$15,BC$13)="",10^12,OFFSET(PLE!$G$15,$M45-$A$15,BC$13)))</f>
        <v>1000000000000</v>
      </c>
      <c r="BD45" s="173">
        <f ca="1">IF(OR($D45&lt;&gt;"Serviço",AND(AUTOEVENTO="Manual",$M45=$A$15),$M45&gt;(ROW(PLE.lastrow)-ROW(PLE.firstrow))),0,
           IF(OFFSET(PLE!$G$15,$M45-$A$15,BD$13)="",10^12,OFFSET(PLE!$G$15,$M45-$A$15,BD$13)))</f>
        <v>1000000000000</v>
      </c>
      <c r="BE45" s="173">
        <f ca="1">IF(OR($D45&lt;&gt;"Serviço",AND(AUTOEVENTO="Manual",$M45=$A$15),$M45&gt;(ROW(PLE.lastrow)-ROW(PLE.firstrow))),0,
           IF(OFFSET(PLE!$G$15,$M45-$A$15,BE$13)="",10^12,OFFSET(PLE!$G$15,$M45-$A$15,BE$13)))</f>
        <v>1000000000000</v>
      </c>
      <c r="BF45" s="173">
        <f ca="1">IF(OR($D45&lt;&gt;"Serviço",AND(AUTOEVENTO="Manual",$M45=$A$15),$M45&gt;(ROW(PLE.lastrow)-ROW(PLE.firstrow))),0,
           IF(OFFSET(PLE!$G$15,$M45-$A$15,BF$13)="",10^12,OFFSET(PLE!$G$15,$M45-$A$15,BF$13)))</f>
        <v>1000000000000</v>
      </c>
      <c r="BG45" s="173">
        <f ca="1">IF(OR($D45&lt;&gt;"Serviço",AND(AUTOEVENTO="Manual",$M45=$A$15),$M45&gt;(ROW(PLE.lastrow)-ROW(PLE.firstrow))),0,
           IF(OFFSET(PLE!$G$15,$M45-$A$15,BG$13)="",10^12,OFFSET(PLE!$G$15,$M45-$A$15,BG$13)))</f>
        <v>1000000000000</v>
      </c>
    </row>
    <row r="46" spans="1:59" s="675" customFormat="1" ht="25.5" x14ac:dyDescent="0.2">
      <c r="A46" s="671" t="str">
        <f t="shared" ca="1" si="9"/>
        <v>23</v>
      </c>
      <c r="B46" s="671" t="str">
        <f ca="1">OFFSET(ORÇAMENTO!C$15,ROW(B46)-ROW(B$15),0)</f>
        <v>S</v>
      </c>
      <c r="C46" s="671" t="str">
        <f ca="1">OFFSET(ORÇAMENTO!L$15,ROW(C46)-ROW(C$15),0)</f>
        <v/>
      </c>
      <c r="D46" s="117" t="str">
        <f ca="1">OFFSET(ORÇAMENTO!N$15,ROW(D46)-ROW(D$15),0)</f>
        <v>Serviço</v>
      </c>
      <c r="E46" s="118" t="str">
        <f ca="1">OFFSET(ORÇAMENTO!O$15,ROW(E46)-ROW(E$15),0)</f>
        <v>-</v>
      </c>
      <c r="F46" s="164" t="str">
        <f ca="1">OFFSET(ORÇAMENTO!R$15,ROW(F46)-ROW(F$15),0)</f>
        <v>(abra o arquivo 'Referência 09-2025.xlsm)</v>
      </c>
      <c r="G46" s="165" t="str">
        <f ca="1">IF($D46&lt;&gt;"Serviço","",OFFSET(ORÇAMENTO!S$15,ROW(G46)-ROW(G$15),0))</f>
        <v>-</v>
      </c>
      <c r="H46" s="123">
        <f ca="1">IF($D46&lt;&gt;"Serviço",0,IF(ACOMPANHAMENTO="BM",ROUND(OFFSET(ORÇAMENTO!AJ$15,ROW(H46)-ROW(H$15),0),15-13*ORÇAMENTO!$AF$7),SUMPRODUCT(($Q$1:$AA$1=1)*ROUND($Q46:$AA46,15-13*ORÇAMENTO!$AF$7))))</f>
        <v>0.61</v>
      </c>
      <c r="I46" s="469" t="s">
        <v>1110</v>
      </c>
      <c r="J46" s="667" t="str">
        <f ca="1">IF(OR(B46&lt;&gt;"S",CÁLCULO.FrentesPreenchidas=0),"",IF(AND(ACOMPANHAMENTO="PLE",AUTOEVENTO="Manual",OR(H46&gt;0,ORÇAMENTO!AC46="QUANT."),OR(K46="",M46=0,N46="")),"►",IF(AND(ACOMPANHAMENTO="PLE",ORÇAMENTO!AC46="QUANT."),"►►",IF(AND(COUNTIF($P$11:$AA$11,"▼")=0,H46&gt;0,I46=""),"◄",""))))</f>
        <v/>
      </c>
      <c r="K46" s="668"/>
      <c r="L46" s="166" t="s">
        <v>765</v>
      </c>
      <c r="M46" s="167">
        <f ca="1">IF($D46&lt;&gt;"Serviço","",
          IF(AUTOEVENTO="manual",$A46,
                IF(ISERROR(MATCH($A46,$A$15:OFFSET($A46,-1,0),0)),MAX($M$15:OFFSET(M46,-1,0))+1,
                      INDEX($M$15:OFFSET(M46,-1,0),MATCH($A46,$A$15:OFFSET($A46,-1,0),0)))))</f>
        <v>3</v>
      </c>
      <c r="N46" s="168" t="str">
        <f ca="1">IF($D46&lt;&gt;"Serviço","",
         IF(AUTOEVENTO="Manual",
                IF($A46=0,"&lt;-- defina o número do agrupador",
                       OFFSET(EVENTOS!$D$15,$A46-$A$15,0)),
                OFFSET($F$15,$A46,0)))</f>
        <v>BLOCOS DE ANCORAGEM</v>
      </c>
      <c r="O46" s="169"/>
      <c r="Q46" s="169"/>
      <c r="R46" s="170"/>
      <c r="S46" s="170"/>
      <c r="T46" s="170"/>
      <c r="U46" s="170"/>
      <c r="V46" s="170"/>
      <c r="W46" s="170"/>
      <c r="X46" s="170"/>
      <c r="Y46" s="170"/>
      <c r="Z46" s="171"/>
      <c r="AB46" s="454">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4">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4">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4">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4">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4">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4">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4">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4">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4">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2">
        <f ca="1">IF(OR($D46&lt;&gt;"Serviço",AND(AUTOEVENTO="Manual",$M46=$A$15)),0,
         IF(OFFSET(CRONOPLE!$F$15,$M46-$A$15,AM$13)=0,10^12,OFFSET(CRONOPLE!$F$15,$M46-$A$15,AM$13)))</f>
        <v>1000000000000</v>
      </c>
      <c r="AN46" s="172">
        <f ca="1">IF(OR($D46&lt;&gt;"Serviço",AND(AUTOEVENTO="Manual",$M46=$A$15)),0,
         IF(OFFSET(CRONOPLE!$F$15,$M46-$A$15,AN$13)=0,10^12,OFFSET(CRONOPLE!$F$15,$M46-$A$15,AN$13)))</f>
        <v>1000000000000</v>
      </c>
      <c r="AO46" s="172">
        <f ca="1">IF(OR($D46&lt;&gt;"Serviço",AND(AUTOEVENTO="Manual",$M46=$A$15)),0,
         IF(OFFSET(CRONOPLE!$F$15,$M46-$A$15,AO$13)=0,10^12,OFFSET(CRONOPLE!$F$15,$M46-$A$15,AO$13)))</f>
        <v>1000000000000</v>
      </c>
      <c r="AP46" s="172">
        <f ca="1">IF(OR($D46&lt;&gt;"Serviço",AND(AUTOEVENTO="Manual",$M46=$A$15)),0,
         IF(OFFSET(CRONOPLE!$F$15,$M46-$A$15,AP$13)=0,10^12,OFFSET(CRONOPLE!$F$15,$M46-$A$15,AP$13)))</f>
        <v>1000000000000</v>
      </c>
      <c r="AQ46" s="172">
        <f ca="1">IF(OR($D46&lt;&gt;"Serviço",AND(AUTOEVENTO="Manual",$M46=$A$15)),0,
         IF(OFFSET(CRONOPLE!$F$15,$M46-$A$15,AQ$13)=0,10^12,OFFSET(CRONOPLE!$F$15,$M46-$A$15,AQ$13)))</f>
        <v>1000000000000</v>
      </c>
      <c r="AR46" s="172">
        <f ca="1">IF(OR($D46&lt;&gt;"Serviço",AND(AUTOEVENTO="Manual",$M46=$A$15)),0,
         IF(OFFSET(CRONOPLE!$F$15,$M46-$A$15,AR$13)=0,10^12,OFFSET(CRONOPLE!$F$15,$M46-$A$15,AR$13)))</f>
        <v>1000000000000</v>
      </c>
      <c r="AS46" s="172">
        <f ca="1">IF(OR($D46&lt;&gt;"Serviço",AND(AUTOEVENTO="Manual",$M46=$A$15)),0,
         IF(OFFSET(CRONOPLE!$F$15,$M46-$A$15,AS$13)=0,10^12,OFFSET(CRONOPLE!$F$15,$M46-$A$15,AS$13)))</f>
        <v>1000000000000</v>
      </c>
      <c r="AT46" s="172">
        <f ca="1">IF(OR($D46&lt;&gt;"Serviço",AND(AUTOEVENTO="Manual",$M46=$A$15)),0,
         IF(OFFSET(CRONOPLE!$F$15,$M46-$A$15,AT$13)=0,10^12,OFFSET(CRONOPLE!$F$15,$M46-$A$15,AT$13)))</f>
        <v>1000000000000</v>
      </c>
      <c r="AU46" s="172">
        <f ca="1">IF(OR($D46&lt;&gt;"Serviço",AND(AUTOEVENTO="Manual",$M46=$A$15)),0,
         IF(OFFSET(CRONOPLE!$F$15,$M46-$A$15,AU$13)=0,10^12,OFFSET(CRONOPLE!$F$15,$M46-$A$15,AU$13)))</f>
        <v>1000000000000</v>
      </c>
      <c r="AV46" s="172">
        <f ca="1">IF(OR($D46&lt;&gt;"Serviço",AND(AUTOEVENTO="Manual",$M46=$A$15)),0,
         IF(OFFSET(CRONOPLE!$F$15,$M46-$A$15,AV$13)=0,10^12,OFFSET(CRONOPLE!$F$15,$M46-$A$15,AV$13)))</f>
        <v>1000000000000</v>
      </c>
      <c r="AX46" s="173">
        <f ca="1">IF(OR($D46&lt;&gt;"Serviço",AND(AUTOEVENTO="Manual",$M46=$A$15),$M46&gt;(ROW(PLE.lastrow)-ROW(PLE.firstrow))),0,
           IF(OFFSET(PLE!$G$15,$M46-$A$15,AX$13)="",10^12,OFFSET(PLE!$G$15,$M46-$A$15,AX$13)))</f>
        <v>1000000000000</v>
      </c>
      <c r="AY46" s="173">
        <f ca="1">IF(OR($D46&lt;&gt;"Serviço",AND(AUTOEVENTO="Manual",$M46=$A$15),$M46&gt;(ROW(PLE.lastrow)-ROW(PLE.firstrow))),0,
           IF(OFFSET(PLE!$G$15,$M46-$A$15,AY$13)="",10^12,OFFSET(PLE!$G$15,$M46-$A$15,AY$13)))</f>
        <v>1000000000000</v>
      </c>
      <c r="AZ46" s="173">
        <f ca="1">IF(OR($D46&lt;&gt;"Serviço",AND(AUTOEVENTO="Manual",$M46=$A$15),$M46&gt;(ROW(PLE.lastrow)-ROW(PLE.firstrow))),0,
           IF(OFFSET(PLE!$G$15,$M46-$A$15,AZ$13)="",10^12,OFFSET(PLE!$G$15,$M46-$A$15,AZ$13)))</f>
        <v>1000000000000</v>
      </c>
      <c r="BA46" s="173">
        <f ca="1">IF(OR($D46&lt;&gt;"Serviço",AND(AUTOEVENTO="Manual",$M46=$A$15),$M46&gt;(ROW(PLE.lastrow)-ROW(PLE.firstrow))),0,
           IF(OFFSET(PLE!$G$15,$M46-$A$15,BA$13)="",10^12,OFFSET(PLE!$G$15,$M46-$A$15,BA$13)))</f>
        <v>1000000000000</v>
      </c>
      <c r="BB46" s="173">
        <f ca="1">IF(OR($D46&lt;&gt;"Serviço",AND(AUTOEVENTO="Manual",$M46=$A$15),$M46&gt;(ROW(PLE.lastrow)-ROW(PLE.firstrow))),0,
           IF(OFFSET(PLE!$G$15,$M46-$A$15,BB$13)="",10^12,OFFSET(PLE!$G$15,$M46-$A$15,BB$13)))</f>
        <v>1000000000000</v>
      </c>
      <c r="BC46" s="173">
        <f ca="1">IF(OR($D46&lt;&gt;"Serviço",AND(AUTOEVENTO="Manual",$M46=$A$15),$M46&gt;(ROW(PLE.lastrow)-ROW(PLE.firstrow))),0,
           IF(OFFSET(PLE!$G$15,$M46-$A$15,BC$13)="",10^12,OFFSET(PLE!$G$15,$M46-$A$15,BC$13)))</f>
        <v>1000000000000</v>
      </c>
      <c r="BD46" s="173">
        <f ca="1">IF(OR($D46&lt;&gt;"Serviço",AND(AUTOEVENTO="Manual",$M46=$A$15),$M46&gt;(ROW(PLE.lastrow)-ROW(PLE.firstrow))),0,
           IF(OFFSET(PLE!$G$15,$M46-$A$15,BD$13)="",10^12,OFFSET(PLE!$G$15,$M46-$A$15,BD$13)))</f>
        <v>1000000000000</v>
      </c>
      <c r="BE46" s="173">
        <f ca="1">IF(OR($D46&lt;&gt;"Serviço",AND(AUTOEVENTO="Manual",$M46=$A$15),$M46&gt;(ROW(PLE.lastrow)-ROW(PLE.firstrow))),0,
           IF(OFFSET(PLE!$G$15,$M46-$A$15,BE$13)="",10^12,OFFSET(PLE!$G$15,$M46-$A$15,BE$13)))</f>
        <v>1000000000000</v>
      </c>
      <c r="BF46" s="173">
        <f ca="1">IF(OR($D46&lt;&gt;"Serviço",AND(AUTOEVENTO="Manual",$M46=$A$15),$M46&gt;(ROW(PLE.lastrow)-ROW(PLE.firstrow))),0,
           IF(OFFSET(PLE!$G$15,$M46-$A$15,BF$13)="",10^12,OFFSET(PLE!$G$15,$M46-$A$15,BF$13)))</f>
        <v>1000000000000</v>
      </c>
      <c r="BG46" s="173">
        <f ca="1">IF(OR($D46&lt;&gt;"Serviço",AND(AUTOEVENTO="Manual",$M46=$A$15),$M46&gt;(ROW(PLE.lastrow)-ROW(PLE.firstrow))),0,
           IF(OFFSET(PLE!$G$15,$M46-$A$15,BG$13)="",10^12,OFFSET(PLE!$G$15,$M46-$A$15,BG$13)))</f>
        <v>1000000000000</v>
      </c>
    </row>
    <row r="47" spans="1:59" s="675" customFormat="1" ht="25.5" x14ac:dyDescent="0.2">
      <c r="A47" s="671" t="str">
        <f t="shared" ca="1" si="9"/>
        <v>23</v>
      </c>
      <c r="B47" s="671" t="str">
        <f ca="1">OFFSET(ORÇAMENTO!C$15,ROW(B47)-ROW(B$15),0)</f>
        <v>S</v>
      </c>
      <c r="C47" s="671" t="str">
        <f ca="1">OFFSET(ORÇAMENTO!L$15,ROW(C47)-ROW(C$15),0)</f>
        <v/>
      </c>
      <c r="D47" s="117" t="str">
        <f ca="1">OFFSET(ORÇAMENTO!N$15,ROW(D47)-ROW(D$15),0)</f>
        <v>Serviço</v>
      </c>
      <c r="E47" s="118" t="str">
        <f ca="1">OFFSET(ORÇAMENTO!O$15,ROW(E47)-ROW(E$15),0)</f>
        <v>-</v>
      </c>
      <c r="F47" s="164" t="str">
        <f ca="1">OFFSET(ORÇAMENTO!R$15,ROW(F47)-ROW(F$15),0)</f>
        <v>(abra o arquivo 'Referência 09-2025.xlsm)</v>
      </c>
      <c r="G47" s="165" t="str">
        <f ca="1">IF($D47&lt;&gt;"Serviço","",OFFSET(ORÇAMENTO!S$15,ROW(G47)-ROW(G$15),0))</f>
        <v>-</v>
      </c>
      <c r="H47" s="123">
        <f ca="1">IF($D47&lt;&gt;"Serviço",0,IF(ACOMPANHAMENTO="BM",ROUND(OFFSET(ORÇAMENTO!AJ$15,ROW(H47)-ROW(H$15),0),15-13*ORÇAMENTO!$AF$7),SUMPRODUCT(($Q$1:$AA$1=1)*ROUND($Q47:$AA47,15-13*ORÇAMENTO!$AF$7))))</f>
        <v>2.37</v>
      </c>
      <c r="I47" s="469" t="s">
        <v>1110</v>
      </c>
      <c r="J47" s="667" t="str">
        <f ca="1">IF(OR(B47&lt;&gt;"S",CÁLCULO.FrentesPreenchidas=0),"",IF(AND(ACOMPANHAMENTO="PLE",AUTOEVENTO="Manual",OR(H47&gt;0,ORÇAMENTO!AC47="QUANT."),OR(K47="",M47=0,N47="")),"►",IF(AND(ACOMPANHAMENTO="PLE",ORÇAMENTO!AC47="QUANT."),"►►",IF(AND(COUNTIF($P$11:$AA$11,"▼")=0,H47&gt;0,I47=""),"◄",""))))</f>
        <v/>
      </c>
      <c r="K47" s="668"/>
      <c r="L47" s="166" t="s">
        <v>765</v>
      </c>
      <c r="M47" s="167">
        <f ca="1">IF($D47&lt;&gt;"Serviço","",
          IF(AUTOEVENTO="manual",$A47,
                IF(ISERROR(MATCH($A47,$A$15:OFFSET($A47,-1,0),0)),MAX($M$15:OFFSET(M47,-1,0))+1,
                      INDEX($M$15:OFFSET(M47,-1,0),MATCH($A47,$A$15:OFFSET($A47,-1,0),0)))))</f>
        <v>3</v>
      </c>
      <c r="N47" s="168" t="str">
        <f ca="1">IF($D47&lt;&gt;"Serviço","",
         IF(AUTOEVENTO="Manual",
                IF($A47=0,"&lt;-- defina o número do agrupador",
                       OFFSET(EVENTOS!$D$15,$A47-$A$15,0)),
                OFFSET($F$15,$A47,0)))</f>
        <v>BLOCOS DE ANCORAGEM</v>
      </c>
      <c r="O47" s="169"/>
      <c r="Q47" s="169"/>
      <c r="R47" s="170"/>
      <c r="S47" s="170"/>
      <c r="T47" s="170"/>
      <c r="U47" s="170"/>
      <c r="V47" s="170"/>
      <c r="W47" s="170"/>
      <c r="X47" s="170"/>
      <c r="Y47" s="170"/>
      <c r="Z47" s="171"/>
      <c r="AB47" s="454">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4">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4">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4">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4">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4">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4">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4">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4">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4">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2">
        <f ca="1">IF(OR($D47&lt;&gt;"Serviço",AND(AUTOEVENTO="Manual",$M47=$A$15)),0,
         IF(OFFSET(CRONOPLE!$F$15,$M47-$A$15,AM$13)=0,10^12,OFFSET(CRONOPLE!$F$15,$M47-$A$15,AM$13)))</f>
        <v>1000000000000</v>
      </c>
      <c r="AN47" s="172">
        <f ca="1">IF(OR($D47&lt;&gt;"Serviço",AND(AUTOEVENTO="Manual",$M47=$A$15)),0,
         IF(OFFSET(CRONOPLE!$F$15,$M47-$A$15,AN$13)=0,10^12,OFFSET(CRONOPLE!$F$15,$M47-$A$15,AN$13)))</f>
        <v>1000000000000</v>
      </c>
      <c r="AO47" s="172">
        <f ca="1">IF(OR($D47&lt;&gt;"Serviço",AND(AUTOEVENTO="Manual",$M47=$A$15)),0,
         IF(OFFSET(CRONOPLE!$F$15,$M47-$A$15,AO$13)=0,10^12,OFFSET(CRONOPLE!$F$15,$M47-$A$15,AO$13)))</f>
        <v>1000000000000</v>
      </c>
      <c r="AP47" s="172">
        <f ca="1">IF(OR($D47&lt;&gt;"Serviço",AND(AUTOEVENTO="Manual",$M47=$A$15)),0,
         IF(OFFSET(CRONOPLE!$F$15,$M47-$A$15,AP$13)=0,10^12,OFFSET(CRONOPLE!$F$15,$M47-$A$15,AP$13)))</f>
        <v>1000000000000</v>
      </c>
      <c r="AQ47" s="172">
        <f ca="1">IF(OR($D47&lt;&gt;"Serviço",AND(AUTOEVENTO="Manual",$M47=$A$15)),0,
         IF(OFFSET(CRONOPLE!$F$15,$M47-$A$15,AQ$13)=0,10^12,OFFSET(CRONOPLE!$F$15,$M47-$A$15,AQ$13)))</f>
        <v>1000000000000</v>
      </c>
      <c r="AR47" s="172">
        <f ca="1">IF(OR($D47&lt;&gt;"Serviço",AND(AUTOEVENTO="Manual",$M47=$A$15)),0,
         IF(OFFSET(CRONOPLE!$F$15,$M47-$A$15,AR$13)=0,10^12,OFFSET(CRONOPLE!$F$15,$M47-$A$15,AR$13)))</f>
        <v>1000000000000</v>
      </c>
      <c r="AS47" s="172">
        <f ca="1">IF(OR($D47&lt;&gt;"Serviço",AND(AUTOEVENTO="Manual",$M47=$A$15)),0,
         IF(OFFSET(CRONOPLE!$F$15,$M47-$A$15,AS$13)=0,10^12,OFFSET(CRONOPLE!$F$15,$M47-$A$15,AS$13)))</f>
        <v>1000000000000</v>
      </c>
      <c r="AT47" s="172">
        <f ca="1">IF(OR($D47&lt;&gt;"Serviço",AND(AUTOEVENTO="Manual",$M47=$A$15)),0,
         IF(OFFSET(CRONOPLE!$F$15,$M47-$A$15,AT$13)=0,10^12,OFFSET(CRONOPLE!$F$15,$M47-$A$15,AT$13)))</f>
        <v>1000000000000</v>
      </c>
      <c r="AU47" s="172">
        <f ca="1">IF(OR($D47&lt;&gt;"Serviço",AND(AUTOEVENTO="Manual",$M47=$A$15)),0,
         IF(OFFSET(CRONOPLE!$F$15,$M47-$A$15,AU$13)=0,10^12,OFFSET(CRONOPLE!$F$15,$M47-$A$15,AU$13)))</f>
        <v>1000000000000</v>
      </c>
      <c r="AV47" s="172">
        <f ca="1">IF(OR($D47&lt;&gt;"Serviço",AND(AUTOEVENTO="Manual",$M47=$A$15)),0,
         IF(OFFSET(CRONOPLE!$F$15,$M47-$A$15,AV$13)=0,10^12,OFFSET(CRONOPLE!$F$15,$M47-$A$15,AV$13)))</f>
        <v>1000000000000</v>
      </c>
      <c r="AX47" s="173">
        <f ca="1">IF(OR($D47&lt;&gt;"Serviço",AND(AUTOEVENTO="Manual",$M47=$A$15),$M47&gt;(ROW(PLE.lastrow)-ROW(PLE.firstrow))),0,
           IF(OFFSET(PLE!$G$15,$M47-$A$15,AX$13)="",10^12,OFFSET(PLE!$G$15,$M47-$A$15,AX$13)))</f>
        <v>1000000000000</v>
      </c>
      <c r="AY47" s="173">
        <f ca="1">IF(OR($D47&lt;&gt;"Serviço",AND(AUTOEVENTO="Manual",$M47=$A$15),$M47&gt;(ROW(PLE.lastrow)-ROW(PLE.firstrow))),0,
           IF(OFFSET(PLE!$G$15,$M47-$A$15,AY$13)="",10^12,OFFSET(PLE!$G$15,$M47-$A$15,AY$13)))</f>
        <v>1000000000000</v>
      </c>
      <c r="AZ47" s="173">
        <f ca="1">IF(OR($D47&lt;&gt;"Serviço",AND(AUTOEVENTO="Manual",$M47=$A$15),$M47&gt;(ROW(PLE.lastrow)-ROW(PLE.firstrow))),0,
           IF(OFFSET(PLE!$G$15,$M47-$A$15,AZ$13)="",10^12,OFFSET(PLE!$G$15,$M47-$A$15,AZ$13)))</f>
        <v>1000000000000</v>
      </c>
      <c r="BA47" s="173">
        <f ca="1">IF(OR($D47&lt;&gt;"Serviço",AND(AUTOEVENTO="Manual",$M47=$A$15),$M47&gt;(ROW(PLE.lastrow)-ROW(PLE.firstrow))),0,
           IF(OFFSET(PLE!$G$15,$M47-$A$15,BA$13)="",10^12,OFFSET(PLE!$G$15,$M47-$A$15,BA$13)))</f>
        <v>1000000000000</v>
      </c>
      <c r="BB47" s="173">
        <f ca="1">IF(OR($D47&lt;&gt;"Serviço",AND(AUTOEVENTO="Manual",$M47=$A$15),$M47&gt;(ROW(PLE.lastrow)-ROW(PLE.firstrow))),0,
           IF(OFFSET(PLE!$G$15,$M47-$A$15,BB$13)="",10^12,OFFSET(PLE!$G$15,$M47-$A$15,BB$13)))</f>
        <v>1000000000000</v>
      </c>
      <c r="BC47" s="173">
        <f ca="1">IF(OR($D47&lt;&gt;"Serviço",AND(AUTOEVENTO="Manual",$M47=$A$15),$M47&gt;(ROW(PLE.lastrow)-ROW(PLE.firstrow))),0,
           IF(OFFSET(PLE!$G$15,$M47-$A$15,BC$13)="",10^12,OFFSET(PLE!$G$15,$M47-$A$15,BC$13)))</f>
        <v>1000000000000</v>
      </c>
      <c r="BD47" s="173">
        <f ca="1">IF(OR($D47&lt;&gt;"Serviço",AND(AUTOEVENTO="Manual",$M47=$A$15),$M47&gt;(ROW(PLE.lastrow)-ROW(PLE.firstrow))),0,
           IF(OFFSET(PLE!$G$15,$M47-$A$15,BD$13)="",10^12,OFFSET(PLE!$G$15,$M47-$A$15,BD$13)))</f>
        <v>1000000000000</v>
      </c>
      <c r="BE47" s="173">
        <f ca="1">IF(OR($D47&lt;&gt;"Serviço",AND(AUTOEVENTO="Manual",$M47=$A$15),$M47&gt;(ROW(PLE.lastrow)-ROW(PLE.firstrow))),0,
           IF(OFFSET(PLE!$G$15,$M47-$A$15,BE$13)="",10^12,OFFSET(PLE!$G$15,$M47-$A$15,BE$13)))</f>
        <v>1000000000000</v>
      </c>
      <c r="BF47" s="173">
        <f ca="1">IF(OR($D47&lt;&gt;"Serviço",AND(AUTOEVENTO="Manual",$M47=$A$15),$M47&gt;(ROW(PLE.lastrow)-ROW(PLE.firstrow))),0,
           IF(OFFSET(PLE!$G$15,$M47-$A$15,BF$13)="",10^12,OFFSET(PLE!$G$15,$M47-$A$15,BF$13)))</f>
        <v>1000000000000</v>
      </c>
      <c r="BG47" s="173">
        <f ca="1">IF(OR($D47&lt;&gt;"Serviço",AND(AUTOEVENTO="Manual",$M47=$A$15),$M47&gt;(ROW(PLE.lastrow)-ROW(PLE.firstrow))),0,
           IF(OFFSET(PLE!$G$15,$M47-$A$15,BG$13)="",10^12,OFFSET(PLE!$G$15,$M47-$A$15,BG$13)))</f>
        <v>1000000000000</v>
      </c>
    </row>
    <row r="48" spans="1:59" s="675" customFormat="1" ht="25.5" x14ac:dyDescent="0.2">
      <c r="A48" s="671" t="str">
        <f t="shared" ca="1" si="9"/>
        <v>23</v>
      </c>
      <c r="B48" s="671" t="str">
        <f ca="1">OFFSET(ORÇAMENTO!C$15,ROW(B48)-ROW(B$15),0)</f>
        <v>S</v>
      </c>
      <c r="C48" s="671" t="str">
        <f ca="1">OFFSET(ORÇAMENTO!L$15,ROW(C48)-ROW(C$15),0)</f>
        <v/>
      </c>
      <c r="D48" s="117" t="str">
        <f ca="1">OFFSET(ORÇAMENTO!N$15,ROW(D48)-ROW(D$15),0)</f>
        <v>Serviço</v>
      </c>
      <c r="E48" s="118" t="str">
        <f ca="1">OFFSET(ORÇAMENTO!O$15,ROW(E48)-ROW(E$15),0)</f>
        <v>-</v>
      </c>
      <c r="F48" s="164" t="str">
        <f ca="1">OFFSET(ORÇAMENTO!R$15,ROW(F48)-ROW(F$15),0)</f>
        <v>(abra o arquivo 'Referência 09-2025.xlsm)</v>
      </c>
      <c r="G48" s="165" t="str">
        <f ca="1">IF($D48&lt;&gt;"Serviço","",OFFSET(ORÇAMENTO!S$15,ROW(G48)-ROW(G$15),0))</f>
        <v>-</v>
      </c>
      <c r="H48" s="123">
        <f ca="1">IF($D48&lt;&gt;"Serviço",0,IF(ACOMPANHAMENTO="BM",ROUND(OFFSET(ORÇAMENTO!AJ$15,ROW(H48)-ROW(H$15),0),15-13*ORÇAMENTO!$AF$7),SUMPRODUCT(($Q$1:$AA$1=1)*ROUND($Q48:$AA48,15-13*ORÇAMENTO!$AF$7))))</f>
        <v>1.1000000000000001</v>
      </c>
      <c r="I48" s="469" t="s">
        <v>1110</v>
      </c>
      <c r="J48" s="667" t="str">
        <f ca="1">IF(OR(B48&lt;&gt;"S",CÁLCULO.FrentesPreenchidas=0),"",IF(AND(ACOMPANHAMENTO="PLE",AUTOEVENTO="Manual",OR(H48&gt;0,ORÇAMENTO!AC48="QUANT."),OR(K48="",M48=0,N48="")),"►",IF(AND(ACOMPANHAMENTO="PLE",ORÇAMENTO!AC48="QUANT."),"►►",IF(AND(COUNTIF($P$11:$AA$11,"▼")=0,H48&gt;0,I48=""),"◄",""))))</f>
        <v/>
      </c>
      <c r="K48" s="668"/>
      <c r="L48" s="166" t="s">
        <v>765</v>
      </c>
      <c r="M48" s="167">
        <f ca="1">IF($D48&lt;&gt;"Serviço","",
          IF(AUTOEVENTO="manual",$A48,
                IF(ISERROR(MATCH($A48,$A$15:OFFSET($A48,-1,0),0)),MAX($M$15:OFFSET(M48,-1,0))+1,
                      INDEX($M$15:OFFSET(M48,-1,0),MATCH($A48,$A$15:OFFSET($A48,-1,0),0)))))</f>
        <v>3</v>
      </c>
      <c r="N48" s="168" t="str">
        <f ca="1">IF($D48&lt;&gt;"Serviço","",
         IF(AUTOEVENTO="Manual",
                IF($A48=0,"&lt;-- defina o número do agrupador",
                       OFFSET(EVENTOS!$D$15,$A48-$A$15,0)),
                OFFSET($F$15,$A48,0)))</f>
        <v>BLOCOS DE ANCORAGEM</v>
      </c>
      <c r="O48" s="169"/>
      <c r="Q48" s="169"/>
      <c r="R48" s="170"/>
      <c r="S48" s="170"/>
      <c r="T48" s="170"/>
      <c r="U48" s="170"/>
      <c r="V48" s="170"/>
      <c r="W48" s="170"/>
      <c r="X48" s="170"/>
      <c r="Y48" s="170"/>
      <c r="Z48" s="171"/>
      <c r="AB48" s="454">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4">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4">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4">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4">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4">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4">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4">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4">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4">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2">
        <f ca="1">IF(OR($D48&lt;&gt;"Serviço",AND(AUTOEVENTO="Manual",$M48=$A$15)),0,
         IF(OFFSET(CRONOPLE!$F$15,$M48-$A$15,AM$13)=0,10^12,OFFSET(CRONOPLE!$F$15,$M48-$A$15,AM$13)))</f>
        <v>1000000000000</v>
      </c>
      <c r="AN48" s="172">
        <f ca="1">IF(OR($D48&lt;&gt;"Serviço",AND(AUTOEVENTO="Manual",$M48=$A$15)),0,
         IF(OFFSET(CRONOPLE!$F$15,$M48-$A$15,AN$13)=0,10^12,OFFSET(CRONOPLE!$F$15,$M48-$A$15,AN$13)))</f>
        <v>1000000000000</v>
      </c>
      <c r="AO48" s="172">
        <f ca="1">IF(OR($D48&lt;&gt;"Serviço",AND(AUTOEVENTO="Manual",$M48=$A$15)),0,
         IF(OFFSET(CRONOPLE!$F$15,$M48-$A$15,AO$13)=0,10^12,OFFSET(CRONOPLE!$F$15,$M48-$A$15,AO$13)))</f>
        <v>1000000000000</v>
      </c>
      <c r="AP48" s="172">
        <f ca="1">IF(OR($D48&lt;&gt;"Serviço",AND(AUTOEVENTO="Manual",$M48=$A$15)),0,
         IF(OFFSET(CRONOPLE!$F$15,$M48-$A$15,AP$13)=0,10^12,OFFSET(CRONOPLE!$F$15,$M48-$A$15,AP$13)))</f>
        <v>1000000000000</v>
      </c>
      <c r="AQ48" s="172">
        <f ca="1">IF(OR($D48&lt;&gt;"Serviço",AND(AUTOEVENTO="Manual",$M48=$A$15)),0,
         IF(OFFSET(CRONOPLE!$F$15,$M48-$A$15,AQ$13)=0,10^12,OFFSET(CRONOPLE!$F$15,$M48-$A$15,AQ$13)))</f>
        <v>1000000000000</v>
      </c>
      <c r="AR48" s="172">
        <f ca="1">IF(OR($D48&lt;&gt;"Serviço",AND(AUTOEVENTO="Manual",$M48=$A$15)),0,
         IF(OFFSET(CRONOPLE!$F$15,$M48-$A$15,AR$13)=0,10^12,OFFSET(CRONOPLE!$F$15,$M48-$A$15,AR$13)))</f>
        <v>1000000000000</v>
      </c>
      <c r="AS48" s="172">
        <f ca="1">IF(OR($D48&lt;&gt;"Serviço",AND(AUTOEVENTO="Manual",$M48=$A$15)),0,
         IF(OFFSET(CRONOPLE!$F$15,$M48-$A$15,AS$13)=0,10^12,OFFSET(CRONOPLE!$F$15,$M48-$A$15,AS$13)))</f>
        <v>1000000000000</v>
      </c>
      <c r="AT48" s="172">
        <f ca="1">IF(OR($D48&lt;&gt;"Serviço",AND(AUTOEVENTO="Manual",$M48=$A$15)),0,
         IF(OFFSET(CRONOPLE!$F$15,$M48-$A$15,AT$13)=0,10^12,OFFSET(CRONOPLE!$F$15,$M48-$A$15,AT$13)))</f>
        <v>1000000000000</v>
      </c>
      <c r="AU48" s="172">
        <f ca="1">IF(OR($D48&lt;&gt;"Serviço",AND(AUTOEVENTO="Manual",$M48=$A$15)),0,
         IF(OFFSET(CRONOPLE!$F$15,$M48-$A$15,AU$13)=0,10^12,OFFSET(CRONOPLE!$F$15,$M48-$A$15,AU$13)))</f>
        <v>1000000000000</v>
      </c>
      <c r="AV48" s="172">
        <f ca="1">IF(OR($D48&lt;&gt;"Serviço",AND(AUTOEVENTO="Manual",$M48=$A$15)),0,
         IF(OFFSET(CRONOPLE!$F$15,$M48-$A$15,AV$13)=0,10^12,OFFSET(CRONOPLE!$F$15,$M48-$A$15,AV$13)))</f>
        <v>1000000000000</v>
      </c>
      <c r="AX48" s="173">
        <f ca="1">IF(OR($D48&lt;&gt;"Serviço",AND(AUTOEVENTO="Manual",$M48=$A$15),$M48&gt;(ROW(PLE.lastrow)-ROW(PLE.firstrow))),0,
           IF(OFFSET(PLE!$G$15,$M48-$A$15,AX$13)="",10^12,OFFSET(PLE!$G$15,$M48-$A$15,AX$13)))</f>
        <v>1000000000000</v>
      </c>
      <c r="AY48" s="173">
        <f ca="1">IF(OR($D48&lt;&gt;"Serviço",AND(AUTOEVENTO="Manual",$M48=$A$15),$M48&gt;(ROW(PLE.lastrow)-ROW(PLE.firstrow))),0,
           IF(OFFSET(PLE!$G$15,$M48-$A$15,AY$13)="",10^12,OFFSET(PLE!$G$15,$M48-$A$15,AY$13)))</f>
        <v>1000000000000</v>
      </c>
      <c r="AZ48" s="173">
        <f ca="1">IF(OR($D48&lt;&gt;"Serviço",AND(AUTOEVENTO="Manual",$M48=$A$15),$M48&gt;(ROW(PLE.lastrow)-ROW(PLE.firstrow))),0,
           IF(OFFSET(PLE!$G$15,$M48-$A$15,AZ$13)="",10^12,OFFSET(PLE!$G$15,$M48-$A$15,AZ$13)))</f>
        <v>1000000000000</v>
      </c>
      <c r="BA48" s="173">
        <f ca="1">IF(OR($D48&lt;&gt;"Serviço",AND(AUTOEVENTO="Manual",$M48=$A$15),$M48&gt;(ROW(PLE.lastrow)-ROW(PLE.firstrow))),0,
           IF(OFFSET(PLE!$G$15,$M48-$A$15,BA$13)="",10^12,OFFSET(PLE!$G$15,$M48-$A$15,BA$13)))</f>
        <v>1000000000000</v>
      </c>
      <c r="BB48" s="173">
        <f ca="1">IF(OR($D48&lt;&gt;"Serviço",AND(AUTOEVENTO="Manual",$M48=$A$15),$M48&gt;(ROW(PLE.lastrow)-ROW(PLE.firstrow))),0,
           IF(OFFSET(PLE!$G$15,$M48-$A$15,BB$13)="",10^12,OFFSET(PLE!$G$15,$M48-$A$15,BB$13)))</f>
        <v>1000000000000</v>
      </c>
      <c r="BC48" s="173">
        <f ca="1">IF(OR($D48&lt;&gt;"Serviço",AND(AUTOEVENTO="Manual",$M48=$A$15),$M48&gt;(ROW(PLE.lastrow)-ROW(PLE.firstrow))),0,
           IF(OFFSET(PLE!$G$15,$M48-$A$15,BC$13)="",10^12,OFFSET(PLE!$G$15,$M48-$A$15,BC$13)))</f>
        <v>1000000000000</v>
      </c>
      <c r="BD48" s="173">
        <f ca="1">IF(OR($D48&lt;&gt;"Serviço",AND(AUTOEVENTO="Manual",$M48=$A$15),$M48&gt;(ROW(PLE.lastrow)-ROW(PLE.firstrow))),0,
           IF(OFFSET(PLE!$G$15,$M48-$A$15,BD$13)="",10^12,OFFSET(PLE!$G$15,$M48-$A$15,BD$13)))</f>
        <v>1000000000000</v>
      </c>
      <c r="BE48" s="173">
        <f ca="1">IF(OR($D48&lt;&gt;"Serviço",AND(AUTOEVENTO="Manual",$M48=$A$15),$M48&gt;(ROW(PLE.lastrow)-ROW(PLE.firstrow))),0,
           IF(OFFSET(PLE!$G$15,$M48-$A$15,BE$13)="",10^12,OFFSET(PLE!$G$15,$M48-$A$15,BE$13)))</f>
        <v>1000000000000</v>
      </c>
      <c r="BF48" s="173">
        <f ca="1">IF(OR($D48&lt;&gt;"Serviço",AND(AUTOEVENTO="Manual",$M48=$A$15),$M48&gt;(ROW(PLE.lastrow)-ROW(PLE.firstrow))),0,
           IF(OFFSET(PLE!$G$15,$M48-$A$15,BF$13)="",10^12,OFFSET(PLE!$G$15,$M48-$A$15,BF$13)))</f>
        <v>1000000000000</v>
      </c>
      <c r="BG48" s="173">
        <f ca="1">IF(OR($D48&lt;&gt;"Serviço",AND(AUTOEVENTO="Manual",$M48=$A$15),$M48&gt;(ROW(PLE.lastrow)-ROW(PLE.firstrow))),0,
           IF(OFFSET(PLE!$G$15,$M48-$A$15,BG$13)="",10^12,OFFSET(PLE!$G$15,$M48-$A$15,BG$13)))</f>
        <v>1000000000000</v>
      </c>
    </row>
    <row r="49" spans="1:59" s="675" customFormat="1" ht="25.5" x14ac:dyDescent="0.2">
      <c r="A49" s="671" t="str">
        <f t="shared" ca="1" si="9"/>
        <v>23</v>
      </c>
      <c r="B49" s="671" t="str">
        <f ca="1">OFFSET(ORÇAMENTO!C$15,ROW(B49)-ROW(B$15),0)</f>
        <v>S</v>
      </c>
      <c r="C49" s="671" t="str">
        <f ca="1">OFFSET(ORÇAMENTO!L$15,ROW(C49)-ROW(C$15),0)</f>
        <v/>
      </c>
      <c r="D49" s="117" t="str">
        <f ca="1">OFFSET(ORÇAMENTO!N$15,ROW(D49)-ROW(D$15),0)</f>
        <v>Serviço</v>
      </c>
      <c r="E49" s="118" t="str">
        <f ca="1">OFFSET(ORÇAMENTO!O$15,ROW(E49)-ROW(E$15),0)</f>
        <v>-</v>
      </c>
      <c r="F49" s="164" t="str">
        <f ca="1">OFFSET(ORÇAMENTO!R$15,ROW(F49)-ROW(F$15),0)</f>
        <v>(abra o arquivo 'Referência 09-2025.xlsm)</v>
      </c>
      <c r="G49" s="165" t="str">
        <f ca="1">IF($D49&lt;&gt;"Serviço","",OFFSET(ORÇAMENTO!S$15,ROW(G49)-ROW(G$15),0))</f>
        <v>-</v>
      </c>
      <c r="H49" s="123">
        <f ca="1">IF($D49&lt;&gt;"Serviço",0,IF(ACOMPANHAMENTO="BM",ROUND(OFFSET(ORÇAMENTO!AJ$15,ROW(H49)-ROW(H$15),0),15-13*ORÇAMENTO!$AF$7),SUMPRODUCT(($Q$1:$AA$1=1)*ROUND($Q49:$AA49,15-13*ORÇAMENTO!$AF$7))))</f>
        <v>0.61</v>
      </c>
      <c r="I49" s="469" t="s">
        <v>1110</v>
      </c>
      <c r="J49" s="667" t="str">
        <f ca="1">IF(OR(B49&lt;&gt;"S",CÁLCULO.FrentesPreenchidas=0),"",IF(AND(ACOMPANHAMENTO="PLE",AUTOEVENTO="Manual",OR(H49&gt;0,ORÇAMENTO!AC49="QUANT."),OR(K49="",M49=0,N49="")),"►",IF(AND(ACOMPANHAMENTO="PLE",ORÇAMENTO!AC49="QUANT."),"►►",IF(AND(COUNTIF($P$11:$AA$11,"▼")=0,H49&gt;0,I49=""),"◄",""))))</f>
        <v/>
      </c>
      <c r="K49" s="668"/>
      <c r="L49" s="166" t="s">
        <v>765</v>
      </c>
      <c r="M49" s="167">
        <f ca="1">IF($D49&lt;&gt;"Serviço","",
          IF(AUTOEVENTO="manual",$A49,
                IF(ISERROR(MATCH($A49,$A$15:OFFSET($A49,-1,0),0)),MAX($M$15:OFFSET(M49,-1,0))+1,
                      INDEX($M$15:OFFSET(M49,-1,0),MATCH($A49,$A$15:OFFSET($A49,-1,0),0)))))</f>
        <v>3</v>
      </c>
      <c r="N49" s="168" t="str">
        <f ca="1">IF($D49&lt;&gt;"Serviço","",
         IF(AUTOEVENTO="Manual",
                IF($A49=0,"&lt;-- defina o número do agrupador",
                       OFFSET(EVENTOS!$D$15,$A49-$A$15,0)),
                OFFSET($F$15,$A49,0)))</f>
        <v>BLOCOS DE ANCORAGEM</v>
      </c>
      <c r="O49" s="169"/>
      <c r="Q49" s="169"/>
      <c r="R49" s="170"/>
      <c r="S49" s="170"/>
      <c r="T49" s="170"/>
      <c r="U49" s="170"/>
      <c r="V49" s="170"/>
      <c r="W49" s="170"/>
      <c r="X49" s="170"/>
      <c r="Y49" s="170"/>
      <c r="Z49" s="171"/>
      <c r="AB49" s="454">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4">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4">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4">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4">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4">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4">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4">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4">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4">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2">
        <f ca="1">IF(OR($D49&lt;&gt;"Serviço",AND(AUTOEVENTO="Manual",$M49=$A$15)),0,
         IF(OFFSET(CRONOPLE!$F$15,$M49-$A$15,AM$13)=0,10^12,OFFSET(CRONOPLE!$F$15,$M49-$A$15,AM$13)))</f>
        <v>1000000000000</v>
      </c>
      <c r="AN49" s="172">
        <f ca="1">IF(OR($D49&lt;&gt;"Serviço",AND(AUTOEVENTO="Manual",$M49=$A$15)),0,
         IF(OFFSET(CRONOPLE!$F$15,$M49-$A$15,AN$13)=0,10^12,OFFSET(CRONOPLE!$F$15,$M49-$A$15,AN$13)))</f>
        <v>1000000000000</v>
      </c>
      <c r="AO49" s="172">
        <f ca="1">IF(OR($D49&lt;&gt;"Serviço",AND(AUTOEVENTO="Manual",$M49=$A$15)),0,
         IF(OFFSET(CRONOPLE!$F$15,$M49-$A$15,AO$13)=0,10^12,OFFSET(CRONOPLE!$F$15,$M49-$A$15,AO$13)))</f>
        <v>1000000000000</v>
      </c>
      <c r="AP49" s="172">
        <f ca="1">IF(OR($D49&lt;&gt;"Serviço",AND(AUTOEVENTO="Manual",$M49=$A$15)),0,
         IF(OFFSET(CRONOPLE!$F$15,$M49-$A$15,AP$13)=0,10^12,OFFSET(CRONOPLE!$F$15,$M49-$A$15,AP$13)))</f>
        <v>1000000000000</v>
      </c>
      <c r="AQ49" s="172">
        <f ca="1">IF(OR($D49&lt;&gt;"Serviço",AND(AUTOEVENTO="Manual",$M49=$A$15)),0,
         IF(OFFSET(CRONOPLE!$F$15,$M49-$A$15,AQ$13)=0,10^12,OFFSET(CRONOPLE!$F$15,$M49-$A$15,AQ$13)))</f>
        <v>1000000000000</v>
      </c>
      <c r="AR49" s="172">
        <f ca="1">IF(OR($D49&lt;&gt;"Serviço",AND(AUTOEVENTO="Manual",$M49=$A$15)),0,
         IF(OFFSET(CRONOPLE!$F$15,$M49-$A$15,AR$13)=0,10^12,OFFSET(CRONOPLE!$F$15,$M49-$A$15,AR$13)))</f>
        <v>1000000000000</v>
      </c>
      <c r="AS49" s="172">
        <f ca="1">IF(OR($D49&lt;&gt;"Serviço",AND(AUTOEVENTO="Manual",$M49=$A$15)),0,
         IF(OFFSET(CRONOPLE!$F$15,$M49-$A$15,AS$13)=0,10^12,OFFSET(CRONOPLE!$F$15,$M49-$A$15,AS$13)))</f>
        <v>1000000000000</v>
      </c>
      <c r="AT49" s="172">
        <f ca="1">IF(OR($D49&lt;&gt;"Serviço",AND(AUTOEVENTO="Manual",$M49=$A$15)),0,
         IF(OFFSET(CRONOPLE!$F$15,$M49-$A$15,AT$13)=0,10^12,OFFSET(CRONOPLE!$F$15,$M49-$A$15,AT$13)))</f>
        <v>1000000000000</v>
      </c>
      <c r="AU49" s="172">
        <f ca="1">IF(OR($D49&lt;&gt;"Serviço",AND(AUTOEVENTO="Manual",$M49=$A$15)),0,
         IF(OFFSET(CRONOPLE!$F$15,$M49-$A$15,AU$13)=0,10^12,OFFSET(CRONOPLE!$F$15,$M49-$A$15,AU$13)))</f>
        <v>1000000000000</v>
      </c>
      <c r="AV49" s="172">
        <f ca="1">IF(OR($D49&lt;&gt;"Serviço",AND(AUTOEVENTO="Manual",$M49=$A$15)),0,
         IF(OFFSET(CRONOPLE!$F$15,$M49-$A$15,AV$13)=0,10^12,OFFSET(CRONOPLE!$F$15,$M49-$A$15,AV$13)))</f>
        <v>1000000000000</v>
      </c>
      <c r="AX49" s="173">
        <f ca="1">IF(OR($D49&lt;&gt;"Serviço",AND(AUTOEVENTO="Manual",$M49=$A$15),$M49&gt;(ROW(PLE.lastrow)-ROW(PLE.firstrow))),0,
           IF(OFFSET(PLE!$G$15,$M49-$A$15,AX$13)="",10^12,OFFSET(PLE!$G$15,$M49-$A$15,AX$13)))</f>
        <v>1000000000000</v>
      </c>
      <c r="AY49" s="173">
        <f ca="1">IF(OR($D49&lt;&gt;"Serviço",AND(AUTOEVENTO="Manual",$M49=$A$15),$M49&gt;(ROW(PLE.lastrow)-ROW(PLE.firstrow))),0,
           IF(OFFSET(PLE!$G$15,$M49-$A$15,AY$13)="",10^12,OFFSET(PLE!$G$15,$M49-$A$15,AY$13)))</f>
        <v>1000000000000</v>
      </c>
      <c r="AZ49" s="173">
        <f ca="1">IF(OR($D49&lt;&gt;"Serviço",AND(AUTOEVENTO="Manual",$M49=$A$15),$M49&gt;(ROW(PLE.lastrow)-ROW(PLE.firstrow))),0,
           IF(OFFSET(PLE!$G$15,$M49-$A$15,AZ$13)="",10^12,OFFSET(PLE!$G$15,$M49-$A$15,AZ$13)))</f>
        <v>1000000000000</v>
      </c>
      <c r="BA49" s="173">
        <f ca="1">IF(OR($D49&lt;&gt;"Serviço",AND(AUTOEVENTO="Manual",$M49=$A$15),$M49&gt;(ROW(PLE.lastrow)-ROW(PLE.firstrow))),0,
           IF(OFFSET(PLE!$G$15,$M49-$A$15,BA$13)="",10^12,OFFSET(PLE!$G$15,$M49-$A$15,BA$13)))</f>
        <v>1000000000000</v>
      </c>
      <c r="BB49" s="173">
        <f ca="1">IF(OR($D49&lt;&gt;"Serviço",AND(AUTOEVENTO="Manual",$M49=$A$15),$M49&gt;(ROW(PLE.lastrow)-ROW(PLE.firstrow))),0,
           IF(OFFSET(PLE!$G$15,$M49-$A$15,BB$13)="",10^12,OFFSET(PLE!$G$15,$M49-$A$15,BB$13)))</f>
        <v>1000000000000</v>
      </c>
      <c r="BC49" s="173">
        <f ca="1">IF(OR($D49&lt;&gt;"Serviço",AND(AUTOEVENTO="Manual",$M49=$A$15),$M49&gt;(ROW(PLE.lastrow)-ROW(PLE.firstrow))),0,
           IF(OFFSET(PLE!$G$15,$M49-$A$15,BC$13)="",10^12,OFFSET(PLE!$G$15,$M49-$A$15,BC$13)))</f>
        <v>1000000000000</v>
      </c>
      <c r="BD49" s="173">
        <f ca="1">IF(OR($D49&lt;&gt;"Serviço",AND(AUTOEVENTO="Manual",$M49=$A$15),$M49&gt;(ROW(PLE.lastrow)-ROW(PLE.firstrow))),0,
           IF(OFFSET(PLE!$G$15,$M49-$A$15,BD$13)="",10^12,OFFSET(PLE!$G$15,$M49-$A$15,BD$13)))</f>
        <v>1000000000000</v>
      </c>
      <c r="BE49" s="173">
        <f ca="1">IF(OR($D49&lt;&gt;"Serviço",AND(AUTOEVENTO="Manual",$M49=$A$15),$M49&gt;(ROW(PLE.lastrow)-ROW(PLE.firstrow))),0,
           IF(OFFSET(PLE!$G$15,$M49-$A$15,BE$13)="",10^12,OFFSET(PLE!$G$15,$M49-$A$15,BE$13)))</f>
        <v>1000000000000</v>
      </c>
      <c r="BF49" s="173">
        <f ca="1">IF(OR($D49&lt;&gt;"Serviço",AND(AUTOEVENTO="Manual",$M49=$A$15),$M49&gt;(ROW(PLE.lastrow)-ROW(PLE.firstrow))),0,
           IF(OFFSET(PLE!$G$15,$M49-$A$15,BF$13)="",10^12,OFFSET(PLE!$G$15,$M49-$A$15,BF$13)))</f>
        <v>1000000000000</v>
      </c>
      <c r="BG49" s="173">
        <f ca="1">IF(OR($D49&lt;&gt;"Serviço",AND(AUTOEVENTO="Manual",$M49=$A$15),$M49&gt;(ROW(PLE.lastrow)-ROW(PLE.firstrow))),0,
           IF(OFFSET(PLE!$G$15,$M49-$A$15,BG$13)="",10^12,OFFSET(PLE!$G$15,$M49-$A$15,BG$13)))</f>
        <v>1000000000000</v>
      </c>
    </row>
    <row r="50" spans="1:59" s="675" customFormat="1" ht="25.5" x14ac:dyDescent="0.2">
      <c r="A50" s="671" t="str">
        <f t="shared" ca="1" si="9"/>
        <v>23</v>
      </c>
      <c r="B50" s="671" t="str">
        <f ca="1">OFFSET(ORÇAMENTO!C$15,ROW(B50)-ROW(B$15),0)</f>
        <v>S</v>
      </c>
      <c r="C50" s="671" t="str">
        <f ca="1">OFFSET(ORÇAMENTO!L$15,ROW(C50)-ROW(C$15),0)</f>
        <v/>
      </c>
      <c r="D50" s="117" t="str">
        <f ca="1">OFFSET(ORÇAMENTO!N$15,ROW(D50)-ROW(D$15),0)</f>
        <v>Serviço</v>
      </c>
      <c r="E50" s="118" t="str">
        <f ca="1">OFFSET(ORÇAMENTO!O$15,ROW(E50)-ROW(E$15),0)</f>
        <v>-</v>
      </c>
      <c r="F50" s="164" t="str">
        <f ca="1">OFFSET(ORÇAMENTO!R$15,ROW(F50)-ROW(F$15),0)</f>
        <v>(abra o arquivo 'Referência 09-2025.xlsm)</v>
      </c>
      <c r="G50" s="165" t="str">
        <f ca="1">IF($D50&lt;&gt;"Serviço","",OFFSET(ORÇAMENTO!S$15,ROW(G50)-ROW(G$15),0))</f>
        <v>-</v>
      </c>
      <c r="H50" s="123">
        <f ca="1">IF($D50&lt;&gt;"Serviço",0,IF(ACOMPANHAMENTO="BM",ROUND(OFFSET(ORÇAMENTO!AJ$15,ROW(H50)-ROW(H$15),0),15-13*ORÇAMENTO!$AF$7),SUMPRODUCT(($Q$1:$AA$1=1)*ROUND($Q50:$AA50,15-13*ORÇAMENTO!$AF$7))))</f>
        <v>0.56999999999999995</v>
      </c>
      <c r="I50" s="469" t="s">
        <v>1110</v>
      </c>
      <c r="J50" s="667" t="str">
        <f ca="1">IF(OR(B50&lt;&gt;"S",CÁLCULO.FrentesPreenchidas=0),"",IF(AND(ACOMPANHAMENTO="PLE",AUTOEVENTO="Manual",OR(H50&gt;0,ORÇAMENTO!AC50="QUANT."),OR(K50="",M50=0,N50="")),"►",IF(AND(ACOMPANHAMENTO="PLE",ORÇAMENTO!AC50="QUANT."),"►►",IF(AND(COUNTIF($P$11:$AA$11,"▼")=0,H50&gt;0,I50=""),"◄",""))))</f>
        <v/>
      </c>
      <c r="K50" s="668"/>
      <c r="L50" s="166" t="s">
        <v>765</v>
      </c>
      <c r="M50" s="167">
        <f ca="1">IF($D50&lt;&gt;"Serviço","",
          IF(AUTOEVENTO="manual",$A50,
                IF(ISERROR(MATCH($A50,$A$15:OFFSET($A50,-1,0),0)),MAX($M$15:OFFSET(M50,-1,0))+1,
                      INDEX($M$15:OFFSET(M50,-1,0),MATCH($A50,$A$15:OFFSET($A50,-1,0),0)))))</f>
        <v>3</v>
      </c>
      <c r="N50" s="168" t="str">
        <f ca="1">IF($D50&lt;&gt;"Serviço","",
         IF(AUTOEVENTO="Manual",
                IF($A50=0,"&lt;-- defina o número do agrupador",
                       OFFSET(EVENTOS!$D$15,$A50-$A$15,0)),
                OFFSET($F$15,$A50,0)))</f>
        <v>BLOCOS DE ANCORAGEM</v>
      </c>
      <c r="O50" s="169"/>
      <c r="Q50" s="169"/>
      <c r="R50" s="170"/>
      <c r="S50" s="170"/>
      <c r="T50" s="170"/>
      <c r="U50" s="170"/>
      <c r="V50" s="170"/>
      <c r="W50" s="170"/>
      <c r="X50" s="170"/>
      <c r="Y50" s="170"/>
      <c r="Z50" s="171"/>
      <c r="AB50" s="454">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4">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4">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4">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4">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4">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4">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4">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4">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4">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2">
        <f ca="1">IF(OR($D50&lt;&gt;"Serviço",AND(AUTOEVENTO="Manual",$M50=$A$15)),0,
         IF(OFFSET(CRONOPLE!$F$15,$M50-$A$15,AM$13)=0,10^12,OFFSET(CRONOPLE!$F$15,$M50-$A$15,AM$13)))</f>
        <v>1000000000000</v>
      </c>
      <c r="AN50" s="172">
        <f ca="1">IF(OR($D50&lt;&gt;"Serviço",AND(AUTOEVENTO="Manual",$M50=$A$15)),0,
         IF(OFFSET(CRONOPLE!$F$15,$M50-$A$15,AN$13)=0,10^12,OFFSET(CRONOPLE!$F$15,$M50-$A$15,AN$13)))</f>
        <v>1000000000000</v>
      </c>
      <c r="AO50" s="172">
        <f ca="1">IF(OR($D50&lt;&gt;"Serviço",AND(AUTOEVENTO="Manual",$M50=$A$15)),0,
         IF(OFFSET(CRONOPLE!$F$15,$M50-$A$15,AO$13)=0,10^12,OFFSET(CRONOPLE!$F$15,$M50-$A$15,AO$13)))</f>
        <v>1000000000000</v>
      </c>
      <c r="AP50" s="172">
        <f ca="1">IF(OR($D50&lt;&gt;"Serviço",AND(AUTOEVENTO="Manual",$M50=$A$15)),0,
         IF(OFFSET(CRONOPLE!$F$15,$M50-$A$15,AP$13)=0,10^12,OFFSET(CRONOPLE!$F$15,$M50-$A$15,AP$13)))</f>
        <v>1000000000000</v>
      </c>
      <c r="AQ50" s="172">
        <f ca="1">IF(OR($D50&lt;&gt;"Serviço",AND(AUTOEVENTO="Manual",$M50=$A$15)),0,
         IF(OFFSET(CRONOPLE!$F$15,$M50-$A$15,AQ$13)=0,10^12,OFFSET(CRONOPLE!$F$15,$M50-$A$15,AQ$13)))</f>
        <v>1000000000000</v>
      </c>
      <c r="AR50" s="172">
        <f ca="1">IF(OR($D50&lt;&gt;"Serviço",AND(AUTOEVENTO="Manual",$M50=$A$15)),0,
         IF(OFFSET(CRONOPLE!$F$15,$M50-$A$15,AR$13)=0,10^12,OFFSET(CRONOPLE!$F$15,$M50-$A$15,AR$13)))</f>
        <v>1000000000000</v>
      </c>
      <c r="AS50" s="172">
        <f ca="1">IF(OR($D50&lt;&gt;"Serviço",AND(AUTOEVENTO="Manual",$M50=$A$15)),0,
         IF(OFFSET(CRONOPLE!$F$15,$M50-$A$15,AS$13)=0,10^12,OFFSET(CRONOPLE!$F$15,$M50-$A$15,AS$13)))</f>
        <v>1000000000000</v>
      </c>
      <c r="AT50" s="172">
        <f ca="1">IF(OR($D50&lt;&gt;"Serviço",AND(AUTOEVENTO="Manual",$M50=$A$15)),0,
         IF(OFFSET(CRONOPLE!$F$15,$M50-$A$15,AT$13)=0,10^12,OFFSET(CRONOPLE!$F$15,$M50-$A$15,AT$13)))</f>
        <v>1000000000000</v>
      </c>
      <c r="AU50" s="172">
        <f ca="1">IF(OR($D50&lt;&gt;"Serviço",AND(AUTOEVENTO="Manual",$M50=$A$15)),0,
         IF(OFFSET(CRONOPLE!$F$15,$M50-$A$15,AU$13)=0,10^12,OFFSET(CRONOPLE!$F$15,$M50-$A$15,AU$13)))</f>
        <v>1000000000000</v>
      </c>
      <c r="AV50" s="172">
        <f ca="1">IF(OR($D50&lt;&gt;"Serviço",AND(AUTOEVENTO="Manual",$M50=$A$15)),0,
         IF(OFFSET(CRONOPLE!$F$15,$M50-$A$15,AV$13)=0,10^12,OFFSET(CRONOPLE!$F$15,$M50-$A$15,AV$13)))</f>
        <v>1000000000000</v>
      </c>
      <c r="AX50" s="173">
        <f ca="1">IF(OR($D50&lt;&gt;"Serviço",AND(AUTOEVENTO="Manual",$M50=$A$15),$M50&gt;(ROW(PLE.lastrow)-ROW(PLE.firstrow))),0,
           IF(OFFSET(PLE!$G$15,$M50-$A$15,AX$13)="",10^12,OFFSET(PLE!$G$15,$M50-$A$15,AX$13)))</f>
        <v>1000000000000</v>
      </c>
      <c r="AY50" s="173">
        <f ca="1">IF(OR($D50&lt;&gt;"Serviço",AND(AUTOEVENTO="Manual",$M50=$A$15),$M50&gt;(ROW(PLE.lastrow)-ROW(PLE.firstrow))),0,
           IF(OFFSET(PLE!$G$15,$M50-$A$15,AY$13)="",10^12,OFFSET(PLE!$G$15,$M50-$A$15,AY$13)))</f>
        <v>1000000000000</v>
      </c>
      <c r="AZ50" s="173">
        <f ca="1">IF(OR($D50&lt;&gt;"Serviço",AND(AUTOEVENTO="Manual",$M50=$A$15),$M50&gt;(ROW(PLE.lastrow)-ROW(PLE.firstrow))),0,
           IF(OFFSET(PLE!$G$15,$M50-$A$15,AZ$13)="",10^12,OFFSET(PLE!$G$15,$M50-$A$15,AZ$13)))</f>
        <v>1000000000000</v>
      </c>
      <c r="BA50" s="173">
        <f ca="1">IF(OR($D50&lt;&gt;"Serviço",AND(AUTOEVENTO="Manual",$M50=$A$15),$M50&gt;(ROW(PLE.lastrow)-ROW(PLE.firstrow))),0,
           IF(OFFSET(PLE!$G$15,$M50-$A$15,BA$13)="",10^12,OFFSET(PLE!$G$15,$M50-$A$15,BA$13)))</f>
        <v>1000000000000</v>
      </c>
      <c r="BB50" s="173">
        <f ca="1">IF(OR($D50&lt;&gt;"Serviço",AND(AUTOEVENTO="Manual",$M50=$A$15),$M50&gt;(ROW(PLE.lastrow)-ROW(PLE.firstrow))),0,
           IF(OFFSET(PLE!$G$15,$M50-$A$15,BB$13)="",10^12,OFFSET(PLE!$G$15,$M50-$A$15,BB$13)))</f>
        <v>1000000000000</v>
      </c>
      <c r="BC50" s="173">
        <f ca="1">IF(OR($D50&lt;&gt;"Serviço",AND(AUTOEVENTO="Manual",$M50=$A$15),$M50&gt;(ROW(PLE.lastrow)-ROW(PLE.firstrow))),0,
           IF(OFFSET(PLE!$G$15,$M50-$A$15,BC$13)="",10^12,OFFSET(PLE!$G$15,$M50-$A$15,BC$13)))</f>
        <v>1000000000000</v>
      </c>
      <c r="BD50" s="173">
        <f ca="1">IF(OR($D50&lt;&gt;"Serviço",AND(AUTOEVENTO="Manual",$M50=$A$15),$M50&gt;(ROW(PLE.lastrow)-ROW(PLE.firstrow))),0,
           IF(OFFSET(PLE!$G$15,$M50-$A$15,BD$13)="",10^12,OFFSET(PLE!$G$15,$M50-$A$15,BD$13)))</f>
        <v>1000000000000</v>
      </c>
      <c r="BE50" s="173">
        <f ca="1">IF(OR($D50&lt;&gt;"Serviço",AND(AUTOEVENTO="Manual",$M50=$A$15),$M50&gt;(ROW(PLE.lastrow)-ROW(PLE.firstrow))),0,
           IF(OFFSET(PLE!$G$15,$M50-$A$15,BE$13)="",10^12,OFFSET(PLE!$G$15,$M50-$A$15,BE$13)))</f>
        <v>1000000000000</v>
      </c>
      <c r="BF50" s="173">
        <f ca="1">IF(OR($D50&lt;&gt;"Serviço",AND(AUTOEVENTO="Manual",$M50=$A$15),$M50&gt;(ROW(PLE.lastrow)-ROW(PLE.firstrow))),0,
           IF(OFFSET(PLE!$G$15,$M50-$A$15,BF$13)="",10^12,OFFSET(PLE!$G$15,$M50-$A$15,BF$13)))</f>
        <v>1000000000000</v>
      </c>
      <c r="BG50" s="173">
        <f ca="1">IF(OR($D50&lt;&gt;"Serviço",AND(AUTOEVENTO="Manual",$M50=$A$15),$M50&gt;(ROW(PLE.lastrow)-ROW(PLE.firstrow))),0,
           IF(OFFSET(PLE!$G$15,$M50-$A$15,BG$13)="",10^12,OFFSET(PLE!$G$15,$M50-$A$15,BG$13)))</f>
        <v>1000000000000</v>
      </c>
    </row>
    <row r="51" spans="1:59" s="675" customFormat="1" ht="25.5" x14ac:dyDescent="0.2">
      <c r="A51" s="671" t="str">
        <f t="shared" ca="1" si="9"/>
        <v>23</v>
      </c>
      <c r="B51" s="671" t="str">
        <f ca="1">OFFSET(ORÇAMENTO!C$15,ROW(B51)-ROW(B$15),0)</f>
        <v>S</v>
      </c>
      <c r="C51" s="671" t="str">
        <f ca="1">OFFSET(ORÇAMENTO!L$15,ROW(C51)-ROW(C$15),0)</f>
        <v/>
      </c>
      <c r="D51" s="117" t="str">
        <f ca="1">OFFSET(ORÇAMENTO!N$15,ROW(D51)-ROW(D$15),0)</f>
        <v>Serviço</v>
      </c>
      <c r="E51" s="118" t="str">
        <f ca="1">OFFSET(ORÇAMENTO!O$15,ROW(E51)-ROW(E$15),0)</f>
        <v>-</v>
      </c>
      <c r="F51" s="164" t="str">
        <f ca="1">OFFSET(ORÇAMENTO!R$15,ROW(F51)-ROW(F$15),0)</f>
        <v>(abra o arquivo 'Referência 09-2025.xlsm)</v>
      </c>
      <c r="G51" s="165" t="str">
        <f ca="1">IF($D51&lt;&gt;"Serviço","",OFFSET(ORÇAMENTO!S$15,ROW(G51)-ROW(G$15),0))</f>
        <v>-</v>
      </c>
      <c r="H51" s="123">
        <f ca="1">IF($D51&lt;&gt;"Serviço",0,IF(ACOMPANHAMENTO="BM",ROUND(OFFSET(ORÇAMENTO!AJ$15,ROW(H51)-ROW(H$15),0),15-13*ORÇAMENTO!$AF$7),SUMPRODUCT(($Q$1:$AA$1=1)*ROUND($Q51:$AA51,15-13*ORÇAMENTO!$AF$7))))</f>
        <v>1.1000000000000001</v>
      </c>
      <c r="I51" s="469" t="s">
        <v>1110</v>
      </c>
      <c r="J51" s="667" t="str">
        <f ca="1">IF(OR(B51&lt;&gt;"S",CÁLCULO.FrentesPreenchidas=0),"",IF(AND(ACOMPANHAMENTO="PLE",AUTOEVENTO="Manual",OR(H51&gt;0,ORÇAMENTO!AC51="QUANT."),OR(K51="",M51=0,N51="")),"►",IF(AND(ACOMPANHAMENTO="PLE",ORÇAMENTO!AC51="QUANT."),"►►",IF(AND(COUNTIF($P$11:$AA$11,"▼")=0,H51&gt;0,I51=""),"◄",""))))</f>
        <v/>
      </c>
      <c r="K51" s="668"/>
      <c r="L51" s="166" t="s">
        <v>765</v>
      </c>
      <c r="M51" s="167">
        <f ca="1">IF($D51&lt;&gt;"Serviço","",
          IF(AUTOEVENTO="manual",$A51,
                IF(ISERROR(MATCH($A51,$A$15:OFFSET($A51,-1,0),0)),MAX($M$15:OFFSET(M51,-1,0))+1,
                      INDEX($M$15:OFFSET(M51,-1,0),MATCH($A51,$A$15:OFFSET($A51,-1,0),0)))))</f>
        <v>3</v>
      </c>
      <c r="N51" s="168" t="str">
        <f ca="1">IF($D51&lt;&gt;"Serviço","",
         IF(AUTOEVENTO="Manual",
                IF($A51=0,"&lt;-- defina o número do agrupador",
                       OFFSET(EVENTOS!$D$15,$A51-$A$15,0)),
                OFFSET($F$15,$A51,0)))</f>
        <v>BLOCOS DE ANCORAGEM</v>
      </c>
      <c r="O51" s="169"/>
      <c r="Q51" s="169"/>
      <c r="R51" s="170"/>
      <c r="S51" s="170"/>
      <c r="T51" s="170"/>
      <c r="U51" s="170"/>
      <c r="V51" s="170"/>
      <c r="W51" s="170"/>
      <c r="X51" s="170"/>
      <c r="Y51" s="170"/>
      <c r="Z51" s="171"/>
      <c r="AB51" s="454">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4">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4">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4">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4">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4">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4">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4">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4">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4">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2">
        <f ca="1">IF(OR($D51&lt;&gt;"Serviço",AND(AUTOEVENTO="Manual",$M51=$A$15)),0,
         IF(OFFSET(CRONOPLE!$F$15,$M51-$A$15,AM$13)=0,10^12,OFFSET(CRONOPLE!$F$15,$M51-$A$15,AM$13)))</f>
        <v>1000000000000</v>
      </c>
      <c r="AN51" s="172">
        <f ca="1">IF(OR($D51&lt;&gt;"Serviço",AND(AUTOEVENTO="Manual",$M51=$A$15)),0,
         IF(OFFSET(CRONOPLE!$F$15,$M51-$A$15,AN$13)=0,10^12,OFFSET(CRONOPLE!$F$15,$M51-$A$15,AN$13)))</f>
        <v>1000000000000</v>
      </c>
      <c r="AO51" s="172">
        <f ca="1">IF(OR($D51&lt;&gt;"Serviço",AND(AUTOEVENTO="Manual",$M51=$A$15)),0,
         IF(OFFSET(CRONOPLE!$F$15,$M51-$A$15,AO$13)=0,10^12,OFFSET(CRONOPLE!$F$15,$M51-$A$15,AO$13)))</f>
        <v>1000000000000</v>
      </c>
      <c r="AP51" s="172">
        <f ca="1">IF(OR($D51&lt;&gt;"Serviço",AND(AUTOEVENTO="Manual",$M51=$A$15)),0,
         IF(OFFSET(CRONOPLE!$F$15,$M51-$A$15,AP$13)=0,10^12,OFFSET(CRONOPLE!$F$15,$M51-$A$15,AP$13)))</f>
        <v>1000000000000</v>
      </c>
      <c r="AQ51" s="172">
        <f ca="1">IF(OR($D51&lt;&gt;"Serviço",AND(AUTOEVENTO="Manual",$M51=$A$15)),0,
         IF(OFFSET(CRONOPLE!$F$15,$M51-$A$15,AQ$13)=0,10^12,OFFSET(CRONOPLE!$F$15,$M51-$A$15,AQ$13)))</f>
        <v>1000000000000</v>
      </c>
      <c r="AR51" s="172">
        <f ca="1">IF(OR($D51&lt;&gt;"Serviço",AND(AUTOEVENTO="Manual",$M51=$A$15)),0,
         IF(OFFSET(CRONOPLE!$F$15,$M51-$A$15,AR$13)=0,10^12,OFFSET(CRONOPLE!$F$15,$M51-$A$15,AR$13)))</f>
        <v>1000000000000</v>
      </c>
      <c r="AS51" s="172">
        <f ca="1">IF(OR($D51&lt;&gt;"Serviço",AND(AUTOEVENTO="Manual",$M51=$A$15)),0,
         IF(OFFSET(CRONOPLE!$F$15,$M51-$A$15,AS$13)=0,10^12,OFFSET(CRONOPLE!$F$15,$M51-$A$15,AS$13)))</f>
        <v>1000000000000</v>
      </c>
      <c r="AT51" s="172">
        <f ca="1">IF(OR($D51&lt;&gt;"Serviço",AND(AUTOEVENTO="Manual",$M51=$A$15)),0,
         IF(OFFSET(CRONOPLE!$F$15,$M51-$A$15,AT$13)=0,10^12,OFFSET(CRONOPLE!$F$15,$M51-$A$15,AT$13)))</f>
        <v>1000000000000</v>
      </c>
      <c r="AU51" s="172">
        <f ca="1">IF(OR($D51&lt;&gt;"Serviço",AND(AUTOEVENTO="Manual",$M51=$A$15)),0,
         IF(OFFSET(CRONOPLE!$F$15,$M51-$A$15,AU$13)=0,10^12,OFFSET(CRONOPLE!$F$15,$M51-$A$15,AU$13)))</f>
        <v>1000000000000</v>
      </c>
      <c r="AV51" s="172">
        <f ca="1">IF(OR($D51&lt;&gt;"Serviço",AND(AUTOEVENTO="Manual",$M51=$A$15)),0,
         IF(OFFSET(CRONOPLE!$F$15,$M51-$A$15,AV$13)=0,10^12,OFFSET(CRONOPLE!$F$15,$M51-$A$15,AV$13)))</f>
        <v>1000000000000</v>
      </c>
      <c r="AX51" s="173">
        <f ca="1">IF(OR($D51&lt;&gt;"Serviço",AND(AUTOEVENTO="Manual",$M51=$A$15),$M51&gt;(ROW(PLE.lastrow)-ROW(PLE.firstrow))),0,
           IF(OFFSET(PLE!$G$15,$M51-$A$15,AX$13)="",10^12,OFFSET(PLE!$G$15,$M51-$A$15,AX$13)))</f>
        <v>1000000000000</v>
      </c>
      <c r="AY51" s="173">
        <f ca="1">IF(OR($D51&lt;&gt;"Serviço",AND(AUTOEVENTO="Manual",$M51=$A$15),$M51&gt;(ROW(PLE.lastrow)-ROW(PLE.firstrow))),0,
           IF(OFFSET(PLE!$G$15,$M51-$A$15,AY$13)="",10^12,OFFSET(PLE!$G$15,$M51-$A$15,AY$13)))</f>
        <v>1000000000000</v>
      </c>
      <c r="AZ51" s="173">
        <f ca="1">IF(OR($D51&lt;&gt;"Serviço",AND(AUTOEVENTO="Manual",$M51=$A$15),$M51&gt;(ROW(PLE.lastrow)-ROW(PLE.firstrow))),0,
           IF(OFFSET(PLE!$G$15,$M51-$A$15,AZ$13)="",10^12,OFFSET(PLE!$G$15,$M51-$A$15,AZ$13)))</f>
        <v>1000000000000</v>
      </c>
      <c r="BA51" s="173">
        <f ca="1">IF(OR($D51&lt;&gt;"Serviço",AND(AUTOEVENTO="Manual",$M51=$A$15),$M51&gt;(ROW(PLE.lastrow)-ROW(PLE.firstrow))),0,
           IF(OFFSET(PLE!$G$15,$M51-$A$15,BA$13)="",10^12,OFFSET(PLE!$G$15,$M51-$A$15,BA$13)))</f>
        <v>1000000000000</v>
      </c>
      <c r="BB51" s="173">
        <f ca="1">IF(OR($D51&lt;&gt;"Serviço",AND(AUTOEVENTO="Manual",$M51=$A$15),$M51&gt;(ROW(PLE.lastrow)-ROW(PLE.firstrow))),0,
           IF(OFFSET(PLE!$G$15,$M51-$A$15,BB$13)="",10^12,OFFSET(PLE!$G$15,$M51-$A$15,BB$13)))</f>
        <v>1000000000000</v>
      </c>
      <c r="BC51" s="173">
        <f ca="1">IF(OR($D51&lt;&gt;"Serviço",AND(AUTOEVENTO="Manual",$M51=$A$15),$M51&gt;(ROW(PLE.lastrow)-ROW(PLE.firstrow))),0,
           IF(OFFSET(PLE!$G$15,$M51-$A$15,BC$13)="",10^12,OFFSET(PLE!$G$15,$M51-$A$15,BC$13)))</f>
        <v>1000000000000</v>
      </c>
      <c r="BD51" s="173">
        <f ca="1">IF(OR($D51&lt;&gt;"Serviço",AND(AUTOEVENTO="Manual",$M51=$A$15),$M51&gt;(ROW(PLE.lastrow)-ROW(PLE.firstrow))),0,
           IF(OFFSET(PLE!$G$15,$M51-$A$15,BD$13)="",10^12,OFFSET(PLE!$G$15,$M51-$A$15,BD$13)))</f>
        <v>1000000000000</v>
      </c>
      <c r="BE51" s="173">
        <f ca="1">IF(OR($D51&lt;&gt;"Serviço",AND(AUTOEVENTO="Manual",$M51=$A$15),$M51&gt;(ROW(PLE.lastrow)-ROW(PLE.firstrow))),0,
           IF(OFFSET(PLE!$G$15,$M51-$A$15,BE$13)="",10^12,OFFSET(PLE!$G$15,$M51-$A$15,BE$13)))</f>
        <v>1000000000000</v>
      </c>
      <c r="BF51" s="173">
        <f ca="1">IF(OR($D51&lt;&gt;"Serviço",AND(AUTOEVENTO="Manual",$M51=$A$15),$M51&gt;(ROW(PLE.lastrow)-ROW(PLE.firstrow))),0,
           IF(OFFSET(PLE!$G$15,$M51-$A$15,BF$13)="",10^12,OFFSET(PLE!$G$15,$M51-$A$15,BF$13)))</f>
        <v>1000000000000</v>
      </c>
      <c r="BG51" s="173">
        <f ca="1">IF(OR($D51&lt;&gt;"Serviço",AND(AUTOEVENTO="Manual",$M51=$A$15),$M51&gt;(ROW(PLE.lastrow)-ROW(PLE.firstrow))),0,
           IF(OFFSET(PLE!$G$15,$M51-$A$15,BG$13)="",10^12,OFFSET(PLE!$G$15,$M51-$A$15,BG$13)))</f>
        <v>1000000000000</v>
      </c>
    </row>
    <row r="52" spans="1:59" s="675" customFormat="1" ht="25.5" x14ac:dyDescent="0.2">
      <c r="A52" s="671" t="str">
        <f t="shared" ca="1" si="9"/>
        <v>23</v>
      </c>
      <c r="B52" s="671" t="str">
        <f ca="1">OFFSET(ORÇAMENTO!C$15,ROW(B52)-ROW(B$15),0)</f>
        <v>S</v>
      </c>
      <c r="C52" s="671" t="str">
        <f ca="1">OFFSET(ORÇAMENTO!L$15,ROW(C52)-ROW(C$15),0)</f>
        <v/>
      </c>
      <c r="D52" s="117" t="str">
        <f ca="1">OFFSET(ORÇAMENTO!N$15,ROW(D52)-ROW(D$15),0)</f>
        <v>Serviço</v>
      </c>
      <c r="E52" s="118" t="str">
        <f ca="1">OFFSET(ORÇAMENTO!O$15,ROW(E52)-ROW(E$15),0)</f>
        <v>-</v>
      </c>
      <c r="F52" s="164" t="str">
        <f ca="1">OFFSET(ORÇAMENTO!R$15,ROW(F52)-ROW(F$15),0)</f>
        <v>(abra o arquivo 'Referência 09-2025.xlsm)</v>
      </c>
      <c r="G52" s="165" t="str">
        <f ca="1">IF($D52&lt;&gt;"Serviço","",OFFSET(ORÇAMENTO!S$15,ROW(G52)-ROW(G$15),0))</f>
        <v>-</v>
      </c>
      <c r="H52" s="123">
        <f ca="1">IF($D52&lt;&gt;"Serviço",0,IF(ACOMPANHAMENTO="BM",ROUND(OFFSET(ORÇAMENTO!AJ$15,ROW(H52)-ROW(H$15),0),15-13*ORÇAMENTO!$AF$7),SUMPRODUCT(($Q$1:$AA$1=1)*ROUND($Q52:$AA52,15-13*ORÇAMENTO!$AF$7))))</f>
        <v>1.1000000000000001</v>
      </c>
      <c r="I52" s="469" t="s">
        <v>1110</v>
      </c>
      <c r="J52" s="667" t="str">
        <f ca="1">IF(OR(B52&lt;&gt;"S",CÁLCULO.FrentesPreenchidas=0),"",IF(AND(ACOMPANHAMENTO="PLE",AUTOEVENTO="Manual",OR(H52&gt;0,ORÇAMENTO!AC52="QUANT."),OR(K52="",M52=0,N52="")),"►",IF(AND(ACOMPANHAMENTO="PLE",ORÇAMENTO!AC52="QUANT."),"►►",IF(AND(COUNTIF($P$11:$AA$11,"▼")=0,H52&gt;0,I52=""),"◄",""))))</f>
        <v/>
      </c>
      <c r="K52" s="668"/>
      <c r="L52" s="166" t="s">
        <v>765</v>
      </c>
      <c r="M52" s="167">
        <f ca="1">IF($D52&lt;&gt;"Serviço","",
          IF(AUTOEVENTO="manual",$A52,
                IF(ISERROR(MATCH($A52,$A$15:OFFSET($A52,-1,0),0)),MAX($M$15:OFFSET(M52,-1,0))+1,
                      INDEX($M$15:OFFSET(M52,-1,0),MATCH($A52,$A$15:OFFSET($A52,-1,0),0)))))</f>
        <v>3</v>
      </c>
      <c r="N52" s="168" t="str">
        <f ca="1">IF($D52&lt;&gt;"Serviço","",
         IF(AUTOEVENTO="Manual",
                IF($A52=0,"&lt;-- defina o número do agrupador",
                       OFFSET(EVENTOS!$D$15,$A52-$A$15,0)),
                OFFSET($F$15,$A52,0)))</f>
        <v>BLOCOS DE ANCORAGEM</v>
      </c>
      <c r="O52" s="169"/>
      <c r="Q52" s="169"/>
      <c r="R52" s="170"/>
      <c r="S52" s="170"/>
      <c r="T52" s="170"/>
      <c r="U52" s="170"/>
      <c r="V52" s="170"/>
      <c r="W52" s="170"/>
      <c r="X52" s="170"/>
      <c r="Y52" s="170"/>
      <c r="Z52" s="171"/>
      <c r="AB52" s="454">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4">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4">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4">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4">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4">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4">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4">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4">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4">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2">
        <f ca="1">IF(OR($D52&lt;&gt;"Serviço",AND(AUTOEVENTO="Manual",$M52=$A$15)),0,
         IF(OFFSET(CRONOPLE!$F$15,$M52-$A$15,AM$13)=0,10^12,OFFSET(CRONOPLE!$F$15,$M52-$A$15,AM$13)))</f>
        <v>1000000000000</v>
      </c>
      <c r="AN52" s="172">
        <f ca="1">IF(OR($D52&lt;&gt;"Serviço",AND(AUTOEVENTO="Manual",$M52=$A$15)),0,
         IF(OFFSET(CRONOPLE!$F$15,$M52-$A$15,AN$13)=0,10^12,OFFSET(CRONOPLE!$F$15,$M52-$A$15,AN$13)))</f>
        <v>1000000000000</v>
      </c>
      <c r="AO52" s="172">
        <f ca="1">IF(OR($D52&lt;&gt;"Serviço",AND(AUTOEVENTO="Manual",$M52=$A$15)),0,
         IF(OFFSET(CRONOPLE!$F$15,$M52-$A$15,AO$13)=0,10^12,OFFSET(CRONOPLE!$F$15,$M52-$A$15,AO$13)))</f>
        <v>1000000000000</v>
      </c>
      <c r="AP52" s="172">
        <f ca="1">IF(OR($D52&lt;&gt;"Serviço",AND(AUTOEVENTO="Manual",$M52=$A$15)),0,
         IF(OFFSET(CRONOPLE!$F$15,$M52-$A$15,AP$13)=0,10^12,OFFSET(CRONOPLE!$F$15,$M52-$A$15,AP$13)))</f>
        <v>1000000000000</v>
      </c>
      <c r="AQ52" s="172">
        <f ca="1">IF(OR($D52&lt;&gt;"Serviço",AND(AUTOEVENTO="Manual",$M52=$A$15)),0,
         IF(OFFSET(CRONOPLE!$F$15,$M52-$A$15,AQ$13)=0,10^12,OFFSET(CRONOPLE!$F$15,$M52-$A$15,AQ$13)))</f>
        <v>1000000000000</v>
      </c>
      <c r="AR52" s="172">
        <f ca="1">IF(OR($D52&lt;&gt;"Serviço",AND(AUTOEVENTO="Manual",$M52=$A$15)),0,
         IF(OFFSET(CRONOPLE!$F$15,$M52-$A$15,AR$13)=0,10^12,OFFSET(CRONOPLE!$F$15,$M52-$A$15,AR$13)))</f>
        <v>1000000000000</v>
      </c>
      <c r="AS52" s="172">
        <f ca="1">IF(OR($D52&lt;&gt;"Serviço",AND(AUTOEVENTO="Manual",$M52=$A$15)),0,
         IF(OFFSET(CRONOPLE!$F$15,$M52-$A$15,AS$13)=0,10^12,OFFSET(CRONOPLE!$F$15,$M52-$A$15,AS$13)))</f>
        <v>1000000000000</v>
      </c>
      <c r="AT52" s="172">
        <f ca="1">IF(OR($D52&lt;&gt;"Serviço",AND(AUTOEVENTO="Manual",$M52=$A$15)),0,
         IF(OFFSET(CRONOPLE!$F$15,$M52-$A$15,AT$13)=0,10^12,OFFSET(CRONOPLE!$F$15,$M52-$A$15,AT$13)))</f>
        <v>1000000000000</v>
      </c>
      <c r="AU52" s="172">
        <f ca="1">IF(OR($D52&lt;&gt;"Serviço",AND(AUTOEVENTO="Manual",$M52=$A$15)),0,
         IF(OFFSET(CRONOPLE!$F$15,$M52-$A$15,AU$13)=0,10^12,OFFSET(CRONOPLE!$F$15,$M52-$A$15,AU$13)))</f>
        <v>1000000000000</v>
      </c>
      <c r="AV52" s="172">
        <f ca="1">IF(OR($D52&lt;&gt;"Serviço",AND(AUTOEVENTO="Manual",$M52=$A$15)),0,
         IF(OFFSET(CRONOPLE!$F$15,$M52-$A$15,AV$13)=0,10^12,OFFSET(CRONOPLE!$F$15,$M52-$A$15,AV$13)))</f>
        <v>1000000000000</v>
      </c>
      <c r="AX52" s="173">
        <f ca="1">IF(OR($D52&lt;&gt;"Serviço",AND(AUTOEVENTO="Manual",$M52=$A$15),$M52&gt;(ROW(PLE.lastrow)-ROW(PLE.firstrow))),0,
           IF(OFFSET(PLE!$G$15,$M52-$A$15,AX$13)="",10^12,OFFSET(PLE!$G$15,$M52-$A$15,AX$13)))</f>
        <v>1000000000000</v>
      </c>
      <c r="AY52" s="173">
        <f ca="1">IF(OR($D52&lt;&gt;"Serviço",AND(AUTOEVENTO="Manual",$M52=$A$15),$M52&gt;(ROW(PLE.lastrow)-ROW(PLE.firstrow))),0,
           IF(OFFSET(PLE!$G$15,$M52-$A$15,AY$13)="",10^12,OFFSET(PLE!$G$15,$M52-$A$15,AY$13)))</f>
        <v>1000000000000</v>
      </c>
      <c r="AZ52" s="173">
        <f ca="1">IF(OR($D52&lt;&gt;"Serviço",AND(AUTOEVENTO="Manual",$M52=$A$15),$M52&gt;(ROW(PLE.lastrow)-ROW(PLE.firstrow))),0,
           IF(OFFSET(PLE!$G$15,$M52-$A$15,AZ$13)="",10^12,OFFSET(PLE!$G$15,$M52-$A$15,AZ$13)))</f>
        <v>1000000000000</v>
      </c>
      <c r="BA52" s="173">
        <f ca="1">IF(OR($D52&lt;&gt;"Serviço",AND(AUTOEVENTO="Manual",$M52=$A$15),$M52&gt;(ROW(PLE.lastrow)-ROW(PLE.firstrow))),0,
           IF(OFFSET(PLE!$G$15,$M52-$A$15,BA$13)="",10^12,OFFSET(PLE!$G$15,$M52-$A$15,BA$13)))</f>
        <v>1000000000000</v>
      </c>
      <c r="BB52" s="173">
        <f ca="1">IF(OR($D52&lt;&gt;"Serviço",AND(AUTOEVENTO="Manual",$M52=$A$15),$M52&gt;(ROW(PLE.lastrow)-ROW(PLE.firstrow))),0,
           IF(OFFSET(PLE!$G$15,$M52-$A$15,BB$13)="",10^12,OFFSET(PLE!$G$15,$M52-$A$15,BB$13)))</f>
        <v>1000000000000</v>
      </c>
      <c r="BC52" s="173">
        <f ca="1">IF(OR($D52&lt;&gt;"Serviço",AND(AUTOEVENTO="Manual",$M52=$A$15),$M52&gt;(ROW(PLE.lastrow)-ROW(PLE.firstrow))),0,
           IF(OFFSET(PLE!$G$15,$M52-$A$15,BC$13)="",10^12,OFFSET(PLE!$G$15,$M52-$A$15,BC$13)))</f>
        <v>1000000000000</v>
      </c>
      <c r="BD52" s="173">
        <f ca="1">IF(OR($D52&lt;&gt;"Serviço",AND(AUTOEVENTO="Manual",$M52=$A$15),$M52&gt;(ROW(PLE.lastrow)-ROW(PLE.firstrow))),0,
           IF(OFFSET(PLE!$G$15,$M52-$A$15,BD$13)="",10^12,OFFSET(PLE!$G$15,$M52-$A$15,BD$13)))</f>
        <v>1000000000000</v>
      </c>
      <c r="BE52" s="173">
        <f ca="1">IF(OR($D52&lt;&gt;"Serviço",AND(AUTOEVENTO="Manual",$M52=$A$15),$M52&gt;(ROW(PLE.lastrow)-ROW(PLE.firstrow))),0,
           IF(OFFSET(PLE!$G$15,$M52-$A$15,BE$13)="",10^12,OFFSET(PLE!$G$15,$M52-$A$15,BE$13)))</f>
        <v>1000000000000</v>
      </c>
      <c r="BF52" s="173">
        <f ca="1">IF(OR($D52&lt;&gt;"Serviço",AND(AUTOEVENTO="Manual",$M52=$A$15),$M52&gt;(ROW(PLE.lastrow)-ROW(PLE.firstrow))),0,
           IF(OFFSET(PLE!$G$15,$M52-$A$15,BF$13)="",10^12,OFFSET(PLE!$G$15,$M52-$A$15,BF$13)))</f>
        <v>1000000000000</v>
      </c>
      <c r="BG52" s="173">
        <f ca="1">IF(OR($D52&lt;&gt;"Serviço",AND(AUTOEVENTO="Manual",$M52=$A$15),$M52&gt;(ROW(PLE.lastrow)-ROW(PLE.firstrow))),0,
           IF(OFFSET(PLE!$G$15,$M52-$A$15,BG$13)="",10^12,OFFSET(PLE!$G$15,$M52-$A$15,BG$13)))</f>
        <v>1000000000000</v>
      </c>
    </row>
    <row r="53" spans="1:59" s="675" customFormat="1" ht="25.5" x14ac:dyDescent="0.2">
      <c r="A53" s="671" t="str">
        <f t="shared" ca="1" si="9"/>
        <v>23</v>
      </c>
      <c r="B53" s="671" t="str">
        <f ca="1">OFFSET(ORÇAMENTO!C$15,ROW(B53)-ROW(B$15),0)</f>
        <v>S</v>
      </c>
      <c r="C53" s="671" t="str">
        <f ca="1">OFFSET(ORÇAMENTO!L$15,ROW(C53)-ROW(C$15),0)</f>
        <v/>
      </c>
      <c r="D53" s="117" t="str">
        <f ca="1">OFFSET(ORÇAMENTO!N$15,ROW(D53)-ROW(D$15),0)</f>
        <v>Serviço</v>
      </c>
      <c r="E53" s="118" t="str">
        <f ca="1">OFFSET(ORÇAMENTO!O$15,ROW(E53)-ROW(E$15),0)</f>
        <v>-</v>
      </c>
      <c r="F53" s="164" t="str">
        <f ca="1">OFFSET(ORÇAMENTO!R$15,ROW(F53)-ROW(F$15),0)</f>
        <v>(abra o arquivo 'Referência 09-2025.xlsm)</v>
      </c>
      <c r="G53" s="165" t="str">
        <f ca="1">IF($D53&lt;&gt;"Serviço","",OFFSET(ORÇAMENTO!S$15,ROW(G53)-ROW(G$15),0))</f>
        <v>-</v>
      </c>
      <c r="H53" s="123">
        <f ca="1">IF($D53&lt;&gt;"Serviço",0,IF(ACOMPANHAMENTO="BM",ROUND(OFFSET(ORÇAMENTO!AJ$15,ROW(H53)-ROW(H$15),0),15-13*ORÇAMENTO!$AF$7),SUMPRODUCT(($Q$1:$AA$1=1)*ROUND($Q53:$AA53,15-13*ORÇAMENTO!$AF$7))))</f>
        <v>0.83</v>
      </c>
      <c r="I53" s="469" t="s">
        <v>1110</v>
      </c>
      <c r="J53" s="667" t="str">
        <f ca="1">IF(OR(B53&lt;&gt;"S",CÁLCULO.FrentesPreenchidas=0),"",IF(AND(ACOMPANHAMENTO="PLE",AUTOEVENTO="Manual",OR(H53&gt;0,ORÇAMENTO!AC53="QUANT."),OR(K53="",M53=0,N53="")),"►",IF(AND(ACOMPANHAMENTO="PLE",ORÇAMENTO!AC53="QUANT."),"►►",IF(AND(COUNTIF($P$11:$AA$11,"▼")=0,H53&gt;0,I53=""),"◄",""))))</f>
        <v/>
      </c>
      <c r="K53" s="668"/>
      <c r="L53" s="166" t="s">
        <v>765</v>
      </c>
      <c r="M53" s="167">
        <f ca="1">IF($D53&lt;&gt;"Serviço","",
          IF(AUTOEVENTO="manual",$A53,
                IF(ISERROR(MATCH($A53,$A$15:OFFSET($A53,-1,0),0)),MAX($M$15:OFFSET(M53,-1,0))+1,
                      INDEX($M$15:OFFSET(M53,-1,0),MATCH($A53,$A$15:OFFSET($A53,-1,0),0)))))</f>
        <v>3</v>
      </c>
      <c r="N53" s="168" t="str">
        <f ca="1">IF($D53&lt;&gt;"Serviço","",
         IF(AUTOEVENTO="Manual",
                IF($A53=0,"&lt;-- defina o número do agrupador",
                       OFFSET(EVENTOS!$D$15,$A53-$A$15,0)),
                OFFSET($F$15,$A53,0)))</f>
        <v>BLOCOS DE ANCORAGEM</v>
      </c>
      <c r="O53" s="169"/>
      <c r="Q53" s="169"/>
      <c r="R53" s="170"/>
      <c r="S53" s="170"/>
      <c r="T53" s="170"/>
      <c r="U53" s="170"/>
      <c r="V53" s="170"/>
      <c r="W53" s="170"/>
      <c r="X53" s="170"/>
      <c r="Y53" s="170"/>
      <c r="Z53" s="171"/>
      <c r="AB53" s="454">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4">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4">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4">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4">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4">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4">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4">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4">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4">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2">
        <f ca="1">IF(OR($D53&lt;&gt;"Serviço",AND(AUTOEVENTO="Manual",$M53=$A$15)),0,
         IF(OFFSET(CRONOPLE!$F$15,$M53-$A$15,AM$13)=0,10^12,OFFSET(CRONOPLE!$F$15,$M53-$A$15,AM$13)))</f>
        <v>1000000000000</v>
      </c>
      <c r="AN53" s="172">
        <f ca="1">IF(OR($D53&lt;&gt;"Serviço",AND(AUTOEVENTO="Manual",$M53=$A$15)),0,
         IF(OFFSET(CRONOPLE!$F$15,$M53-$A$15,AN$13)=0,10^12,OFFSET(CRONOPLE!$F$15,$M53-$A$15,AN$13)))</f>
        <v>1000000000000</v>
      </c>
      <c r="AO53" s="172">
        <f ca="1">IF(OR($D53&lt;&gt;"Serviço",AND(AUTOEVENTO="Manual",$M53=$A$15)),0,
         IF(OFFSET(CRONOPLE!$F$15,$M53-$A$15,AO$13)=0,10^12,OFFSET(CRONOPLE!$F$15,$M53-$A$15,AO$13)))</f>
        <v>1000000000000</v>
      </c>
      <c r="AP53" s="172">
        <f ca="1">IF(OR($D53&lt;&gt;"Serviço",AND(AUTOEVENTO="Manual",$M53=$A$15)),0,
         IF(OFFSET(CRONOPLE!$F$15,$M53-$A$15,AP$13)=0,10^12,OFFSET(CRONOPLE!$F$15,$M53-$A$15,AP$13)))</f>
        <v>1000000000000</v>
      </c>
      <c r="AQ53" s="172">
        <f ca="1">IF(OR($D53&lt;&gt;"Serviço",AND(AUTOEVENTO="Manual",$M53=$A$15)),0,
         IF(OFFSET(CRONOPLE!$F$15,$M53-$A$15,AQ$13)=0,10^12,OFFSET(CRONOPLE!$F$15,$M53-$A$15,AQ$13)))</f>
        <v>1000000000000</v>
      </c>
      <c r="AR53" s="172">
        <f ca="1">IF(OR($D53&lt;&gt;"Serviço",AND(AUTOEVENTO="Manual",$M53=$A$15)),0,
         IF(OFFSET(CRONOPLE!$F$15,$M53-$A$15,AR$13)=0,10^12,OFFSET(CRONOPLE!$F$15,$M53-$A$15,AR$13)))</f>
        <v>1000000000000</v>
      </c>
      <c r="AS53" s="172">
        <f ca="1">IF(OR($D53&lt;&gt;"Serviço",AND(AUTOEVENTO="Manual",$M53=$A$15)),0,
         IF(OFFSET(CRONOPLE!$F$15,$M53-$A$15,AS$13)=0,10^12,OFFSET(CRONOPLE!$F$15,$M53-$A$15,AS$13)))</f>
        <v>1000000000000</v>
      </c>
      <c r="AT53" s="172">
        <f ca="1">IF(OR($D53&lt;&gt;"Serviço",AND(AUTOEVENTO="Manual",$M53=$A$15)),0,
         IF(OFFSET(CRONOPLE!$F$15,$M53-$A$15,AT$13)=0,10^12,OFFSET(CRONOPLE!$F$15,$M53-$A$15,AT$13)))</f>
        <v>1000000000000</v>
      </c>
      <c r="AU53" s="172">
        <f ca="1">IF(OR($D53&lt;&gt;"Serviço",AND(AUTOEVENTO="Manual",$M53=$A$15)),0,
         IF(OFFSET(CRONOPLE!$F$15,$M53-$A$15,AU$13)=0,10^12,OFFSET(CRONOPLE!$F$15,$M53-$A$15,AU$13)))</f>
        <v>1000000000000</v>
      </c>
      <c r="AV53" s="172">
        <f ca="1">IF(OR($D53&lt;&gt;"Serviço",AND(AUTOEVENTO="Manual",$M53=$A$15)),0,
         IF(OFFSET(CRONOPLE!$F$15,$M53-$A$15,AV$13)=0,10^12,OFFSET(CRONOPLE!$F$15,$M53-$A$15,AV$13)))</f>
        <v>1000000000000</v>
      </c>
      <c r="AX53" s="173">
        <f ca="1">IF(OR($D53&lt;&gt;"Serviço",AND(AUTOEVENTO="Manual",$M53=$A$15),$M53&gt;(ROW(PLE.lastrow)-ROW(PLE.firstrow))),0,
           IF(OFFSET(PLE!$G$15,$M53-$A$15,AX$13)="",10^12,OFFSET(PLE!$G$15,$M53-$A$15,AX$13)))</f>
        <v>1000000000000</v>
      </c>
      <c r="AY53" s="173">
        <f ca="1">IF(OR($D53&lt;&gt;"Serviço",AND(AUTOEVENTO="Manual",$M53=$A$15),$M53&gt;(ROW(PLE.lastrow)-ROW(PLE.firstrow))),0,
           IF(OFFSET(PLE!$G$15,$M53-$A$15,AY$13)="",10^12,OFFSET(PLE!$G$15,$M53-$A$15,AY$13)))</f>
        <v>1000000000000</v>
      </c>
      <c r="AZ53" s="173">
        <f ca="1">IF(OR($D53&lt;&gt;"Serviço",AND(AUTOEVENTO="Manual",$M53=$A$15),$M53&gt;(ROW(PLE.lastrow)-ROW(PLE.firstrow))),0,
           IF(OFFSET(PLE!$G$15,$M53-$A$15,AZ$13)="",10^12,OFFSET(PLE!$G$15,$M53-$A$15,AZ$13)))</f>
        <v>1000000000000</v>
      </c>
      <c r="BA53" s="173">
        <f ca="1">IF(OR($D53&lt;&gt;"Serviço",AND(AUTOEVENTO="Manual",$M53=$A$15),$M53&gt;(ROW(PLE.lastrow)-ROW(PLE.firstrow))),0,
           IF(OFFSET(PLE!$G$15,$M53-$A$15,BA$13)="",10^12,OFFSET(PLE!$G$15,$M53-$A$15,BA$13)))</f>
        <v>1000000000000</v>
      </c>
      <c r="BB53" s="173">
        <f ca="1">IF(OR($D53&lt;&gt;"Serviço",AND(AUTOEVENTO="Manual",$M53=$A$15),$M53&gt;(ROW(PLE.lastrow)-ROW(PLE.firstrow))),0,
           IF(OFFSET(PLE!$G$15,$M53-$A$15,BB$13)="",10^12,OFFSET(PLE!$G$15,$M53-$A$15,BB$13)))</f>
        <v>1000000000000</v>
      </c>
      <c r="BC53" s="173">
        <f ca="1">IF(OR($D53&lt;&gt;"Serviço",AND(AUTOEVENTO="Manual",$M53=$A$15),$M53&gt;(ROW(PLE.lastrow)-ROW(PLE.firstrow))),0,
           IF(OFFSET(PLE!$G$15,$M53-$A$15,BC$13)="",10^12,OFFSET(PLE!$G$15,$M53-$A$15,BC$13)))</f>
        <v>1000000000000</v>
      </c>
      <c r="BD53" s="173">
        <f ca="1">IF(OR($D53&lt;&gt;"Serviço",AND(AUTOEVENTO="Manual",$M53=$A$15),$M53&gt;(ROW(PLE.lastrow)-ROW(PLE.firstrow))),0,
           IF(OFFSET(PLE!$G$15,$M53-$A$15,BD$13)="",10^12,OFFSET(PLE!$G$15,$M53-$A$15,BD$13)))</f>
        <v>1000000000000</v>
      </c>
      <c r="BE53" s="173">
        <f ca="1">IF(OR($D53&lt;&gt;"Serviço",AND(AUTOEVENTO="Manual",$M53=$A$15),$M53&gt;(ROW(PLE.lastrow)-ROW(PLE.firstrow))),0,
           IF(OFFSET(PLE!$G$15,$M53-$A$15,BE$13)="",10^12,OFFSET(PLE!$G$15,$M53-$A$15,BE$13)))</f>
        <v>1000000000000</v>
      </c>
      <c r="BF53" s="173">
        <f ca="1">IF(OR($D53&lt;&gt;"Serviço",AND(AUTOEVENTO="Manual",$M53=$A$15),$M53&gt;(ROW(PLE.lastrow)-ROW(PLE.firstrow))),0,
           IF(OFFSET(PLE!$G$15,$M53-$A$15,BF$13)="",10^12,OFFSET(PLE!$G$15,$M53-$A$15,BF$13)))</f>
        <v>1000000000000</v>
      </c>
      <c r="BG53" s="173">
        <f ca="1">IF(OR($D53&lt;&gt;"Serviço",AND(AUTOEVENTO="Manual",$M53=$A$15),$M53&gt;(ROW(PLE.lastrow)-ROW(PLE.firstrow))),0,
           IF(OFFSET(PLE!$G$15,$M53-$A$15,BG$13)="",10^12,OFFSET(PLE!$G$15,$M53-$A$15,BG$13)))</f>
        <v>1000000000000</v>
      </c>
    </row>
    <row r="54" spans="1:59" s="675" customFormat="1" ht="25.5" x14ac:dyDescent="0.2">
      <c r="A54" s="671" t="str">
        <f t="shared" ca="1" si="9"/>
        <v>23</v>
      </c>
      <c r="B54" s="671" t="str">
        <f ca="1">OFFSET(ORÇAMENTO!C$15,ROW(B54)-ROW(B$15),0)</f>
        <v>S</v>
      </c>
      <c r="C54" s="671" t="str">
        <f ca="1">OFFSET(ORÇAMENTO!L$15,ROW(C54)-ROW(C$15),0)</f>
        <v/>
      </c>
      <c r="D54" s="117" t="str">
        <f ca="1">OFFSET(ORÇAMENTO!N$15,ROW(D54)-ROW(D$15),0)</f>
        <v>Serviço</v>
      </c>
      <c r="E54" s="118" t="str">
        <f ca="1">OFFSET(ORÇAMENTO!O$15,ROW(E54)-ROW(E$15),0)</f>
        <v>-</v>
      </c>
      <c r="F54" s="164" t="str">
        <f ca="1">OFFSET(ORÇAMENTO!R$15,ROW(F54)-ROW(F$15),0)</f>
        <v>(abra o arquivo 'Referência 09-2025.xlsm)</v>
      </c>
      <c r="G54" s="165" t="str">
        <f ca="1">IF($D54&lt;&gt;"Serviço","",OFFSET(ORÇAMENTO!S$15,ROW(G54)-ROW(G$15),0))</f>
        <v>-</v>
      </c>
      <c r="H54" s="123">
        <f ca="1">IF($D54&lt;&gt;"Serviço",0,IF(ACOMPANHAMENTO="BM",ROUND(OFFSET(ORÇAMENTO!AJ$15,ROW(H54)-ROW(H$15),0),15-13*ORÇAMENTO!$AF$7),SUMPRODUCT(($Q$1:$AA$1=1)*ROUND($Q54:$AA54,15-13*ORÇAMENTO!$AF$7))))</f>
        <v>1.51</v>
      </c>
      <c r="I54" s="469" t="s">
        <v>1110</v>
      </c>
      <c r="J54" s="667" t="str">
        <f ca="1">IF(OR(B54&lt;&gt;"S",CÁLCULO.FrentesPreenchidas=0),"",IF(AND(ACOMPANHAMENTO="PLE",AUTOEVENTO="Manual",OR(H54&gt;0,ORÇAMENTO!AC54="QUANT."),OR(K54="",M54=0,N54="")),"►",IF(AND(ACOMPANHAMENTO="PLE",ORÇAMENTO!AC54="QUANT."),"►►",IF(AND(COUNTIF($P$11:$AA$11,"▼")=0,H54&gt;0,I54=""),"◄",""))))</f>
        <v/>
      </c>
      <c r="K54" s="668"/>
      <c r="L54" s="166" t="s">
        <v>765</v>
      </c>
      <c r="M54" s="167">
        <f ca="1">IF($D54&lt;&gt;"Serviço","",
          IF(AUTOEVENTO="manual",$A54,
                IF(ISERROR(MATCH($A54,$A$15:OFFSET($A54,-1,0),0)),MAX($M$15:OFFSET(M54,-1,0))+1,
                      INDEX($M$15:OFFSET(M54,-1,0),MATCH($A54,$A$15:OFFSET($A54,-1,0),0)))))</f>
        <v>3</v>
      </c>
      <c r="N54" s="168" t="str">
        <f ca="1">IF($D54&lt;&gt;"Serviço","",
         IF(AUTOEVENTO="Manual",
                IF($A54=0,"&lt;-- defina o número do agrupador",
                       OFFSET(EVENTOS!$D$15,$A54-$A$15,0)),
                OFFSET($F$15,$A54,0)))</f>
        <v>BLOCOS DE ANCORAGEM</v>
      </c>
      <c r="O54" s="169"/>
      <c r="Q54" s="169"/>
      <c r="R54" s="170"/>
      <c r="S54" s="170"/>
      <c r="T54" s="170"/>
      <c r="U54" s="170"/>
      <c r="V54" s="170"/>
      <c r="W54" s="170"/>
      <c r="X54" s="170"/>
      <c r="Y54" s="170"/>
      <c r="Z54" s="171"/>
      <c r="AB54" s="454">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4">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4">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4">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4">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4">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4">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4">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4">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4">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2">
        <f ca="1">IF(OR($D54&lt;&gt;"Serviço",AND(AUTOEVENTO="Manual",$M54=$A$15)),0,
         IF(OFFSET(CRONOPLE!$F$15,$M54-$A$15,AM$13)=0,10^12,OFFSET(CRONOPLE!$F$15,$M54-$A$15,AM$13)))</f>
        <v>1000000000000</v>
      </c>
      <c r="AN54" s="172">
        <f ca="1">IF(OR($D54&lt;&gt;"Serviço",AND(AUTOEVENTO="Manual",$M54=$A$15)),0,
         IF(OFFSET(CRONOPLE!$F$15,$M54-$A$15,AN$13)=0,10^12,OFFSET(CRONOPLE!$F$15,$M54-$A$15,AN$13)))</f>
        <v>1000000000000</v>
      </c>
      <c r="AO54" s="172">
        <f ca="1">IF(OR($D54&lt;&gt;"Serviço",AND(AUTOEVENTO="Manual",$M54=$A$15)),0,
         IF(OFFSET(CRONOPLE!$F$15,$M54-$A$15,AO$13)=0,10^12,OFFSET(CRONOPLE!$F$15,$M54-$A$15,AO$13)))</f>
        <v>1000000000000</v>
      </c>
      <c r="AP54" s="172">
        <f ca="1">IF(OR($D54&lt;&gt;"Serviço",AND(AUTOEVENTO="Manual",$M54=$A$15)),0,
         IF(OFFSET(CRONOPLE!$F$15,$M54-$A$15,AP$13)=0,10^12,OFFSET(CRONOPLE!$F$15,$M54-$A$15,AP$13)))</f>
        <v>1000000000000</v>
      </c>
      <c r="AQ54" s="172">
        <f ca="1">IF(OR($D54&lt;&gt;"Serviço",AND(AUTOEVENTO="Manual",$M54=$A$15)),0,
         IF(OFFSET(CRONOPLE!$F$15,$M54-$A$15,AQ$13)=0,10^12,OFFSET(CRONOPLE!$F$15,$M54-$A$15,AQ$13)))</f>
        <v>1000000000000</v>
      </c>
      <c r="AR54" s="172">
        <f ca="1">IF(OR($D54&lt;&gt;"Serviço",AND(AUTOEVENTO="Manual",$M54=$A$15)),0,
         IF(OFFSET(CRONOPLE!$F$15,$M54-$A$15,AR$13)=0,10^12,OFFSET(CRONOPLE!$F$15,$M54-$A$15,AR$13)))</f>
        <v>1000000000000</v>
      </c>
      <c r="AS54" s="172">
        <f ca="1">IF(OR($D54&lt;&gt;"Serviço",AND(AUTOEVENTO="Manual",$M54=$A$15)),0,
         IF(OFFSET(CRONOPLE!$F$15,$M54-$A$15,AS$13)=0,10^12,OFFSET(CRONOPLE!$F$15,$M54-$A$15,AS$13)))</f>
        <v>1000000000000</v>
      </c>
      <c r="AT54" s="172">
        <f ca="1">IF(OR($D54&lt;&gt;"Serviço",AND(AUTOEVENTO="Manual",$M54=$A$15)),0,
         IF(OFFSET(CRONOPLE!$F$15,$M54-$A$15,AT$13)=0,10^12,OFFSET(CRONOPLE!$F$15,$M54-$A$15,AT$13)))</f>
        <v>1000000000000</v>
      </c>
      <c r="AU54" s="172">
        <f ca="1">IF(OR($D54&lt;&gt;"Serviço",AND(AUTOEVENTO="Manual",$M54=$A$15)),0,
         IF(OFFSET(CRONOPLE!$F$15,$M54-$A$15,AU$13)=0,10^12,OFFSET(CRONOPLE!$F$15,$M54-$A$15,AU$13)))</f>
        <v>1000000000000</v>
      </c>
      <c r="AV54" s="172">
        <f ca="1">IF(OR($D54&lt;&gt;"Serviço",AND(AUTOEVENTO="Manual",$M54=$A$15)),0,
         IF(OFFSET(CRONOPLE!$F$15,$M54-$A$15,AV$13)=0,10^12,OFFSET(CRONOPLE!$F$15,$M54-$A$15,AV$13)))</f>
        <v>1000000000000</v>
      </c>
      <c r="AX54" s="173">
        <f ca="1">IF(OR($D54&lt;&gt;"Serviço",AND(AUTOEVENTO="Manual",$M54=$A$15),$M54&gt;(ROW(PLE.lastrow)-ROW(PLE.firstrow))),0,
           IF(OFFSET(PLE!$G$15,$M54-$A$15,AX$13)="",10^12,OFFSET(PLE!$G$15,$M54-$A$15,AX$13)))</f>
        <v>1000000000000</v>
      </c>
      <c r="AY54" s="173">
        <f ca="1">IF(OR($D54&lt;&gt;"Serviço",AND(AUTOEVENTO="Manual",$M54=$A$15),$M54&gt;(ROW(PLE.lastrow)-ROW(PLE.firstrow))),0,
           IF(OFFSET(PLE!$G$15,$M54-$A$15,AY$13)="",10^12,OFFSET(PLE!$G$15,$M54-$A$15,AY$13)))</f>
        <v>1000000000000</v>
      </c>
      <c r="AZ54" s="173">
        <f ca="1">IF(OR($D54&lt;&gt;"Serviço",AND(AUTOEVENTO="Manual",$M54=$A$15),$M54&gt;(ROW(PLE.lastrow)-ROW(PLE.firstrow))),0,
           IF(OFFSET(PLE!$G$15,$M54-$A$15,AZ$13)="",10^12,OFFSET(PLE!$G$15,$M54-$A$15,AZ$13)))</f>
        <v>1000000000000</v>
      </c>
      <c r="BA54" s="173">
        <f ca="1">IF(OR($D54&lt;&gt;"Serviço",AND(AUTOEVENTO="Manual",$M54=$A$15),$M54&gt;(ROW(PLE.lastrow)-ROW(PLE.firstrow))),0,
           IF(OFFSET(PLE!$G$15,$M54-$A$15,BA$13)="",10^12,OFFSET(PLE!$G$15,$M54-$A$15,BA$13)))</f>
        <v>1000000000000</v>
      </c>
      <c r="BB54" s="173">
        <f ca="1">IF(OR($D54&lt;&gt;"Serviço",AND(AUTOEVENTO="Manual",$M54=$A$15),$M54&gt;(ROW(PLE.lastrow)-ROW(PLE.firstrow))),0,
           IF(OFFSET(PLE!$G$15,$M54-$A$15,BB$13)="",10^12,OFFSET(PLE!$G$15,$M54-$A$15,BB$13)))</f>
        <v>1000000000000</v>
      </c>
      <c r="BC54" s="173">
        <f ca="1">IF(OR($D54&lt;&gt;"Serviço",AND(AUTOEVENTO="Manual",$M54=$A$15),$M54&gt;(ROW(PLE.lastrow)-ROW(PLE.firstrow))),0,
           IF(OFFSET(PLE!$G$15,$M54-$A$15,BC$13)="",10^12,OFFSET(PLE!$G$15,$M54-$A$15,BC$13)))</f>
        <v>1000000000000</v>
      </c>
      <c r="BD54" s="173">
        <f ca="1">IF(OR($D54&lt;&gt;"Serviço",AND(AUTOEVENTO="Manual",$M54=$A$15),$M54&gt;(ROW(PLE.lastrow)-ROW(PLE.firstrow))),0,
           IF(OFFSET(PLE!$G$15,$M54-$A$15,BD$13)="",10^12,OFFSET(PLE!$G$15,$M54-$A$15,BD$13)))</f>
        <v>1000000000000</v>
      </c>
      <c r="BE54" s="173">
        <f ca="1">IF(OR($D54&lt;&gt;"Serviço",AND(AUTOEVENTO="Manual",$M54=$A$15),$M54&gt;(ROW(PLE.lastrow)-ROW(PLE.firstrow))),0,
           IF(OFFSET(PLE!$G$15,$M54-$A$15,BE$13)="",10^12,OFFSET(PLE!$G$15,$M54-$A$15,BE$13)))</f>
        <v>1000000000000</v>
      </c>
      <c r="BF54" s="173">
        <f ca="1">IF(OR($D54&lt;&gt;"Serviço",AND(AUTOEVENTO="Manual",$M54=$A$15),$M54&gt;(ROW(PLE.lastrow)-ROW(PLE.firstrow))),0,
           IF(OFFSET(PLE!$G$15,$M54-$A$15,BF$13)="",10^12,OFFSET(PLE!$G$15,$M54-$A$15,BF$13)))</f>
        <v>1000000000000</v>
      </c>
      <c r="BG54" s="173">
        <f ca="1">IF(OR($D54&lt;&gt;"Serviço",AND(AUTOEVENTO="Manual",$M54=$A$15),$M54&gt;(ROW(PLE.lastrow)-ROW(PLE.firstrow))),0,
           IF(OFFSET(PLE!$G$15,$M54-$A$15,BG$13)="",10^12,OFFSET(PLE!$G$15,$M54-$A$15,BG$13)))</f>
        <v>1000000000000</v>
      </c>
    </row>
    <row r="55" spans="1:59" s="675" customFormat="1" ht="25.5" x14ac:dyDescent="0.2">
      <c r="A55" s="671" t="str">
        <f t="shared" ca="1" si="9"/>
        <v>23</v>
      </c>
      <c r="B55" s="671" t="str">
        <f ca="1">OFFSET(ORÇAMENTO!C$15,ROW(B55)-ROW(B$15),0)</f>
        <v>S</v>
      </c>
      <c r="C55" s="671" t="str">
        <f ca="1">OFFSET(ORÇAMENTO!L$15,ROW(C55)-ROW(C$15),0)</f>
        <v/>
      </c>
      <c r="D55" s="117" t="str">
        <f ca="1">OFFSET(ORÇAMENTO!N$15,ROW(D55)-ROW(D$15),0)</f>
        <v>Serviço</v>
      </c>
      <c r="E55" s="118" t="str">
        <f ca="1">OFFSET(ORÇAMENTO!O$15,ROW(E55)-ROW(E$15),0)</f>
        <v>-</v>
      </c>
      <c r="F55" s="164" t="str">
        <f ca="1">OFFSET(ORÇAMENTO!R$15,ROW(F55)-ROW(F$15),0)</f>
        <v>(abra o arquivo 'Referência 09-2025.xlsm)</v>
      </c>
      <c r="G55" s="165" t="str">
        <f ca="1">IF($D55&lt;&gt;"Serviço","",OFFSET(ORÇAMENTO!S$15,ROW(G55)-ROW(G$15),0))</f>
        <v>-</v>
      </c>
      <c r="H55" s="123">
        <f ca="1">IF($D55&lt;&gt;"Serviço",0,IF(ACOMPANHAMENTO="BM",ROUND(OFFSET(ORÇAMENTO!AJ$15,ROW(H55)-ROW(H$15),0),15-13*ORÇAMENTO!$AF$7),SUMPRODUCT(($Q$1:$AA$1=1)*ROUND($Q55:$AA55,15-13*ORÇAMENTO!$AF$7))))</f>
        <v>0.97</v>
      </c>
      <c r="I55" s="469" t="s">
        <v>1110</v>
      </c>
      <c r="J55" s="667" t="str">
        <f ca="1">IF(OR(B55&lt;&gt;"S",CÁLCULO.FrentesPreenchidas=0),"",IF(AND(ACOMPANHAMENTO="PLE",AUTOEVENTO="Manual",OR(H55&gt;0,ORÇAMENTO!AC55="QUANT."),OR(K55="",M55=0,N55="")),"►",IF(AND(ACOMPANHAMENTO="PLE",ORÇAMENTO!AC55="QUANT."),"►►",IF(AND(COUNTIF($P$11:$AA$11,"▼")=0,H55&gt;0,I55=""),"◄",""))))</f>
        <v/>
      </c>
      <c r="K55" s="668"/>
      <c r="L55" s="166" t="s">
        <v>765</v>
      </c>
      <c r="M55" s="167">
        <f ca="1">IF($D55&lt;&gt;"Serviço","",
          IF(AUTOEVENTO="manual",$A55,
                IF(ISERROR(MATCH($A55,$A$15:OFFSET($A55,-1,0),0)),MAX($M$15:OFFSET(M55,-1,0))+1,
                      INDEX($M$15:OFFSET(M55,-1,0),MATCH($A55,$A$15:OFFSET($A55,-1,0),0)))))</f>
        <v>3</v>
      </c>
      <c r="N55" s="168" t="str">
        <f ca="1">IF($D55&lt;&gt;"Serviço","",
         IF(AUTOEVENTO="Manual",
                IF($A55=0,"&lt;-- defina o número do agrupador",
                       OFFSET(EVENTOS!$D$15,$A55-$A$15,0)),
                OFFSET($F$15,$A55,0)))</f>
        <v>BLOCOS DE ANCORAGEM</v>
      </c>
      <c r="O55" s="169"/>
      <c r="Q55" s="169"/>
      <c r="R55" s="170"/>
      <c r="S55" s="170"/>
      <c r="T55" s="170"/>
      <c r="U55" s="170"/>
      <c r="V55" s="170"/>
      <c r="W55" s="170"/>
      <c r="X55" s="170"/>
      <c r="Y55" s="170"/>
      <c r="Z55" s="171"/>
      <c r="AB55" s="454">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4">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4">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4">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4">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4">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4">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4">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4">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4">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2">
        <f ca="1">IF(OR($D55&lt;&gt;"Serviço",AND(AUTOEVENTO="Manual",$M55=$A$15)),0,
         IF(OFFSET(CRONOPLE!$F$15,$M55-$A$15,AM$13)=0,10^12,OFFSET(CRONOPLE!$F$15,$M55-$A$15,AM$13)))</f>
        <v>1000000000000</v>
      </c>
      <c r="AN55" s="172">
        <f ca="1">IF(OR($D55&lt;&gt;"Serviço",AND(AUTOEVENTO="Manual",$M55=$A$15)),0,
         IF(OFFSET(CRONOPLE!$F$15,$M55-$A$15,AN$13)=0,10^12,OFFSET(CRONOPLE!$F$15,$M55-$A$15,AN$13)))</f>
        <v>1000000000000</v>
      </c>
      <c r="AO55" s="172">
        <f ca="1">IF(OR($D55&lt;&gt;"Serviço",AND(AUTOEVENTO="Manual",$M55=$A$15)),0,
         IF(OFFSET(CRONOPLE!$F$15,$M55-$A$15,AO$13)=0,10^12,OFFSET(CRONOPLE!$F$15,$M55-$A$15,AO$13)))</f>
        <v>1000000000000</v>
      </c>
      <c r="AP55" s="172">
        <f ca="1">IF(OR($D55&lt;&gt;"Serviço",AND(AUTOEVENTO="Manual",$M55=$A$15)),0,
         IF(OFFSET(CRONOPLE!$F$15,$M55-$A$15,AP$13)=0,10^12,OFFSET(CRONOPLE!$F$15,$M55-$A$15,AP$13)))</f>
        <v>1000000000000</v>
      </c>
      <c r="AQ55" s="172">
        <f ca="1">IF(OR($D55&lt;&gt;"Serviço",AND(AUTOEVENTO="Manual",$M55=$A$15)),0,
         IF(OFFSET(CRONOPLE!$F$15,$M55-$A$15,AQ$13)=0,10^12,OFFSET(CRONOPLE!$F$15,$M55-$A$15,AQ$13)))</f>
        <v>1000000000000</v>
      </c>
      <c r="AR55" s="172">
        <f ca="1">IF(OR($D55&lt;&gt;"Serviço",AND(AUTOEVENTO="Manual",$M55=$A$15)),0,
         IF(OFFSET(CRONOPLE!$F$15,$M55-$A$15,AR$13)=0,10^12,OFFSET(CRONOPLE!$F$15,$M55-$A$15,AR$13)))</f>
        <v>1000000000000</v>
      </c>
      <c r="AS55" s="172">
        <f ca="1">IF(OR($D55&lt;&gt;"Serviço",AND(AUTOEVENTO="Manual",$M55=$A$15)),0,
         IF(OFFSET(CRONOPLE!$F$15,$M55-$A$15,AS$13)=0,10^12,OFFSET(CRONOPLE!$F$15,$M55-$A$15,AS$13)))</f>
        <v>1000000000000</v>
      </c>
      <c r="AT55" s="172">
        <f ca="1">IF(OR($D55&lt;&gt;"Serviço",AND(AUTOEVENTO="Manual",$M55=$A$15)),0,
         IF(OFFSET(CRONOPLE!$F$15,$M55-$A$15,AT$13)=0,10^12,OFFSET(CRONOPLE!$F$15,$M55-$A$15,AT$13)))</f>
        <v>1000000000000</v>
      </c>
      <c r="AU55" s="172">
        <f ca="1">IF(OR($D55&lt;&gt;"Serviço",AND(AUTOEVENTO="Manual",$M55=$A$15)),0,
         IF(OFFSET(CRONOPLE!$F$15,$M55-$A$15,AU$13)=0,10^12,OFFSET(CRONOPLE!$F$15,$M55-$A$15,AU$13)))</f>
        <v>1000000000000</v>
      </c>
      <c r="AV55" s="172">
        <f ca="1">IF(OR($D55&lt;&gt;"Serviço",AND(AUTOEVENTO="Manual",$M55=$A$15)),0,
         IF(OFFSET(CRONOPLE!$F$15,$M55-$A$15,AV$13)=0,10^12,OFFSET(CRONOPLE!$F$15,$M55-$A$15,AV$13)))</f>
        <v>1000000000000</v>
      </c>
      <c r="AX55" s="173">
        <f ca="1">IF(OR($D55&lt;&gt;"Serviço",AND(AUTOEVENTO="Manual",$M55=$A$15),$M55&gt;(ROW(PLE.lastrow)-ROW(PLE.firstrow))),0,
           IF(OFFSET(PLE!$G$15,$M55-$A$15,AX$13)="",10^12,OFFSET(PLE!$G$15,$M55-$A$15,AX$13)))</f>
        <v>1000000000000</v>
      </c>
      <c r="AY55" s="173">
        <f ca="1">IF(OR($D55&lt;&gt;"Serviço",AND(AUTOEVENTO="Manual",$M55=$A$15),$M55&gt;(ROW(PLE.lastrow)-ROW(PLE.firstrow))),0,
           IF(OFFSET(PLE!$G$15,$M55-$A$15,AY$13)="",10^12,OFFSET(PLE!$G$15,$M55-$A$15,AY$13)))</f>
        <v>1000000000000</v>
      </c>
      <c r="AZ55" s="173">
        <f ca="1">IF(OR($D55&lt;&gt;"Serviço",AND(AUTOEVENTO="Manual",$M55=$A$15),$M55&gt;(ROW(PLE.lastrow)-ROW(PLE.firstrow))),0,
           IF(OFFSET(PLE!$G$15,$M55-$A$15,AZ$13)="",10^12,OFFSET(PLE!$G$15,$M55-$A$15,AZ$13)))</f>
        <v>1000000000000</v>
      </c>
      <c r="BA55" s="173">
        <f ca="1">IF(OR($D55&lt;&gt;"Serviço",AND(AUTOEVENTO="Manual",$M55=$A$15),$M55&gt;(ROW(PLE.lastrow)-ROW(PLE.firstrow))),0,
           IF(OFFSET(PLE!$G$15,$M55-$A$15,BA$13)="",10^12,OFFSET(PLE!$G$15,$M55-$A$15,BA$13)))</f>
        <v>1000000000000</v>
      </c>
      <c r="BB55" s="173">
        <f ca="1">IF(OR($D55&lt;&gt;"Serviço",AND(AUTOEVENTO="Manual",$M55=$A$15),$M55&gt;(ROW(PLE.lastrow)-ROW(PLE.firstrow))),0,
           IF(OFFSET(PLE!$G$15,$M55-$A$15,BB$13)="",10^12,OFFSET(PLE!$G$15,$M55-$A$15,BB$13)))</f>
        <v>1000000000000</v>
      </c>
      <c r="BC55" s="173">
        <f ca="1">IF(OR($D55&lt;&gt;"Serviço",AND(AUTOEVENTO="Manual",$M55=$A$15),$M55&gt;(ROW(PLE.lastrow)-ROW(PLE.firstrow))),0,
           IF(OFFSET(PLE!$G$15,$M55-$A$15,BC$13)="",10^12,OFFSET(PLE!$G$15,$M55-$A$15,BC$13)))</f>
        <v>1000000000000</v>
      </c>
      <c r="BD55" s="173">
        <f ca="1">IF(OR($D55&lt;&gt;"Serviço",AND(AUTOEVENTO="Manual",$M55=$A$15),$M55&gt;(ROW(PLE.lastrow)-ROW(PLE.firstrow))),0,
           IF(OFFSET(PLE!$G$15,$M55-$A$15,BD$13)="",10^12,OFFSET(PLE!$G$15,$M55-$A$15,BD$13)))</f>
        <v>1000000000000</v>
      </c>
      <c r="BE55" s="173">
        <f ca="1">IF(OR($D55&lt;&gt;"Serviço",AND(AUTOEVENTO="Manual",$M55=$A$15),$M55&gt;(ROW(PLE.lastrow)-ROW(PLE.firstrow))),0,
           IF(OFFSET(PLE!$G$15,$M55-$A$15,BE$13)="",10^12,OFFSET(PLE!$G$15,$M55-$A$15,BE$13)))</f>
        <v>1000000000000</v>
      </c>
      <c r="BF55" s="173">
        <f ca="1">IF(OR($D55&lt;&gt;"Serviço",AND(AUTOEVENTO="Manual",$M55=$A$15),$M55&gt;(ROW(PLE.lastrow)-ROW(PLE.firstrow))),0,
           IF(OFFSET(PLE!$G$15,$M55-$A$15,BF$13)="",10^12,OFFSET(PLE!$G$15,$M55-$A$15,BF$13)))</f>
        <v>1000000000000</v>
      </c>
      <c r="BG55" s="173">
        <f ca="1">IF(OR($D55&lt;&gt;"Serviço",AND(AUTOEVENTO="Manual",$M55=$A$15),$M55&gt;(ROW(PLE.lastrow)-ROW(PLE.firstrow))),0,
           IF(OFFSET(PLE!$G$15,$M55-$A$15,BG$13)="",10^12,OFFSET(PLE!$G$15,$M55-$A$15,BG$13)))</f>
        <v>1000000000000</v>
      </c>
    </row>
    <row r="56" spans="1:59" s="675" customFormat="1" ht="25.5" x14ac:dyDescent="0.2">
      <c r="A56" s="671" t="str">
        <f t="shared" ca="1" si="9"/>
        <v>23</v>
      </c>
      <c r="B56" s="671" t="str">
        <f ca="1">OFFSET(ORÇAMENTO!C$15,ROW(B56)-ROW(B$15),0)</f>
        <v>S</v>
      </c>
      <c r="C56" s="671" t="str">
        <f ca="1">OFFSET(ORÇAMENTO!L$15,ROW(C56)-ROW(C$15),0)</f>
        <v/>
      </c>
      <c r="D56" s="117" t="str">
        <f ca="1">OFFSET(ORÇAMENTO!N$15,ROW(D56)-ROW(D$15),0)</f>
        <v>Serviço</v>
      </c>
      <c r="E56" s="118" t="str">
        <f ca="1">OFFSET(ORÇAMENTO!O$15,ROW(E56)-ROW(E$15),0)</f>
        <v>-</v>
      </c>
      <c r="F56" s="164" t="str">
        <f ca="1">OFFSET(ORÇAMENTO!R$15,ROW(F56)-ROW(F$15),0)</f>
        <v>(abra o arquivo 'Referência 09-2025.xlsm)</v>
      </c>
      <c r="G56" s="165" t="str">
        <f ca="1">IF($D56&lt;&gt;"Serviço","",OFFSET(ORÇAMENTO!S$15,ROW(G56)-ROW(G$15),0))</f>
        <v>-</v>
      </c>
      <c r="H56" s="123">
        <f ca="1">IF($D56&lt;&gt;"Serviço",0,IF(ACOMPANHAMENTO="BM",ROUND(OFFSET(ORÇAMENTO!AJ$15,ROW(H56)-ROW(H$15),0),15-13*ORÇAMENTO!$AF$7),SUMPRODUCT(($Q$1:$AA$1=1)*ROUND($Q56:$AA56,15-13*ORÇAMENTO!$AF$7))))</f>
        <v>1.51</v>
      </c>
      <c r="I56" s="469" t="s">
        <v>1110</v>
      </c>
      <c r="J56" s="667" t="str">
        <f ca="1">IF(OR(B56&lt;&gt;"S",CÁLCULO.FrentesPreenchidas=0),"",IF(AND(ACOMPANHAMENTO="PLE",AUTOEVENTO="Manual",OR(H56&gt;0,ORÇAMENTO!AC56="QUANT."),OR(K56="",M56=0,N56="")),"►",IF(AND(ACOMPANHAMENTO="PLE",ORÇAMENTO!AC56="QUANT."),"►►",IF(AND(COUNTIF($P$11:$AA$11,"▼")=0,H56&gt;0,I56=""),"◄",""))))</f>
        <v/>
      </c>
      <c r="K56" s="668"/>
      <c r="L56" s="166" t="s">
        <v>765</v>
      </c>
      <c r="M56" s="167">
        <f ca="1">IF($D56&lt;&gt;"Serviço","",
          IF(AUTOEVENTO="manual",$A56,
                IF(ISERROR(MATCH($A56,$A$15:OFFSET($A56,-1,0),0)),MAX($M$15:OFFSET(M56,-1,0))+1,
                      INDEX($M$15:OFFSET(M56,-1,0),MATCH($A56,$A$15:OFFSET($A56,-1,0),0)))))</f>
        <v>3</v>
      </c>
      <c r="N56" s="168" t="str">
        <f ca="1">IF($D56&lt;&gt;"Serviço","",
         IF(AUTOEVENTO="Manual",
                IF($A56=0,"&lt;-- defina o número do agrupador",
                       OFFSET(EVENTOS!$D$15,$A56-$A$15,0)),
                OFFSET($F$15,$A56,0)))</f>
        <v>BLOCOS DE ANCORAGEM</v>
      </c>
      <c r="O56" s="169"/>
      <c r="Q56" s="169"/>
      <c r="R56" s="170"/>
      <c r="S56" s="170"/>
      <c r="T56" s="170"/>
      <c r="U56" s="170"/>
      <c r="V56" s="170"/>
      <c r="W56" s="170"/>
      <c r="X56" s="170"/>
      <c r="Y56" s="170"/>
      <c r="Z56" s="171"/>
      <c r="AB56" s="454">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4">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4">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4">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4">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4">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4">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4">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4">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4">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2">
        <f ca="1">IF(OR($D56&lt;&gt;"Serviço",AND(AUTOEVENTO="Manual",$M56=$A$15)),0,
         IF(OFFSET(CRONOPLE!$F$15,$M56-$A$15,AM$13)=0,10^12,OFFSET(CRONOPLE!$F$15,$M56-$A$15,AM$13)))</f>
        <v>1000000000000</v>
      </c>
      <c r="AN56" s="172">
        <f ca="1">IF(OR($D56&lt;&gt;"Serviço",AND(AUTOEVENTO="Manual",$M56=$A$15)),0,
         IF(OFFSET(CRONOPLE!$F$15,$M56-$A$15,AN$13)=0,10^12,OFFSET(CRONOPLE!$F$15,$M56-$A$15,AN$13)))</f>
        <v>1000000000000</v>
      </c>
      <c r="AO56" s="172">
        <f ca="1">IF(OR($D56&lt;&gt;"Serviço",AND(AUTOEVENTO="Manual",$M56=$A$15)),0,
         IF(OFFSET(CRONOPLE!$F$15,$M56-$A$15,AO$13)=0,10^12,OFFSET(CRONOPLE!$F$15,$M56-$A$15,AO$13)))</f>
        <v>1000000000000</v>
      </c>
      <c r="AP56" s="172">
        <f ca="1">IF(OR($D56&lt;&gt;"Serviço",AND(AUTOEVENTO="Manual",$M56=$A$15)),0,
         IF(OFFSET(CRONOPLE!$F$15,$M56-$A$15,AP$13)=0,10^12,OFFSET(CRONOPLE!$F$15,$M56-$A$15,AP$13)))</f>
        <v>1000000000000</v>
      </c>
      <c r="AQ56" s="172">
        <f ca="1">IF(OR($D56&lt;&gt;"Serviço",AND(AUTOEVENTO="Manual",$M56=$A$15)),0,
         IF(OFFSET(CRONOPLE!$F$15,$M56-$A$15,AQ$13)=0,10^12,OFFSET(CRONOPLE!$F$15,$M56-$A$15,AQ$13)))</f>
        <v>1000000000000</v>
      </c>
      <c r="AR56" s="172">
        <f ca="1">IF(OR($D56&lt;&gt;"Serviço",AND(AUTOEVENTO="Manual",$M56=$A$15)),0,
         IF(OFFSET(CRONOPLE!$F$15,$M56-$A$15,AR$13)=0,10^12,OFFSET(CRONOPLE!$F$15,$M56-$A$15,AR$13)))</f>
        <v>1000000000000</v>
      </c>
      <c r="AS56" s="172">
        <f ca="1">IF(OR($D56&lt;&gt;"Serviço",AND(AUTOEVENTO="Manual",$M56=$A$15)),0,
         IF(OFFSET(CRONOPLE!$F$15,$M56-$A$15,AS$13)=0,10^12,OFFSET(CRONOPLE!$F$15,$M56-$A$15,AS$13)))</f>
        <v>1000000000000</v>
      </c>
      <c r="AT56" s="172">
        <f ca="1">IF(OR($D56&lt;&gt;"Serviço",AND(AUTOEVENTO="Manual",$M56=$A$15)),0,
         IF(OFFSET(CRONOPLE!$F$15,$M56-$A$15,AT$13)=0,10^12,OFFSET(CRONOPLE!$F$15,$M56-$A$15,AT$13)))</f>
        <v>1000000000000</v>
      </c>
      <c r="AU56" s="172">
        <f ca="1">IF(OR($D56&lt;&gt;"Serviço",AND(AUTOEVENTO="Manual",$M56=$A$15)),0,
         IF(OFFSET(CRONOPLE!$F$15,$M56-$A$15,AU$13)=0,10^12,OFFSET(CRONOPLE!$F$15,$M56-$A$15,AU$13)))</f>
        <v>1000000000000</v>
      </c>
      <c r="AV56" s="172">
        <f ca="1">IF(OR($D56&lt;&gt;"Serviço",AND(AUTOEVENTO="Manual",$M56=$A$15)),0,
         IF(OFFSET(CRONOPLE!$F$15,$M56-$A$15,AV$13)=0,10^12,OFFSET(CRONOPLE!$F$15,$M56-$A$15,AV$13)))</f>
        <v>1000000000000</v>
      </c>
      <c r="AX56" s="173">
        <f ca="1">IF(OR($D56&lt;&gt;"Serviço",AND(AUTOEVENTO="Manual",$M56=$A$15),$M56&gt;(ROW(PLE.lastrow)-ROW(PLE.firstrow))),0,
           IF(OFFSET(PLE!$G$15,$M56-$A$15,AX$13)="",10^12,OFFSET(PLE!$G$15,$M56-$A$15,AX$13)))</f>
        <v>1000000000000</v>
      </c>
      <c r="AY56" s="173">
        <f ca="1">IF(OR($D56&lt;&gt;"Serviço",AND(AUTOEVENTO="Manual",$M56=$A$15),$M56&gt;(ROW(PLE.lastrow)-ROW(PLE.firstrow))),0,
           IF(OFFSET(PLE!$G$15,$M56-$A$15,AY$13)="",10^12,OFFSET(PLE!$G$15,$M56-$A$15,AY$13)))</f>
        <v>1000000000000</v>
      </c>
      <c r="AZ56" s="173">
        <f ca="1">IF(OR($D56&lt;&gt;"Serviço",AND(AUTOEVENTO="Manual",$M56=$A$15),$M56&gt;(ROW(PLE.lastrow)-ROW(PLE.firstrow))),0,
           IF(OFFSET(PLE!$G$15,$M56-$A$15,AZ$13)="",10^12,OFFSET(PLE!$G$15,$M56-$A$15,AZ$13)))</f>
        <v>1000000000000</v>
      </c>
      <c r="BA56" s="173">
        <f ca="1">IF(OR($D56&lt;&gt;"Serviço",AND(AUTOEVENTO="Manual",$M56=$A$15),$M56&gt;(ROW(PLE.lastrow)-ROW(PLE.firstrow))),0,
           IF(OFFSET(PLE!$G$15,$M56-$A$15,BA$13)="",10^12,OFFSET(PLE!$G$15,$M56-$A$15,BA$13)))</f>
        <v>1000000000000</v>
      </c>
      <c r="BB56" s="173">
        <f ca="1">IF(OR($D56&lt;&gt;"Serviço",AND(AUTOEVENTO="Manual",$M56=$A$15),$M56&gt;(ROW(PLE.lastrow)-ROW(PLE.firstrow))),0,
           IF(OFFSET(PLE!$G$15,$M56-$A$15,BB$13)="",10^12,OFFSET(PLE!$G$15,$M56-$A$15,BB$13)))</f>
        <v>1000000000000</v>
      </c>
      <c r="BC56" s="173">
        <f ca="1">IF(OR($D56&lt;&gt;"Serviço",AND(AUTOEVENTO="Manual",$M56=$A$15),$M56&gt;(ROW(PLE.lastrow)-ROW(PLE.firstrow))),0,
           IF(OFFSET(PLE!$G$15,$M56-$A$15,BC$13)="",10^12,OFFSET(PLE!$G$15,$M56-$A$15,BC$13)))</f>
        <v>1000000000000</v>
      </c>
      <c r="BD56" s="173">
        <f ca="1">IF(OR($D56&lt;&gt;"Serviço",AND(AUTOEVENTO="Manual",$M56=$A$15),$M56&gt;(ROW(PLE.lastrow)-ROW(PLE.firstrow))),0,
           IF(OFFSET(PLE!$G$15,$M56-$A$15,BD$13)="",10^12,OFFSET(PLE!$G$15,$M56-$A$15,BD$13)))</f>
        <v>1000000000000</v>
      </c>
      <c r="BE56" s="173">
        <f ca="1">IF(OR($D56&lt;&gt;"Serviço",AND(AUTOEVENTO="Manual",$M56=$A$15),$M56&gt;(ROW(PLE.lastrow)-ROW(PLE.firstrow))),0,
           IF(OFFSET(PLE!$G$15,$M56-$A$15,BE$13)="",10^12,OFFSET(PLE!$G$15,$M56-$A$15,BE$13)))</f>
        <v>1000000000000</v>
      </c>
      <c r="BF56" s="173">
        <f ca="1">IF(OR($D56&lt;&gt;"Serviço",AND(AUTOEVENTO="Manual",$M56=$A$15),$M56&gt;(ROW(PLE.lastrow)-ROW(PLE.firstrow))),0,
           IF(OFFSET(PLE!$G$15,$M56-$A$15,BF$13)="",10^12,OFFSET(PLE!$G$15,$M56-$A$15,BF$13)))</f>
        <v>1000000000000</v>
      </c>
      <c r="BG56" s="173">
        <f ca="1">IF(OR($D56&lt;&gt;"Serviço",AND(AUTOEVENTO="Manual",$M56=$A$15),$M56&gt;(ROW(PLE.lastrow)-ROW(PLE.firstrow))),0,
           IF(OFFSET(PLE!$G$15,$M56-$A$15,BG$13)="",10^12,OFFSET(PLE!$G$15,$M56-$A$15,BG$13)))</f>
        <v>1000000000000</v>
      </c>
    </row>
    <row r="57" spans="1:59" s="675" customFormat="1" ht="25.5" x14ac:dyDescent="0.2">
      <c r="A57" s="671" t="str">
        <f t="shared" ca="1" si="9"/>
        <v>23</v>
      </c>
      <c r="B57" s="671" t="str">
        <f ca="1">OFFSET(ORÇAMENTO!C$15,ROW(B57)-ROW(B$15),0)</f>
        <v>S</v>
      </c>
      <c r="C57" s="671" t="str">
        <f ca="1">OFFSET(ORÇAMENTO!L$15,ROW(C57)-ROW(C$15),0)</f>
        <v/>
      </c>
      <c r="D57" s="117" t="str">
        <f ca="1">OFFSET(ORÇAMENTO!N$15,ROW(D57)-ROW(D$15),0)</f>
        <v>Serviço</v>
      </c>
      <c r="E57" s="118" t="str">
        <f ca="1">OFFSET(ORÇAMENTO!O$15,ROW(E57)-ROW(E$15),0)</f>
        <v>-</v>
      </c>
      <c r="F57" s="164" t="str">
        <f ca="1">OFFSET(ORÇAMENTO!R$15,ROW(F57)-ROW(F$15),0)</f>
        <v>(abra o arquivo 'Referência 09-2025.xlsm)</v>
      </c>
      <c r="G57" s="165" t="str">
        <f ca="1">IF($D57&lt;&gt;"Serviço","",OFFSET(ORÇAMENTO!S$15,ROW(G57)-ROW(G$15),0))</f>
        <v>-</v>
      </c>
      <c r="H57" s="123">
        <f ca="1">IF($D57&lt;&gt;"Serviço",0,IF(ACOMPANHAMENTO="BM",ROUND(OFFSET(ORÇAMENTO!AJ$15,ROW(H57)-ROW(H$15),0),15-13*ORÇAMENTO!$AF$7),SUMPRODUCT(($Q$1:$AA$1=1)*ROUND($Q57:$AA57,15-13*ORÇAMENTO!$AF$7))))</f>
        <v>0.34</v>
      </c>
      <c r="I57" s="469" t="s">
        <v>1110</v>
      </c>
      <c r="J57" s="667" t="str">
        <f ca="1">IF(OR(B57&lt;&gt;"S",CÁLCULO.FrentesPreenchidas=0),"",IF(AND(ACOMPANHAMENTO="PLE",AUTOEVENTO="Manual",OR(H57&gt;0,ORÇAMENTO!AC57="QUANT."),OR(K57="",M57=0,N57="")),"►",IF(AND(ACOMPANHAMENTO="PLE",ORÇAMENTO!AC57="QUANT."),"►►",IF(AND(COUNTIF($P$11:$AA$11,"▼")=0,H57&gt;0,I57=""),"◄",""))))</f>
        <v/>
      </c>
      <c r="K57" s="668"/>
      <c r="L57" s="166" t="s">
        <v>765</v>
      </c>
      <c r="M57" s="167">
        <f ca="1">IF($D57&lt;&gt;"Serviço","",
          IF(AUTOEVENTO="manual",$A57,
                IF(ISERROR(MATCH($A57,$A$15:OFFSET($A57,-1,0),0)),MAX($M$15:OFFSET(M57,-1,0))+1,
                      INDEX($M$15:OFFSET(M57,-1,0),MATCH($A57,$A$15:OFFSET($A57,-1,0),0)))))</f>
        <v>3</v>
      </c>
      <c r="N57" s="168" t="str">
        <f ca="1">IF($D57&lt;&gt;"Serviço","",
         IF(AUTOEVENTO="Manual",
                IF($A57=0,"&lt;-- defina o número do agrupador",
                       OFFSET(EVENTOS!$D$15,$A57-$A$15,0)),
                OFFSET($F$15,$A57,0)))</f>
        <v>BLOCOS DE ANCORAGEM</v>
      </c>
      <c r="O57" s="169"/>
      <c r="Q57" s="169"/>
      <c r="R57" s="170"/>
      <c r="S57" s="170"/>
      <c r="T57" s="170"/>
      <c r="U57" s="170"/>
      <c r="V57" s="170"/>
      <c r="W57" s="170"/>
      <c r="X57" s="170"/>
      <c r="Y57" s="170"/>
      <c r="Z57" s="171"/>
      <c r="AB57" s="454">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4">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4">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4">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4">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4">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4">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4">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4">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4">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2">
        <f ca="1">IF(OR($D57&lt;&gt;"Serviço",AND(AUTOEVENTO="Manual",$M57=$A$15)),0,
         IF(OFFSET(CRONOPLE!$F$15,$M57-$A$15,AM$13)=0,10^12,OFFSET(CRONOPLE!$F$15,$M57-$A$15,AM$13)))</f>
        <v>1000000000000</v>
      </c>
      <c r="AN57" s="172">
        <f ca="1">IF(OR($D57&lt;&gt;"Serviço",AND(AUTOEVENTO="Manual",$M57=$A$15)),0,
         IF(OFFSET(CRONOPLE!$F$15,$M57-$A$15,AN$13)=0,10^12,OFFSET(CRONOPLE!$F$15,$M57-$A$15,AN$13)))</f>
        <v>1000000000000</v>
      </c>
      <c r="AO57" s="172">
        <f ca="1">IF(OR($D57&lt;&gt;"Serviço",AND(AUTOEVENTO="Manual",$M57=$A$15)),0,
         IF(OFFSET(CRONOPLE!$F$15,$M57-$A$15,AO$13)=0,10^12,OFFSET(CRONOPLE!$F$15,$M57-$A$15,AO$13)))</f>
        <v>1000000000000</v>
      </c>
      <c r="AP57" s="172">
        <f ca="1">IF(OR($D57&lt;&gt;"Serviço",AND(AUTOEVENTO="Manual",$M57=$A$15)),0,
         IF(OFFSET(CRONOPLE!$F$15,$M57-$A$15,AP$13)=0,10^12,OFFSET(CRONOPLE!$F$15,$M57-$A$15,AP$13)))</f>
        <v>1000000000000</v>
      </c>
      <c r="AQ57" s="172">
        <f ca="1">IF(OR($D57&lt;&gt;"Serviço",AND(AUTOEVENTO="Manual",$M57=$A$15)),0,
         IF(OFFSET(CRONOPLE!$F$15,$M57-$A$15,AQ$13)=0,10^12,OFFSET(CRONOPLE!$F$15,$M57-$A$15,AQ$13)))</f>
        <v>1000000000000</v>
      </c>
      <c r="AR57" s="172">
        <f ca="1">IF(OR($D57&lt;&gt;"Serviço",AND(AUTOEVENTO="Manual",$M57=$A$15)),0,
         IF(OFFSET(CRONOPLE!$F$15,$M57-$A$15,AR$13)=0,10^12,OFFSET(CRONOPLE!$F$15,$M57-$A$15,AR$13)))</f>
        <v>1000000000000</v>
      </c>
      <c r="AS57" s="172">
        <f ca="1">IF(OR($D57&lt;&gt;"Serviço",AND(AUTOEVENTO="Manual",$M57=$A$15)),0,
         IF(OFFSET(CRONOPLE!$F$15,$M57-$A$15,AS$13)=0,10^12,OFFSET(CRONOPLE!$F$15,$M57-$A$15,AS$13)))</f>
        <v>1000000000000</v>
      </c>
      <c r="AT57" s="172">
        <f ca="1">IF(OR($D57&lt;&gt;"Serviço",AND(AUTOEVENTO="Manual",$M57=$A$15)),0,
         IF(OFFSET(CRONOPLE!$F$15,$M57-$A$15,AT$13)=0,10^12,OFFSET(CRONOPLE!$F$15,$M57-$A$15,AT$13)))</f>
        <v>1000000000000</v>
      </c>
      <c r="AU57" s="172">
        <f ca="1">IF(OR($D57&lt;&gt;"Serviço",AND(AUTOEVENTO="Manual",$M57=$A$15)),0,
         IF(OFFSET(CRONOPLE!$F$15,$M57-$A$15,AU$13)=0,10^12,OFFSET(CRONOPLE!$F$15,$M57-$A$15,AU$13)))</f>
        <v>1000000000000</v>
      </c>
      <c r="AV57" s="172">
        <f ca="1">IF(OR($D57&lt;&gt;"Serviço",AND(AUTOEVENTO="Manual",$M57=$A$15)),0,
         IF(OFFSET(CRONOPLE!$F$15,$M57-$A$15,AV$13)=0,10^12,OFFSET(CRONOPLE!$F$15,$M57-$A$15,AV$13)))</f>
        <v>1000000000000</v>
      </c>
      <c r="AX57" s="173">
        <f ca="1">IF(OR($D57&lt;&gt;"Serviço",AND(AUTOEVENTO="Manual",$M57=$A$15),$M57&gt;(ROW(PLE.lastrow)-ROW(PLE.firstrow))),0,
           IF(OFFSET(PLE!$G$15,$M57-$A$15,AX$13)="",10^12,OFFSET(PLE!$G$15,$M57-$A$15,AX$13)))</f>
        <v>1000000000000</v>
      </c>
      <c r="AY57" s="173">
        <f ca="1">IF(OR($D57&lt;&gt;"Serviço",AND(AUTOEVENTO="Manual",$M57=$A$15),$M57&gt;(ROW(PLE.lastrow)-ROW(PLE.firstrow))),0,
           IF(OFFSET(PLE!$G$15,$M57-$A$15,AY$13)="",10^12,OFFSET(PLE!$G$15,$M57-$A$15,AY$13)))</f>
        <v>1000000000000</v>
      </c>
      <c r="AZ57" s="173">
        <f ca="1">IF(OR($D57&lt;&gt;"Serviço",AND(AUTOEVENTO="Manual",$M57=$A$15),$M57&gt;(ROW(PLE.lastrow)-ROW(PLE.firstrow))),0,
           IF(OFFSET(PLE!$G$15,$M57-$A$15,AZ$13)="",10^12,OFFSET(PLE!$G$15,$M57-$A$15,AZ$13)))</f>
        <v>1000000000000</v>
      </c>
      <c r="BA57" s="173">
        <f ca="1">IF(OR($D57&lt;&gt;"Serviço",AND(AUTOEVENTO="Manual",$M57=$A$15),$M57&gt;(ROW(PLE.lastrow)-ROW(PLE.firstrow))),0,
           IF(OFFSET(PLE!$G$15,$M57-$A$15,BA$13)="",10^12,OFFSET(PLE!$G$15,$M57-$A$15,BA$13)))</f>
        <v>1000000000000</v>
      </c>
      <c r="BB57" s="173">
        <f ca="1">IF(OR($D57&lt;&gt;"Serviço",AND(AUTOEVENTO="Manual",$M57=$A$15),$M57&gt;(ROW(PLE.lastrow)-ROW(PLE.firstrow))),0,
           IF(OFFSET(PLE!$G$15,$M57-$A$15,BB$13)="",10^12,OFFSET(PLE!$G$15,$M57-$A$15,BB$13)))</f>
        <v>1000000000000</v>
      </c>
      <c r="BC57" s="173">
        <f ca="1">IF(OR($D57&lt;&gt;"Serviço",AND(AUTOEVENTO="Manual",$M57=$A$15),$M57&gt;(ROW(PLE.lastrow)-ROW(PLE.firstrow))),0,
           IF(OFFSET(PLE!$G$15,$M57-$A$15,BC$13)="",10^12,OFFSET(PLE!$G$15,$M57-$A$15,BC$13)))</f>
        <v>1000000000000</v>
      </c>
      <c r="BD57" s="173">
        <f ca="1">IF(OR($D57&lt;&gt;"Serviço",AND(AUTOEVENTO="Manual",$M57=$A$15),$M57&gt;(ROW(PLE.lastrow)-ROW(PLE.firstrow))),0,
           IF(OFFSET(PLE!$G$15,$M57-$A$15,BD$13)="",10^12,OFFSET(PLE!$G$15,$M57-$A$15,BD$13)))</f>
        <v>1000000000000</v>
      </c>
      <c r="BE57" s="173">
        <f ca="1">IF(OR($D57&lt;&gt;"Serviço",AND(AUTOEVENTO="Manual",$M57=$A$15),$M57&gt;(ROW(PLE.lastrow)-ROW(PLE.firstrow))),0,
           IF(OFFSET(PLE!$G$15,$M57-$A$15,BE$13)="",10^12,OFFSET(PLE!$G$15,$M57-$A$15,BE$13)))</f>
        <v>1000000000000</v>
      </c>
      <c r="BF57" s="173">
        <f ca="1">IF(OR($D57&lt;&gt;"Serviço",AND(AUTOEVENTO="Manual",$M57=$A$15),$M57&gt;(ROW(PLE.lastrow)-ROW(PLE.firstrow))),0,
           IF(OFFSET(PLE!$G$15,$M57-$A$15,BF$13)="",10^12,OFFSET(PLE!$G$15,$M57-$A$15,BF$13)))</f>
        <v>1000000000000</v>
      </c>
      <c r="BG57" s="173">
        <f ca="1">IF(OR($D57&lt;&gt;"Serviço",AND(AUTOEVENTO="Manual",$M57=$A$15),$M57&gt;(ROW(PLE.lastrow)-ROW(PLE.firstrow))),0,
           IF(OFFSET(PLE!$G$15,$M57-$A$15,BG$13)="",10^12,OFFSET(PLE!$G$15,$M57-$A$15,BG$13)))</f>
        <v>1000000000000</v>
      </c>
    </row>
    <row r="58" spans="1:59" s="675" customFormat="1" ht="12.75" x14ac:dyDescent="0.2">
      <c r="A58" s="671" t="str">
        <f t="shared" ca="1" si="9"/>
        <v>43.</v>
      </c>
      <c r="B58" s="671">
        <f ca="1">OFFSET(ORÇAMENTO!C$15,ROW(B58)-ROW(B$15),0)</f>
        <v>2</v>
      </c>
      <c r="C58" s="671" t="str">
        <f ca="1">OFFSET(ORÇAMENTO!L$15,ROW(C58)-ROW(C$15),0)</f>
        <v>F</v>
      </c>
      <c r="D58" s="117" t="str">
        <f ca="1">OFFSET(ORÇAMENTO!N$15,ROW(D58)-ROW(D$15),0)</f>
        <v>Nível 2</v>
      </c>
      <c r="E58" s="118" t="str">
        <f ca="1">OFFSET(ORÇAMENTO!O$15,ROW(E58)-ROW(E$15),0)</f>
        <v>1.5.</v>
      </c>
      <c r="F58" s="164" t="str">
        <f ca="1">OFFSET(ORÇAMENTO!R$15,ROW(F58)-ROW(F$15),0)</f>
        <v>TRAVESSIA RODOVIA MG-050</v>
      </c>
      <c r="G58" s="165" t="str">
        <f ca="1">IF($D58&lt;&gt;"Serviço","",OFFSET(ORÇAMENTO!S$15,ROW(G58)-ROW(G$15),0))</f>
        <v/>
      </c>
      <c r="H58" s="123">
        <f ca="1">IF($D58&lt;&gt;"Serviço",0,IF(ACOMPANHAMENTO="BM",ROUND(OFFSET(ORÇAMENTO!AJ$15,ROW(H58)-ROW(H$15),0),15-13*ORÇAMENTO!$AF$7),SUMPRODUCT(($Q$1:$AA$1=1)*ROUND($Q58:$AA58,15-13*ORÇAMENTO!$AF$7))))</f>
        <v>0</v>
      </c>
      <c r="I58" s="469"/>
      <c r="J58" s="667" t="str">
        <f ca="1">IF(OR(B58&lt;&gt;"S",CÁLCULO.FrentesPreenchidas=0),"",IF(AND(ACOMPANHAMENTO="PLE",AUTOEVENTO="Manual",OR(H58&gt;0,ORÇAMENTO!AC58="QUANT."),OR(K58="",M58=0,N58="")),"►",IF(AND(ACOMPANHAMENTO="PLE",ORÇAMENTO!AC58="QUANT."),"►►",IF(AND(COUNTIF($P$11:$AA$11,"▼")=0,H58&gt;0,I58=""),"◄",""))))</f>
        <v/>
      </c>
      <c r="K58" s="668"/>
      <c r="L58" s="166" t="s">
        <v>765</v>
      </c>
      <c r="M58" s="167" t="str">
        <f ca="1">IF($D58&lt;&gt;"Serviço","",
          IF(AUTOEVENTO="manual",$A58,
                IF(ISERROR(MATCH($A58,$A$15:OFFSET($A58,-1,0),0)),MAX($M$15:OFFSET(M58,-1,0))+1,
                      INDEX($M$15:OFFSET(M58,-1,0),MATCH($A58,$A$15:OFFSET($A58,-1,0),0)))))</f>
        <v/>
      </c>
      <c r="N58" s="168" t="str">
        <f ca="1">IF($D58&lt;&gt;"Serviço","",
         IF(AUTOEVENTO="Manual",
                IF($A58=0,"&lt;-- defina o número do agrupador",
                       OFFSET(EVENTOS!$D$15,$A58-$A$15,0)),
                OFFSET($F$15,$A58,0)))</f>
        <v/>
      </c>
      <c r="O58" s="169"/>
      <c r="Q58" s="169"/>
      <c r="R58" s="170"/>
      <c r="S58" s="170"/>
      <c r="T58" s="170"/>
      <c r="U58" s="170"/>
      <c r="V58" s="170"/>
      <c r="W58" s="170"/>
      <c r="X58" s="170"/>
      <c r="Y58" s="170"/>
      <c r="Z58" s="171"/>
      <c r="AB58" s="454">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4">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4">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4">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4">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4">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4">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4">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4">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4">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2">
        <f ca="1">IF(OR($D58&lt;&gt;"Serviço",AND(AUTOEVENTO="Manual",$M58=$A$15)),0,
         IF(OFFSET(CRONOPLE!$F$15,$M58-$A$15,AM$13)=0,10^12,OFFSET(CRONOPLE!$F$15,$M58-$A$15,AM$13)))</f>
        <v>0</v>
      </c>
      <c r="AN58" s="172">
        <f ca="1">IF(OR($D58&lt;&gt;"Serviço",AND(AUTOEVENTO="Manual",$M58=$A$15)),0,
         IF(OFFSET(CRONOPLE!$F$15,$M58-$A$15,AN$13)=0,10^12,OFFSET(CRONOPLE!$F$15,$M58-$A$15,AN$13)))</f>
        <v>0</v>
      </c>
      <c r="AO58" s="172">
        <f ca="1">IF(OR($D58&lt;&gt;"Serviço",AND(AUTOEVENTO="Manual",$M58=$A$15)),0,
         IF(OFFSET(CRONOPLE!$F$15,$M58-$A$15,AO$13)=0,10^12,OFFSET(CRONOPLE!$F$15,$M58-$A$15,AO$13)))</f>
        <v>0</v>
      </c>
      <c r="AP58" s="172">
        <f ca="1">IF(OR($D58&lt;&gt;"Serviço",AND(AUTOEVENTO="Manual",$M58=$A$15)),0,
         IF(OFFSET(CRONOPLE!$F$15,$M58-$A$15,AP$13)=0,10^12,OFFSET(CRONOPLE!$F$15,$M58-$A$15,AP$13)))</f>
        <v>0</v>
      </c>
      <c r="AQ58" s="172">
        <f ca="1">IF(OR($D58&lt;&gt;"Serviço",AND(AUTOEVENTO="Manual",$M58=$A$15)),0,
         IF(OFFSET(CRONOPLE!$F$15,$M58-$A$15,AQ$13)=0,10^12,OFFSET(CRONOPLE!$F$15,$M58-$A$15,AQ$13)))</f>
        <v>0</v>
      </c>
      <c r="AR58" s="172">
        <f ca="1">IF(OR($D58&lt;&gt;"Serviço",AND(AUTOEVENTO="Manual",$M58=$A$15)),0,
         IF(OFFSET(CRONOPLE!$F$15,$M58-$A$15,AR$13)=0,10^12,OFFSET(CRONOPLE!$F$15,$M58-$A$15,AR$13)))</f>
        <v>0</v>
      </c>
      <c r="AS58" s="172">
        <f ca="1">IF(OR($D58&lt;&gt;"Serviço",AND(AUTOEVENTO="Manual",$M58=$A$15)),0,
         IF(OFFSET(CRONOPLE!$F$15,$M58-$A$15,AS$13)=0,10^12,OFFSET(CRONOPLE!$F$15,$M58-$A$15,AS$13)))</f>
        <v>0</v>
      </c>
      <c r="AT58" s="172">
        <f ca="1">IF(OR($D58&lt;&gt;"Serviço",AND(AUTOEVENTO="Manual",$M58=$A$15)),0,
         IF(OFFSET(CRONOPLE!$F$15,$M58-$A$15,AT$13)=0,10^12,OFFSET(CRONOPLE!$F$15,$M58-$A$15,AT$13)))</f>
        <v>0</v>
      </c>
      <c r="AU58" s="172">
        <f ca="1">IF(OR($D58&lt;&gt;"Serviço",AND(AUTOEVENTO="Manual",$M58=$A$15)),0,
         IF(OFFSET(CRONOPLE!$F$15,$M58-$A$15,AU$13)=0,10^12,OFFSET(CRONOPLE!$F$15,$M58-$A$15,AU$13)))</f>
        <v>0</v>
      </c>
      <c r="AV58" s="172">
        <f ca="1">IF(OR($D58&lt;&gt;"Serviço",AND(AUTOEVENTO="Manual",$M58=$A$15)),0,
         IF(OFFSET(CRONOPLE!$F$15,$M58-$A$15,AV$13)=0,10^12,OFFSET(CRONOPLE!$F$15,$M58-$A$15,AV$13)))</f>
        <v>0</v>
      </c>
      <c r="AX58" s="173">
        <f ca="1">IF(OR($D58&lt;&gt;"Serviço",AND(AUTOEVENTO="Manual",$M58=$A$15),$M58&gt;(ROW(PLE.lastrow)-ROW(PLE.firstrow))),0,
           IF(OFFSET(PLE!$G$15,$M58-$A$15,AX$13)="",10^12,OFFSET(PLE!$G$15,$M58-$A$15,AX$13)))</f>
        <v>0</v>
      </c>
      <c r="AY58" s="173">
        <f ca="1">IF(OR($D58&lt;&gt;"Serviço",AND(AUTOEVENTO="Manual",$M58=$A$15),$M58&gt;(ROW(PLE.lastrow)-ROW(PLE.firstrow))),0,
           IF(OFFSET(PLE!$G$15,$M58-$A$15,AY$13)="",10^12,OFFSET(PLE!$G$15,$M58-$A$15,AY$13)))</f>
        <v>0</v>
      </c>
      <c r="AZ58" s="173">
        <f ca="1">IF(OR($D58&lt;&gt;"Serviço",AND(AUTOEVENTO="Manual",$M58=$A$15),$M58&gt;(ROW(PLE.lastrow)-ROW(PLE.firstrow))),0,
           IF(OFFSET(PLE!$G$15,$M58-$A$15,AZ$13)="",10^12,OFFSET(PLE!$G$15,$M58-$A$15,AZ$13)))</f>
        <v>0</v>
      </c>
      <c r="BA58" s="173">
        <f ca="1">IF(OR($D58&lt;&gt;"Serviço",AND(AUTOEVENTO="Manual",$M58=$A$15),$M58&gt;(ROW(PLE.lastrow)-ROW(PLE.firstrow))),0,
           IF(OFFSET(PLE!$G$15,$M58-$A$15,BA$13)="",10^12,OFFSET(PLE!$G$15,$M58-$A$15,BA$13)))</f>
        <v>0</v>
      </c>
      <c r="BB58" s="173">
        <f ca="1">IF(OR($D58&lt;&gt;"Serviço",AND(AUTOEVENTO="Manual",$M58=$A$15),$M58&gt;(ROW(PLE.lastrow)-ROW(PLE.firstrow))),0,
           IF(OFFSET(PLE!$G$15,$M58-$A$15,BB$13)="",10^12,OFFSET(PLE!$G$15,$M58-$A$15,BB$13)))</f>
        <v>0</v>
      </c>
      <c r="BC58" s="173">
        <f ca="1">IF(OR($D58&lt;&gt;"Serviço",AND(AUTOEVENTO="Manual",$M58=$A$15),$M58&gt;(ROW(PLE.lastrow)-ROW(PLE.firstrow))),0,
           IF(OFFSET(PLE!$G$15,$M58-$A$15,BC$13)="",10^12,OFFSET(PLE!$G$15,$M58-$A$15,BC$13)))</f>
        <v>0</v>
      </c>
      <c r="BD58" s="173">
        <f ca="1">IF(OR($D58&lt;&gt;"Serviço",AND(AUTOEVENTO="Manual",$M58=$A$15),$M58&gt;(ROW(PLE.lastrow)-ROW(PLE.firstrow))),0,
           IF(OFFSET(PLE!$G$15,$M58-$A$15,BD$13)="",10^12,OFFSET(PLE!$G$15,$M58-$A$15,BD$13)))</f>
        <v>0</v>
      </c>
      <c r="BE58" s="173">
        <f ca="1">IF(OR($D58&lt;&gt;"Serviço",AND(AUTOEVENTO="Manual",$M58=$A$15),$M58&gt;(ROW(PLE.lastrow)-ROW(PLE.firstrow))),0,
           IF(OFFSET(PLE!$G$15,$M58-$A$15,BE$13)="",10^12,OFFSET(PLE!$G$15,$M58-$A$15,BE$13)))</f>
        <v>0</v>
      </c>
      <c r="BF58" s="173">
        <f ca="1">IF(OR($D58&lt;&gt;"Serviço",AND(AUTOEVENTO="Manual",$M58=$A$15),$M58&gt;(ROW(PLE.lastrow)-ROW(PLE.firstrow))),0,
           IF(OFFSET(PLE!$G$15,$M58-$A$15,BF$13)="",10^12,OFFSET(PLE!$G$15,$M58-$A$15,BF$13)))</f>
        <v>0</v>
      </c>
      <c r="BG58" s="173">
        <f ca="1">IF(OR($D58&lt;&gt;"Serviço",AND(AUTOEVENTO="Manual",$M58=$A$15),$M58&gt;(ROW(PLE.lastrow)-ROW(PLE.firstrow))),0,
           IF(OFFSET(PLE!$G$15,$M58-$A$15,BG$13)="",10^12,OFFSET(PLE!$G$15,$M58-$A$15,BG$13)))</f>
        <v>0</v>
      </c>
    </row>
    <row r="59" spans="1:59" s="675" customFormat="1" ht="51" x14ac:dyDescent="0.2">
      <c r="A59" s="671" t="str">
        <f t="shared" ca="1" si="9"/>
        <v>43</v>
      </c>
      <c r="B59" s="671" t="str">
        <f ca="1">OFFSET(ORÇAMENTO!C$15,ROW(B59)-ROW(B$15),0)</f>
        <v>S</v>
      </c>
      <c r="C59" s="671" t="str">
        <f ca="1">OFFSET(ORÇAMENTO!L$15,ROW(C59)-ROW(C$15),0)</f>
        <v/>
      </c>
      <c r="D59" s="117" t="str">
        <f ca="1">OFFSET(ORÇAMENTO!N$15,ROW(D59)-ROW(D$15),0)</f>
        <v>Serviço</v>
      </c>
      <c r="E59" s="118" t="str">
        <f ca="1">OFFSET(ORÇAMENTO!O$15,ROW(E59)-ROW(E$15),0)</f>
        <v>-</v>
      </c>
      <c r="F59" s="164" t="str">
        <f ca="1">OFFSET(ORÇAMENTO!R$15,ROW(F59)-ROW(F$15),0)</f>
        <v>(abra o arquivo 'Referência 09-2025.xlsm)</v>
      </c>
      <c r="G59" s="165" t="str">
        <f ca="1">IF($D59&lt;&gt;"Serviço","",OFFSET(ORÇAMENTO!S$15,ROW(G59)-ROW(G$15),0))</f>
        <v>-</v>
      </c>
      <c r="H59" s="123">
        <f ca="1">IF($D59&lt;&gt;"Serviço",0,IF(ACOMPANHAMENTO="BM",ROUND(OFFSET(ORÇAMENTO!AJ$15,ROW(H59)-ROW(H$15),0),15-13*ORÇAMENTO!$AF$7),SUMPRODUCT(($Q$1:$AA$1=1)*ROUND($Q59:$AA59,15-13*ORÇAMENTO!$AF$7))))</f>
        <v>1</v>
      </c>
      <c r="I59" s="469" t="s">
        <v>1112</v>
      </c>
      <c r="J59" s="667" t="str">
        <f ca="1">IF(OR(B59&lt;&gt;"S",CÁLCULO.FrentesPreenchidas=0),"",IF(AND(ACOMPANHAMENTO="PLE",AUTOEVENTO="Manual",OR(H59&gt;0,ORÇAMENTO!AC59="QUANT."),OR(K59="",M59=0,N59="")),"►",IF(AND(ACOMPANHAMENTO="PLE",ORÇAMENTO!AC59="QUANT."),"►►",IF(AND(COUNTIF($P$11:$AA$11,"▼")=0,H59&gt;0,I59=""),"◄",""))))</f>
        <v/>
      </c>
      <c r="K59" s="668"/>
      <c r="L59" s="166" t="s">
        <v>765</v>
      </c>
      <c r="M59" s="167">
        <f ca="1">IF($D59&lt;&gt;"Serviço","",
          IF(AUTOEVENTO="manual",$A59,
                IF(ISERROR(MATCH($A59,$A$15:OFFSET($A59,-1,0),0)),MAX($M$15:OFFSET(M59,-1,0))+1,
                      INDEX($M$15:OFFSET(M59,-1,0),MATCH($A59,$A$15:OFFSET($A59,-1,0),0)))))</f>
        <v>4</v>
      </c>
      <c r="N59" s="168" t="str">
        <f ca="1">IF($D59&lt;&gt;"Serviço","",
         IF(AUTOEVENTO="Manual",
                IF($A59=0,"&lt;-- defina o número do agrupador",
                       OFFSET(EVENTOS!$D$15,$A59-$A$15,0)),
                OFFSET($F$15,$A59,0)))</f>
        <v>TRAVESSIA RODOVIA MG-050</v>
      </c>
      <c r="O59" s="169"/>
      <c r="Q59" s="169"/>
      <c r="R59" s="170"/>
      <c r="S59" s="170"/>
      <c r="T59" s="170"/>
      <c r="U59" s="170"/>
      <c r="V59" s="170"/>
      <c r="W59" s="170"/>
      <c r="X59" s="170"/>
      <c r="Y59" s="170"/>
      <c r="Z59" s="171"/>
      <c r="AB59" s="454">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4">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4">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4">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4">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4">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4">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4">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4">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4">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2">
        <f ca="1">IF(OR($D59&lt;&gt;"Serviço",AND(AUTOEVENTO="Manual",$M59=$A$15)),0,
         IF(OFFSET(CRONOPLE!$F$15,$M59-$A$15,AM$13)=0,10^12,OFFSET(CRONOPLE!$F$15,$M59-$A$15,AM$13)))</f>
        <v>1000000000000</v>
      </c>
      <c r="AN59" s="172">
        <f ca="1">IF(OR($D59&lt;&gt;"Serviço",AND(AUTOEVENTO="Manual",$M59=$A$15)),0,
         IF(OFFSET(CRONOPLE!$F$15,$M59-$A$15,AN$13)=0,10^12,OFFSET(CRONOPLE!$F$15,$M59-$A$15,AN$13)))</f>
        <v>1000000000000</v>
      </c>
      <c r="AO59" s="172">
        <f ca="1">IF(OR($D59&lt;&gt;"Serviço",AND(AUTOEVENTO="Manual",$M59=$A$15)),0,
         IF(OFFSET(CRONOPLE!$F$15,$M59-$A$15,AO$13)=0,10^12,OFFSET(CRONOPLE!$F$15,$M59-$A$15,AO$13)))</f>
        <v>1000000000000</v>
      </c>
      <c r="AP59" s="172">
        <f ca="1">IF(OR($D59&lt;&gt;"Serviço",AND(AUTOEVENTO="Manual",$M59=$A$15)),0,
         IF(OFFSET(CRONOPLE!$F$15,$M59-$A$15,AP$13)=0,10^12,OFFSET(CRONOPLE!$F$15,$M59-$A$15,AP$13)))</f>
        <v>1000000000000</v>
      </c>
      <c r="AQ59" s="172">
        <f ca="1">IF(OR($D59&lt;&gt;"Serviço",AND(AUTOEVENTO="Manual",$M59=$A$15)),0,
         IF(OFFSET(CRONOPLE!$F$15,$M59-$A$15,AQ$13)=0,10^12,OFFSET(CRONOPLE!$F$15,$M59-$A$15,AQ$13)))</f>
        <v>1000000000000</v>
      </c>
      <c r="AR59" s="172">
        <f ca="1">IF(OR($D59&lt;&gt;"Serviço",AND(AUTOEVENTO="Manual",$M59=$A$15)),0,
         IF(OFFSET(CRONOPLE!$F$15,$M59-$A$15,AR$13)=0,10^12,OFFSET(CRONOPLE!$F$15,$M59-$A$15,AR$13)))</f>
        <v>1000000000000</v>
      </c>
      <c r="AS59" s="172">
        <f ca="1">IF(OR($D59&lt;&gt;"Serviço",AND(AUTOEVENTO="Manual",$M59=$A$15)),0,
         IF(OFFSET(CRONOPLE!$F$15,$M59-$A$15,AS$13)=0,10^12,OFFSET(CRONOPLE!$F$15,$M59-$A$15,AS$13)))</f>
        <v>1000000000000</v>
      </c>
      <c r="AT59" s="172">
        <f ca="1">IF(OR($D59&lt;&gt;"Serviço",AND(AUTOEVENTO="Manual",$M59=$A$15)),0,
         IF(OFFSET(CRONOPLE!$F$15,$M59-$A$15,AT$13)=0,10^12,OFFSET(CRONOPLE!$F$15,$M59-$A$15,AT$13)))</f>
        <v>1000000000000</v>
      </c>
      <c r="AU59" s="172">
        <f ca="1">IF(OR($D59&lt;&gt;"Serviço",AND(AUTOEVENTO="Manual",$M59=$A$15)),0,
         IF(OFFSET(CRONOPLE!$F$15,$M59-$A$15,AU$13)=0,10^12,OFFSET(CRONOPLE!$F$15,$M59-$A$15,AU$13)))</f>
        <v>1000000000000</v>
      </c>
      <c r="AV59" s="172">
        <f ca="1">IF(OR($D59&lt;&gt;"Serviço",AND(AUTOEVENTO="Manual",$M59=$A$15)),0,
         IF(OFFSET(CRONOPLE!$F$15,$M59-$A$15,AV$13)=0,10^12,OFFSET(CRONOPLE!$F$15,$M59-$A$15,AV$13)))</f>
        <v>1000000000000</v>
      </c>
      <c r="AX59" s="173">
        <f ca="1">IF(OR($D59&lt;&gt;"Serviço",AND(AUTOEVENTO="Manual",$M59=$A$15),$M59&gt;(ROW(PLE.lastrow)-ROW(PLE.firstrow))),0,
           IF(OFFSET(PLE!$G$15,$M59-$A$15,AX$13)="",10^12,OFFSET(PLE!$G$15,$M59-$A$15,AX$13)))</f>
        <v>1000000000000</v>
      </c>
      <c r="AY59" s="173">
        <f ca="1">IF(OR($D59&lt;&gt;"Serviço",AND(AUTOEVENTO="Manual",$M59=$A$15),$M59&gt;(ROW(PLE.lastrow)-ROW(PLE.firstrow))),0,
           IF(OFFSET(PLE!$G$15,$M59-$A$15,AY$13)="",10^12,OFFSET(PLE!$G$15,$M59-$A$15,AY$13)))</f>
        <v>1000000000000</v>
      </c>
      <c r="AZ59" s="173">
        <f ca="1">IF(OR($D59&lt;&gt;"Serviço",AND(AUTOEVENTO="Manual",$M59=$A$15),$M59&gt;(ROW(PLE.lastrow)-ROW(PLE.firstrow))),0,
           IF(OFFSET(PLE!$G$15,$M59-$A$15,AZ$13)="",10^12,OFFSET(PLE!$G$15,$M59-$A$15,AZ$13)))</f>
        <v>1000000000000</v>
      </c>
      <c r="BA59" s="173">
        <f ca="1">IF(OR($D59&lt;&gt;"Serviço",AND(AUTOEVENTO="Manual",$M59=$A$15),$M59&gt;(ROW(PLE.lastrow)-ROW(PLE.firstrow))),0,
           IF(OFFSET(PLE!$G$15,$M59-$A$15,BA$13)="",10^12,OFFSET(PLE!$G$15,$M59-$A$15,BA$13)))</f>
        <v>1000000000000</v>
      </c>
      <c r="BB59" s="173">
        <f ca="1">IF(OR($D59&lt;&gt;"Serviço",AND(AUTOEVENTO="Manual",$M59=$A$15),$M59&gt;(ROW(PLE.lastrow)-ROW(PLE.firstrow))),0,
           IF(OFFSET(PLE!$G$15,$M59-$A$15,BB$13)="",10^12,OFFSET(PLE!$G$15,$M59-$A$15,BB$13)))</f>
        <v>1000000000000</v>
      </c>
      <c r="BC59" s="173">
        <f ca="1">IF(OR($D59&lt;&gt;"Serviço",AND(AUTOEVENTO="Manual",$M59=$A$15),$M59&gt;(ROW(PLE.lastrow)-ROW(PLE.firstrow))),0,
           IF(OFFSET(PLE!$G$15,$M59-$A$15,BC$13)="",10^12,OFFSET(PLE!$G$15,$M59-$A$15,BC$13)))</f>
        <v>1000000000000</v>
      </c>
      <c r="BD59" s="173">
        <f ca="1">IF(OR($D59&lt;&gt;"Serviço",AND(AUTOEVENTO="Manual",$M59=$A$15),$M59&gt;(ROW(PLE.lastrow)-ROW(PLE.firstrow))),0,
           IF(OFFSET(PLE!$G$15,$M59-$A$15,BD$13)="",10^12,OFFSET(PLE!$G$15,$M59-$A$15,BD$13)))</f>
        <v>1000000000000</v>
      </c>
      <c r="BE59" s="173">
        <f ca="1">IF(OR($D59&lt;&gt;"Serviço",AND(AUTOEVENTO="Manual",$M59=$A$15),$M59&gt;(ROW(PLE.lastrow)-ROW(PLE.firstrow))),0,
           IF(OFFSET(PLE!$G$15,$M59-$A$15,BE$13)="",10^12,OFFSET(PLE!$G$15,$M59-$A$15,BE$13)))</f>
        <v>1000000000000</v>
      </c>
      <c r="BF59" s="173">
        <f ca="1">IF(OR($D59&lt;&gt;"Serviço",AND(AUTOEVENTO="Manual",$M59=$A$15),$M59&gt;(ROW(PLE.lastrow)-ROW(PLE.firstrow))),0,
           IF(OFFSET(PLE!$G$15,$M59-$A$15,BF$13)="",10^12,OFFSET(PLE!$G$15,$M59-$A$15,BF$13)))</f>
        <v>1000000000000</v>
      </c>
      <c r="BG59" s="173">
        <f ca="1">IF(OR($D59&lt;&gt;"Serviço",AND(AUTOEVENTO="Manual",$M59=$A$15),$M59&gt;(ROW(PLE.lastrow)-ROW(PLE.firstrow))),0,
           IF(OFFSET(PLE!$G$15,$M59-$A$15,BG$13)="",10^12,OFFSET(PLE!$G$15,$M59-$A$15,BG$13)))</f>
        <v>1000000000000</v>
      </c>
    </row>
    <row r="60" spans="1:59" s="675" customFormat="1" ht="38.25" x14ac:dyDescent="0.2">
      <c r="A60" s="671" t="str">
        <f t="shared" ca="1" si="9"/>
        <v>43</v>
      </c>
      <c r="B60" s="671" t="str">
        <f ca="1">OFFSET(ORÇAMENTO!C$15,ROW(B60)-ROW(B$15),0)</f>
        <v>S</v>
      </c>
      <c r="C60" s="671" t="str">
        <f ca="1">OFFSET(ORÇAMENTO!L$15,ROW(C60)-ROW(C$15),0)</f>
        <v/>
      </c>
      <c r="D60" s="117" t="str">
        <f ca="1">OFFSET(ORÇAMENTO!N$15,ROW(D60)-ROW(D$15),0)</f>
        <v>Serviço</v>
      </c>
      <c r="E60" s="118" t="str">
        <f ca="1">OFFSET(ORÇAMENTO!O$15,ROW(E60)-ROW(E$15),0)</f>
        <v>-</v>
      </c>
      <c r="F60" s="164" t="str">
        <f ca="1">OFFSET(ORÇAMENTO!R$15,ROW(F60)-ROW(F$15),0)</f>
        <v>(abra o arquivo 'Referência 09-2025.xlsm)</v>
      </c>
      <c r="G60" s="165" t="str">
        <f ca="1">IF($D60&lt;&gt;"Serviço","",OFFSET(ORÇAMENTO!S$15,ROW(G60)-ROW(G$15),0))</f>
        <v>-</v>
      </c>
      <c r="H60" s="123">
        <f ca="1">IF($D60&lt;&gt;"Serviço",0,IF(ACOMPANHAMENTO="BM",ROUND(OFFSET(ORÇAMENTO!AJ$15,ROW(H60)-ROW(H$15),0),15-13*ORÇAMENTO!$AF$7),SUMPRODUCT(($Q$1:$AA$1=1)*ROUND($Q60:$AA60,15-13*ORÇAMENTO!$AF$7))))</f>
        <v>5</v>
      </c>
      <c r="I60" s="469" t="s">
        <v>1109</v>
      </c>
      <c r="J60" s="667" t="str">
        <f ca="1">IF(OR(B60&lt;&gt;"S",CÁLCULO.FrentesPreenchidas=0),"",IF(AND(ACOMPANHAMENTO="PLE",AUTOEVENTO="Manual",OR(H60&gt;0,ORÇAMENTO!AC60="QUANT."),OR(K60="",M60=0,N60="")),"►",IF(AND(ACOMPANHAMENTO="PLE",ORÇAMENTO!AC60="QUANT."),"►►",IF(AND(COUNTIF($P$11:$AA$11,"▼")=0,H60&gt;0,I60=""),"◄",""))))</f>
        <v/>
      </c>
      <c r="K60" s="668"/>
      <c r="L60" s="166" t="s">
        <v>765</v>
      </c>
      <c r="M60" s="167">
        <f ca="1">IF($D60&lt;&gt;"Serviço","",
          IF(AUTOEVENTO="manual",$A60,
                IF(ISERROR(MATCH($A60,$A$15:OFFSET($A60,-1,0),0)),MAX($M$15:OFFSET(M60,-1,0))+1,
                      INDEX($M$15:OFFSET(M60,-1,0),MATCH($A60,$A$15:OFFSET($A60,-1,0),0)))))</f>
        <v>4</v>
      </c>
      <c r="N60" s="168" t="str">
        <f ca="1">IF($D60&lt;&gt;"Serviço","",
         IF(AUTOEVENTO="Manual",
                IF($A60=0,"&lt;-- defina o número do agrupador",
                       OFFSET(EVENTOS!$D$15,$A60-$A$15,0)),
                OFFSET($F$15,$A60,0)))</f>
        <v>TRAVESSIA RODOVIA MG-050</v>
      </c>
      <c r="O60" s="169"/>
      <c r="Q60" s="169"/>
      <c r="R60" s="170"/>
      <c r="S60" s="170"/>
      <c r="T60" s="170"/>
      <c r="U60" s="170"/>
      <c r="V60" s="170"/>
      <c r="W60" s="170"/>
      <c r="X60" s="170"/>
      <c r="Y60" s="170"/>
      <c r="Z60" s="171"/>
      <c r="AB60" s="454">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4">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4">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4">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4">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4">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4">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4">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4">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4">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2">
        <f ca="1">IF(OR($D60&lt;&gt;"Serviço",AND(AUTOEVENTO="Manual",$M60=$A$15)),0,
         IF(OFFSET(CRONOPLE!$F$15,$M60-$A$15,AM$13)=0,10^12,OFFSET(CRONOPLE!$F$15,$M60-$A$15,AM$13)))</f>
        <v>1000000000000</v>
      </c>
      <c r="AN60" s="172">
        <f ca="1">IF(OR($D60&lt;&gt;"Serviço",AND(AUTOEVENTO="Manual",$M60=$A$15)),0,
         IF(OFFSET(CRONOPLE!$F$15,$M60-$A$15,AN$13)=0,10^12,OFFSET(CRONOPLE!$F$15,$M60-$A$15,AN$13)))</f>
        <v>1000000000000</v>
      </c>
      <c r="AO60" s="172">
        <f ca="1">IF(OR($D60&lt;&gt;"Serviço",AND(AUTOEVENTO="Manual",$M60=$A$15)),0,
         IF(OFFSET(CRONOPLE!$F$15,$M60-$A$15,AO$13)=0,10^12,OFFSET(CRONOPLE!$F$15,$M60-$A$15,AO$13)))</f>
        <v>1000000000000</v>
      </c>
      <c r="AP60" s="172">
        <f ca="1">IF(OR($D60&lt;&gt;"Serviço",AND(AUTOEVENTO="Manual",$M60=$A$15)),0,
         IF(OFFSET(CRONOPLE!$F$15,$M60-$A$15,AP$13)=0,10^12,OFFSET(CRONOPLE!$F$15,$M60-$A$15,AP$13)))</f>
        <v>1000000000000</v>
      </c>
      <c r="AQ60" s="172">
        <f ca="1">IF(OR($D60&lt;&gt;"Serviço",AND(AUTOEVENTO="Manual",$M60=$A$15)),0,
         IF(OFFSET(CRONOPLE!$F$15,$M60-$A$15,AQ$13)=0,10^12,OFFSET(CRONOPLE!$F$15,$M60-$A$15,AQ$13)))</f>
        <v>1000000000000</v>
      </c>
      <c r="AR60" s="172">
        <f ca="1">IF(OR($D60&lt;&gt;"Serviço",AND(AUTOEVENTO="Manual",$M60=$A$15)),0,
         IF(OFFSET(CRONOPLE!$F$15,$M60-$A$15,AR$13)=0,10^12,OFFSET(CRONOPLE!$F$15,$M60-$A$15,AR$13)))</f>
        <v>1000000000000</v>
      </c>
      <c r="AS60" s="172">
        <f ca="1">IF(OR($D60&lt;&gt;"Serviço",AND(AUTOEVENTO="Manual",$M60=$A$15)),0,
         IF(OFFSET(CRONOPLE!$F$15,$M60-$A$15,AS$13)=0,10^12,OFFSET(CRONOPLE!$F$15,$M60-$A$15,AS$13)))</f>
        <v>1000000000000</v>
      </c>
      <c r="AT60" s="172">
        <f ca="1">IF(OR($D60&lt;&gt;"Serviço",AND(AUTOEVENTO="Manual",$M60=$A$15)),0,
         IF(OFFSET(CRONOPLE!$F$15,$M60-$A$15,AT$13)=0,10^12,OFFSET(CRONOPLE!$F$15,$M60-$A$15,AT$13)))</f>
        <v>1000000000000</v>
      </c>
      <c r="AU60" s="172">
        <f ca="1">IF(OR($D60&lt;&gt;"Serviço",AND(AUTOEVENTO="Manual",$M60=$A$15)),0,
         IF(OFFSET(CRONOPLE!$F$15,$M60-$A$15,AU$13)=0,10^12,OFFSET(CRONOPLE!$F$15,$M60-$A$15,AU$13)))</f>
        <v>1000000000000</v>
      </c>
      <c r="AV60" s="172">
        <f ca="1">IF(OR($D60&lt;&gt;"Serviço",AND(AUTOEVENTO="Manual",$M60=$A$15)),0,
         IF(OFFSET(CRONOPLE!$F$15,$M60-$A$15,AV$13)=0,10^12,OFFSET(CRONOPLE!$F$15,$M60-$A$15,AV$13)))</f>
        <v>1000000000000</v>
      </c>
      <c r="AX60" s="173">
        <f ca="1">IF(OR($D60&lt;&gt;"Serviço",AND(AUTOEVENTO="Manual",$M60=$A$15),$M60&gt;(ROW(PLE.lastrow)-ROW(PLE.firstrow))),0,
           IF(OFFSET(PLE!$G$15,$M60-$A$15,AX$13)="",10^12,OFFSET(PLE!$G$15,$M60-$A$15,AX$13)))</f>
        <v>1000000000000</v>
      </c>
      <c r="AY60" s="173">
        <f ca="1">IF(OR($D60&lt;&gt;"Serviço",AND(AUTOEVENTO="Manual",$M60=$A$15),$M60&gt;(ROW(PLE.lastrow)-ROW(PLE.firstrow))),0,
           IF(OFFSET(PLE!$G$15,$M60-$A$15,AY$13)="",10^12,OFFSET(PLE!$G$15,$M60-$A$15,AY$13)))</f>
        <v>1000000000000</v>
      </c>
      <c r="AZ60" s="173">
        <f ca="1">IF(OR($D60&lt;&gt;"Serviço",AND(AUTOEVENTO="Manual",$M60=$A$15),$M60&gt;(ROW(PLE.lastrow)-ROW(PLE.firstrow))),0,
           IF(OFFSET(PLE!$G$15,$M60-$A$15,AZ$13)="",10^12,OFFSET(PLE!$G$15,$M60-$A$15,AZ$13)))</f>
        <v>1000000000000</v>
      </c>
      <c r="BA60" s="173">
        <f ca="1">IF(OR($D60&lt;&gt;"Serviço",AND(AUTOEVENTO="Manual",$M60=$A$15),$M60&gt;(ROW(PLE.lastrow)-ROW(PLE.firstrow))),0,
           IF(OFFSET(PLE!$G$15,$M60-$A$15,BA$13)="",10^12,OFFSET(PLE!$G$15,$M60-$A$15,BA$13)))</f>
        <v>1000000000000</v>
      </c>
      <c r="BB60" s="173">
        <f ca="1">IF(OR($D60&lt;&gt;"Serviço",AND(AUTOEVENTO="Manual",$M60=$A$15),$M60&gt;(ROW(PLE.lastrow)-ROW(PLE.firstrow))),0,
           IF(OFFSET(PLE!$G$15,$M60-$A$15,BB$13)="",10^12,OFFSET(PLE!$G$15,$M60-$A$15,BB$13)))</f>
        <v>1000000000000</v>
      </c>
      <c r="BC60" s="173">
        <f ca="1">IF(OR($D60&lt;&gt;"Serviço",AND(AUTOEVENTO="Manual",$M60=$A$15),$M60&gt;(ROW(PLE.lastrow)-ROW(PLE.firstrow))),0,
           IF(OFFSET(PLE!$G$15,$M60-$A$15,BC$13)="",10^12,OFFSET(PLE!$G$15,$M60-$A$15,BC$13)))</f>
        <v>1000000000000</v>
      </c>
      <c r="BD60" s="173">
        <f ca="1">IF(OR($D60&lt;&gt;"Serviço",AND(AUTOEVENTO="Manual",$M60=$A$15),$M60&gt;(ROW(PLE.lastrow)-ROW(PLE.firstrow))),0,
           IF(OFFSET(PLE!$G$15,$M60-$A$15,BD$13)="",10^12,OFFSET(PLE!$G$15,$M60-$A$15,BD$13)))</f>
        <v>1000000000000</v>
      </c>
      <c r="BE60" s="173">
        <f ca="1">IF(OR($D60&lt;&gt;"Serviço",AND(AUTOEVENTO="Manual",$M60=$A$15),$M60&gt;(ROW(PLE.lastrow)-ROW(PLE.firstrow))),0,
           IF(OFFSET(PLE!$G$15,$M60-$A$15,BE$13)="",10^12,OFFSET(PLE!$G$15,$M60-$A$15,BE$13)))</f>
        <v>1000000000000</v>
      </c>
      <c r="BF60" s="173">
        <f ca="1">IF(OR($D60&lt;&gt;"Serviço",AND(AUTOEVENTO="Manual",$M60=$A$15),$M60&gt;(ROW(PLE.lastrow)-ROW(PLE.firstrow))),0,
           IF(OFFSET(PLE!$G$15,$M60-$A$15,BF$13)="",10^12,OFFSET(PLE!$G$15,$M60-$A$15,BF$13)))</f>
        <v>1000000000000</v>
      </c>
      <c r="BG60" s="173">
        <f ca="1">IF(OR($D60&lt;&gt;"Serviço",AND(AUTOEVENTO="Manual",$M60=$A$15),$M60&gt;(ROW(PLE.lastrow)-ROW(PLE.firstrow))),0,
           IF(OFFSET(PLE!$G$15,$M60-$A$15,BG$13)="",10^12,OFFSET(PLE!$G$15,$M60-$A$15,BG$13)))</f>
        <v>1000000000000</v>
      </c>
    </row>
    <row r="61" spans="1:59" s="675" customFormat="1" ht="12.75" x14ac:dyDescent="0.2">
      <c r="A61" s="671" t="str">
        <f t="shared" ca="1" si="9"/>
        <v>43</v>
      </c>
      <c r="B61" s="671" t="str">
        <f ca="1">OFFSET(ORÇAMENTO!C$15,ROW(B61)-ROW(B$15),0)</f>
        <v>S</v>
      </c>
      <c r="C61" s="671" t="str">
        <f ca="1">OFFSET(ORÇAMENTO!L$15,ROW(C61)-ROW(C$15),0)</f>
        <v/>
      </c>
      <c r="D61" s="117" t="str">
        <f ca="1">OFFSET(ORÇAMENTO!N$15,ROW(D61)-ROW(D$15),0)</f>
        <v>Serviço</v>
      </c>
      <c r="E61" s="118" t="str">
        <f ca="1">OFFSET(ORÇAMENTO!O$15,ROW(E61)-ROW(E$15),0)</f>
        <v>-</v>
      </c>
      <c r="F61" s="164" t="str">
        <f ca="1">OFFSET(ORÇAMENTO!R$15,ROW(F61)-ROW(F$15),0)</f>
        <v>(abra o arquivo 'Referência 09-2025.xlsm)</v>
      </c>
      <c r="G61" s="165" t="str">
        <f ca="1">IF($D61&lt;&gt;"Serviço","",OFFSET(ORÇAMENTO!S$15,ROW(G61)-ROW(G$15),0))</f>
        <v>-</v>
      </c>
      <c r="H61" s="123">
        <f ca="1">IF($D61&lt;&gt;"Serviço",0,IF(ACOMPANHAMENTO="BM",ROUND(OFFSET(ORÇAMENTO!AJ$15,ROW(H61)-ROW(H$15),0),15-13*ORÇAMENTO!$AF$7),SUMPRODUCT(($Q$1:$AA$1=1)*ROUND($Q61:$AA61,15-13*ORÇAMENTO!$AF$7))))</f>
        <v>8</v>
      </c>
      <c r="I61" s="469"/>
      <c r="J61" s="667" t="str">
        <f ca="1">IF(OR(B61&lt;&gt;"S",CÁLCULO.FrentesPreenchidas=0),"",IF(AND(ACOMPANHAMENTO="PLE",AUTOEVENTO="Manual",OR(H61&gt;0,ORÇAMENTO!AC61="QUANT."),OR(K61="",M61=0,N61="")),"►",IF(AND(ACOMPANHAMENTO="PLE",ORÇAMENTO!AC61="QUANT."),"►►",IF(AND(COUNTIF($P$11:$AA$11,"▼")=0,H61&gt;0,I61=""),"◄",""))))</f>
        <v/>
      </c>
      <c r="K61" s="668"/>
      <c r="L61" s="166" t="s">
        <v>765</v>
      </c>
      <c r="M61" s="167">
        <f ca="1">IF($D61&lt;&gt;"Serviço","",
          IF(AUTOEVENTO="manual",$A61,
                IF(ISERROR(MATCH($A61,$A$15:OFFSET($A61,-1,0),0)),MAX($M$15:OFFSET(M61,-1,0))+1,
                      INDEX($M$15:OFFSET(M61,-1,0),MATCH($A61,$A$15:OFFSET($A61,-1,0),0)))))</f>
        <v>4</v>
      </c>
      <c r="N61" s="168" t="str">
        <f ca="1">IF($D61&lt;&gt;"Serviço","",
         IF(AUTOEVENTO="Manual",
                IF($A61=0,"&lt;-- defina o número do agrupador",
                       OFFSET(EVENTOS!$D$15,$A61-$A$15,0)),
                OFFSET($F$15,$A61,0)))</f>
        <v>TRAVESSIA RODOVIA MG-050</v>
      </c>
      <c r="O61" s="169"/>
      <c r="Q61" s="169"/>
      <c r="R61" s="170"/>
      <c r="S61" s="170"/>
      <c r="T61" s="170"/>
      <c r="U61" s="170"/>
      <c r="V61" s="170"/>
      <c r="W61" s="170"/>
      <c r="X61" s="170"/>
      <c r="Y61" s="170"/>
      <c r="Z61" s="171"/>
      <c r="AB61" s="454">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4">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4">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4">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4">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4">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4">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4">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4">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4">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2">
        <f ca="1">IF(OR($D61&lt;&gt;"Serviço",AND(AUTOEVENTO="Manual",$M61=$A$15)),0,
         IF(OFFSET(CRONOPLE!$F$15,$M61-$A$15,AM$13)=0,10^12,OFFSET(CRONOPLE!$F$15,$M61-$A$15,AM$13)))</f>
        <v>1000000000000</v>
      </c>
      <c r="AN61" s="172">
        <f ca="1">IF(OR($D61&lt;&gt;"Serviço",AND(AUTOEVENTO="Manual",$M61=$A$15)),0,
         IF(OFFSET(CRONOPLE!$F$15,$M61-$A$15,AN$13)=0,10^12,OFFSET(CRONOPLE!$F$15,$M61-$A$15,AN$13)))</f>
        <v>1000000000000</v>
      </c>
      <c r="AO61" s="172">
        <f ca="1">IF(OR($D61&lt;&gt;"Serviço",AND(AUTOEVENTO="Manual",$M61=$A$15)),0,
         IF(OFFSET(CRONOPLE!$F$15,$M61-$A$15,AO$13)=0,10^12,OFFSET(CRONOPLE!$F$15,$M61-$A$15,AO$13)))</f>
        <v>1000000000000</v>
      </c>
      <c r="AP61" s="172">
        <f ca="1">IF(OR($D61&lt;&gt;"Serviço",AND(AUTOEVENTO="Manual",$M61=$A$15)),0,
         IF(OFFSET(CRONOPLE!$F$15,$M61-$A$15,AP$13)=0,10^12,OFFSET(CRONOPLE!$F$15,$M61-$A$15,AP$13)))</f>
        <v>1000000000000</v>
      </c>
      <c r="AQ61" s="172">
        <f ca="1">IF(OR($D61&lt;&gt;"Serviço",AND(AUTOEVENTO="Manual",$M61=$A$15)),0,
         IF(OFFSET(CRONOPLE!$F$15,$M61-$A$15,AQ$13)=0,10^12,OFFSET(CRONOPLE!$F$15,$M61-$A$15,AQ$13)))</f>
        <v>1000000000000</v>
      </c>
      <c r="AR61" s="172">
        <f ca="1">IF(OR($D61&lt;&gt;"Serviço",AND(AUTOEVENTO="Manual",$M61=$A$15)),0,
         IF(OFFSET(CRONOPLE!$F$15,$M61-$A$15,AR$13)=0,10^12,OFFSET(CRONOPLE!$F$15,$M61-$A$15,AR$13)))</f>
        <v>1000000000000</v>
      </c>
      <c r="AS61" s="172">
        <f ca="1">IF(OR($D61&lt;&gt;"Serviço",AND(AUTOEVENTO="Manual",$M61=$A$15)),0,
         IF(OFFSET(CRONOPLE!$F$15,$M61-$A$15,AS$13)=0,10^12,OFFSET(CRONOPLE!$F$15,$M61-$A$15,AS$13)))</f>
        <v>1000000000000</v>
      </c>
      <c r="AT61" s="172">
        <f ca="1">IF(OR($D61&lt;&gt;"Serviço",AND(AUTOEVENTO="Manual",$M61=$A$15)),0,
         IF(OFFSET(CRONOPLE!$F$15,$M61-$A$15,AT$13)=0,10^12,OFFSET(CRONOPLE!$F$15,$M61-$A$15,AT$13)))</f>
        <v>1000000000000</v>
      </c>
      <c r="AU61" s="172">
        <f ca="1">IF(OR($D61&lt;&gt;"Serviço",AND(AUTOEVENTO="Manual",$M61=$A$15)),0,
         IF(OFFSET(CRONOPLE!$F$15,$M61-$A$15,AU$13)=0,10^12,OFFSET(CRONOPLE!$F$15,$M61-$A$15,AU$13)))</f>
        <v>1000000000000</v>
      </c>
      <c r="AV61" s="172">
        <f ca="1">IF(OR($D61&lt;&gt;"Serviço",AND(AUTOEVENTO="Manual",$M61=$A$15)),0,
         IF(OFFSET(CRONOPLE!$F$15,$M61-$A$15,AV$13)=0,10^12,OFFSET(CRONOPLE!$F$15,$M61-$A$15,AV$13)))</f>
        <v>1000000000000</v>
      </c>
      <c r="AX61" s="173">
        <f ca="1">IF(OR($D61&lt;&gt;"Serviço",AND(AUTOEVENTO="Manual",$M61=$A$15),$M61&gt;(ROW(PLE.lastrow)-ROW(PLE.firstrow))),0,
           IF(OFFSET(PLE!$G$15,$M61-$A$15,AX$13)="",10^12,OFFSET(PLE!$G$15,$M61-$A$15,AX$13)))</f>
        <v>1000000000000</v>
      </c>
      <c r="AY61" s="173">
        <f ca="1">IF(OR($D61&lt;&gt;"Serviço",AND(AUTOEVENTO="Manual",$M61=$A$15),$M61&gt;(ROW(PLE.lastrow)-ROW(PLE.firstrow))),0,
           IF(OFFSET(PLE!$G$15,$M61-$A$15,AY$13)="",10^12,OFFSET(PLE!$G$15,$M61-$A$15,AY$13)))</f>
        <v>1000000000000</v>
      </c>
      <c r="AZ61" s="173">
        <f ca="1">IF(OR($D61&lt;&gt;"Serviço",AND(AUTOEVENTO="Manual",$M61=$A$15),$M61&gt;(ROW(PLE.lastrow)-ROW(PLE.firstrow))),0,
           IF(OFFSET(PLE!$G$15,$M61-$A$15,AZ$13)="",10^12,OFFSET(PLE!$G$15,$M61-$A$15,AZ$13)))</f>
        <v>1000000000000</v>
      </c>
      <c r="BA61" s="173">
        <f ca="1">IF(OR($D61&lt;&gt;"Serviço",AND(AUTOEVENTO="Manual",$M61=$A$15),$M61&gt;(ROW(PLE.lastrow)-ROW(PLE.firstrow))),0,
           IF(OFFSET(PLE!$G$15,$M61-$A$15,BA$13)="",10^12,OFFSET(PLE!$G$15,$M61-$A$15,BA$13)))</f>
        <v>1000000000000</v>
      </c>
      <c r="BB61" s="173">
        <f ca="1">IF(OR($D61&lt;&gt;"Serviço",AND(AUTOEVENTO="Manual",$M61=$A$15),$M61&gt;(ROW(PLE.lastrow)-ROW(PLE.firstrow))),0,
           IF(OFFSET(PLE!$G$15,$M61-$A$15,BB$13)="",10^12,OFFSET(PLE!$G$15,$M61-$A$15,BB$13)))</f>
        <v>1000000000000</v>
      </c>
      <c r="BC61" s="173">
        <f ca="1">IF(OR($D61&lt;&gt;"Serviço",AND(AUTOEVENTO="Manual",$M61=$A$15),$M61&gt;(ROW(PLE.lastrow)-ROW(PLE.firstrow))),0,
           IF(OFFSET(PLE!$G$15,$M61-$A$15,BC$13)="",10^12,OFFSET(PLE!$G$15,$M61-$A$15,BC$13)))</f>
        <v>1000000000000</v>
      </c>
      <c r="BD61" s="173">
        <f ca="1">IF(OR($D61&lt;&gt;"Serviço",AND(AUTOEVENTO="Manual",$M61=$A$15),$M61&gt;(ROW(PLE.lastrow)-ROW(PLE.firstrow))),0,
           IF(OFFSET(PLE!$G$15,$M61-$A$15,BD$13)="",10^12,OFFSET(PLE!$G$15,$M61-$A$15,BD$13)))</f>
        <v>1000000000000</v>
      </c>
      <c r="BE61" s="173">
        <f ca="1">IF(OR($D61&lt;&gt;"Serviço",AND(AUTOEVENTO="Manual",$M61=$A$15),$M61&gt;(ROW(PLE.lastrow)-ROW(PLE.firstrow))),0,
           IF(OFFSET(PLE!$G$15,$M61-$A$15,BE$13)="",10^12,OFFSET(PLE!$G$15,$M61-$A$15,BE$13)))</f>
        <v>1000000000000</v>
      </c>
      <c r="BF61" s="173">
        <f ca="1">IF(OR($D61&lt;&gt;"Serviço",AND(AUTOEVENTO="Manual",$M61=$A$15),$M61&gt;(ROW(PLE.lastrow)-ROW(PLE.firstrow))),0,
           IF(OFFSET(PLE!$G$15,$M61-$A$15,BF$13)="",10^12,OFFSET(PLE!$G$15,$M61-$A$15,BF$13)))</f>
        <v>1000000000000</v>
      </c>
      <c r="BG61" s="173">
        <f ca="1">IF(OR($D61&lt;&gt;"Serviço",AND(AUTOEVENTO="Manual",$M61=$A$15),$M61&gt;(ROW(PLE.lastrow)-ROW(PLE.firstrow))),0,
           IF(OFFSET(PLE!$G$15,$M61-$A$15,BG$13)="",10^12,OFFSET(PLE!$G$15,$M61-$A$15,BG$13)))</f>
        <v>1000000000000</v>
      </c>
    </row>
    <row r="62" spans="1:59" s="675" customFormat="1" ht="216.75" x14ac:dyDescent="0.2">
      <c r="A62" s="671" t="str">
        <f t="shared" ca="1" si="9"/>
        <v>43</v>
      </c>
      <c r="B62" s="671" t="str">
        <f ca="1">OFFSET(ORÇAMENTO!C$15,ROW(B62)-ROW(B$15),0)</f>
        <v>S</v>
      </c>
      <c r="C62" s="671" t="str">
        <f ca="1">OFFSET(ORÇAMENTO!L$15,ROW(C62)-ROW(C$15),0)</f>
        <v/>
      </c>
      <c r="D62" s="117" t="str">
        <f ca="1">OFFSET(ORÇAMENTO!N$15,ROW(D62)-ROW(D$15),0)</f>
        <v>Serviço</v>
      </c>
      <c r="E62" s="118" t="str">
        <f ca="1">OFFSET(ORÇAMENTO!O$15,ROW(E62)-ROW(E$15),0)</f>
        <v>-</v>
      </c>
      <c r="F62" s="164" t="str">
        <f ca="1">OFFSET(ORÇAMENTO!R$15,ROW(F62)-ROW(F$15),0)</f>
        <v>(abra o arquivo 'Referência 09-2025.xlsm)</v>
      </c>
      <c r="G62" s="165" t="str">
        <f ca="1">IF($D62&lt;&gt;"Serviço","",OFFSET(ORÇAMENTO!S$15,ROW(G62)-ROW(G$15),0))</f>
        <v>-</v>
      </c>
      <c r="H62" s="123">
        <f ca="1">IF($D62&lt;&gt;"Serviço",0,IF(ACOMPANHAMENTO="BM",ROUND(OFFSET(ORÇAMENTO!AJ$15,ROW(H62)-ROW(H$15),0),15-13*ORÇAMENTO!$AF$7),SUMPRODUCT(($Q$1:$AA$1=1)*ROUND($Q62:$AA62,15-13*ORÇAMENTO!$AF$7))))</f>
        <v>3</v>
      </c>
      <c r="I62" s="469" t="s">
        <v>1141</v>
      </c>
      <c r="J62" s="667" t="str">
        <f ca="1">IF(OR(B62&lt;&gt;"S",CÁLCULO.FrentesPreenchidas=0),"",IF(AND(ACOMPANHAMENTO="PLE",AUTOEVENTO="Manual",OR(H62&gt;0,ORÇAMENTO!AC62="QUANT."),OR(K62="",M62=0,N62="")),"►",IF(AND(ACOMPANHAMENTO="PLE",ORÇAMENTO!AC62="QUANT."),"►►",IF(AND(COUNTIF($P$11:$AA$11,"▼")=0,H62&gt;0,I62=""),"◄",""))))</f>
        <v/>
      </c>
      <c r="K62" s="668"/>
      <c r="L62" s="166" t="s">
        <v>765</v>
      </c>
      <c r="M62" s="167">
        <f ca="1">IF($D62&lt;&gt;"Serviço","",
          IF(AUTOEVENTO="manual",$A62,
                IF(ISERROR(MATCH($A62,$A$15:OFFSET($A62,-1,0),0)),MAX($M$15:OFFSET(M62,-1,0))+1,
                      INDEX($M$15:OFFSET(M62,-1,0),MATCH($A62,$A$15:OFFSET($A62,-1,0),0)))))</f>
        <v>4</v>
      </c>
      <c r="N62" s="168" t="str">
        <f ca="1">IF($D62&lt;&gt;"Serviço","",
         IF(AUTOEVENTO="Manual",
                IF($A62=0,"&lt;-- defina o número do agrupador",
                       OFFSET(EVENTOS!$D$15,$A62-$A$15,0)),
                OFFSET($F$15,$A62,0)))</f>
        <v>TRAVESSIA RODOVIA MG-050</v>
      </c>
      <c r="O62" s="169"/>
      <c r="Q62" s="169"/>
      <c r="R62" s="170"/>
      <c r="S62" s="170"/>
      <c r="T62" s="170"/>
      <c r="U62" s="170"/>
      <c r="V62" s="170"/>
      <c r="W62" s="170"/>
      <c r="X62" s="170"/>
      <c r="Y62" s="170"/>
      <c r="Z62" s="171"/>
      <c r="AB62" s="454">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4">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4">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4">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4">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4">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4">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4">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4">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4">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2">
        <f ca="1">IF(OR($D62&lt;&gt;"Serviço",AND(AUTOEVENTO="Manual",$M62=$A$15)),0,
         IF(OFFSET(CRONOPLE!$F$15,$M62-$A$15,AM$13)=0,10^12,OFFSET(CRONOPLE!$F$15,$M62-$A$15,AM$13)))</f>
        <v>1000000000000</v>
      </c>
      <c r="AN62" s="172">
        <f ca="1">IF(OR($D62&lt;&gt;"Serviço",AND(AUTOEVENTO="Manual",$M62=$A$15)),0,
         IF(OFFSET(CRONOPLE!$F$15,$M62-$A$15,AN$13)=0,10^12,OFFSET(CRONOPLE!$F$15,$M62-$A$15,AN$13)))</f>
        <v>1000000000000</v>
      </c>
      <c r="AO62" s="172">
        <f ca="1">IF(OR($D62&lt;&gt;"Serviço",AND(AUTOEVENTO="Manual",$M62=$A$15)),0,
         IF(OFFSET(CRONOPLE!$F$15,$M62-$A$15,AO$13)=0,10^12,OFFSET(CRONOPLE!$F$15,$M62-$A$15,AO$13)))</f>
        <v>1000000000000</v>
      </c>
      <c r="AP62" s="172">
        <f ca="1">IF(OR($D62&lt;&gt;"Serviço",AND(AUTOEVENTO="Manual",$M62=$A$15)),0,
         IF(OFFSET(CRONOPLE!$F$15,$M62-$A$15,AP$13)=0,10^12,OFFSET(CRONOPLE!$F$15,$M62-$A$15,AP$13)))</f>
        <v>1000000000000</v>
      </c>
      <c r="AQ62" s="172">
        <f ca="1">IF(OR($D62&lt;&gt;"Serviço",AND(AUTOEVENTO="Manual",$M62=$A$15)),0,
         IF(OFFSET(CRONOPLE!$F$15,$M62-$A$15,AQ$13)=0,10^12,OFFSET(CRONOPLE!$F$15,$M62-$A$15,AQ$13)))</f>
        <v>1000000000000</v>
      </c>
      <c r="AR62" s="172">
        <f ca="1">IF(OR($D62&lt;&gt;"Serviço",AND(AUTOEVENTO="Manual",$M62=$A$15)),0,
         IF(OFFSET(CRONOPLE!$F$15,$M62-$A$15,AR$13)=0,10^12,OFFSET(CRONOPLE!$F$15,$M62-$A$15,AR$13)))</f>
        <v>1000000000000</v>
      </c>
      <c r="AS62" s="172">
        <f ca="1">IF(OR($D62&lt;&gt;"Serviço",AND(AUTOEVENTO="Manual",$M62=$A$15)),0,
         IF(OFFSET(CRONOPLE!$F$15,$M62-$A$15,AS$13)=0,10^12,OFFSET(CRONOPLE!$F$15,$M62-$A$15,AS$13)))</f>
        <v>1000000000000</v>
      </c>
      <c r="AT62" s="172">
        <f ca="1">IF(OR($D62&lt;&gt;"Serviço",AND(AUTOEVENTO="Manual",$M62=$A$15)),0,
         IF(OFFSET(CRONOPLE!$F$15,$M62-$A$15,AT$13)=0,10^12,OFFSET(CRONOPLE!$F$15,$M62-$A$15,AT$13)))</f>
        <v>1000000000000</v>
      </c>
      <c r="AU62" s="172">
        <f ca="1">IF(OR($D62&lt;&gt;"Serviço",AND(AUTOEVENTO="Manual",$M62=$A$15)),0,
         IF(OFFSET(CRONOPLE!$F$15,$M62-$A$15,AU$13)=0,10^12,OFFSET(CRONOPLE!$F$15,$M62-$A$15,AU$13)))</f>
        <v>1000000000000</v>
      </c>
      <c r="AV62" s="172">
        <f ca="1">IF(OR($D62&lt;&gt;"Serviço",AND(AUTOEVENTO="Manual",$M62=$A$15)),0,
         IF(OFFSET(CRONOPLE!$F$15,$M62-$A$15,AV$13)=0,10^12,OFFSET(CRONOPLE!$F$15,$M62-$A$15,AV$13)))</f>
        <v>1000000000000</v>
      </c>
      <c r="AX62" s="173">
        <f ca="1">IF(OR($D62&lt;&gt;"Serviço",AND(AUTOEVENTO="Manual",$M62=$A$15),$M62&gt;(ROW(PLE.lastrow)-ROW(PLE.firstrow))),0,
           IF(OFFSET(PLE!$G$15,$M62-$A$15,AX$13)="",10^12,OFFSET(PLE!$G$15,$M62-$A$15,AX$13)))</f>
        <v>1000000000000</v>
      </c>
      <c r="AY62" s="173">
        <f ca="1">IF(OR($D62&lt;&gt;"Serviço",AND(AUTOEVENTO="Manual",$M62=$A$15),$M62&gt;(ROW(PLE.lastrow)-ROW(PLE.firstrow))),0,
           IF(OFFSET(PLE!$G$15,$M62-$A$15,AY$13)="",10^12,OFFSET(PLE!$G$15,$M62-$A$15,AY$13)))</f>
        <v>1000000000000</v>
      </c>
      <c r="AZ62" s="173">
        <f ca="1">IF(OR($D62&lt;&gt;"Serviço",AND(AUTOEVENTO="Manual",$M62=$A$15),$M62&gt;(ROW(PLE.lastrow)-ROW(PLE.firstrow))),0,
           IF(OFFSET(PLE!$G$15,$M62-$A$15,AZ$13)="",10^12,OFFSET(PLE!$G$15,$M62-$A$15,AZ$13)))</f>
        <v>1000000000000</v>
      </c>
      <c r="BA62" s="173">
        <f ca="1">IF(OR($D62&lt;&gt;"Serviço",AND(AUTOEVENTO="Manual",$M62=$A$15),$M62&gt;(ROW(PLE.lastrow)-ROW(PLE.firstrow))),0,
           IF(OFFSET(PLE!$G$15,$M62-$A$15,BA$13)="",10^12,OFFSET(PLE!$G$15,$M62-$A$15,BA$13)))</f>
        <v>1000000000000</v>
      </c>
      <c r="BB62" s="173">
        <f ca="1">IF(OR($D62&lt;&gt;"Serviço",AND(AUTOEVENTO="Manual",$M62=$A$15),$M62&gt;(ROW(PLE.lastrow)-ROW(PLE.firstrow))),0,
           IF(OFFSET(PLE!$G$15,$M62-$A$15,BB$13)="",10^12,OFFSET(PLE!$G$15,$M62-$A$15,BB$13)))</f>
        <v>1000000000000</v>
      </c>
      <c r="BC62" s="173">
        <f ca="1">IF(OR($D62&lt;&gt;"Serviço",AND(AUTOEVENTO="Manual",$M62=$A$15),$M62&gt;(ROW(PLE.lastrow)-ROW(PLE.firstrow))),0,
           IF(OFFSET(PLE!$G$15,$M62-$A$15,BC$13)="",10^12,OFFSET(PLE!$G$15,$M62-$A$15,BC$13)))</f>
        <v>1000000000000</v>
      </c>
      <c r="BD62" s="173">
        <f ca="1">IF(OR($D62&lt;&gt;"Serviço",AND(AUTOEVENTO="Manual",$M62=$A$15),$M62&gt;(ROW(PLE.lastrow)-ROW(PLE.firstrow))),0,
           IF(OFFSET(PLE!$G$15,$M62-$A$15,BD$13)="",10^12,OFFSET(PLE!$G$15,$M62-$A$15,BD$13)))</f>
        <v>1000000000000</v>
      </c>
      <c r="BE62" s="173">
        <f ca="1">IF(OR($D62&lt;&gt;"Serviço",AND(AUTOEVENTO="Manual",$M62=$A$15),$M62&gt;(ROW(PLE.lastrow)-ROW(PLE.firstrow))),0,
           IF(OFFSET(PLE!$G$15,$M62-$A$15,BE$13)="",10^12,OFFSET(PLE!$G$15,$M62-$A$15,BE$13)))</f>
        <v>1000000000000</v>
      </c>
      <c r="BF62" s="173">
        <f ca="1">IF(OR($D62&lt;&gt;"Serviço",AND(AUTOEVENTO="Manual",$M62=$A$15),$M62&gt;(ROW(PLE.lastrow)-ROW(PLE.firstrow))),0,
           IF(OFFSET(PLE!$G$15,$M62-$A$15,BF$13)="",10^12,OFFSET(PLE!$G$15,$M62-$A$15,BF$13)))</f>
        <v>1000000000000</v>
      </c>
      <c r="BG62" s="173">
        <f ca="1">IF(OR($D62&lt;&gt;"Serviço",AND(AUTOEVENTO="Manual",$M62=$A$15),$M62&gt;(ROW(PLE.lastrow)-ROW(PLE.firstrow))),0,
           IF(OFFSET(PLE!$G$15,$M62-$A$15,BG$13)="",10^12,OFFSET(PLE!$G$15,$M62-$A$15,BG$13)))</f>
        <v>1000000000000</v>
      </c>
    </row>
    <row r="63" spans="1:59" s="675" customFormat="1" ht="25.5" x14ac:dyDescent="0.2">
      <c r="A63" s="671" t="str">
        <f t="shared" ca="1" si="9"/>
        <v>43</v>
      </c>
      <c r="B63" s="671" t="str">
        <f ca="1">OFFSET(ORÇAMENTO!C$15,ROW(B63)-ROW(B$15),0)</f>
        <v>S</v>
      </c>
      <c r="C63" s="671" t="str">
        <f ca="1">OFFSET(ORÇAMENTO!L$15,ROW(C63)-ROW(C$15),0)</f>
        <v/>
      </c>
      <c r="D63" s="117" t="str">
        <f ca="1">OFFSET(ORÇAMENTO!N$15,ROW(D63)-ROW(D$15),0)</f>
        <v>Serviço</v>
      </c>
      <c r="E63" s="118" t="str">
        <f ca="1">OFFSET(ORÇAMENTO!O$15,ROW(E63)-ROW(E$15),0)</f>
        <v>-</v>
      </c>
      <c r="F63" s="164" t="str">
        <f ca="1">OFFSET(ORÇAMENTO!R$15,ROW(F63)-ROW(F$15),0)</f>
        <v>(abra o arquivo 'Referência 09-2025.xlsm)</v>
      </c>
      <c r="G63" s="165" t="str">
        <f ca="1">IF($D63&lt;&gt;"Serviço","",OFFSET(ORÇAMENTO!S$15,ROW(G63)-ROW(G$15),0))</f>
        <v>-</v>
      </c>
      <c r="H63" s="123">
        <f ca="1">IF($D63&lt;&gt;"Serviço",0,IF(ACOMPANHAMENTO="BM",ROUND(OFFSET(ORÇAMENTO!AJ$15,ROW(H63)-ROW(H$15),0),15-13*ORÇAMENTO!$AF$7),SUMPRODUCT(($Q$1:$AA$1=1)*ROUND($Q63:$AA63,15-13*ORÇAMENTO!$AF$7))))</f>
        <v>2</v>
      </c>
      <c r="I63" s="469" t="s">
        <v>1111</v>
      </c>
      <c r="J63" s="667" t="str">
        <f ca="1">IF(OR(B63&lt;&gt;"S",CÁLCULO.FrentesPreenchidas=0),"",IF(AND(ACOMPANHAMENTO="PLE",AUTOEVENTO="Manual",OR(H63&gt;0,ORÇAMENTO!AC63="QUANT."),OR(K63="",M63=0,N63="")),"►",IF(AND(ACOMPANHAMENTO="PLE",ORÇAMENTO!AC63="QUANT."),"►►",IF(AND(COUNTIF($P$11:$AA$11,"▼")=0,H63&gt;0,I63=""),"◄",""))))</f>
        <v/>
      </c>
      <c r="K63" s="668"/>
      <c r="L63" s="166" t="s">
        <v>765</v>
      </c>
      <c r="M63" s="167">
        <f ca="1">IF($D63&lt;&gt;"Serviço","",
          IF(AUTOEVENTO="manual",$A63,
                IF(ISERROR(MATCH($A63,$A$15:OFFSET($A63,-1,0),0)),MAX($M$15:OFFSET(M63,-1,0))+1,
                      INDEX($M$15:OFFSET(M63,-1,0),MATCH($A63,$A$15:OFFSET($A63,-1,0),0)))))</f>
        <v>4</v>
      </c>
      <c r="N63" s="168" t="str">
        <f ca="1">IF($D63&lt;&gt;"Serviço","",
         IF(AUTOEVENTO="Manual",
                IF($A63=0,"&lt;-- defina o número do agrupador",
                       OFFSET(EVENTOS!$D$15,$A63-$A$15,0)),
                OFFSET($F$15,$A63,0)))</f>
        <v>TRAVESSIA RODOVIA MG-050</v>
      </c>
      <c r="O63" s="169"/>
      <c r="Q63" s="169"/>
      <c r="R63" s="170"/>
      <c r="S63" s="170"/>
      <c r="T63" s="170"/>
      <c r="U63" s="170"/>
      <c r="V63" s="170"/>
      <c r="W63" s="170"/>
      <c r="X63" s="170"/>
      <c r="Y63" s="170"/>
      <c r="Z63" s="171"/>
      <c r="AB63" s="454">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4">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4">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4">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4">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4">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4">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4">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4">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4">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2">
        <f ca="1">IF(OR($D63&lt;&gt;"Serviço",AND(AUTOEVENTO="Manual",$M63=$A$15)),0,
         IF(OFFSET(CRONOPLE!$F$15,$M63-$A$15,AM$13)=0,10^12,OFFSET(CRONOPLE!$F$15,$M63-$A$15,AM$13)))</f>
        <v>1000000000000</v>
      </c>
      <c r="AN63" s="172">
        <f ca="1">IF(OR($D63&lt;&gt;"Serviço",AND(AUTOEVENTO="Manual",$M63=$A$15)),0,
         IF(OFFSET(CRONOPLE!$F$15,$M63-$A$15,AN$13)=0,10^12,OFFSET(CRONOPLE!$F$15,$M63-$A$15,AN$13)))</f>
        <v>1000000000000</v>
      </c>
      <c r="AO63" s="172">
        <f ca="1">IF(OR($D63&lt;&gt;"Serviço",AND(AUTOEVENTO="Manual",$M63=$A$15)),0,
         IF(OFFSET(CRONOPLE!$F$15,$M63-$A$15,AO$13)=0,10^12,OFFSET(CRONOPLE!$F$15,$M63-$A$15,AO$13)))</f>
        <v>1000000000000</v>
      </c>
      <c r="AP63" s="172">
        <f ca="1">IF(OR($D63&lt;&gt;"Serviço",AND(AUTOEVENTO="Manual",$M63=$A$15)),0,
         IF(OFFSET(CRONOPLE!$F$15,$M63-$A$15,AP$13)=0,10^12,OFFSET(CRONOPLE!$F$15,$M63-$A$15,AP$13)))</f>
        <v>1000000000000</v>
      </c>
      <c r="AQ63" s="172">
        <f ca="1">IF(OR($D63&lt;&gt;"Serviço",AND(AUTOEVENTO="Manual",$M63=$A$15)),0,
         IF(OFFSET(CRONOPLE!$F$15,$M63-$A$15,AQ$13)=0,10^12,OFFSET(CRONOPLE!$F$15,$M63-$A$15,AQ$13)))</f>
        <v>1000000000000</v>
      </c>
      <c r="AR63" s="172">
        <f ca="1">IF(OR($D63&lt;&gt;"Serviço",AND(AUTOEVENTO="Manual",$M63=$A$15)),0,
         IF(OFFSET(CRONOPLE!$F$15,$M63-$A$15,AR$13)=0,10^12,OFFSET(CRONOPLE!$F$15,$M63-$A$15,AR$13)))</f>
        <v>1000000000000</v>
      </c>
      <c r="AS63" s="172">
        <f ca="1">IF(OR($D63&lt;&gt;"Serviço",AND(AUTOEVENTO="Manual",$M63=$A$15)),0,
         IF(OFFSET(CRONOPLE!$F$15,$M63-$A$15,AS$13)=0,10^12,OFFSET(CRONOPLE!$F$15,$M63-$A$15,AS$13)))</f>
        <v>1000000000000</v>
      </c>
      <c r="AT63" s="172">
        <f ca="1">IF(OR($D63&lt;&gt;"Serviço",AND(AUTOEVENTO="Manual",$M63=$A$15)),0,
         IF(OFFSET(CRONOPLE!$F$15,$M63-$A$15,AT$13)=0,10^12,OFFSET(CRONOPLE!$F$15,$M63-$A$15,AT$13)))</f>
        <v>1000000000000</v>
      </c>
      <c r="AU63" s="172">
        <f ca="1">IF(OR($D63&lt;&gt;"Serviço",AND(AUTOEVENTO="Manual",$M63=$A$15)),0,
         IF(OFFSET(CRONOPLE!$F$15,$M63-$A$15,AU$13)=0,10^12,OFFSET(CRONOPLE!$F$15,$M63-$A$15,AU$13)))</f>
        <v>1000000000000</v>
      </c>
      <c r="AV63" s="172">
        <f ca="1">IF(OR($D63&lt;&gt;"Serviço",AND(AUTOEVENTO="Manual",$M63=$A$15)),0,
         IF(OFFSET(CRONOPLE!$F$15,$M63-$A$15,AV$13)=0,10^12,OFFSET(CRONOPLE!$F$15,$M63-$A$15,AV$13)))</f>
        <v>1000000000000</v>
      </c>
      <c r="AX63" s="173">
        <f ca="1">IF(OR($D63&lt;&gt;"Serviço",AND(AUTOEVENTO="Manual",$M63=$A$15),$M63&gt;(ROW(PLE.lastrow)-ROW(PLE.firstrow))),0,
           IF(OFFSET(PLE!$G$15,$M63-$A$15,AX$13)="",10^12,OFFSET(PLE!$G$15,$M63-$A$15,AX$13)))</f>
        <v>1000000000000</v>
      </c>
      <c r="AY63" s="173">
        <f ca="1">IF(OR($D63&lt;&gt;"Serviço",AND(AUTOEVENTO="Manual",$M63=$A$15),$M63&gt;(ROW(PLE.lastrow)-ROW(PLE.firstrow))),0,
           IF(OFFSET(PLE!$G$15,$M63-$A$15,AY$13)="",10^12,OFFSET(PLE!$G$15,$M63-$A$15,AY$13)))</f>
        <v>1000000000000</v>
      </c>
      <c r="AZ63" s="173">
        <f ca="1">IF(OR($D63&lt;&gt;"Serviço",AND(AUTOEVENTO="Manual",$M63=$A$15),$M63&gt;(ROW(PLE.lastrow)-ROW(PLE.firstrow))),0,
           IF(OFFSET(PLE!$G$15,$M63-$A$15,AZ$13)="",10^12,OFFSET(PLE!$G$15,$M63-$A$15,AZ$13)))</f>
        <v>1000000000000</v>
      </c>
      <c r="BA63" s="173">
        <f ca="1">IF(OR($D63&lt;&gt;"Serviço",AND(AUTOEVENTO="Manual",$M63=$A$15),$M63&gt;(ROW(PLE.lastrow)-ROW(PLE.firstrow))),0,
           IF(OFFSET(PLE!$G$15,$M63-$A$15,BA$13)="",10^12,OFFSET(PLE!$G$15,$M63-$A$15,BA$13)))</f>
        <v>1000000000000</v>
      </c>
      <c r="BB63" s="173">
        <f ca="1">IF(OR($D63&lt;&gt;"Serviço",AND(AUTOEVENTO="Manual",$M63=$A$15),$M63&gt;(ROW(PLE.lastrow)-ROW(PLE.firstrow))),0,
           IF(OFFSET(PLE!$G$15,$M63-$A$15,BB$13)="",10^12,OFFSET(PLE!$G$15,$M63-$A$15,BB$13)))</f>
        <v>1000000000000</v>
      </c>
      <c r="BC63" s="173">
        <f ca="1">IF(OR($D63&lt;&gt;"Serviço",AND(AUTOEVENTO="Manual",$M63=$A$15),$M63&gt;(ROW(PLE.lastrow)-ROW(PLE.firstrow))),0,
           IF(OFFSET(PLE!$G$15,$M63-$A$15,BC$13)="",10^12,OFFSET(PLE!$G$15,$M63-$A$15,BC$13)))</f>
        <v>1000000000000</v>
      </c>
      <c r="BD63" s="173">
        <f ca="1">IF(OR($D63&lt;&gt;"Serviço",AND(AUTOEVENTO="Manual",$M63=$A$15),$M63&gt;(ROW(PLE.lastrow)-ROW(PLE.firstrow))),0,
           IF(OFFSET(PLE!$G$15,$M63-$A$15,BD$13)="",10^12,OFFSET(PLE!$G$15,$M63-$A$15,BD$13)))</f>
        <v>1000000000000</v>
      </c>
      <c r="BE63" s="173">
        <f ca="1">IF(OR($D63&lt;&gt;"Serviço",AND(AUTOEVENTO="Manual",$M63=$A$15),$M63&gt;(ROW(PLE.lastrow)-ROW(PLE.firstrow))),0,
           IF(OFFSET(PLE!$G$15,$M63-$A$15,BE$13)="",10^12,OFFSET(PLE!$G$15,$M63-$A$15,BE$13)))</f>
        <v>1000000000000</v>
      </c>
      <c r="BF63" s="173">
        <f ca="1">IF(OR($D63&lt;&gt;"Serviço",AND(AUTOEVENTO="Manual",$M63=$A$15),$M63&gt;(ROW(PLE.lastrow)-ROW(PLE.firstrow))),0,
           IF(OFFSET(PLE!$G$15,$M63-$A$15,BF$13)="",10^12,OFFSET(PLE!$G$15,$M63-$A$15,BF$13)))</f>
        <v>1000000000000</v>
      </c>
      <c r="BG63" s="173">
        <f ca="1">IF(OR($D63&lt;&gt;"Serviço",AND(AUTOEVENTO="Manual",$M63=$A$15),$M63&gt;(ROW(PLE.lastrow)-ROW(PLE.firstrow))),0,
           IF(OFFSET(PLE!$G$15,$M63-$A$15,BG$13)="",10^12,OFFSET(PLE!$G$15,$M63-$A$15,BG$13)))</f>
        <v>1000000000000</v>
      </c>
    </row>
    <row r="64" spans="1:59" s="675" customFormat="1" ht="12.75" x14ac:dyDescent="0.2">
      <c r="A64" s="671" t="str">
        <f t="shared" ca="1" si="9"/>
        <v>49.</v>
      </c>
      <c r="B64" s="671">
        <f ca="1">OFFSET(ORÇAMENTO!C$15,ROW(B64)-ROW(B$15),0)</f>
        <v>2</v>
      </c>
      <c r="C64" s="671" t="str">
        <f ca="1">OFFSET(ORÇAMENTO!L$15,ROW(C64)-ROW(C$15),0)</f>
        <v>F</v>
      </c>
      <c r="D64" s="117" t="str">
        <f ca="1">OFFSET(ORÇAMENTO!N$15,ROW(D64)-ROW(D$15),0)</f>
        <v>Nível 2</v>
      </c>
      <c r="E64" s="118" t="str">
        <f ca="1">OFFSET(ORÇAMENTO!O$15,ROW(E64)-ROW(E$15),0)</f>
        <v>1.6.</v>
      </c>
      <c r="F64" s="164" t="str">
        <f ca="1">OFFSET(ORÇAMENTO!R$15,ROW(F64)-ROW(F$15),0)</f>
        <v>POÇO DE VISITA PARA PROTEÇÃO VENTOSAS E DESCARGAS</v>
      </c>
      <c r="G64" s="165" t="str">
        <f ca="1">IF($D64&lt;&gt;"Serviço","",OFFSET(ORÇAMENTO!S$15,ROW(G64)-ROW(G$15),0))</f>
        <v/>
      </c>
      <c r="H64" s="123">
        <f ca="1">IF($D64&lt;&gt;"Serviço",0,IF(ACOMPANHAMENTO="BM",ROUND(OFFSET(ORÇAMENTO!AJ$15,ROW(H64)-ROW(H$15),0),15-13*ORÇAMENTO!$AF$7),SUMPRODUCT(($Q$1:$AA$1=1)*ROUND($Q64:$AA64,15-13*ORÇAMENTO!$AF$7))))</f>
        <v>0</v>
      </c>
      <c r="I64" s="469"/>
      <c r="J64" s="667" t="str">
        <f ca="1">IF(OR(B64&lt;&gt;"S",CÁLCULO.FrentesPreenchidas=0),"",IF(AND(ACOMPANHAMENTO="PLE",AUTOEVENTO="Manual",OR(H64&gt;0,ORÇAMENTO!AC64="QUANT."),OR(K64="",M64=0,N64="")),"►",IF(AND(ACOMPANHAMENTO="PLE",ORÇAMENTO!AC64="QUANT."),"►►",IF(AND(COUNTIF($P$11:$AA$11,"▼")=0,H64&gt;0,I64=""),"◄",""))))</f>
        <v/>
      </c>
      <c r="K64" s="668"/>
      <c r="L64" s="166" t="s">
        <v>765</v>
      </c>
      <c r="M64" s="167" t="str">
        <f ca="1">IF($D64&lt;&gt;"Serviço","",
          IF(AUTOEVENTO="manual",$A64,
                IF(ISERROR(MATCH($A64,$A$15:OFFSET($A64,-1,0),0)),MAX($M$15:OFFSET(M64,-1,0))+1,
                      INDEX($M$15:OFFSET(M64,-1,0),MATCH($A64,$A$15:OFFSET($A64,-1,0),0)))))</f>
        <v/>
      </c>
      <c r="N64" s="168" t="str">
        <f ca="1">IF($D64&lt;&gt;"Serviço","",
         IF(AUTOEVENTO="Manual",
                IF($A64=0,"&lt;-- defina o número do agrupador",
                       OFFSET(EVENTOS!$D$15,$A64-$A$15,0)),
                OFFSET($F$15,$A64,0)))</f>
        <v/>
      </c>
      <c r="O64" s="169"/>
      <c r="Q64" s="169"/>
      <c r="R64" s="170"/>
      <c r="S64" s="170"/>
      <c r="T64" s="170"/>
      <c r="U64" s="170"/>
      <c r="V64" s="170"/>
      <c r="W64" s="170"/>
      <c r="X64" s="170"/>
      <c r="Y64" s="170"/>
      <c r="Z64" s="171"/>
      <c r="AB64" s="454">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4">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4">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4">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4">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4">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4">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4">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4">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4">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2">
        <f ca="1">IF(OR($D64&lt;&gt;"Serviço",AND(AUTOEVENTO="Manual",$M64=$A$15)),0,
         IF(OFFSET(CRONOPLE!$F$15,$M64-$A$15,AM$13)=0,10^12,OFFSET(CRONOPLE!$F$15,$M64-$A$15,AM$13)))</f>
        <v>0</v>
      </c>
      <c r="AN64" s="172">
        <f ca="1">IF(OR($D64&lt;&gt;"Serviço",AND(AUTOEVENTO="Manual",$M64=$A$15)),0,
         IF(OFFSET(CRONOPLE!$F$15,$M64-$A$15,AN$13)=0,10^12,OFFSET(CRONOPLE!$F$15,$M64-$A$15,AN$13)))</f>
        <v>0</v>
      </c>
      <c r="AO64" s="172">
        <f ca="1">IF(OR($D64&lt;&gt;"Serviço",AND(AUTOEVENTO="Manual",$M64=$A$15)),0,
         IF(OFFSET(CRONOPLE!$F$15,$M64-$A$15,AO$13)=0,10^12,OFFSET(CRONOPLE!$F$15,$M64-$A$15,AO$13)))</f>
        <v>0</v>
      </c>
      <c r="AP64" s="172">
        <f ca="1">IF(OR($D64&lt;&gt;"Serviço",AND(AUTOEVENTO="Manual",$M64=$A$15)),0,
         IF(OFFSET(CRONOPLE!$F$15,$M64-$A$15,AP$13)=0,10^12,OFFSET(CRONOPLE!$F$15,$M64-$A$15,AP$13)))</f>
        <v>0</v>
      </c>
      <c r="AQ64" s="172">
        <f ca="1">IF(OR($D64&lt;&gt;"Serviço",AND(AUTOEVENTO="Manual",$M64=$A$15)),0,
         IF(OFFSET(CRONOPLE!$F$15,$M64-$A$15,AQ$13)=0,10^12,OFFSET(CRONOPLE!$F$15,$M64-$A$15,AQ$13)))</f>
        <v>0</v>
      </c>
      <c r="AR64" s="172">
        <f ca="1">IF(OR($D64&lt;&gt;"Serviço",AND(AUTOEVENTO="Manual",$M64=$A$15)),0,
         IF(OFFSET(CRONOPLE!$F$15,$M64-$A$15,AR$13)=0,10^12,OFFSET(CRONOPLE!$F$15,$M64-$A$15,AR$13)))</f>
        <v>0</v>
      </c>
      <c r="AS64" s="172">
        <f ca="1">IF(OR($D64&lt;&gt;"Serviço",AND(AUTOEVENTO="Manual",$M64=$A$15)),0,
         IF(OFFSET(CRONOPLE!$F$15,$M64-$A$15,AS$13)=0,10^12,OFFSET(CRONOPLE!$F$15,$M64-$A$15,AS$13)))</f>
        <v>0</v>
      </c>
      <c r="AT64" s="172">
        <f ca="1">IF(OR($D64&lt;&gt;"Serviço",AND(AUTOEVENTO="Manual",$M64=$A$15)),0,
         IF(OFFSET(CRONOPLE!$F$15,$M64-$A$15,AT$13)=0,10^12,OFFSET(CRONOPLE!$F$15,$M64-$A$15,AT$13)))</f>
        <v>0</v>
      </c>
      <c r="AU64" s="172">
        <f ca="1">IF(OR($D64&lt;&gt;"Serviço",AND(AUTOEVENTO="Manual",$M64=$A$15)),0,
         IF(OFFSET(CRONOPLE!$F$15,$M64-$A$15,AU$13)=0,10^12,OFFSET(CRONOPLE!$F$15,$M64-$A$15,AU$13)))</f>
        <v>0</v>
      </c>
      <c r="AV64" s="172">
        <f ca="1">IF(OR($D64&lt;&gt;"Serviço",AND(AUTOEVENTO="Manual",$M64=$A$15)),0,
         IF(OFFSET(CRONOPLE!$F$15,$M64-$A$15,AV$13)=0,10^12,OFFSET(CRONOPLE!$F$15,$M64-$A$15,AV$13)))</f>
        <v>0</v>
      </c>
      <c r="AX64" s="173">
        <f ca="1">IF(OR($D64&lt;&gt;"Serviço",AND(AUTOEVENTO="Manual",$M64=$A$15),$M64&gt;(ROW(PLE.lastrow)-ROW(PLE.firstrow))),0,
           IF(OFFSET(PLE!$G$15,$M64-$A$15,AX$13)="",10^12,OFFSET(PLE!$G$15,$M64-$A$15,AX$13)))</f>
        <v>0</v>
      </c>
      <c r="AY64" s="173">
        <f ca="1">IF(OR($D64&lt;&gt;"Serviço",AND(AUTOEVENTO="Manual",$M64=$A$15),$M64&gt;(ROW(PLE.lastrow)-ROW(PLE.firstrow))),0,
           IF(OFFSET(PLE!$G$15,$M64-$A$15,AY$13)="",10^12,OFFSET(PLE!$G$15,$M64-$A$15,AY$13)))</f>
        <v>0</v>
      </c>
      <c r="AZ64" s="173">
        <f ca="1">IF(OR($D64&lt;&gt;"Serviço",AND(AUTOEVENTO="Manual",$M64=$A$15),$M64&gt;(ROW(PLE.lastrow)-ROW(PLE.firstrow))),0,
           IF(OFFSET(PLE!$G$15,$M64-$A$15,AZ$13)="",10^12,OFFSET(PLE!$G$15,$M64-$A$15,AZ$13)))</f>
        <v>0</v>
      </c>
      <c r="BA64" s="173">
        <f ca="1">IF(OR($D64&lt;&gt;"Serviço",AND(AUTOEVENTO="Manual",$M64=$A$15),$M64&gt;(ROW(PLE.lastrow)-ROW(PLE.firstrow))),0,
           IF(OFFSET(PLE!$G$15,$M64-$A$15,BA$13)="",10^12,OFFSET(PLE!$G$15,$M64-$A$15,BA$13)))</f>
        <v>0</v>
      </c>
      <c r="BB64" s="173">
        <f ca="1">IF(OR($D64&lt;&gt;"Serviço",AND(AUTOEVENTO="Manual",$M64=$A$15),$M64&gt;(ROW(PLE.lastrow)-ROW(PLE.firstrow))),0,
           IF(OFFSET(PLE!$G$15,$M64-$A$15,BB$13)="",10^12,OFFSET(PLE!$G$15,$M64-$A$15,BB$13)))</f>
        <v>0</v>
      </c>
      <c r="BC64" s="173">
        <f ca="1">IF(OR($D64&lt;&gt;"Serviço",AND(AUTOEVENTO="Manual",$M64=$A$15),$M64&gt;(ROW(PLE.lastrow)-ROW(PLE.firstrow))),0,
           IF(OFFSET(PLE!$G$15,$M64-$A$15,BC$13)="",10^12,OFFSET(PLE!$G$15,$M64-$A$15,BC$13)))</f>
        <v>0</v>
      </c>
      <c r="BD64" s="173">
        <f ca="1">IF(OR($D64&lt;&gt;"Serviço",AND(AUTOEVENTO="Manual",$M64=$A$15),$M64&gt;(ROW(PLE.lastrow)-ROW(PLE.firstrow))),0,
           IF(OFFSET(PLE!$G$15,$M64-$A$15,BD$13)="",10^12,OFFSET(PLE!$G$15,$M64-$A$15,BD$13)))</f>
        <v>0</v>
      </c>
      <c r="BE64" s="173">
        <f ca="1">IF(OR($D64&lt;&gt;"Serviço",AND(AUTOEVENTO="Manual",$M64=$A$15),$M64&gt;(ROW(PLE.lastrow)-ROW(PLE.firstrow))),0,
           IF(OFFSET(PLE!$G$15,$M64-$A$15,BE$13)="",10^12,OFFSET(PLE!$G$15,$M64-$A$15,BE$13)))</f>
        <v>0</v>
      </c>
      <c r="BF64" s="173">
        <f ca="1">IF(OR($D64&lt;&gt;"Serviço",AND(AUTOEVENTO="Manual",$M64=$A$15),$M64&gt;(ROW(PLE.lastrow)-ROW(PLE.firstrow))),0,
           IF(OFFSET(PLE!$G$15,$M64-$A$15,BF$13)="",10^12,OFFSET(PLE!$G$15,$M64-$A$15,BF$13)))</f>
        <v>0</v>
      </c>
      <c r="BG64" s="173">
        <f ca="1">IF(OR($D64&lt;&gt;"Serviço",AND(AUTOEVENTO="Manual",$M64=$A$15),$M64&gt;(ROW(PLE.lastrow)-ROW(PLE.firstrow))),0,
           IF(OFFSET(PLE!$G$15,$M64-$A$15,BG$13)="",10^12,OFFSET(PLE!$G$15,$M64-$A$15,BG$13)))</f>
        <v>0</v>
      </c>
    </row>
    <row r="65" spans="1:59" s="675" customFormat="1" ht="38.25" x14ac:dyDescent="0.2">
      <c r="A65" s="671" t="str">
        <f t="shared" ca="1" si="9"/>
        <v>49</v>
      </c>
      <c r="B65" s="671" t="str">
        <f ca="1">OFFSET(ORÇAMENTO!C$15,ROW(B65)-ROW(B$15),0)</f>
        <v>S</v>
      </c>
      <c r="C65" s="671" t="str">
        <f ca="1">OFFSET(ORÇAMENTO!L$15,ROW(C65)-ROW(C$15),0)</f>
        <v/>
      </c>
      <c r="D65" s="117" t="str">
        <f ca="1">OFFSET(ORÇAMENTO!N$15,ROW(D65)-ROW(D$15),0)</f>
        <v>Serviço</v>
      </c>
      <c r="E65" s="118" t="str">
        <f ca="1">OFFSET(ORÇAMENTO!O$15,ROW(E65)-ROW(E$15),0)</f>
        <v>-</v>
      </c>
      <c r="F65" s="164" t="str">
        <f ca="1">OFFSET(ORÇAMENTO!R$15,ROW(F65)-ROW(F$15),0)</f>
        <v>(abra o arquivo 'Referência 09-2025.xlsm)</v>
      </c>
      <c r="G65" s="165" t="str">
        <f ca="1">IF($D65&lt;&gt;"Serviço","",OFFSET(ORÇAMENTO!S$15,ROW(G65)-ROW(G$15),0))</f>
        <v>-</v>
      </c>
      <c r="H65" s="123">
        <f ca="1">IF($D65&lt;&gt;"Serviço",0,IF(ACOMPANHAMENTO="BM",ROUND(OFFSET(ORÇAMENTO!AJ$15,ROW(H65)-ROW(H$15),0),15-13*ORÇAMENTO!$AF$7),SUMPRODUCT(($Q$1:$AA$1=1)*ROUND($Q65:$AA65,15-13*ORÇAMENTO!$AF$7))))</f>
        <v>8</v>
      </c>
      <c r="I65" s="469" t="s">
        <v>1107</v>
      </c>
      <c r="J65" s="667" t="str">
        <f ca="1">IF(OR(B65&lt;&gt;"S",CÁLCULO.FrentesPreenchidas=0),"",IF(AND(ACOMPANHAMENTO="PLE",AUTOEVENTO="Manual",OR(H65&gt;0,ORÇAMENTO!AC65="QUANT."),OR(K65="",M65=0,N65="")),"►",IF(AND(ACOMPANHAMENTO="PLE",ORÇAMENTO!AC65="QUANT."),"►►",IF(AND(COUNTIF($P$11:$AA$11,"▼")=0,H65&gt;0,I65=""),"◄",""))))</f>
        <v/>
      </c>
      <c r="K65" s="668"/>
      <c r="L65" s="166" t="s">
        <v>765</v>
      </c>
      <c r="M65" s="167">
        <f ca="1">IF($D65&lt;&gt;"Serviço","",
          IF(AUTOEVENTO="manual",$A65,
                IF(ISERROR(MATCH($A65,$A$15:OFFSET($A65,-1,0),0)),MAX($M$15:OFFSET(M65,-1,0))+1,
                      INDEX($M$15:OFFSET(M65,-1,0),MATCH($A65,$A$15:OFFSET($A65,-1,0),0)))))</f>
        <v>5</v>
      </c>
      <c r="N65" s="168" t="str">
        <f ca="1">IF($D65&lt;&gt;"Serviço","",
         IF(AUTOEVENTO="Manual",
                IF($A65=0,"&lt;-- defina o número do agrupador",
                       OFFSET(EVENTOS!$D$15,$A65-$A$15,0)),
                OFFSET($F$15,$A65,0)))</f>
        <v>POÇO DE VISITA PARA PROTEÇÃO VENTOSAS E DESCARGAS</v>
      </c>
      <c r="O65" s="169"/>
      <c r="Q65" s="169"/>
      <c r="R65" s="170"/>
      <c r="S65" s="170"/>
      <c r="T65" s="170"/>
      <c r="U65" s="170"/>
      <c r="V65" s="170"/>
      <c r="W65" s="170"/>
      <c r="X65" s="170"/>
      <c r="Y65" s="170"/>
      <c r="Z65" s="171"/>
      <c r="AB65" s="454">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4">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4">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4">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4">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4">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4">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4">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4">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4">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2">
        <f ca="1">IF(OR($D65&lt;&gt;"Serviço",AND(AUTOEVENTO="Manual",$M65=$A$15)),0,
         IF(OFFSET(CRONOPLE!$F$15,$M65-$A$15,AM$13)=0,10^12,OFFSET(CRONOPLE!$F$15,$M65-$A$15,AM$13)))</f>
        <v>1000000000000</v>
      </c>
      <c r="AN65" s="172">
        <f ca="1">IF(OR($D65&lt;&gt;"Serviço",AND(AUTOEVENTO="Manual",$M65=$A$15)),0,
         IF(OFFSET(CRONOPLE!$F$15,$M65-$A$15,AN$13)=0,10^12,OFFSET(CRONOPLE!$F$15,$M65-$A$15,AN$13)))</f>
        <v>1000000000000</v>
      </c>
      <c r="AO65" s="172">
        <f ca="1">IF(OR($D65&lt;&gt;"Serviço",AND(AUTOEVENTO="Manual",$M65=$A$15)),0,
         IF(OFFSET(CRONOPLE!$F$15,$M65-$A$15,AO$13)=0,10^12,OFFSET(CRONOPLE!$F$15,$M65-$A$15,AO$13)))</f>
        <v>1000000000000</v>
      </c>
      <c r="AP65" s="172">
        <f ca="1">IF(OR($D65&lt;&gt;"Serviço",AND(AUTOEVENTO="Manual",$M65=$A$15)),0,
         IF(OFFSET(CRONOPLE!$F$15,$M65-$A$15,AP$13)=0,10^12,OFFSET(CRONOPLE!$F$15,$M65-$A$15,AP$13)))</f>
        <v>1000000000000</v>
      </c>
      <c r="AQ65" s="172">
        <f ca="1">IF(OR($D65&lt;&gt;"Serviço",AND(AUTOEVENTO="Manual",$M65=$A$15)),0,
         IF(OFFSET(CRONOPLE!$F$15,$M65-$A$15,AQ$13)=0,10^12,OFFSET(CRONOPLE!$F$15,$M65-$A$15,AQ$13)))</f>
        <v>1000000000000</v>
      </c>
      <c r="AR65" s="172">
        <f ca="1">IF(OR($D65&lt;&gt;"Serviço",AND(AUTOEVENTO="Manual",$M65=$A$15)),0,
         IF(OFFSET(CRONOPLE!$F$15,$M65-$A$15,AR$13)=0,10^12,OFFSET(CRONOPLE!$F$15,$M65-$A$15,AR$13)))</f>
        <v>1000000000000</v>
      </c>
      <c r="AS65" s="172">
        <f ca="1">IF(OR($D65&lt;&gt;"Serviço",AND(AUTOEVENTO="Manual",$M65=$A$15)),0,
         IF(OFFSET(CRONOPLE!$F$15,$M65-$A$15,AS$13)=0,10^12,OFFSET(CRONOPLE!$F$15,$M65-$A$15,AS$13)))</f>
        <v>1000000000000</v>
      </c>
      <c r="AT65" s="172">
        <f ca="1">IF(OR($D65&lt;&gt;"Serviço",AND(AUTOEVENTO="Manual",$M65=$A$15)),0,
         IF(OFFSET(CRONOPLE!$F$15,$M65-$A$15,AT$13)=0,10^12,OFFSET(CRONOPLE!$F$15,$M65-$A$15,AT$13)))</f>
        <v>1000000000000</v>
      </c>
      <c r="AU65" s="172">
        <f ca="1">IF(OR($D65&lt;&gt;"Serviço",AND(AUTOEVENTO="Manual",$M65=$A$15)),0,
         IF(OFFSET(CRONOPLE!$F$15,$M65-$A$15,AU$13)=0,10^12,OFFSET(CRONOPLE!$F$15,$M65-$A$15,AU$13)))</f>
        <v>1000000000000</v>
      </c>
      <c r="AV65" s="172">
        <f ca="1">IF(OR($D65&lt;&gt;"Serviço",AND(AUTOEVENTO="Manual",$M65=$A$15)),0,
         IF(OFFSET(CRONOPLE!$F$15,$M65-$A$15,AV$13)=0,10^12,OFFSET(CRONOPLE!$F$15,$M65-$A$15,AV$13)))</f>
        <v>1000000000000</v>
      </c>
      <c r="AX65" s="173">
        <f ca="1">IF(OR($D65&lt;&gt;"Serviço",AND(AUTOEVENTO="Manual",$M65=$A$15),$M65&gt;(ROW(PLE.lastrow)-ROW(PLE.firstrow))),0,
           IF(OFFSET(PLE!$G$15,$M65-$A$15,AX$13)="",10^12,OFFSET(PLE!$G$15,$M65-$A$15,AX$13)))</f>
        <v>1000000000000</v>
      </c>
      <c r="AY65" s="173">
        <f ca="1">IF(OR($D65&lt;&gt;"Serviço",AND(AUTOEVENTO="Manual",$M65=$A$15),$M65&gt;(ROW(PLE.lastrow)-ROW(PLE.firstrow))),0,
           IF(OFFSET(PLE!$G$15,$M65-$A$15,AY$13)="",10^12,OFFSET(PLE!$G$15,$M65-$A$15,AY$13)))</f>
        <v>1000000000000</v>
      </c>
      <c r="AZ65" s="173">
        <f ca="1">IF(OR($D65&lt;&gt;"Serviço",AND(AUTOEVENTO="Manual",$M65=$A$15),$M65&gt;(ROW(PLE.lastrow)-ROW(PLE.firstrow))),0,
           IF(OFFSET(PLE!$G$15,$M65-$A$15,AZ$13)="",10^12,OFFSET(PLE!$G$15,$M65-$A$15,AZ$13)))</f>
        <v>1000000000000</v>
      </c>
      <c r="BA65" s="173">
        <f ca="1">IF(OR($D65&lt;&gt;"Serviço",AND(AUTOEVENTO="Manual",$M65=$A$15),$M65&gt;(ROW(PLE.lastrow)-ROW(PLE.firstrow))),0,
           IF(OFFSET(PLE!$G$15,$M65-$A$15,BA$13)="",10^12,OFFSET(PLE!$G$15,$M65-$A$15,BA$13)))</f>
        <v>1000000000000</v>
      </c>
      <c r="BB65" s="173">
        <f ca="1">IF(OR($D65&lt;&gt;"Serviço",AND(AUTOEVENTO="Manual",$M65=$A$15),$M65&gt;(ROW(PLE.lastrow)-ROW(PLE.firstrow))),0,
           IF(OFFSET(PLE!$G$15,$M65-$A$15,BB$13)="",10^12,OFFSET(PLE!$G$15,$M65-$A$15,BB$13)))</f>
        <v>1000000000000</v>
      </c>
      <c r="BC65" s="173">
        <f ca="1">IF(OR($D65&lt;&gt;"Serviço",AND(AUTOEVENTO="Manual",$M65=$A$15),$M65&gt;(ROW(PLE.lastrow)-ROW(PLE.firstrow))),0,
           IF(OFFSET(PLE!$G$15,$M65-$A$15,BC$13)="",10^12,OFFSET(PLE!$G$15,$M65-$A$15,BC$13)))</f>
        <v>1000000000000</v>
      </c>
      <c r="BD65" s="173">
        <f ca="1">IF(OR($D65&lt;&gt;"Serviço",AND(AUTOEVENTO="Manual",$M65=$A$15),$M65&gt;(ROW(PLE.lastrow)-ROW(PLE.firstrow))),0,
           IF(OFFSET(PLE!$G$15,$M65-$A$15,BD$13)="",10^12,OFFSET(PLE!$G$15,$M65-$A$15,BD$13)))</f>
        <v>1000000000000</v>
      </c>
      <c r="BE65" s="173">
        <f ca="1">IF(OR($D65&lt;&gt;"Serviço",AND(AUTOEVENTO="Manual",$M65=$A$15),$M65&gt;(ROW(PLE.lastrow)-ROW(PLE.firstrow))),0,
           IF(OFFSET(PLE!$G$15,$M65-$A$15,BE$13)="",10^12,OFFSET(PLE!$G$15,$M65-$A$15,BE$13)))</f>
        <v>1000000000000</v>
      </c>
      <c r="BF65" s="173">
        <f ca="1">IF(OR($D65&lt;&gt;"Serviço",AND(AUTOEVENTO="Manual",$M65=$A$15),$M65&gt;(ROW(PLE.lastrow)-ROW(PLE.firstrow))),0,
           IF(OFFSET(PLE!$G$15,$M65-$A$15,BF$13)="",10^12,OFFSET(PLE!$G$15,$M65-$A$15,BF$13)))</f>
        <v>1000000000000</v>
      </c>
      <c r="BG65" s="173">
        <f ca="1">IF(OR($D65&lt;&gt;"Serviço",AND(AUTOEVENTO="Manual",$M65=$A$15),$M65&gt;(ROW(PLE.lastrow)-ROW(PLE.firstrow))),0,
           IF(OFFSET(PLE!$G$15,$M65-$A$15,BG$13)="",10^12,OFFSET(PLE!$G$15,$M65-$A$15,BG$13)))</f>
        <v>1000000000000</v>
      </c>
    </row>
    <row r="66" spans="1:59" s="675" customFormat="1" ht="38.25" x14ac:dyDescent="0.2">
      <c r="A66" s="671" t="str">
        <f t="shared" ca="1" si="9"/>
        <v>49</v>
      </c>
      <c r="B66" s="671" t="str">
        <f ca="1">OFFSET(ORÇAMENTO!C$15,ROW(B66)-ROW(B$15),0)</f>
        <v>S</v>
      </c>
      <c r="C66" s="671" t="str">
        <f ca="1">OFFSET(ORÇAMENTO!L$15,ROW(C66)-ROW(C$15),0)</f>
        <v/>
      </c>
      <c r="D66" s="117" t="str">
        <f ca="1">OFFSET(ORÇAMENTO!N$15,ROW(D66)-ROW(D$15),0)</f>
        <v>Serviço</v>
      </c>
      <c r="E66" s="118" t="str">
        <f ca="1">OFFSET(ORÇAMENTO!O$15,ROW(E66)-ROW(E$15),0)</f>
        <v>-</v>
      </c>
      <c r="F66" s="164" t="str">
        <f ca="1">OFFSET(ORÇAMENTO!R$15,ROW(F66)-ROW(F$15),0)</f>
        <v>(abra o arquivo 'Referência 09-2025.xlsm)</v>
      </c>
      <c r="G66" s="165" t="str">
        <f ca="1">IF($D66&lt;&gt;"Serviço","",OFFSET(ORÇAMENTO!S$15,ROW(G66)-ROW(G$15),0))</f>
        <v>-</v>
      </c>
      <c r="H66" s="123">
        <f ca="1">IF($D66&lt;&gt;"Serviço",0,IF(ACOMPANHAMENTO="BM",ROUND(OFFSET(ORÇAMENTO!AJ$15,ROW(H66)-ROW(H$15),0),15-13*ORÇAMENTO!$AF$7),SUMPRODUCT(($Q$1:$AA$1=1)*ROUND($Q66:$AA66,15-13*ORÇAMENTO!$AF$7))))</f>
        <v>6.3</v>
      </c>
      <c r="I66" s="469" t="s">
        <v>1108</v>
      </c>
      <c r="J66" s="667" t="str">
        <f ca="1">IF(OR(B66&lt;&gt;"S",CÁLCULO.FrentesPreenchidas=0),"",IF(AND(ACOMPANHAMENTO="PLE",AUTOEVENTO="Manual",OR(H66&gt;0,ORÇAMENTO!AC66="QUANT."),OR(K66="",M66=0,N66="")),"►",IF(AND(ACOMPANHAMENTO="PLE",ORÇAMENTO!AC66="QUANT."),"►►",IF(AND(COUNTIF($P$11:$AA$11,"▼")=0,H66&gt;0,I66=""),"◄",""))))</f>
        <v/>
      </c>
      <c r="K66" s="668"/>
      <c r="L66" s="166" t="s">
        <v>765</v>
      </c>
      <c r="M66" s="167">
        <f ca="1">IF($D66&lt;&gt;"Serviço","",
          IF(AUTOEVENTO="manual",$A66,
                IF(ISERROR(MATCH($A66,$A$15:OFFSET($A66,-1,0),0)),MAX($M$15:OFFSET(M66,-1,0))+1,
                      INDEX($M$15:OFFSET(M66,-1,0),MATCH($A66,$A$15:OFFSET($A66,-1,0),0)))))</f>
        <v>5</v>
      </c>
      <c r="N66" s="168" t="str">
        <f ca="1">IF($D66&lt;&gt;"Serviço","",
         IF(AUTOEVENTO="Manual",
                IF($A66=0,"&lt;-- defina o número do agrupador",
                       OFFSET(EVENTOS!$D$15,$A66-$A$15,0)),
                OFFSET($F$15,$A66,0)))</f>
        <v>POÇO DE VISITA PARA PROTEÇÃO VENTOSAS E DESCARGAS</v>
      </c>
      <c r="O66" s="169"/>
      <c r="Q66" s="169"/>
      <c r="R66" s="170"/>
      <c r="S66" s="170"/>
      <c r="T66" s="170"/>
      <c r="U66" s="170"/>
      <c r="V66" s="170"/>
      <c r="W66" s="170"/>
      <c r="X66" s="170"/>
      <c r="Y66" s="170"/>
      <c r="Z66" s="171"/>
      <c r="AB66" s="454">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4">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4">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4">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4">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4">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4">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4">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4">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4">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2">
        <f ca="1">IF(OR($D66&lt;&gt;"Serviço",AND(AUTOEVENTO="Manual",$M66=$A$15)),0,
         IF(OFFSET(CRONOPLE!$F$15,$M66-$A$15,AM$13)=0,10^12,OFFSET(CRONOPLE!$F$15,$M66-$A$15,AM$13)))</f>
        <v>1000000000000</v>
      </c>
      <c r="AN66" s="172">
        <f ca="1">IF(OR($D66&lt;&gt;"Serviço",AND(AUTOEVENTO="Manual",$M66=$A$15)),0,
         IF(OFFSET(CRONOPLE!$F$15,$M66-$A$15,AN$13)=0,10^12,OFFSET(CRONOPLE!$F$15,$M66-$A$15,AN$13)))</f>
        <v>1000000000000</v>
      </c>
      <c r="AO66" s="172">
        <f ca="1">IF(OR($D66&lt;&gt;"Serviço",AND(AUTOEVENTO="Manual",$M66=$A$15)),0,
         IF(OFFSET(CRONOPLE!$F$15,$M66-$A$15,AO$13)=0,10^12,OFFSET(CRONOPLE!$F$15,$M66-$A$15,AO$13)))</f>
        <v>1000000000000</v>
      </c>
      <c r="AP66" s="172">
        <f ca="1">IF(OR($D66&lt;&gt;"Serviço",AND(AUTOEVENTO="Manual",$M66=$A$15)),0,
         IF(OFFSET(CRONOPLE!$F$15,$M66-$A$15,AP$13)=0,10^12,OFFSET(CRONOPLE!$F$15,$M66-$A$15,AP$13)))</f>
        <v>1000000000000</v>
      </c>
      <c r="AQ66" s="172">
        <f ca="1">IF(OR($D66&lt;&gt;"Serviço",AND(AUTOEVENTO="Manual",$M66=$A$15)),0,
         IF(OFFSET(CRONOPLE!$F$15,$M66-$A$15,AQ$13)=0,10^12,OFFSET(CRONOPLE!$F$15,$M66-$A$15,AQ$13)))</f>
        <v>1000000000000</v>
      </c>
      <c r="AR66" s="172">
        <f ca="1">IF(OR($D66&lt;&gt;"Serviço",AND(AUTOEVENTO="Manual",$M66=$A$15)),0,
         IF(OFFSET(CRONOPLE!$F$15,$M66-$A$15,AR$13)=0,10^12,OFFSET(CRONOPLE!$F$15,$M66-$A$15,AR$13)))</f>
        <v>1000000000000</v>
      </c>
      <c r="AS66" s="172">
        <f ca="1">IF(OR($D66&lt;&gt;"Serviço",AND(AUTOEVENTO="Manual",$M66=$A$15)),0,
         IF(OFFSET(CRONOPLE!$F$15,$M66-$A$15,AS$13)=0,10^12,OFFSET(CRONOPLE!$F$15,$M66-$A$15,AS$13)))</f>
        <v>1000000000000</v>
      </c>
      <c r="AT66" s="172">
        <f ca="1">IF(OR($D66&lt;&gt;"Serviço",AND(AUTOEVENTO="Manual",$M66=$A$15)),0,
         IF(OFFSET(CRONOPLE!$F$15,$M66-$A$15,AT$13)=0,10^12,OFFSET(CRONOPLE!$F$15,$M66-$A$15,AT$13)))</f>
        <v>1000000000000</v>
      </c>
      <c r="AU66" s="172">
        <f ca="1">IF(OR($D66&lt;&gt;"Serviço",AND(AUTOEVENTO="Manual",$M66=$A$15)),0,
         IF(OFFSET(CRONOPLE!$F$15,$M66-$A$15,AU$13)=0,10^12,OFFSET(CRONOPLE!$F$15,$M66-$A$15,AU$13)))</f>
        <v>1000000000000</v>
      </c>
      <c r="AV66" s="172">
        <f ca="1">IF(OR($D66&lt;&gt;"Serviço",AND(AUTOEVENTO="Manual",$M66=$A$15)),0,
         IF(OFFSET(CRONOPLE!$F$15,$M66-$A$15,AV$13)=0,10^12,OFFSET(CRONOPLE!$F$15,$M66-$A$15,AV$13)))</f>
        <v>1000000000000</v>
      </c>
      <c r="AX66" s="173">
        <f ca="1">IF(OR($D66&lt;&gt;"Serviço",AND(AUTOEVENTO="Manual",$M66=$A$15),$M66&gt;(ROW(PLE.lastrow)-ROW(PLE.firstrow))),0,
           IF(OFFSET(PLE!$G$15,$M66-$A$15,AX$13)="",10^12,OFFSET(PLE!$G$15,$M66-$A$15,AX$13)))</f>
        <v>1000000000000</v>
      </c>
      <c r="AY66" s="173">
        <f ca="1">IF(OR($D66&lt;&gt;"Serviço",AND(AUTOEVENTO="Manual",$M66=$A$15),$M66&gt;(ROW(PLE.lastrow)-ROW(PLE.firstrow))),0,
           IF(OFFSET(PLE!$G$15,$M66-$A$15,AY$13)="",10^12,OFFSET(PLE!$G$15,$M66-$A$15,AY$13)))</f>
        <v>1000000000000</v>
      </c>
      <c r="AZ66" s="173">
        <f ca="1">IF(OR($D66&lt;&gt;"Serviço",AND(AUTOEVENTO="Manual",$M66=$A$15),$M66&gt;(ROW(PLE.lastrow)-ROW(PLE.firstrow))),0,
           IF(OFFSET(PLE!$G$15,$M66-$A$15,AZ$13)="",10^12,OFFSET(PLE!$G$15,$M66-$A$15,AZ$13)))</f>
        <v>1000000000000</v>
      </c>
      <c r="BA66" s="173">
        <f ca="1">IF(OR($D66&lt;&gt;"Serviço",AND(AUTOEVENTO="Manual",$M66=$A$15),$M66&gt;(ROW(PLE.lastrow)-ROW(PLE.firstrow))),0,
           IF(OFFSET(PLE!$G$15,$M66-$A$15,BA$13)="",10^12,OFFSET(PLE!$G$15,$M66-$A$15,BA$13)))</f>
        <v>1000000000000</v>
      </c>
      <c r="BB66" s="173">
        <f ca="1">IF(OR($D66&lt;&gt;"Serviço",AND(AUTOEVENTO="Manual",$M66=$A$15),$M66&gt;(ROW(PLE.lastrow)-ROW(PLE.firstrow))),0,
           IF(OFFSET(PLE!$G$15,$M66-$A$15,BB$13)="",10^12,OFFSET(PLE!$G$15,$M66-$A$15,BB$13)))</f>
        <v>1000000000000</v>
      </c>
      <c r="BC66" s="173">
        <f ca="1">IF(OR($D66&lt;&gt;"Serviço",AND(AUTOEVENTO="Manual",$M66=$A$15),$M66&gt;(ROW(PLE.lastrow)-ROW(PLE.firstrow))),0,
           IF(OFFSET(PLE!$G$15,$M66-$A$15,BC$13)="",10^12,OFFSET(PLE!$G$15,$M66-$A$15,BC$13)))</f>
        <v>1000000000000</v>
      </c>
      <c r="BD66" s="173">
        <f ca="1">IF(OR($D66&lt;&gt;"Serviço",AND(AUTOEVENTO="Manual",$M66=$A$15),$M66&gt;(ROW(PLE.lastrow)-ROW(PLE.firstrow))),0,
           IF(OFFSET(PLE!$G$15,$M66-$A$15,BD$13)="",10^12,OFFSET(PLE!$G$15,$M66-$A$15,BD$13)))</f>
        <v>1000000000000</v>
      </c>
      <c r="BE66" s="173">
        <f ca="1">IF(OR($D66&lt;&gt;"Serviço",AND(AUTOEVENTO="Manual",$M66=$A$15),$M66&gt;(ROW(PLE.lastrow)-ROW(PLE.firstrow))),0,
           IF(OFFSET(PLE!$G$15,$M66-$A$15,BE$13)="",10^12,OFFSET(PLE!$G$15,$M66-$A$15,BE$13)))</f>
        <v>1000000000000</v>
      </c>
      <c r="BF66" s="173">
        <f ca="1">IF(OR($D66&lt;&gt;"Serviço",AND(AUTOEVENTO="Manual",$M66=$A$15),$M66&gt;(ROW(PLE.lastrow)-ROW(PLE.firstrow))),0,
           IF(OFFSET(PLE!$G$15,$M66-$A$15,BF$13)="",10^12,OFFSET(PLE!$G$15,$M66-$A$15,BF$13)))</f>
        <v>1000000000000</v>
      </c>
      <c r="BG66" s="173">
        <f ca="1">IF(OR($D66&lt;&gt;"Serviço",AND(AUTOEVENTO="Manual",$M66=$A$15),$M66&gt;(ROW(PLE.lastrow)-ROW(PLE.firstrow))),0,
           IF(OFFSET(PLE!$G$15,$M66-$A$15,BG$13)="",10^12,OFFSET(PLE!$G$15,$M66-$A$15,BG$13)))</f>
        <v>1000000000000</v>
      </c>
    </row>
    <row r="67" spans="1:59" s="675" customFormat="1" ht="38.25" x14ac:dyDescent="0.2">
      <c r="A67" s="671" t="str">
        <f t="shared" ca="1" si="9"/>
        <v>49</v>
      </c>
      <c r="B67" s="671" t="str">
        <f ca="1">OFFSET(ORÇAMENTO!C$15,ROW(B67)-ROW(B$15),0)</f>
        <v>S</v>
      </c>
      <c r="C67" s="671" t="str">
        <f ca="1">OFFSET(ORÇAMENTO!L$15,ROW(C67)-ROW(C$15),0)</f>
        <v/>
      </c>
      <c r="D67" s="117" t="str">
        <f ca="1">OFFSET(ORÇAMENTO!N$15,ROW(D67)-ROW(D$15),0)</f>
        <v>Serviço</v>
      </c>
      <c r="E67" s="118" t="str">
        <f ca="1">OFFSET(ORÇAMENTO!O$15,ROW(E67)-ROW(E$15),0)</f>
        <v>-</v>
      </c>
      <c r="F67" s="164" t="str">
        <f ca="1">OFFSET(ORÇAMENTO!R$15,ROW(F67)-ROW(F$15),0)</f>
        <v>(abra o arquivo 'Referência 09-2025.xlsm)</v>
      </c>
      <c r="G67" s="165" t="str">
        <f ca="1">IF($D67&lt;&gt;"Serviço","",OFFSET(ORÇAMENTO!S$15,ROW(G67)-ROW(G$15),0))</f>
        <v>-</v>
      </c>
      <c r="H67" s="123">
        <f ca="1">IF($D67&lt;&gt;"Serviço",0,IF(ACOMPANHAMENTO="BM",ROUND(OFFSET(ORÇAMENTO!AJ$15,ROW(H67)-ROW(H$15),0),15-13*ORÇAMENTO!$AF$7),SUMPRODUCT(($Q$1:$AA$1=1)*ROUND($Q67:$AA67,15-13*ORÇAMENTO!$AF$7))))</f>
        <v>2</v>
      </c>
      <c r="I67" s="469" t="s">
        <v>1106</v>
      </c>
      <c r="J67" s="667" t="str">
        <f ca="1">IF(OR(B67&lt;&gt;"S",CÁLCULO.FrentesPreenchidas=0),"",IF(AND(ACOMPANHAMENTO="PLE",AUTOEVENTO="Manual",OR(H67&gt;0,ORÇAMENTO!AC67="QUANT."),OR(K67="",M67=0,N67="")),"►",IF(AND(ACOMPANHAMENTO="PLE",ORÇAMENTO!AC67="QUANT."),"►►",IF(AND(COUNTIF($P$11:$AA$11,"▼")=0,H67&gt;0,I67=""),"◄",""))))</f>
        <v/>
      </c>
      <c r="K67" s="668"/>
      <c r="L67" s="166" t="s">
        <v>765</v>
      </c>
      <c r="M67" s="167">
        <f ca="1">IF($D67&lt;&gt;"Serviço","",
          IF(AUTOEVENTO="manual",$A67,
                IF(ISERROR(MATCH($A67,$A$15:OFFSET($A67,-1,0),0)),MAX($M$15:OFFSET(M67,-1,0))+1,
                      INDEX($M$15:OFFSET(M67,-1,0),MATCH($A67,$A$15:OFFSET($A67,-1,0),0)))))</f>
        <v>5</v>
      </c>
      <c r="N67" s="168" t="str">
        <f ca="1">IF($D67&lt;&gt;"Serviço","",
         IF(AUTOEVENTO="Manual",
                IF($A67=0,"&lt;-- defina o número do agrupador",
                       OFFSET(EVENTOS!$D$15,$A67-$A$15,0)),
                OFFSET($F$15,$A67,0)))</f>
        <v>POÇO DE VISITA PARA PROTEÇÃO VENTOSAS E DESCARGAS</v>
      </c>
      <c r="O67" s="169"/>
      <c r="Q67" s="169"/>
      <c r="R67" s="170"/>
      <c r="S67" s="170"/>
      <c r="T67" s="170"/>
      <c r="U67" s="170"/>
      <c r="V67" s="170"/>
      <c r="W67" s="170"/>
      <c r="X67" s="170"/>
      <c r="Y67" s="170"/>
      <c r="Z67" s="171"/>
      <c r="AB67" s="454">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4">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4">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4">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4">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4">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4">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4">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4">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4">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2">
        <f ca="1">IF(OR($D67&lt;&gt;"Serviço",AND(AUTOEVENTO="Manual",$M67=$A$15)),0,
         IF(OFFSET(CRONOPLE!$F$15,$M67-$A$15,AM$13)=0,10^12,OFFSET(CRONOPLE!$F$15,$M67-$A$15,AM$13)))</f>
        <v>1000000000000</v>
      </c>
      <c r="AN67" s="172">
        <f ca="1">IF(OR($D67&lt;&gt;"Serviço",AND(AUTOEVENTO="Manual",$M67=$A$15)),0,
         IF(OFFSET(CRONOPLE!$F$15,$M67-$A$15,AN$13)=0,10^12,OFFSET(CRONOPLE!$F$15,$M67-$A$15,AN$13)))</f>
        <v>1000000000000</v>
      </c>
      <c r="AO67" s="172">
        <f ca="1">IF(OR($D67&lt;&gt;"Serviço",AND(AUTOEVENTO="Manual",$M67=$A$15)),0,
         IF(OFFSET(CRONOPLE!$F$15,$M67-$A$15,AO$13)=0,10^12,OFFSET(CRONOPLE!$F$15,$M67-$A$15,AO$13)))</f>
        <v>1000000000000</v>
      </c>
      <c r="AP67" s="172">
        <f ca="1">IF(OR($D67&lt;&gt;"Serviço",AND(AUTOEVENTO="Manual",$M67=$A$15)),0,
         IF(OFFSET(CRONOPLE!$F$15,$M67-$A$15,AP$13)=0,10^12,OFFSET(CRONOPLE!$F$15,$M67-$A$15,AP$13)))</f>
        <v>1000000000000</v>
      </c>
      <c r="AQ67" s="172">
        <f ca="1">IF(OR($D67&lt;&gt;"Serviço",AND(AUTOEVENTO="Manual",$M67=$A$15)),0,
         IF(OFFSET(CRONOPLE!$F$15,$M67-$A$15,AQ$13)=0,10^12,OFFSET(CRONOPLE!$F$15,$M67-$A$15,AQ$13)))</f>
        <v>1000000000000</v>
      </c>
      <c r="AR67" s="172">
        <f ca="1">IF(OR($D67&lt;&gt;"Serviço",AND(AUTOEVENTO="Manual",$M67=$A$15)),0,
         IF(OFFSET(CRONOPLE!$F$15,$M67-$A$15,AR$13)=0,10^12,OFFSET(CRONOPLE!$F$15,$M67-$A$15,AR$13)))</f>
        <v>1000000000000</v>
      </c>
      <c r="AS67" s="172">
        <f ca="1">IF(OR($D67&lt;&gt;"Serviço",AND(AUTOEVENTO="Manual",$M67=$A$15)),0,
         IF(OFFSET(CRONOPLE!$F$15,$M67-$A$15,AS$13)=0,10^12,OFFSET(CRONOPLE!$F$15,$M67-$A$15,AS$13)))</f>
        <v>1000000000000</v>
      </c>
      <c r="AT67" s="172">
        <f ca="1">IF(OR($D67&lt;&gt;"Serviço",AND(AUTOEVENTO="Manual",$M67=$A$15)),0,
         IF(OFFSET(CRONOPLE!$F$15,$M67-$A$15,AT$13)=0,10^12,OFFSET(CRONOPLE!$F$15,$M67-$A$15,AT$13)))</f>
        <v>1000000000000</v>
      </c>
      <c r="AU67" s="172">
        <f ca="1">IF(OR($D67&lt;&gt;"Serviço",AND(AUTOEVENTO="Manual",$M67=$A$15)),0,
         IF(OFFSET(CRONOPLE!$F$15,$M67-$A$15,AU$13)=0,10^12,OFFSET(CRONOPLE!$F$15,$M67-$A$15,AU$13)))</f>
        <v>1000000000000</v>
      </c>
      <c r="AV67" s="172">
        <f ca="1">IF(OR($D67&lt;&gt;"Serviço",AND(AUTOEVENTO="Manual",$M67=$A$15)),0,
         IF(OFFSET(CRONOPLE!$F$15,$M67-$A$15,AV$13)=0,10^12,OFFSET(CRONOPLE!$F$15,$M67-$A$15,AV$13)))</f>
        <v>1000000000000</v>
      </c>
      <c r="AX67" s="173">
        <f ca="1">IF(OR($D67&lt;&gt;"Serviço",AND(AUTOEVENTO="Manual",$M67=$A$15),$M67&gt;(ROW(PLE.lastrow)-ROW(PLE.firstrow))),0,
           IF(OFFSET(PLE!$G$15,$M67-$A$15,AX$13)="",10^12,OFFSET(PLE!$G$15,$M67-$A$15,AX$13)))</f>
        <v>1000000000000</v>
      </c>
      <c r="AY67" s="173">
        <f ca="1">IF(OR($D67&lt;&gt;"Serviço",AND(AUTOEVENTO="Manual",$M67=$A$15),$M67&gt;(ROW(PLE.lastrow)-ROW(PLE.firstrow))),0,
           IF(OFFSET(PLE!$G$15,$M67-$A$15,AY$13)="",10^12,OFFSET(PLE!$G$15,$M67-$A$15,AY$13)))</f>
        <v>1000000000000</v>
      </c>
      <c r="AZ67" s="173">
        <f ca="1">IF(OR($D67&lt;&gt;"Serviço",AND(AUTOEVENTO="Manual",$M67=$A$15),$M67&gt;(ROW(PLE.lastrow)-ROW(PLE.firstrow))),0,
           IF(OFFSET(PLE!$G$15,$M67-$A$15,AZ$13)="",10^12,OFFSET(PLE!$G$15,$M67-$A$15,AZ$13)))</f>
        <v>1000000000000</v>
      </c>
      <c r="BA67" s="173">
        <f ca="1">IF(OR($D67&lt;&gt;"Serviço",AND(AUTOEVENTO="Manual",$M67=$A$15),$M67&gt;(ROW(PLE.lastrow)-ROW(PLE.firstrow))),0,
           IF(OFFSET(PLE!$G$15,$M67-$A$15,BA$13)="",10^12,OFFSET(PLE!$G$15,$M67-$A$15,BA$13)))</f>
        <v>1000000000000</v>
      </c>
      <c r="BB67" s="173">
        <f ca="1">IF(OR($D67&lt;&gt;"Serviço",AND(AUTOEVENTO="Manual",$M67=$A$15),$M67&gt;(ROW(PLE.lastrow)-ROW(PLE.firstrow))),0,
           IF(OFFSET(PLE!$G$15,$M67-$A$15,BB$13)="",10^12,OFFSET(PLE!$G$15,$M67-$A$15,BB$13)))</f>
        <v>1000000000000</v>
      </c>
      <c r="BC67" s="173">
        <f ca="1">IF(OR($D67&lt;&gt;"Serviço",AND(AUTOEVENTO="Manual",$M67=$A$15),$M67&gt;(ROW(PLE.lastrow)-ROW(PLE.firstrow))),0,
           IF(OFFSET(PLE!$G$15,$M67-$A$15,BC$13)="",10^12,OFFSET(PLE!$G$15,$M67-$A$15,BC$13)))</f>
        <v>1000000000000</v>
      </c>
      <c r="BD67" s="173">
        <f ca="1">IF(OR($D67&lt;&gt;"Serviço",AND(AUTOEVENTO="Manual",$M67=$A$15),$M67&gt;(ROW(PLE.lastrow)-ROW(PLE.firstrow))),0,
           IF(OFFSET(PLE!$G$15,$M67-$A$15,BD$13)="",10^12,OFFSET(PLE!$G$15,$M67-$A$15,BD$13)))</f>
        <v>1000000000000</v>
      </c>
      <c r="BE67" s="173">
        <f ca="1">IF(OR($D67&lt;&gt;"Serviço",AND(AUTOEVENTO="Manual",$M67=$A$15),$M67&gt;(ROW(PLE.lastrow)-ROW(PLE.firstrow))),0,
           IF(OFFSET(PLE!$G$15,$M67-$A$15,BE$13)="",10^12,OFFSET(PLE!$G$15,$M67-$A$15,BE$13)))</f>
        <v>1000000000000</v>
      </c>
      <c r="BF67" s="173">
        <f ca="1">IF(OR($D67&lt;&gt;"Serviço",AND(AUTOEVENTO="Manual",$M67=$A$15),$M67&gt;(ROW(PLE.lastrow)-ROW(PLE.firstrow))),0,
           IF(OFFSET(PLE!$G$15,$M67-$A$15,BF$13)="",10^12,OFFSET(PLE!$G$15,$M67-$A$15,BF$13)))</f>
        <v>1000000000000</v>
      </c>
      <c r="BG67" s="173">
        <f ca="1">IF(OR($D67&lt;&gt;"Serviço",AND(AUTOEVENTO="Manual",$M67=$A$15),$M67&gt;(ROW(PLE.lastrow)-ROW(PLE.firstrow))),0,
           IF(OFFSET(PLE!$G$15,$M67-$A$15,BG$13)="",10^12,OFFSET(PLE!$G$15,$M67-$A$15,BG$13)))</f>
        <v>1000000000000</v>
      </c>
    </row>
    <row r="68" spans="1:59" s="675" customFormat="1" ht="38.25" x14ac:dyDescent="0.2">
      <c r="A68" s="671" t="str">
        <f t="shared" ca="1" si="9"/>
        <v>49</v>
      </c>
      <c r="B68" s="671" t="str">
        <f ca="1">OFFSET(ORÇAMENTO!C$15,ROW(B68)-ROW(B$15),0)</f>
        <v>S</v>
      </c>
      <c r="C68" s="671" t="str">
        <f ca="1">OFFSET(ORÇAMENTO!L$15,ROW(C68)-ROW(C$15),0)</f>
        <v/>
      </c>
      <c r="D68" s="117" t="str">
        <f ca="1">OFFSET(ORÇAMENTO!N$15,ROW(D68)-ROW(D$15),0)</f>
        <v>Serviço</v>
      </c>
      <c r="E68" s="118" t="str">
        <f ca="1">OFFSET(ORÇAMENTO!O$15,ROW(E68)-ROW(E$15),0)</f>
        <v>-</v>
      </c>
      <c r="F68" s="164" t="str">
        <f ca="1">OFFSET(ORÇAMENTO!R$15,ROW(F68)-ROW(F$15),0)</f>
        <v>(abra o arquivo 'Referência 09-2025.xlsm)</v>
      </c>
      <c r="G68" s="165" t="str">
        <f ca="1">IF($D68&lt;&gt;"Serviço","",OFFSET(ORÇAMENTO!S$15,ROW(G68)-ROW(G$15),0))</f>
        <v>-</v>
      </c>
      <c r="H68" s="123">
        <f ca="1">IF($D68&lt;&gt;"Serviço",0,IF(ACOMPANHAMENTO="BM",ROUND(OFFSET(ORÇAMENTO!AJ$15,ROW(H68)-ROW(H$15),0),15-13*ORÇAMENTO!$AF$7),SUMPRODUCT(($Q$1:$AA$1=1)*ROUND($Q68:$AA68,15-13*ORÇAMENTO!$AF$7))))</f>
        <v>2.4</v>
      </c>
      <c r="I68" s="469" t="s">
        <v>1108</v>
      </c>
      <c r="J68" s="667" t="str">
        <f ca="1">IF(OR(B68&lt;&gt;"S",CÁLCULO.FrentesPreenchidas=0),"",IF(AND(ACOMPANHAMENTO="PLE",AUTOEVENTO="Manual",OR(H68&gt;0,ORÇAMENTO!AC68="QUANT."),OR(K68="",M68=0,N68="")),"►",IF(AND(ACOMPANHAMENTO="PLE",ORÇAMENTO!AC68="QUANT."),"►►",IF(AND(COUNTIF($P$11:$AA$11,"▼")=0,H68&gt;0,I68=""),"◄",""))))</f>
        <v/>
      </c>
      <c r="K68" s="668"/>
      <c r="L68" s="166" t="s">
        <v>765</v>
      </c>
      <c r="M68" s="167">
        <f ca="1">IF($D68&lt;&gt;"Serviço","",
          IF(AUTOEVENTO="manual",$A68,
                IF(ISERROR(MATCH($A68,$A$15:OFFSET($A68,-1,0),0)),MAX($M$15:OFFSET(M68,-1,0))+1,
                      INDEX($M$15:OFFSET(M68,-1,0),MATCH($A68,$A$15:OFFSET($A68,-1,0),0)))))</f>
        <v>5</v>
      </c>
      <c r="N68" s="168" t="str">
        <f ca="1">IF($D68&lt;&gt;"Serviço","",
         IF(AUTOEVENTO="Manual",
                IF($A68=0,"&lt;-- defina o número do agrupador",
                       OFFSET(EVENTOS!$D$15,$A68-$A$15,0)),
                OFFSET($F$15,$A68,0)))</f>
        <v>POÇO DE VISITA PARA PROTEÇÃO VENTOSAS E DESCARGAS</v>
      </c>
      <c r="O68" s="169"/>
      <c r="Q68" s="169"/>
      <c r="R68" s="170"/>
      <c r="S68" s="170"/>
      <c r="T68" s="170"/>
      <c r="U68" s="170"/>
      <c r="V68" s="170"/>
      <c r="W68" s="170"/>
      <c r="X68" s="170"/>
      <c r="Y68" s="170"/>
      <c r="Z68" s="171"/>
      <c r="AB68" s="454">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4">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4">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4">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4">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4">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4">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4">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4">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4">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2">
        <f ca="1">IF(OR($D68&lt;&gt;"Serviço",AND(AUTOEVENTO="Manual",$M68=$A$15)),0,
         IF(OFFSET(CRONOPLE!$F$15,$M68-$A$15,AM$13)=0,10^12,OFFSET(CRONOPLE!$F$15,$M68-$A$15,AM$13)))</f>
        <v>1000000000000</v>
      </c>
      <c r="AN68" s="172">
        <f ca="1">IF(OR($D68&lt;&gt;"Serviço",AND(AUTOEVENTO="Manual",$M68=$A$15)),0,
         IF(OFFSET(CRONOPLE!$F$15,$M68-$A$15,AN$13)=0,10^12,OFFSET(CRONOPLE!$F$15,$M68-$A$15,AN$13)))</f>
        <v>1000000000000</v>
      </c>
      <c r="AO68" s="172">
        <f ca="1">IF(OR($D68&lt;&gt;"Serviço",AND(AUTOEVENTO="Manual",$M68=$A$15)),0,
         IF(OFFSET(CRONOPLE!$F$15,$M68-$A$15,AO$13)=0,10^12,OFFSET(CRONOPLE!$F$15,$M68-$A$15,AO$13)))</f>
        <v>1000000000000</v>
      </c>
      <c r="AP68" s="172">
        <f ca="1">IF(OR($D68&lt;&gt;"Serviço",AND(AUTOEVENTO="Manual",$M68=$A$15)),0,
         IF(OFFSET(CRONOPLE!$F$15,$M68-$A$15,AP$13)=0,10^12,OFFSET(CRONOPLE!$F$15,$M68-$A$15,AP$13)))</f>
        <v>1000000000000</v>
      </c>
      <c r="AQ68" s="172">
        <f ca="1">IF(OR($D68&lt;&gt;"Serviço",AND(AUTOEVENTO="Manual",$M68=$A$15)),0,
         IF(OFFSET(CRONOPLE!$F$15,$M68-$A$15,AQ$13)=0,10^12,OFFSET(CRONOPLE!$F$15,$M68-$A$15,AQ$13)))</f>
        <v>1000000000000</v>
      </c>
      <c r="AR68" s="172">
        <f ca="1">IF(OR($D68&lt;&gt;"Serviço",AND(AUTOEVENTO="Manual",$M68=$A$15)),0,
         IF(OFFSET(CRONOPLE!$F$15,$M68-$A$15,AR$13)=0,10^12,OFFSET(CRONOPLE!$F$15,$M68-$A$15,AR$13)))</f>
        <v>1000000000000</v>
      </c>
      <c r="AS68" s="172">
        <f ca="1">IF(OR($D68&lt;&gt;"Serviço",AND(AUTOEVENTO="Manual",$M68=$A$15)),0,
         IF(OFFSET(CRONOPLE!$F$15,$M68-$A$15,AS$13)=0,10^12,OFFSET(CRONOPLE!$F$15,$M68-$A$15,AS$13)))</f>
        <v>1000000000000</v>
      </c>
      <c r="AT68" s="172">
        <f ca="1">IF(OR($D68&lt;&gt;"Serviço",AND(AUTOEVENTO="Manual",$M68=$A$15)),0,
         IF(OFFSET(CRONOPLE!$F$15,$M68-$A$15,AT$13)=0,10^12,OFFSET(CRONOPLE!$F$15,$M68-$A$15,AT$13)))</f>
        <v>1000000000000</v>
      </c>
      <c r="AU68" s="172">
        <f ca="1">IF(OR($D68&lt;&gt;"Serviço",AND(AUTOEVENTO="Manual",$M68=$A$15)),0,
         IF(OFFSET(CRONOPLE!$F$15,$M68-$A$15,AU$13)=0,10^12,OFFSET(CRONOPLE!$F$15,$M68-$A$15,AU$13)))</f>
        <v>1000000000000</v>
      </c>
      <c r="AV68" s="172">
        <f ca="1">IF(OR($D68&lt;&gt;"Serviço",AND(AUTOEVENTO="Manual",$M68=$A$15)),0,
         IF(OFFSET(CRONOPLE!$F$15,$M68-$A$15,AV$13)=0,10^12,OFFSET(CRONOPLE!$F$15,$M68-$A$15,AV$13)))</f>
        <v>1000000000000</v>
      </c>
      <c r="AX68" s="173">
        <f ca="1">IF(OR($D68&lt;&gt;"Serviço",AND(AUTOEVENTO="Manual",$M68=$A$15),$M68&gt;(ROW(PLE.lastrow)-ROW(PLE.firstrow))),0,
           IF(OFFSET(PLE!$G$15,$M68-$A$15,AX$13)="",10^12,OFFSET(PLE!$G$15,$M68-$A$15,AX$13)))</f>
        <v>1000000000000</v>
      </c>
      <c r="AY68" s="173">
        <f ca="1">IF(OR($D68&lt;&gt;"Serviço",AND(AUTOEVENTO="Manual",$M68=$A$15),$M68&gt;(ROW(PLE.lastrow)-ROW(PLE.firstrow))),0,
           IF(OFFSET(PLE!$G$15,$M68-$A$15,AY$13)="",10^12,OFFSET(PLE!$G$15,$M68-$A$15,AY$13)))</f>
        <v>1000000000000</v>
      </c>
      <c r="AZ68" s="173">
        <f ca="1">IF(OR($D68&lt;&gt;"Serviço",AND(AUTOEVENTO="Manual",$M68=$A$15),$M68&gt;(ROW(PLE.lastrow)-ROW(PLE.firstrow))),0,
           IF(OFFSET(PLE!$G$15,$M68-$A$15,AZ$13)="",10^12,OFFSET(PLE!$G$15,$M68-$A$15,AZ$13)))</f>
        <v>1000000000000</v>
      </c>
      <c r="BA68" s="173">
        <f ca="1">IF(OR($D68&lt;&gt;"Serviço",AND(AUTOEVENTO="Manual",$M68=$A$15),$M68&gt;(ROW(PLE.lastrow)-ROW(PLE.firstrow))),0,
           IF(OFFSET(PLE!$G$15,$M68-$A$15,BA$13)="",10^12,OFFSET(PLE!$G$15,$M68-$A$15,BA$13)))</f>
        <v>1000000000000</v>
      </c>
      <c r="BB68" s="173">
        <f ca="1">IF(OR($D68&lt;&gt;"Serviço",AND(AUTOEVENTO="Manual",$M68=$A$15),$M68&gt;(ROW(PLE.lastrow)-ROW(PLE.firstrow))),0,
           IF(OFFSET(PLE!$G$15,$M68-$A$15,BB$13)="",10^12,OFFSET(PLE!$G$15,$M68-$A$15,BB$13)))</f>
        <v>1000000000000</v>
      </c>
      <c r="BC68" s="173">
        <f ca="1">IF(OR($D68&lt;&gt;"Serviço",AND(AUTOEVENTO="Manual",$M68=$A$15),$M68&gt;(ROW(PLE.lastrow)-ROW(PLE.firstrow))),0,
           IF(OFFSET(PLE!$G$15,$M68-$A$15,BC$13)="",10^12,OFFSET(PLE!$G$15,$M68-$A$15,BC$13)))</f>
        <v>1000000000000</v>
      </c>
      <c r="BD68" s="173">
        <f ca="1">IF(OR($D68&lt;&gt;"Serviço",AND(AUTOEVENTO="Manual",$M68=$A$15),$M68&gt;(ROW(PLE.lastrow)-ROW(PLE.firstrow))),0,
           IF(OFFSET(PLE!$G$15,$M68-$A$15,BD$13)="",10^12,OFFSET(PLE!$G$15,$M68-$A$15,BD$13)))</f>
        <v>1000000000000</v>
      </c>
      <c r="BE68" s="173">
        <f ca="1">IF(OR($D68&lt;&gt;"Serviço",AND(AUTOEVENTO="Manual",$M68=$A$15),$M68&gt;(ROW(PLE.lastrow)-ROW(PLE.firstrow))),0,
           IF(OFFSET(PLE!$G$15,$M68-$A$15,BE$13)="",10^12,OFFSET(PLE!$G$15,$M68-$A$15,BE$13)))</f>
        <v>1000000000000</v>
      </c>
      <c r="BF68" s="173">
        <f ca="1">IF(OR($D68&lt;&gt;"Serviço",AND(AUTOEVENTO="Manual",$M68=$A$15),$M68&gt;(ROW(PLE.lastrow)-ROW(PLE.firstrow))),0,
           IF(OFFSET(PLE!$G$15,$M68-$A$15,BF$13)="",10^12,OFFSET(PLE!$G$15,$M68-$A$15,BF$13)))</f>
        <v>1000000000000</v>
      </c>
      <c r="BG68" s="173">
        <f ca="1">IF(OR($D68&lt;&gt;"Serviço",AND(AUTOEVENTO="Manual",$M68=$A$15),$M68&gt;(ROW(PLE.lastrow)-ROW(PLE.firstrow))),0,
           IF(OFFSET(PLE!$G$15,$M68-$A$15,BG$13)="",10^12,OFFSET(PLE!$G$15,$M68-$A$15,BG$13)))</f>
        <v>1000000000000</v>
      </c>
    </row>
    <row r="69" spans="1:59" s="675" customFormat="1" ht="38.25" x14ac:dyDescent="0.2">
      <c r="A69" s="671" t="str">
        <f t="shared" ca="1" si="9"/>
        <v>49</v>
      </c>
      <c r="B69" s="671" t="str">
        <f ca="1">OFFSET(ORÇAMENTO!C$15,ROW(B69)-ROW(B$15),0)</f>
        <v>S</v>
      </c>
      <c r="C69" s="671" t="str">
        <f ca="1">OFFSET(ORÇAMENTO!L$15,ROW(C69)-ROW(C$15),0)</f>
        <v/>
      </c>
      <c r="D69" s="117" t="str">
        <f ca="1">OFFSET(ORÇAMENTO!N$15,ROW(D69)-ROW(D$15),0)</f>
        <v>Serviço</v>
      </c>
      <c r="E69" s="118" t="str">
        <f ca="1">OFFSET(ORÇAMENTO!O$15,ROW(E69)-ROW(E$15),0)</f>
        <v>-</v>
      </c>
      <c r="F69" s="164" t="str">
        <f ca="1">OFFSET(ORÇAMENTO!R$15,ROW(F69)-ROW(F$15),0)</f>
        <v>(abra o arquivo 'Referência 09-2025.xlsm)</v>
      </c>
      <c r="G69" s="165" t="str">
        <f ca="1">IF($D69&lt;&gt;"Serviço","",OFFSET(ORÇAMENTO!S$15,ROW(G69)-ROW(G$15),0))</f>
        <v>-</v>
      </c>
      <c r="H69" s="123">
        <f ca="1">IF($D69&lt;&gt;"Serviço",0,IF(ACOMPANHAMENTO="BM",ROUND(OFFSET(ORÇAMENTO!AJ$15,ROW(H69)-ROW(H$15),0),15-13*ORÇAMENTO!$AF$7),SUMPRODUCT(($Q$1:$AA$1=1)*ROUND($Q69:$AA69,15-13*ORÇAMENTO!$AF$7))))</f>
        <v>10</v>
      </c>
      <c r="I69" s="469" t="s">
        <v>1105</v>
      </c>
      <c r="J69" s="667" t="str">
        <f ca="1">IF(OR(B69&lt;&gt;"S",CÁLCULO.FrentesPreenchidas=0),"",IF(AND(ACOMPANHAMENTO="PLE",AUTOEVENTO="Manual",OR(H69&gt;0,ORÇAMENTO!AC69="QUANT."),OR(K69="",M69=0,N69="")),"►",IF(AND(ACOMPANHAMENTO="PLE",ORÇAMENTO!AC69="QUANT."),"►►",IF(AND(COUNTIF($P$11:$AA$11,"▼")=0,H69&gt;0,I69=""),"◄",""))))</f>
        <v/>
      </c>
      <c r="K69" s="668"/>
      <c r="L69" s="166" t="s">
        <v>765</v>
      </c>
      <c r="M69" s="167">
        <f ca="1">IF($D69&lt;&gt;"Serviço","",
          IF(AUTOEVENTO="manual",$A69,
                IF(ISERROR(MATCH($A69,$A$15:OFFSET($A69,-1,0),0)),MAX($M$15:OFFSET(M69,-1,0))+1,
                      INDEX($M$15:OFFSET(M69,-1,0),MATCH($A69,$A$15:OFFSET($A69,-1,0),0)))))</f>
        <v>5</v>
      </c>
      <c r="N69" s="168" t="str">
        <f ca="1">IF($D69&lt;&gt;"Serviço","",
         IF(AUTOEVENTO="Manual",
                IF($A69=0,"&lt;-- defina o número do agrupador",
                       OFFSET(EVENTOS!$D$15,$A69-$A$15,0)),
                OFFSET($F$15,$A69,0)))</f>
        <v>POÇO DE VISITA PARA PROTEÇÃO VENTOSAS E DESCARGAS</v>
      </c>
      <c r="O69" s="169"/>
      <c r="Q69" s="169"/>
      <c r="R69" s="170"/>
      <c r="S69" s="170"/>
      <c r="T69" s="170"/>
      <c r="U69" s="170"/>
      <c r="V69" s="170"/>
      <c r="W69" s="170"/>
      <c r="X69" s="170"/>
      <c r="Y69" s="170"/>
      <c r="Z69" s="171"/>
      <c r="AB69" s="454">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4">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4">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4">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4">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4">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4">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4">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4">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4">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2">
        <f ca="1">IF(OR($D69&lt;&gt;"Serviço",AND(AUTOEVENTO="Manual",$M69=$A$15)),0,
         IF(OFFSET(CRONOPLE!$F$15,$M69-$A$15,AM$13)=0,10^12,OFFSET(CRONOPLE!$F$15,$M69-$A$15,AM$13)))</f>
        <v>1000000000000</v>
      </c>
      <c r="AN69" s="172">
        <f ca="1">IF(OR($D69&lt;&gt;"Serviço",AND(AUTOEVENTO="Manual",$M69=$A$15)),0,
         IF(OFFSET(CRONOPLE!$F$15,$M69-$A$15,AN$13)=0,10^12,OFFSET(CRONOPLE!$F$15,$M69-$A$15,AN$13)))</f>
        <v>1000000000000</v>
      </c>
      <c r="AO69" s="172">
        <f ca="1">IF(OR($D69&lt;&gt;"Serviço",AND(AUTOEVENTO="Manual",$M69=$A$15)),0,
         IF(OFFSET(CRONOPLE!$F$15,$M69-$A$15,AO$13)=0,10^12,OFFSET(CRONOPLE!$F$15,$M69-$A$15,AO$13)))</f>
        <v>1000000000000</v>
      </c>
      <c r="AP69" s="172">
        <f ca="1">IF(OR($D69&lt;&gt;"Serviço",AND(AUTOEVENTO="Manual",$M69=$A$15)),0,
         IF(OFFSET(CRONOPLE!$F$15,$M69-$A$15,AP$13)=0,10^12,OFFSET(CRONOPLE!$F$15,$M69-$A$15,AP$13)))</f>
        <v>1000000000000</v>
      </c>
      <c r="AQ69" s="172">
        <f ca="1">IF(OR($D69&lt;&gt;"Serviço",AND(AUTOEVENTO="Manual",$M69=$A$15)),0,
         IF(OFFSET(CRONOPLE!$F$15,$M69-$A$15,AQ$13)=0,10^12,OFFSET(CRONOPLE!$F$15,$M69-$A$15,AQ$13)))</f>
        <v>1000000000000</v>
      </c>
      <c r="AR69" s="172">
        <f ca="1">IF(OR($D69&lt;&gt;"Serviço",AND(AUTOEVENTO="Manual",$M69=$A$15)),0,
         IF(OFFSET(CRONOPLE!$F$15,$M69-$A$15,AR$13)=0,10^12,OFFSET(CRONOPLE!$F$15,$M69-$A$15,AR$13)))</f>
        <v>1000000000000</v>
      </c>
      <c r="AS69" s="172">
        <f ca="1">IF(OR($D69&lt;&gt;"Serviço",AND(AUTOEVENTO="Manual",$M69=$A$15)),0,
         IF(OFFSET(CRONOPLE!$F$15,$M69-$A$15,AS$13)=0,10^12,OFFSET(CRONOPLE!$F$15,$M69-$A$15,AS$13)))</f>
        <v>1000000000000</v>
      </c>
      <c r="AT69" s="172">
        <f ca="1">IF(OR($D69&lt;&gt;"Serviço",AND(AUTOEVENTO="Manual",$M69=$A$15)),0,
         IF(OFFSET(CRONOPLE!$F$15,$M69-$A$15,AT$13)=0,10^12,OFFSET(CRONOPLE!$F$15,$M69-$A$15,AT$13)))</f>
        <v>1000000000000</v>
      </c>
      <c r="AU69" s="172">
        <f ca="1">IF(OR($D69&lt;&gt;"Serviço",AND(AUTOEVENTO="Manual",$M69=$A$15)),0,
         IF(OFFSET(CRONOPLE!$F$15,$M69-$A$15,AU$13)=0,10^12,OFFSET(CRONOPLE!$F$15,$M69-$A$15,AU$13)))</f>
        <v>1000000000000</v>
      </c>
      <c r="AV69" s="172">
        <f ca="1">IF(OR($D69&lt;&gt;"Serviço",AND(AUTOEVENTO="Manual",$M69=$A$15)),0,
         IF(OFFSET(CRONOPLE!$F$15,$M69-$A$15,AV$13)=0,10^12,OFFSET(CRONOPLE!$F$15,$M69-$A$15,AV$13)))</f>
        <v>1000000000000</v>
      </c>
      <c r="AX69" s="173">
        <f ca="1">IF(OR($D69&lt;&gt;"Serviço",AND(AUTOEVENTO="Manual",$M69=$A$15),$M69&gt;(ROW(PLE.lastrow)-ROW(PLE.firstrow))),0,
           IF(OFFSET(PLE!$G$15,$M69-$A$15,AX$13)="",10^12,OFFSET(PLE!$G$15,$M69-$A$15,AX$13)))</f>
        <v>1000000000000</v>
      </c>
      <c r="AY69" s="173">
        <f ca="1">IF(OR($D69&lt;&gt;"Serviço",AND(AUTOEVENTO="Manual",$M69=$A$15),$M69&gt;(ROW(PLE.lastrow)-ROW(PLE.firstrow))),0,
           IF(OFFSET(PLE!$G$15,$M69-$A$15,AY$13)="",10^12,OFFSET(PLE!$G$15,$M69-$A$15,AY$13)))</f>
        <v>1000000000000</v>
      </c>
      <c r="AZ69" s="173">
        <f ca="1">IF(OR($D69&lt;&gt;"Serviço",AND(AUTOEVENTO="Manual",$M69=$A$15),$M69&gt;(ROW(PLE.lastrow)-ROW(PLE.firstrow))),0,
           IF(OFFSET(PLE!$G$15,$M69-$A$15,AZ$13)="",10^12,OFFSET(PLE!$G$15,$M69-$A$15,AZ$13)))</f>
        <v>1000000000000</v>
      </c>
      <c r="BA69" s="173">
        <f ca="1">IF(OR($D69&lt;&gt;"Serviço",AND(AUTOEVENTO="Manual",$M69=$A$15),$M69&gt;(ROW(PLE.lastrow)-ROW(PLE.firstrow))),0,
           IF(OFFSET(PLE!$G$15,$M69-$A$15,BA$13)="",10^12,OFFSET(PLE!$G$15,$M69-$A$15,BA$13)))</f>
        <v>1000000000000</v>
      </c>
      <c r="BB69" s="173">
        <f ca="1">IF(OR($D69&lt;&gt;"Serviço",AND(AUTOEVENTO="Manual",$M69=$A$15),$M69&gt;(ROW(PLE.lastrow)-ROW(PLE.firstrow))),0,
           IF(OFFSET(PLE!$G$15,$M69-$A$15,BB$13)="",10^12,OFFSET(PLE!$G$15,$M69-$A$15,BB$13)))</f>
        <v>1000000000000</v>
      </c>
      <c r="BC69" s="173">
        <f ca="1">IF(OR($D69&lt;&gt;"Serviço",AND(AUTOEVENTO="Manual",$M69=$A$15),$M69&gt;(ROW(PLE.lastrow)-ROW(PLE.firstrow))),0,
           IF(OFFSET(PLE!$G$15,$M69-$A$15,BC$13)="",10^12,OFFSET(PLE!$G$15,$M69-$A$15,BC$13)))</f>
        <v>1000000000000</v>
      </c>
      <c r="BD69" s="173">
        <f ca="1">IF(OR($D69&lt;&gt;"Serviço",AND(AUTOEVENTO="Manual",$M69=$A$15),$M69&gt;(ROW(PLE.lastrow)-ROW(PLE.firstrow))),0,
           IF(OFFSET(PLE!$G$15,$M69-$A$15,BD$13)="",10^12,OFFSET(PLE!$G$15,$M69-$A$15,BD$13)))</f>
        <v>1000000000000</v>
      </c>
      <c r="BE69" s="173">
        <f ca="1">IF(OR($D69&lt;&gt;"Serviço",AND(AUTOEVENTO="Manual",$M69=$A$15),$M69&gt;(ROW(PLE.lastrow)-ROW(PLE.firstrow))),0,
           IF(OFFSET(PLE!$G$15,$M69-$A$15,BE$13)="",10^12,OFFSET(PLE!$G$15,$M69-$A$15,BE$13)))</f>
        <v>1000000000000</v>
      </c>
      <c r="BF69" s="173">
        <f ca="1">IF(OR($D69&lt;&gt;"Serviço",AND(AUTOEVENTO="Manual",$M69=$A$15),$M69&gt;(ROW(PLE.lastrow)-ROW(PLE.firstrow))),0,
           IF(OFFSET(PLE!$G$15,$M69-$A$15,BF$13)="",10^12,OFFSET(PLE!$G$15,$M69-$A$15,BF$13)))</f>
        <v>1000000000000</v>
      </c>
      <c r="BG69" s="173">
        <f ca="1">IF(OR($D69&lt;&gt;"Serviço",AND(AUTOEVENTO="Manual",$M69=$A$15),$M69&gt;(ROW(PLE.lastrow)-ROW(PLE.firstrow))),0,
           IF(OFFSET(PLE!$G$15,$M69-$A$15,BG$13)="",10^12,OFFSET(PLE!$G$15,$M69-$A$15,BG$13)))</f>
        <v>1000000000000</v>
      </c>
    </row>
    <row r="70" spans="1:59" s="675" customFormat="1" ht="12.75" x14ac:dyDescent="0.2">
      <c r="A70" s="671" t="str">
        <f t="shared" ca="1" si="9"/>
        <v>55.</v>
      </c>
      <c r="B70" s="671">
        <f ca="1">OFFSET(ORÇAMENTO!C$15,ROW(B70)-ROW(B$15),0)</f>
        <v>2</v>
      </c>
      <c r="C70" s="671" t="str">
        <f ca="1">OFFSET(ORÇAMENTO!L$15,ROW(C70)-ROW(C$15),0)</f>
        <v>F</v>
      </c>
      <c r="D70" s="117" t="str">
        <f ca="1">OFFSET(ORÇAMENTO!N$15,ROW(D70)-ROW(D$15),0)</f>
        <v>Nível 2</v>
      </c>
      <c r="E70" s="118" t="str">
        <f ca="1">OFFSET(ORÇAMENTO!O$15,ROW(E70)-ROW(E$15),0)</f>
        <v>1.7.</v>
      </c>
      <c r="F70" s="164" t="str">
        <f ca="1">OFFSET(ORÇAMENTO!R$15,ROW(F70)-ROW(F$15),0)</f>
        <v>BY-PASS</v>
      </c>
      <c r="G70" s="165" t="str">
        <f ca="1">IF($D70&lt;&gt;"Serviço","",OFFSET(ORÇAMENTO!S$15,ROW(G70)-ROW(G$15),0))</f>
        <v/>
      </c>
      <c r="H70" s="123">
        <f ca="1">IF($D70&lt;&gt;"Serviço",0,IF(ACOMPANHAMENTO="BM",ROUND(OFFSET(ORÇAMENTO!AJ$15,ROW(H70)-ROW(H$15),0),15-13*ORÇAMENTO!$AF$7),SUMPRODUCT(($Q$1:$AA$1=1)*ROUND($Q70:$AA70,15-13*ORÇAMENTO!$AF$7))))</f>
        <v>0</v>
      </c>
      <c r="I70" s="469"/>
      <c r="J70" s="667" t="str">
        <f ca="1">IF(OR(B70&lt;&gt;"S",CÁLCULO.FrentesPreenchidas=0),"",IF(AND(ACOMPANHAMENTO="PLE",AUTOEVENTO="Manual",OR(H70&gt;0,ORÇAMENTO!AC70="QUANT."),OR(K70="",M70=0,N70="")),"►",IF(AND(ACOMPANHAMENTO="PLE",ORÇAMENTO!AC70="QUANT."),"►►",IF(AND(COUNTIF($P$11:$AA$11,"▼")=0,H70&gt;0,I70=""),"◄",""))))</f>
        <v/>
      </c>
      <c r="K70" s="668"/>
      <c r="L70" s="166" t="s">
        <v>765</v>
      </c>
      <c r="M70" s="167" t="str">
        <f ca="1">IF($D70&lt;&gt;"Serviço","",
          IF(AUTOEVENTO="manual",$A70,
                IF(ISERROR(MATCH($A70,$A$15:OFFSET($A70,-1,0),0)),MAX($M$15:OFFSET(M70,-1,0))+1,
                      INDEX($M$15:OFFSET(M70,-1,0),MATCH($A70,$A$15:OFFSET($A70,-1,0),0)))))</f>
        <v/>
      </c>
      <c r="N70" s="168" t="str">
        <f ca="1">IF($D70&lt;&gt;"Serviço","",
         IF(AUTOEVENTO="Manual",
                IF($A70=0,"&lt;-- defina o número do agrupador",
                       OFFSET(EVENTOS!$D$15,$A70-$A$15,0)),
                OFFSET($F$15,$A70,0)))</f>
        <v/>
      </c>
      <c r="O70" s="169"/>
      <c r="Q70" s="169"/>
      <c r="R70" s="170"/>
      <c r="S70" s="170"/>
      <c r="T70" s="170"/>
      <c r="U70" s="170"/>
      <c r="V70" s="170"/>
      <c r="W70" s="170"/>
      <c r="X70" s="170"/>
      <c r="Y70" s="170"/>
      <c r="Z70" s="171"/>
      <c r="AB70" s="454">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4">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4">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4">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4">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4">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4">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4">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4">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4">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2">
        <f ca="1">IF(OR($D70&lt;&gt;"Serviço",AND(AUTOEVENTO="Manual",$M70=$A$15)),0,
         IF(OFFSET(CRONOPLE!$F$15,$M70-$A$15,AM$13)=0,10^12,OFFSET(CRONOPLE!$F$15,$M70-$A$15,AM$13)))</f>
        <v>0</v>
      </c>
      <c r="AN70" s="172">
        <f ca="1">IF(OR($D70&lt;&gt;"Serviço",AND(AUTOEVENTO="Manual",$M70=$A$15)),0,
         IF(OFFSET(CRONOPLE!$F$15,$M70-$A$15,AN$13)=0,10^12,OFFSET(CRONOPLE!$F$15,$M70-$A$15,AN$13)))</f>
        <v>0</v>
      </c>
      <c r="AO70" s="172">
        <f ca="1">IF(OR($D70&lt;&gt;"Serviço",AND(AUTOEVENTO="Manual",$M70=$A$15)),0,
         IF(OFFSET(CRONOPLE!$F$15,$M70-$A$15,AO$13)=0,10^12,OFFSET(CRONOPLE!$F$15,$M70-$A$15,AO$13)))</f>
        <v>0</v>
      </c>
      <c r="AP70" s="172">
        <f ca="1">IF(OR($D70&lt;&gt;"Serviço",AND(AUTOEVENTO="Manual",$M70=$A$15)),0,
         IF(OFFSET(CRONOPLE!$F$15,$M70-$A$15,AP$13)=0,10^12,OFFSET(CRONOPLE!$F$15,$M70-$A$15,AP$13)))</f>
        <v>0</v>
      </c>
      <c r="AQ70" s="172">
        <f ca="1">IF(OR($D70&lt;&gt;"Serviço",AND(AUTOEVENTO="Manual",$M70=$A$15)),0,
         IF(OFFSET(CRONOPLE!$F$15,$M70-$A$15,AQ$13)=0,10^12,OFFSET(CRONOPLE!$F$15,$M70-$A$15,AQ$13)))</f>
        <v>0</v>
      </c>
      <c r="AR70" s="172">
        <f ca="1">IF(OR($D70&lt;&gt;"Serviço",AND(AUTOEVENTO="Manual",$M70=$A$15)),0,
         IF(OFFSET(CRONOPLE!$F$15,$M70-$A$15,AR$13)=0,10^12,OFFSET(CRONOPLE!$F$15,$M70-$A$15,AR$13)))</f>
        <v>0</v>
      </c>
      <c r="AS70" s="172">
        <f ca="1">IF(OR($D70&lt;&gt;"Serviço",AND(AUTOEVENTO="Manual",$M70=$A$15)),0,
         IF(OFFSET(CRONOPLE!$F$15,$M70-$A$15,AS$13)=0,10^12,OFFSET(CRONOPLE!$F$15,$M70-$A$15,AS$13)))</f>
        <v>0</v>
      </c>
      <c r="AT70" s="172">
        <f ca="1">IF(OR($D70&lt;&gt;"Serviço",AND(AUTOEVENTO="Manual",$M70=$A$15)),0,
         IF(OFFSET(CRONOPLE!$F$15,$M70-$A$15,AT$13)=0,10^12,OFFSET(CRONOPLE!$F$15,$M70-$A$15,AT$13)))</f>
        <v>0</v>
      </c>
      <c r="AU70" s="172">
        <f ca="1">IF(OR($D70&lt;&gt;"Serviço",AND(AUTOEVENTO="Manual",$M70=$A$15)),0,
         IF(OFFSET(CRONOPLE!$F$15,$M70-$A$15,AU$13)=0,10^12,OFFSET(CRONOPLE!$F$15,$M70-$A$15,AU$13)))</f>
        <v>0</v>
      </c>
      <c r="AV70" s="172">
        <f ca="1">IF(OR($D70&lt;&gt;"Serviço",AND(AUTOEVENTO="Manual",$M70=$A$15)),0,
         IF(OFFSET(CRONOPLE!$F$15,$M70-$A$15,AV$13)=0,10^12,OFFSET(CRONOPLE!$F$15,$M70-$A$15,AV$13)))</f>
        <v>0</v>
      </c>
      <c r="AX70" s="173">
        <f ca="1">IF(OR($D70&lt;&gt;"Serviço",AND(AUTOEVENTO="Manual",$M70=$A$15),$M70&gt;(ROW(PLE.lastrow)-ROW(PLE.firstrow))),0,
           IF(OFFSET(PLE!$G$15,$M70-$A$15,AX$13)="",10^12,OFFSET(PLE!$G$15,$M70-$A$15,AX$13)))</f>
        <v>0</v>
      </c>
      <c r="AY70" s="173">
        <f ca="1">IF(OR($D70&lt;&gt;"Serviço",AND(AUTOEVENTO="Manual",$M70=$A$15),$M70&gt;(ROW(PLE.lastrow)-ROW(PLE.firstrow))),0,
           IF(OFFSET(PLE!$G$15,$M70-$A$15,AY$13)="",10^12,OFFSET(PLE!$G$15,$M70-$A$15,AY$13)))</f>
        <v>0</v>
      </c>
      <c r="AZ70" s="173">
        <f ca="1">IF(OR($D70&lt;&gt;"Serviço",AND(AUTOEVENTO="Manual",$M70=$A$15),$M70&gt;(ROW(PLE.lastrow)-ROW(PLE.firstrow))),0,
           IF(OFFSET(PLE!$G$15,$M70-$A$15,AZ$13)="",10^12,OFFSET(PLE!$G$15,$M70-$A$15,AZ$13)))</f>
        <v>0</v>
      </c>
      <c r="BA70" s="173">
        <f ca="1">IF(OR($D70&lt;&gt;"Serviço",AND(AUTOEVENTO="Manual",$M70=$A$15),$M70&gt;(ROW(PLE.lastrow)-ROW(PLE.firstrow))),0,
           IF(OFFSET(PLE!$G$15,$M70-$A$15,BA$13)="",10^12,OFFSET(PLE!$G$15,$M70-$A$15,BA$13)))</f>
        <v>0</v>
      </c>
      <c r="BB70" s="173">
        <f ca="1">IF(OR($D70&lt;&gt;"Serviço",AND(AUTOEVENTO="Manual",$M70=$A$15),$M70&gt;(ROW(PLE.lastrow)-ROW(PLE.firstrow))),0,
           IF(OFFSET(PLE!$G$15,$M70-$A$15,BB$13)="",10^12,OFFSET(PLE!$G$15,$M70-$A$15,BB$13)))</f>
        <v>0</v>
      </c>
      <c r="BC70" s="173">
        <f ca="1">IF(OR($D70&lt;&gt;"Serviço",AND(AUTOEVENTO="Manual",$M70=$A$15),$M70&gt;(ROW(PLE.lastrow)-ROW(PLE.firstrow))),0,
           IF(OFFSET(PLE!$G$15,$M70-$A$15,BC$13)="",10^12,OFFSET(PLE!$G$15,$M70-$A$15,BC$13)))</f>
        <v>0</v>
      </c>
      <c r="BD70" s="173">
        <f ca="1">IF(OR($D70&lt;&gt;"Serviço",AND(AUTOEVENTO="Manual",$M70=$A$15),$M70&gt;(ROW(PLE.lastrow)-ROW(PLE.firstrow))),0,
           IF(OFFSET(PLE!$G$15,$M70-$A$15,BD$13)="",10^12,OFFSET(PLE!$G$15,$M70-$A$15,BD$13)))</f>
        <v>0</v>
      </c>
      <c r="BE70" s="173">
        <f ca="1">IF(OR($D70&lt;&gt;"Serviço",AND(AUTOEVENTO="Manual",$M70=$A$15),$M70&gt;(ROW(PLE.lastrow)-ROW(PLE.firstrow))),0,
           IF(OFFSET(PLE!$G$15,$M70-$A$15,BE$13)="",10^12,OFFSET(PLE!$G$15,$M70-$A$15,BE$13)))</f>
        <v>0</v>
      </c>
      <c r="BF70" s="173">
        <f ca="1">IF(OR($D70&lt;&gt;"Serviço",AND(AUTOEVENTO="Manual",$M70=$A$15),$M70&gt;(ROW(PLE.lastrow)-ROW(PLE.firstrow))),0,
           IF(OFFSET(PLE!$G$15,$M70-$A$15,BF$13)="",10^12,OFFSET(PLE!$G$15,$M70-$A$15,BF$13)))</f>
        <v>0</v>
      </c>
      <c r="BG70" s="173">
        <f ca="1">IF(OR($D70&lt;&gt;"Serviço",AND(AUTOEVENTO="Manual",$M70=$A$15),$M70&gt;(ROW(PLE.lastrow)-ROW(PLE.firstrow))),0,
           IF(OFFSET(PLE!$G$15,$M70-$A$15,BG$13)="",10^12,OFFSET(PLE!$G$15,$M70-$A$15,BG$13)))</f>
        <v>0</v>
      </c>
    </row>
    <row r="71" spans="1:59" s="675" customFormat="1" ht="38.25" x14ac:dyDescent="0.2">
      <c r="A71" s="671" t="str">
        <f t="shared" ca="1" si="9"/>
        <v>55</v>
      </c>
      <c r="B71" s="671" t="str">
        <f ca="1">OFFSET(ORÇAMENTO!C$15,ROW(B71)-ROW(B$15),0)</f>
        <v>S</v>
      </c>
      <c r="C71" s="671" t="str">
        <f ca="1">OFFSET(ORÇAMENTO!L$15,ROW(C71)-ROW(C$15),0)</f>
        <v/>
      </c>
      <c r="D71" s="117" t="str">
        <f ca="1">OFFSET(ORÇAMENTO!N$15,ROW(D71)-ROW(D$15),0)</f>
        <v>Serviço</v>
      </c>
      <c r="E71" s="118" t="str">
        <f ca="1">OFFSET(ORÇAMENTO!O$15,ROW(E71)-ROW(E$15),0)</f>
        <v>-</v>
      </c>
      <c r="F71" s="164" t="str">
        <f ca="1">OFFSET(ORÇAMENTO!R$15,ROW(F71)-ROW(F$15),0)</f>
        <v>(abra o arquivo 'Referência 09-2025.xlsm)</v>
      </c>
      <c r="G71" s="165" t="str">
        <f ca="1">IF($D71&lt;&gt;"Serviço","",OFFSET(ORÇAMENTO!S$15,ROW(G71)-ROW(G$15),0))</f>
        <v>-</v>
      </c>
      <c r="H71" s="123">
        <f ca="1">IF($D71&lt;&gt;"Serviço",0,IF(ACOMPANHAMENTO="BM",ROUND(OFFSET(ORÇAMENTO!AJ$15,ROW(H71)-ROW(H$15),0),15-13*ORÇAMENTO!$AF$7),SUMPRODUCT(($Q$1:$AA$1=1)*ROUND($Q71:$AA71,15-13*ORÇAMENTO!$AF$7))))</f>
        <v>1</v>
      </c>
      <c r="I71" s="469" t="s">
        <v>1103</v>
      </c>
      <c r="J71" s="667" t="str">
        <f ca="1">IF(OR(B71&lt;&gt;"S",CÁLCULO.FrentesPreenchidas=0),"",IF(AND(ACOMPANHAMENTO="PLE",AUTOEVENTO="Manual",OR(H71&gt;0,ORÇAMENTO!AC71="QUANT."),OR(K71="",M71=0,N71="")),"►",IF(AND(ACOMPANHAMENTO="PLE",ORÇAMENTO!AC71="QUANT."),"►►",IF(AND(COUNTIF($P$11:$AA$11,"▼")=0,H71&gt;0,I71=""),"◄",""))))</f>
        <v/>
      </c>
      <c r="K71" s="668"/>
      <c r="L71" s="166" t="s">
        <v>765</v>
      </c>
      <c r="M71" s="167">
        <f ca="1">IF($D71&lt;&gt;"Serviço","",
          IF(AUTOEVENTO="manual",$A71,
                IF(ISERROR(MATCH($A71,$A$15:OFFSET($A71,-1,0),0)),MAX($M$15:OFFSET(M71,-1,0))+1,
                      INDEX($M$15:OFFSET(M71,-1,0),MATCH($A71,$A$15:OFFSET($A71,-1,0),0)))))</f>
        <v>6</v>
      </c>
      <c r="N71" s="168" t="str">
        <f ca="1">IF($D71&lt;&gt;"Serviço","",
         IF(AUTOEVENTO="Manual",
                IF($A71=0,"&lt;-- defina o número do agrupador",
                       OFFSET(EVENTOS!$D$15,$A71-$A$15,0)),
                OFFSET($F$15,$A71,0)))</f>
        <v>BY-PASS</v>
      </c>
      <c r="O71" s="169"/>
      <c r="Q71" s="169"/>
      <c r="R71" s="170"/>
      <c r="S71" s="170"/>
      <c r="T71" s="170"/>
      <c r="U71" s="170"/>
      <c r="V71" s="170"/>
      <c r="W71" s="170"/>
      <c r="X71" s="170"/>
      <c r="Y71" s="170"/>
      <c r="Z71" s="171"/>
      <c r="AB71" s="454">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4">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4">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4">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4">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4">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4">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4">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4">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4">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2">
        <f ca="1">IF(OR($D71&lt;&gt;"Serviço",AND(AUTOEVENTO="Manual",$M71=$A$15)),0,
         IF(OFFSET(CRONOPLE!$F$15,$M71-$A$15,AM$13)=0,10^12,OFFSET(CRONOPLE!$F$15,$M71-$A$15,AM$13)))</f>
        <v>1000000000000</v>
      </c>
      <c r="AN71" s="172">
        <f ca="1">IF(OR($D71&lt;&gt;"Serviço",AND(AUTOEVENTO="Manual",$M71=$A$15)),0,
         IF(OFFSET(CRONOPLE!$F$15,$M71-$A$15,AN$13)=0,10^12,OFFSET(CRONOPLE!$F$15,$M71-$A$15,AN$13)))</f>
        <v>1000000000000</v>
      </c>
      <c r="AO71" s="172">
        <f ca="1">IF(OR($D71&lt;&gt;"Serviço",AND(AUTOEVENTO="Manual",$M71=$A$15)),0,
         IF(OFFSET(CRONOPLE!$F$15,$M71-$A$15,AO$13)=0,10^12,OFFSET(CRONOPLE!$F$15,$M71-$A$15,AO$13)))</f>
        <v>1000000000000</v>
      </c>
      <c r="AP71" s="172">
        <f ca="1">IF(OR($D71&lt;&gt;"Serviço",AND(AUTOEVENTO="Manual",$M71=$A$15)),0,
         IF(OFFSET(CRONOPLE!$F$15,$M71-$A$15,AP$13)=0,10^12,OFFSET(CRONOPLE!$F$15,$M71-$A$15,AP$13)))</f>
        <v>1000000000000</v>
      </c>
      <c r="AQ71" s="172">
        <f ca="1">IF(OR($D71&lt;&gt;"Serviço",AND(AUTOEVENTO="Manual",$M71=$A$15)),0,
         IF(OFFSET(CRONOPLE!$F$15,$M71-$A$15,AQ$13)=0,10^12,OFFSET(CRONOPLE!$F$15,$M71-$A$15,AQ$13)))</f>
        <v>1000000000000</v>
      </c>
      <c r="AR71" s="172">
        <f ca="1">IF(OR($D71&lt;&gt;"Serviço",AND(AUTOEVENTO="Manual",$M71=$A$15)),0,
         IF(OFFSET(CRONOPLE!$F$15,$M71-$A$15,AR$13)=0,10^12,OFFSET(CRONOPLE!$F$15,$M71-$A$15,AR$13)))</f>
        <v>1000000000000</v>
      </c>
      <c r="AS71" s="172">
        <f ca="1">IF(OR($D71&lt;&gt;"Serviço",AND(AUTOEVENTO="Manual",$M71=$A$15)),0,
         IF(OFFSET(CRONOPLE!$F$15,$M71-$A$15,AS$13)=0,10^12,OFFSET(CRONOPLE!$F$15,$M71-$A$15,AS$13)))</f>
        <v>1000000000000</v>
      </c>
      <c r="AT71" s="172">
        <f ca="1">IF(OR($D71&lt;&gt;"Serviço",AND(AUTOEVENTO="Manual",$M71=$A$15)),0,
         IF(OFFSET(CRONOPLE!$F$15,$M71-$A$15,AT$13)=0,10^12,OFFSET(CRONOPLE!$F$15,$M71-$A$15,AT$13)))</f>
        <v>1000000000000</v>
      </c>
      <c r="AU71" s="172">
        <f ca="1">IF(OR($D71&lt;&gt;"Serviço",AND(AUTOEVENTO="Manual",$M71=$A$15)),0,
         IF(OFFSET(CRONOPLE!$F$15,$M71-$A$15,AU$13)=0,10^12,OFFSET(CRONOPLE!$F$15,$M71-$A$15,AU$13)))</f>
        <v>1000000000000</v>
      </c>
      <c r="AV71" s="172">
        <f ca="1">IF(OR($D71&lt;&gt;"Serviço",AND(AUTOEVENTO="Manual",$M71=$A$15)),0,
         IF(OFFSET(CRONOPLE!$F$15,$M71-$A$15,AV$13)=0,10^12,OFFSET(CRONOPLE!$F$15,$M71-$A$15,AV$13)))</f>
        <v>1000000000000</v>
      </c>
      <c r="AX71" s="173">
        <f ca="1">IF(OR($D71&lt;&gt;"Serviço",AND(AUTOEVENTO="Manual",$M71=$A$15),$M71&gt;(ROW(PLE.lastrow)-ROW(PLE.firstrow))),0,
           IF(OFFSET(PLE!$G$15,$M71-$A$15,AX$13)="",10^12,OFFSET(PLE!$G$15,$M71-$A$15,AX$13)))</f>
        <v>1000000000000</v>
      </c>
      <c r="AY71" s="173">
        <f ca="1">IF(OR($D71&lt;&gt;"Serviço",AND(AUTOEVENTO="Manual",$M71=$A$15),$M71&gt;(ROW(PLE.lastrow)-ROW(PLE.firstrow))),0,
           IF(OFFSET(PLE!$G$15,$M71-$A$15,AY$13)="",10^12,OFFSET(PLE!$G$15,$M71-$A$15,AY$13)))</f>
        <v>1000000000000</v>
      </c>
      <c r="AZ71" s="173">
        <f ca="1">IF(OR($D71&lt;&gt;"Serviço",AND(AUTOEVENTO="Manual",$M71=$A$15),$M71&gt;(ROW(PLE.lastrow)-ROW(PLE.firstrow))),0,
           IF(OFFSET(PLE!$G$15,$M71-$A$15,AZ$13)="",10^12,OFFSET(PLE!$G$15,$M71-$A$15,AZ$13)))</f>
        <v>1000000000000</v>
      </c>
      <c r="BA71" s="173">
        <f ca="1">IF(OR($D71&lt;&gt;"Serviço",AND(AUTOEVENTO="Manual",$M71=$A$15),$M71&gt;(ROW(PLE.lastrow)-ROW(PLE.firstrow))),0,
           IF(OFFSET(PLE!$G$15,$M71-$A$15,BA$13)="",10^12,OFFSET(PLE!$G$15,$M71-$A$15,BA$13)))</f>
        <v>1000000000000</v>
      </c>
      <c r="BB71" s="173">
        <f ca="1">IF(OR($D71&lt;&gt;"Serviço",AND(AUTOEVENTO="Manual",$M71=$A$15),$M71&gt;(ROW(PLE.lastrow)-ROW(PLE.firstrow))),0,
           IF(OFFSET(PLE!$G$15,$M71-$A$15,BB$13)="",10^12,OFFSET(PLE!$G$15,$M71-$A$15,BB$13)))</f>
        <v>1000000000000</v>
      </c>
      <c r="BC71" s="173">
        <f ca="1">IF(OR($D71&lt;&gt;"Serviço",AND(AUTOEVENTO="Manual",$M71=$A$15),$M71&gt;(ROW(PLE.lastrow)-ROW(PLE.firstrow))),0,
           IF(OFFSET(PLE!$G$15,$M71-$A$15,BC$13)="",10^12,OFFSET(PLE!$G$15,$M71-$A$15,BC$13)))</f>
        <v>1000000000000</v>
      </c>
      <c r="BD71" s="173">
        <f ca="1">IF(OR($D71&lt;&gt;"Serviço",AND(AUTOEVENTO="Manual",$M71=$A$15),$M71&gt;(ROW(PLE.lastrow)-ROW(PLE.firstrow))),0,
           IF(OFFSET(PLE!$G$15,$M71-$A$15,BD$13)="",10^12,OFFSET(PLE!$G$15,$M71-$A$15,BD$13)))</f>
        <v>1000000000000</v>
      </c>
      <c r="BE71" s="173">
        <f ca="1">IF(OR($D71&lt;&gt;"Serviço",AND(AUTOEVENTO="Manual",$M71=$A$15),$M71&gt;(ROW(PLE.lastrow)-ROW(PLE.firstrow))),0,
           IF(OFFSET(PLE!$G$15,$M71-$A$15,BE$13)="",10^12,OFFSET(PLE!$G$15,$M71-$A$15,BE$13)))</f>
        <v>1000000000000</v>
      </c>
      <c r="BF71" s="173">
        <f ca="1">IF(OR($D71&lt;&gt;"Serviço",AND(AUTOEVENTO="Manual",$M71=$A$15),$M71&gt;(ROW(PLE.lastrow)-ROW(PLE.firstrow))),0,
           IF(OFFSET(PLE!$G$15,$M71-$A$15,BF$13)="",10^12,OFFSET(PLE!$G$15,$M71-$A$15,BF$13)))</f>
        <v>1000000000000</v>
      </c>
      <c r="BG71" s="173">
        <f ca="1">IF(OR($D71&lt;&gt;"Serviço",AND(AUTOEVENTO="Manual",$M71=$A$15),$M71&gt;(ROW(PLE.lastrow)-ROW(PLE.firstrow))),0,
           IF(OFFSET(PLE!$G$15,$M71-$A$15,BG$13)="",10^12,OFFSET(PLE!$G$15,$M71-$A$15,BG$13)))</f>
        <v>1000000000000</v>
      </c>
    </row>
    <row r="72" spans="1:59" s="675" customFormat="1" ht="25.5" x14ac:dyDescent="0.2">
      <c r="A72" s="671" t="str">
        <f t="shared" ca="1" si="9"/>
        <v>55</v>
      </c>
      <c r="B72" s="671" t="str">
        <f ca="1">OFFSET(ORÇAMENTO!C$15,ROW(B72)-ROW(B$15),0)</f>
        <v>S</v>
      </c>
      <c r="C72" s="671" t="str">
        <f ca="1">OFFSET(ORÇAMENTO!L$15,ROW(C72)-ROW(C$15),0)</f>
        <v/>
      </c>
      <c r="D72" s="117" t="str">
        <f ca="1">OFFSET(ORÇAMENTO!N$15,ROW(D72)-ROW(D$15),0)</f>
        <v>Serviço</v>
      </c>
      <c r="E72" s="118" t="str">
        <f ca="1">OFFSET(ORÇAMENTO!O$15,ROW(E72)-ROW(E$15),0)</f>
        <v>-</v>
      </c>
      <c r="F72" s="164" t="str">
        <f ca="1">OFFSET(ORÇAMENTO!R$15,ROW(F72)-ROW(F$15),0)</f>
        <v>(abra o arquivo 'Referência 09-2025.xlsm)</v>
      </c>
      <c r="G72" s="165" t="str">
        <f ca="1">IF($D72&lt;&gt;"Serviço","",OFFSET(ORÇAMENTO!S$15,ROW(G72)-ROW(G$15),0))</f>
        <v>-</v>
      </c>
      <c r="H72" s="123">
        <f ca="1">IF($D72&lt;&gt;"Serviço",0,IF(ACOMPANHAMENTO="BM",ROUND(OFFSET(ORÇAMENTO!AJ$15,ROW(H72)-ROW(H$15),0),15-13*ORÇAMENTO!$AF$7),SUMPRODUCT(($Q$1:$AA$1=1)*ROUND($Q72:$AA72,15-13*ORÇAMENTO!$AF$7))))</f>
        <v>1</v>
      </c>
      <c r="I72" s="469" t="s">
        <v>1103</v>
      </c>
      <c r="J72" s="667" t="str">
        <f ca="1">IF(OR(B72&lt;&gt;"S",CÁLCULO.FrentesPreenchidas=0),"",IF(AND(ACOMPANHAMENTO="PLE",AUTOEVENTO="Manual",OR(H72&gt;0,ORÇAMENTO!AC72="QUANT."),OR(K72="",M72=0,N72="")),"►",IF(AND(ACOMPANHAMENTO="PLE",ORÇAMENTO!AC72="QUANT."),"►►",IF(AND(COUNTIF($P$11:$AA$11,"▼")=0,H72&gt;0,I72=""),"◄",""))))</f>
        <v/>
      </c>
      <c r="K72" s="668"/>
      <c r="L72" s="166" t="s">
        <v>765</v>
      </c>
      <c r="M72" s="167">
        <f ca="1">IF($D72&lt;&gt;"Serviço","",
          IF(AUTOEVENTO="manual",$A72,
                IF(ISERROR(MATCH($A72,$A$15:OFFSET($A72,-1,0),0)),MAX($M$15:OFFSET(M72,-1,0))+1,
                      INDEX($M$15:OFFSET(M72,-1,0),MATCH($A72,$A$15:OFFSET($A72,-1,0),0)))))</f>
        <v>6</v>
      </c>
      <c r="N72" s="168" t="str">
        <f ca="1">IF($D72&lt;&gt;"Serviço","",
         IF(AUTOEVENTO="Manual",
                IF($A72=0,"&lt;-- defina o número do agrupador",
                       OFFSET(EVENTOS!$D$15,$A72-$A$15,0)),
                OFFSET($F$15,$A72,0)))</f>
        <v>BY-PASS</v>
      </c>
      <c r="O72" s="169"/>
      <c r="Q72" s="169"/>
      <c r="R72" s="170"/>
      <c r="S72" s="170"/>
      <c r="T72" s="170"/>
      <c r="U72" s="170"/>
      <c r="V72" s="170"/>
      <c r="W72" s="170"/>
      <c r="X72" s="170"/>
      <c r="Y72" s="170"/>
      <c r="Z72" s="171"/>
      <c r="AB72" s="454">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4">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4">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4">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4">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4">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4">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4">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4">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4">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2">
        <f ca="1">IF(OR($D72&lt;&gt;"Serviço",AND(AUTOEVENTO="Manual",$M72=$A$15)),0,
         IF(OFFSET(CRONOPLE!$F$15,$M72-$A$15,AM$13)=0,10^12,OFFSET(CRONOPLE!$F$15,$M72-$A$15,AM$13)))</f>
        <v>1000000000000</v>
      </c>
      <c r="AN72" s="172">
        <f ca="1">IF(OR($D72&lt;&gt;"Serviço",AND(AUTOEVENTO="Manual",$M72=$A$15)),0,
         IF(OFFSET(CRONOPLE!$F$15,$M72-$A$15,AN$13)=0,10^12,OFFSET(CRONOPLE!$F$15,$M72-$A$15,AN$13)))</f>
        <v>1000000000000</v>
      </c>
      <c r="AO72" s="172">
        <f ca="1">IF(OR($D72&lt;&gt;"Serviço",AND(AUTOEVENTO="Manual",$M72=$A$15)),0,
         IF(OFFSET(CRONOPLE!$F$15,$M72-$A$15,AO$13)=0,10^12,OFFSET(CRONOPLE!$F$15,$M72-$A$15,AO$13)))</f>
        <v>1000000000000</v>
      </c>
      <c r="AP72" s="172">
        <f ca="1">IF(OR($D72&lt;&gt;"Serviço",AND(AUTOEVENTO="Manual",$M72=$A$15)),0,
         IF(OFFSET(CRONOPLE!$F$15,$M72-$A$15,AP$13)=0,10^12,OFFSET(CRONOPLE!$F$15,$M72-$A$15,AP$13)))</f>
        <v>1000000000000</v>
      </c>
      <c r="AQ72" s="172">
        <f ca="1">IF(OR($D72&lt;&gt;"Serviço",AND(AUTOEVENTO="Manual",$M72=$A$15)),0,
         IF(OFFSET(CRONOPLE!$F$15,$M72-$A$15,AQ$13)=0,10^12,OFFSET(CRONOPLE!$F$15,$M72-$A$15,AQ$13)))</f>
        <v>1000000000000</v>
      </c>
      <c r="AR72" s="172">
        <f ca="1">IF(OR($D72&lt;&gt;"Serviço",AND(AUTOEVENTO="Manual",$M72=$A$15)),0,
         IF(OFFSET(CRONOPLE!$F$15,$M72-$A$15,AR$13)=0,10^12,OFFSET(CRONOPLE!$F$15,$M72-$A$15,AR$13)))</f>
        <v>1000000000000</v>
      </c>
      <c r="AS72" s="172">
        <f ca="1">IF(OR($D72&lt;&gt;"Serviço",AND(AUTOEVENTO="Manual",$M72=$A$15)),0,
         IF(OFFSET(CRONOPLE!$F$15,$M72-$A$15,AS$13)=0,10^12,OFFSET(CRONOPLE!$F$15,$M72-$A$15,AS$13)))</f>
        <v>1000000000000</v>
      </c>
      <c r="AT72" s="172">
        <f ca="1">IF(OR($D72&lt;&gt;"Serviço",AND(AUTOEVENTO="Manual",$M72=$A$15)),0,
         IF(OFFSET(CRONOPLE!$F$15,$M72-$A$15,AT$13)=0,10^12,OFFSET(CRONOPLE!$F$15,$M72-$A$15,AT$13)))</f>
        <v>1000000000000</v>
      </c>
      <c r="AU72" s="172">
        <f ca="1">IF(OR($D72&lt;&gt;"Serviço",AND(AUTOEVENTO="Manual",$M72=$A$15)),0,
         IF(OFFSET(CRONOPLE!$F$15,$M72-$A$15,AU$13)=0,10^12,OFFSET(CRONOPLE!$F$15,$M72-$A$15,AU$13)))</f>
        <v>1000000000000</v>
      </c>
      <c r="AV72" s="172">
        <f ca="1">IF(OR($D72&lt;&gt;"Serviço",AND(AUTOEVENTO="Manual",$M72=$A$15)),0,
         IF(OFFSET(CRONOPLE!$F$15,$M72-$A$15,AV$13)=0,10^12,OFFSET(CRONOPLE!$F$15,$M72-$A$15,AV$13)))</f>
        <v>1000000000000</v>
      </c>
      <c r="AX72" s="173">
        <f ca="1">IF(OR($D72&lt;&gt;"Serviço",AND(AUTOEVENTO="Manual",$M72=$A$15),$M72&gt;(ROW(PLE.lastrow)-ROW(PLE.firstrow))),0,
           IF(OFFSET(PLE!$G$15,$M72-$A$15,AX$13)="",10^12,OFFSET(PLE!$G$15,$M72-$A$15,AX$13)))</f>
        <v>1000000000000</v>
      </c>
      <c r="AY72" s="173">
        <f ca="1">IF(OR($D72&lt;&gt;"Serviço",AND(AUTOEVENTO="Manual",$M72=$A$15),$M72&gt;(ROW(PLE.lastrow)-ROW(PLE.firstrow))),0,
           IF(OFFSET(PLE!$G$15,$M72-$A$15,AY$13)="",10^12,OFFSET(PLE!$G$15,$M72-$A$15,AY$13)))</f>
        <v>1000000000000</v>
      </c>
      <c r="AZ72" s="173">
        <f ca="1">IF(OR($D72&lt;&gt;"Serviço",AND(AUTOEVENTO="Manual",$M72=$A$15),$M72&gt;(ROW(PLE.lastrow)-ROW(PLE.firstrow))),0,
           IF(OFFSET(PLE!$G$15,$M72-$A$15,AZ$13)="",10^12,OFFSET(PLE!$G$15,$M72-$A$15,AZ$13)))</f>
        <v>1000000000000</v>
      </c>
      <c r="BA72" s="173">
        <f ca="1">IF(OR($D72&lt;&gt;"Serviço",AND(AUTOEVENTO="Manual",$M72=$A$15),$M72&gt;(ROW(PLE.lastrow)-ROW(PLE.firstrow))),0,
           IF(OFFSET(PLE!$G$15,$M72-$A$15,BA$13)="",10^12,OFFSET(PLE!$G$15,$M72-$A$15,BA$13)))</f>
        <v>1000000000000</v>
      </c>
      <c r="BB72" s="173">
        <f ca="1">IF(OR($D72&lt;&gt;"Serviço",AND(AUTOEVENTO="Manual",$M72=$A$15),$M72&gt;(ROW(PLE.lastrow)-ROW(PLE.firstrow))),0,
           IF(OFFSET(PLE!$G$15,$M72-$A$15,BB$13)="",10^12,OFFSET(PLE!$G$15,$M72-$A$15,BB$13)))</f>
        <v>1000000000000</v>
      </c>
      <c r="BC72" s="173">
        <f ca="1">IF(OR($D72&lt;&gt;"Serviço",AND(AUTOEVENTO="Manual",$M72=$A$15),$M72&gt;(ROW(PLE.lastrow)-ROW(PLE.firstrow))),0,
           IF(OFFSET(PLE!$G$15,$M72-$A$15,BC$13)="",10^12,OFFSET(PLE!$G$15,$M72-$A$15,BC$13)))</f>
        <v>1000000000000</v>
      </c>
      <c r="BD72" s="173">
        <f ca="1">IF(OR($D72&lt;&gt;"Serviço",AND(AUTOEVENTO="Manual",$M72=$A$15),$M72&gt;(ROW(PLE.lastrow)-ROW(PLE.firstrow))),0,
           IF(OFFSET(PLE!$G$15,$M72-$A$15,BD$13)="",10^12,OFFSET(PLE!$G$15,$M72-$A$15,BD$13)))</f>
        <v>1000000000000</v>
      </c>
      <c r="BE72" s="173">
        <f ca="1">IF(OR($D72&lt;&gt;"Serviço",AND(AUTOEVENTO="Manual",$M72=$A$15),$M72&gt;(ROW(PLE.lastrow)-ROW(PLE.firstrow))),0,
           IF(OFFSET(PLE!$G$15,$M72-$A$15,BE$13)="",10^12,OFFSET(PLE!$G$15,$M72-$A$15,BE$13)))</f>
        <v>1000000000000</v>
      </c>
      <c r="BF72" s="173">
        <f ca="1">IF(OR($D72&lt;&gt;"Serviço",AND(AUTOEVENTO="Manual",$M72=$A$15),$M72&gt;(ROW(PLE.lastrow)-ROW(PLE.firstrow))),0,
           IF(OFFSET(PLE!$G$15,$M72-$A$15,BF$13)="",10^12,OFFSET(PLE!$G$15,$M72-$A$15,BF$13)))</f>
        <v>1000000000000</v>
      </c>
      <c r="BG72" s="173">
        <f ca="1">IF(OR($D72&lt;&gt;"Serviço",AND(AUTOEVENTO="Manual",$M72=$A$15),$M72&gt;(ROW(PLE.lastrow)-ROW(PLE.firstrow))),0,
           IF(OFFSET(PLE!$G$15,$M72-$A$15,BG$13)="",10^12,OFFSET(PLE!$G$15,$M72-$A$15,BG$13)))</f>
        <v>1000000000000</v>
      </c>
    </row>
    <row r="73" spans="1:59" s="675" customFormat="1" ht="25.5" x14ac:dyDescent="0.2">
      <c r="A73" s="671" t="str">
        <f t="shared" ca="1" si="9"/>
        <v>55</v>
      </c>
      <c r="B73" s="671" t="str">
        <f ca="1">OFFSET(ORÇAMENTO!C$15,ROW(B73)-ROW(B$15),0)</f>
        <v>S</v>
      </c>
      <c r="C73" s="671" t="str">
        <f ca="1">OFFSET(ORÇAMENTO!L$15,ROW(C73)-ROW(C$15),0)</f>
        <v/>
      </c>
      <c r="D73" s="117" t="str">
        <f ca="1">OFFSET(ORÇAMENTO!N$15,ROW(D73)-ROW(D$15),0)</f>
        <v>Serviço</v>
      </c>
      <c r="E73" s="118" t="str">
        <f ca="1">OFFSET(ORÇAMENTO!O$15,ROW(E73)-ROW(E$15),0)</f>
        <v>-</v>
      </c>
      <c r="F73" s="164" t="str">
        <f ca="1">OFFSET(ORÇAMENTO!R$15,ROW(F73)-ROW(F$15),0)</f>
        <v>(abra o arquivo 'Referência 09-2025.xlsm)</v>
      </c>
      <c r="G73" s="165" t="str">
        <f ca="1">IF($D73&lt;&gt;"Serviço","",OFFSET(ORÇAMENTO!S$15,ROW(G73)-ROW(G$15),0))</f>
        <v>-</v>
      </c>
      <c r="H73" s="123">
        <f ca="1">IF($D73&lt;&gt;"Serviço",0,IF(ACOMPANHAMENTO="BM",ROUND(OFFSET(ORÇAMENTO!AJ$15,ROW(H73)-ROW(H$15),0),15-13*ORÇAMENTO!$AF$7),SUMPRODUCT(($Q$1:$AA$1=1)*ROUND($Q73:$AA73,15-13*ORÇAMENTO!$AF$7))))</f>
        <v>1</v>
      </c>
      <c r="I73" s="469" t="s">
        <v>1103</v>
      </c>
      <c r="J73" s="667" t="str">
        <f ca="1">IF(OR(B73&lt;&gt;"S",CÁLCULO.FrentesPreenchidas=0),"",IF(AND(ACOMPANHAMENTO="PLE",AUTOEVENTO="Manual",OR(H73&gt;0,ORÇAMENTO!AC73="QUANT."),OR(K73="",M73=0,N73="")),"►",IF(AND(ACOMPANHAMENTO="PLE",ORÇAMENTO!AC73="QUANT."),"►►",IF(AND(COUNTIF($P$11:$AA$11,"▼")=0,H73&gt;0,I73=""),"◄",""))))</f>
        <v/>
      </c>
      <c r="K73" s="668"/>
      <c r="L73" s="166" t="s">
        <v>765</v>
      </c>
      <c r="M73" s="167">
        <f ca="1">IF($D73&lt;&gt;"Serviço","",
          IF(AUTOEVENTO="manual",$A73,
                IF(ISERROR(MATCH($A73,$A$15:OFFSET($A73,-1,0),0)),MAX($M$15:OFFSET(M73,-1,0))+1,
                      INDEX($M$15:OFFSET(M73,-1,0),MATCH($A73,$A$15:OFFSET($A73,-1,0),0)))))</f>
        <v>6</v>
      </c>
      <c r="N73" s="168" t="str">
        <f ca="1">IF($D73&lt;&gt;"Serviço","",
         IF(AUTOEVENTO="Manual",
                IF($A73=0,"&lt;-- defina o número do agrupador",
                       OFFSET(EVENTOS!$D$15,$A73-$A$15,0)),
                OFFSET($F$15,$A73,0)))</f>
        <v>BY-PASS</v>
      </c>
      <c r="O73" s="169"/>
      <c r="Q73" s="169"/>
      <c r="R73" s="170"/>
      <c r="S73" s="170"/>
      <c r="T73" s="170"/>
      <c r="U73" s="170"/>
      <c r="V73" s="170"/>
      <c r="W73" s="170"/>
      <c r="X73" s="170"/>
      <c r="Y73" s="170"/>
      <c r="Z73" s="171"/>
      <c r="AB73" s="454">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4">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4">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4">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4">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4">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4">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4">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4">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4">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2">
        <f ca="1">IF(OR($D73&lt;&gt;"Serviço",AND(AUTOEVENTO="Manual",$M73=$A$15)),0,
         IF(OFFSET(CRONOPLE!$F$15,$M73-$A$15,AM$13)=0,10^12,OFFSET(CRONOPLE!$F$15,$M73-$A$15,AM$13)))</f>
        <v>1000000000000</v>
      </c>
      <c r="AN73" s="172">
        <f ca="1">IF(OR($D73&lt;&gt;"Serviço",AND(AUTOEVENTO="Manual",$M73=$A$15)),0,
         IF(OFFSET(CRONOPLE!$F$15,$M73-$A$15,AN$13)=0,10^12,OFFSET(CRONOPLE!$F$15,$M73-$A$15,AN$13)))</f>
        <v>1000000000000</v>
      </c>
      <c r="AO73" s="172">
        <f ca="1">IF(OR($D73&lt;&gt;"Serviço",AND(AUTOEVENTO="Manual",$M73=$A$15)),0,
         IF(OFFSET(CRONOPLE!$F$15,$M73-$A$15,AO$13)=0,10^12,OFFSET(CRONOPLE!$F$15,$M73-$A$15,AO$13)))</f>
        <v>1000000000000</v>
      </c>
      <c r="AP73" s="172">
        <f ca="1">IF(OR($D73&lt;&gt;"Serviço",AND(AUTOEVENTO="Manual",$M73=$A$15)),0,
         IF(OFFSET(CRONOPLE!$F$15,$M73-$A$15,AP$13)=0,10^12,OFFSET(CRONOPLE!$F$15,$M73-$A$15,AP$13)))</f>
        <v>1000000000000</v>
      </c>
      <c r="AQ73" s="172">
        <f ca="1">IF(OR($D73&lt;&gt;"Serviço",AND(AUTOEVENTO="Manual",$M73=$A$15)),0,
         IF(OFFSET(CRONOPLE!$F$15,$M73-$A$15,AQ$13)=0,10^12,OFFSET(CRONOPLE!$F$15,$M73-$A$15,AQ$13)))</f>
        <v>1000000000000</v>
      </c>
      <c r="AR73" s="172">
        <f ca="1">IF(OR($D73&lt;&gt;"Serviço",AND(AUTOEVENTO="Manual",$M73=$A$15)),0,
         IF(OFFSET(CRONOPLE!$F$15,$M73-$A$15,AR$13)=0,10^12,OFFSET(CRONOPLE!$F$15,$M73-$A$15,AR$13)))</f>
        <v>1000000000000</v>
      </c>
      <c r="AS73" s="172">
        <f ca="1">IF(OR($D73&lt;&gt;"Serviço",AND(AUTOEVENTO="Manual",$M73=$A$15)),0,
         IF(OFFSET(CRONOPLE!$F$15,$M73-$A$15,AS$13)=0,10^12,OFFSET(CRONOPLE!$F$15,$M73-$A$15,AS$13)))</f>
        <v>1000000000000</v>
      </c>
      <c r="AT73" s="172">
        <f ca="1">IF(OR($D73&lt;&gt;"Serviço",AND(AUTOEVENTO="Manual",$M73=$A$15)),0,
         IF(OFFSET(CRONOPLE!$F$15,$M73-$A$15,AT$13)=0,10^12,OFFSET(CRONOPLE!$F$15,$M73-$A$15,AT$13)))</f>
        <v>1000000000000</v>
      </c>
      <c r="AU73" s="172">
        <f ca="1">IF(OR($D73&lt;&gt;"Serviço",AND(AUTOEVENTO="Manual",$M73=$A$15)),0,
         IF(OFFSET(CRONOPLE!$F$15,$M73-$A$15,AU$13)=0,10^12,OFFSET(CRONOPLE!$F$15,$M73-$A$15,AU$13)))</f>
        <v>1000000000000</v>
      </c>
      <c r="AV73" s="172">
        <f ca="1">IF(OR($D73&lt;&gt;"Serviço",AND(AUTOEVENTO="Manual",$M73=$A$15)),0,
         IF(OFFSET(CRONOPLE!$F$15,$M73-$A$15,AV$13)=0,10^12,OFFSET(CRONOPLE!$F$15,$M73-$A$15,AV$13)))</f>
        <v>1000000000000</v>
      </c>
      <c r="AX73" s="173">
        <f ca="1">IF(OR($D73&lt;&gt;"Serviço",AND(AUTOEVENTO="Manual",$M73=$A$15),$M73&gt;(ROW(PLE.lastrow)-ROW(PLE.firstrow))),0,
           IF(OFFSET(PLE!$G$15,$M73-$A$15,AX$13)="",10^12,OFFSET(PLE!$G$15,$M73-$A$15,AX$13)))</f>
        <v>1000000000000</v>
      </c>
      <c r="AY73" s="173">
        <f ca="1">IF(OR($D73&lt;&gt;"Serviço",AND(AUTOEVENTO="Manual",$M73=$A$15),$M73&gt;(ROW(PLE.lastrow)-ROW(PLE.firstrow))),0,
           IF(OFFSET(PLE!$G$15,$M73-$A$15,AY$13)="",10^12,OFFSET(PLE!$G$15,$M73-$A$15,AY$13)))</f>
        <v>1000000000000</v>
      </c>
      <c r="AZ73" s="173">
        <f ca="1">IF(OR($D73&lt;&gt;"Serviço",AND(AUTOEVENTO="Manual",$M73=$A$15),$M73&gt;(ROW(PLE.lastrow)-ROW(PLE.firstrow))),0,
           IF(OFFSET(PLE!$G$15,$M73-$A$15,AZ$13)="",10^12,OFFSET(PLE!$G$15,$M73-$A$15,AZ$13)))</f>
        <v>1000000000000</v>
      </c>
      <c r="BA73" s="173">
        <f ca="1">IF(OR($D73&lt;&gt;"Serviço",AND(AUTOEVENTO="Manual",$M73=$A$15),$M73&gt;(ROW(PLE.lastrow)-ROW(PLE.firstrow))),0,
           IF(OFFSET(PLE!$G$15,$M73-$A$15,BA$13)="",10^12,OFFSET(PLE!$G$15,$M73-$A$15,BA$13)))</f>
        <v>1000000000000</v>
      </c>
      <c r="BB73" s="173">
        <f ca="1">IF(OR($D73&lt;&gt;"Serviço",AND(AUTOEVENTO="Manual",$M73=$A$15),$M73&gt;(ROW(PLE.lastrow)-ROW(PLE.firstrow))),0,
           IF(OFFSET(PLE!$G$15,$M73-$A$15,BB$13)="",10^12,OFFSET(PLE!$G$15,$M73-$A$15,BB$13)))</f>
        <v>1000000000000</v>
      </c>
      <c r="BC73" s="173">
        <f ca="1">IF(OR($D73&lt;&gt;"Serviço",AND(AUTOEVENTO="Manual",$M73=$A$15),$M73&gt;(ROW(PLE.lastrow)-ROW(PLE.firstrow))),0,
           IF(OFFSET(PLE!$G$15,$M73-$A$15,BC$13)="",10^12,OFFSET(PLE!$G$15,$M73-$A$15,BC$13)))</f>
        <v>1000000000000</v>
      </c>
      <c r="BD73" s="173">
        <f ca="1">IF(OR($D73&lt;&gt;"Serviço",AND(AUTOEVENTO="Manual",$M73=$A$15),$M73&gt;(ROW(PLE.lastrow)-ROW(PLE.firstrow))),0,
           IF(OFFSET(PLE!$G$15,$M73-$A$15,BD$13)="",10^12,OFFSET(PLE!$G$15,$M73-$A$15,BD$13)))</f>
        <v>1000000000000</v>
      </c>
      <c r="BE73" s="173">
        <f ca="1">IF(OR($D73&lt;&gt;"Serviço",AND(AUTOEVENTO="Manual",$M73=$A$15),$M73&gt;(ROW(PLE.lastrow)-ROW(PLE.firstrow))),0,
           IF(OFFSET(PLE!$G$15,$M73-$A$15,BE$13)="",10^12,OFFSET(PLE!$G$15,$M73-$A$15,BE$13)))</f>
        <v>1000000000000</v>
      </c>
      <c r="BF73" s="173">
        <f ca="1">IF(OR($D73&lt;&gt;"Serviço",AND(AUTOEVENTO="Manual",$M73=$A$15),$M73&gt;(ROW(PLE.lastrow)-ROW(PLE.firstrow))),0,
           IF(OFFSET(PLE!$G$15,$M73-$A$15,BF$13)="",10^12,OFFSET(PLE!$G$15,$M73-$A$15,BF$13)))</f>
        <v>1000000000000</v>
      </c>
      <c r="BG73" s="173">
        <f ca="1">IF(OR($D73&lt;&gt;"Serviço",AND(AUTOEVENTO="Manual",$M73=$A$15),$M73&gt;(ROW(PLE.lastrow)-ROW(PLE.firstrow))),0,
           IF(OFFSET(PLE!$G$15,$M73-$A$15,BG$13)="",10^12,OFFSET(PLE!$G$15,$M73-$A$15,BG$13)))</f>
        <v>1000000000000</v>
      </c>
    </row>
    <row r="74" spans="1:59" s="675" customFormat="1" ht="12.75" x14ac:dyDescent="0.2">
      <c r="A74" s="671" t="str">
        <f t="shared" ref="A74:A142" ca="1" si="10">IFERROR(IF(AUTOEVENTO="Manual",IF(K74&lt;&gt;"",MIN(VALUE(LEFT(K74,FIND(".",K74)-1)),COUNTA(EVENTOS.Lista)),0),IF(OR($B74&gt;AUTOEVENTO,$B74="S",$B74=0),SUBSTITUTE(OFFSET($A74,-1,0),IF($D74="Serviço",".",""),""),ROW(A74)-ROW($A$15)&amp;".")),0)</f>
        <v>59.</v>
      </c>
      <c r="B74" s="671">
        <f ca="1">OFFSET(ORÇAMENTO!C$15,ROW(B74)-ROW(B$15),0)</f>
        <v>2</v>
      </c>
      <c r="C74" s="671" t="str">
        <f ca="1">OFFSET(ORÇAMENTO!L$15,ROW(C74)-ROW(C$15),0)</f>
        <v>F</v>
      </c>
      <c r="D74" s="117" t="str">
        <f ca="1">OFFSET(ORÇAMENTO!N$15,ROW(D74)-ROW(D$15),0)</f>
        <v>Nível 2</v>
      </c>
      <c r="E74" s="118" t="str">
        <f ca="1">OFFSET(ORÇAMENTO!O$15,ROW(E74)-ROW(E$15),0)</f>
        <v>1.8.</v>
      </c>
      <c r="F74" s="164" t="str">
        <f ca="1">OFFSET(ORÇAMENTO!R$15,ROW(F74)-ROW(F$15),0)</f>
        <v>LINHA DE RECALQUE INCLUI TRAVESSIA - MATERIAIS</v>
      </c>
      <c r="G74" s="165" t="str">
        <f ca="1">IF($D74&lt;&gt;"Serviço","",OFFSET(ORÇAMENTO!S$15,ROW(G74)-ROW(G$15),0))</f>
        <v/>
      </c>
      <c r="H74" s="123">
        <f ca="1">IF($D74&lt;&gt;"Serviço",0,IF(ACOMPANHAMENTO="BM",ROUND(OFFSET(ORÇAMENTO!AJ$15,ROW(H74)-ROW(H$15),0),15-13*ORÇAMENTO!$AF$7),SUMPRODUCT(($Q$1:$AA$1=1)*ROUND($Q74:$AA74,15-13*ORÇAMENTO!$AF$7))))</f>
        <v>0</v>
      </c>
      <c r="I74" s="469"/>
      <c r="J74" s="667" t="str">
        <f ca="1">IF(OR(B74&lt;&gt;"S",CÁLCULO.FrentesPreenchidas=0),"",IF(AND(ACOMPANHAMENTO="PLE",AUTOEVENTO="Manual",OR(H74&gt;0,ORÇAMENTO!AC74="QUANT."),OR(K74="",M74=0,N74="")),"►",IF(AND(ACOMPANHAMENTO="PLE",ORÇAMENTO!AC74="QUANT."),"►►",IF(AND(COUNTIF($P$11:$AA$11,"▼")=0,H74&gt;0,I74=""),"◄",""))))</f>
        <v/>
      </c>
      <c r="K74" s="668"/>
      <c r="L74" s="166" t="s">
        <v>765</v>
      </c>
      <c r="M74" s="167" t="str">
        <f ca="1">IF($D74&lt;&gt;"Serviço","",
          IF(AUTOEVENTO="manual",$A74,
                IF(ISERROR(MATCH($A74,$A$15:OFFSET($A74,-1,0),0)),MAX($M$15:OFFSET(M74,-1,0))+1,
                      INDEX($M$15:OFFSET(M74,-1,0),MATCH($A74,$A$15:OFFSET($A74,-1,0),0)))))</f>
        <v/>
      </c>
      <c r="N74" s="168" t="str">
        <f ca="1">IF($D74&lt;&gt;"Serviço","",
         IF(AUTOEVENTO="Manual",
                IF($A74=0,"&lt;-- defina o número do agrupador",
                       OFFSET(EVENTOS!$D$15,$A74-$A$15,0)),
                OFFSET($F$15,$A74,0)))</f>
        <v/>
      </c>
      <c r="O74" s="169"/>
      <c r="Q74" s="169"/>
      <c r="R74" s="170"/>
      <c r="S74" s="170"/>
      <c r="T74" s="170"/>
      <c r="U74" s="170"/>
      <c r="V74" s="170"/>
      <c r="W74" s="170"/>
      <c r="X74" s="170"/>
      <c r="Y74" s="170"/>
      <c r="Z74" s="171"/>
      <c r="AB74" s="454">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4">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4">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4">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4">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4">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4">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4">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4">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4">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2">
        <f ca="1">IF(OR($D74&lt;&gt;"Serviço",AND(AUTOEVENTO="Manual",$M74=$A$15)),0,
         IF(OFFSET(CRONOPLE!$F$15,$M74-$A$15,AM$13)=0,10^12,OFFSET(CRONOPLE!$F$15,$M74-$A$15,AM$13)))</f>
        <v>0</v>
      </c>
      <c r="AN74" s="172">
        <f ca="1">IF(OR($D74&lt;&gt;"Serviço",AND(AUTOEVENTO="Manual",$M74=$A$15)),0,
         IF(OFFSET(CRONOPLE!$F$15,$M74-$A$15,AN$13)=0,10^12,OFFSET(CRONOPLE!$F$15,$M74-$A$15,AN$13)))</f>
        <v>0</v>
      </c>
      <c r="AO74" s="172">
        <f ca="1">IF(OR($D74&lt;&gt;"Serviço",AND(AUTOEVENTO="Manual",$M74=$A$15)),0,
         IF(OFFSET(CRONOPLE!$F$15,$M74-$A$15,AO$13)=0,10^12,OFFSET(CRONOPLE!$F$15,$M74-$A$15,AO$13)))</f>
        <v>0</v>
      </c>
      <c r="AP74" s="172">
        <f ca="1">IF(OR($D74&lt;&gt;"Serviço",AND(AUTOEVENTO="Manual",$M74=$A$15)),0,
         IF(OFFSET(CRONOPLE!$F$15,$M74-$A$15,AP$13)=0,10^12,OFFSET(CRONOPLE!$F$15,$M74-$A$15,AP$13)))</f>
        <v>0</v>
      </c>
      <c r="AQ74" s="172">
        <f ca="1">IF(OR($D74&lt;&gt;"Serviço",AND(AUTOEVENTO="Manual",$M74=$A$15)),0,
         IF(OFFSET(CRONOPLE!$F$15,$M74-$A$15,AQ$13)=0,10^12,OFFSET(CRONOPLE!$F$15,$M74-$A$15,AQ$13)))</f>
        <v>0</v>
      </c>
      <c r="AR74" s="172">
        <f ca="1">IF(OR($D74&lt;&gt;"Serviço",AND(AUTOEVENTO="Manual",$M74=$A$15)),0,
         IF(OFFSET(CRONOPLE!$F$15,$M74-$A$15,AR$13)=0,10^12,OFFSET(CRONOPLE!$F$15,$M74-$A$15,AR$13)))</f>
        <v>0</v>
      </c>
      <c r="AS74" s="172">
        <f ca="1">IF(OR($D74&lt;&gt;"Serviço",AND(AUTOEVENTO="Manual",$M74=$A$15)),0,
         IF(OFFSET(CRONOPLE!$F$15,$M74-$A$15,AS$13)=0,10^12,OFFSET(CRONOPLE!$F$15,$M74-$A$15,AS$13)))</f>
        <v>0</v>
      </c>
      <c r="AT74" s="172">
        <f ca="1">IF(OR($D74&lt;&gt;"Serviço",AND(AUTOEVENTO="Manual",$M74=$A$15)),0,
         IF(OFFSET(CRONOPLE!$F$15,$M74-$A$15,AT$13)=0,10^12,OFFSET(CRONOPLE!$F$15,$M74-$A$15,AT$13)))</f>
        <v>0</v>
      </c>
      <c r="AU74" s="172">
        <f ca="1">IF(OR($D74&lt;&gt;"Serviço",AND(AUTOEVENTO="Manual",$M74=$A$15)),0,
         IF(OFFSET(CRONOPLE!$F$15,$M74-$A$15,AU$13)=0,10^12,OFFSET(CRONOPLE!$F$15,$M74-$A$15,AU$13)))</f>
        <v>0</v>
      </c>
      <c r="AV74" s="172">
        <f ca="1">IF(OR($D74&lt;&gt;"Serviço",AND(AUTOEVENTO="Manual",$M74=$A$15)),0,
         IF(OFFSET(CRONOPLE!$F$15,$M74-$A$15,AV$13)=0,10^12,OFFSET(CRONOPLE!$F$15,$M74-$A$15,AV$13)))</f>
        <v>0</v>
      </c>
      <c r="AX74" s="173">
        <f ca="1">IF(OR($D74&lt;&gt;"Serviço",AND(AUTOEVENTO="Manual",$M74=$A$15),$M74&gt;(ROW(PLE.lastrow)-ROW(PLE.firstrow))),0,
           IF(OFFSET(PLE!$G$15,$M74-$A$15,AX$13)="",10^12,OFFSET(PLE!$G$15,$M74-$A$15,AX$13)))</f>
        <v>0</v>
      </c>
      <c r="AY74" s="173">
        <f ca="1">IF(OR($D74&lt;&gt;"Serviço",AND(AUTOEVENTO="Manual",$M74=$A$15),$M74&gt;(ROW(PLE.lastrow)-ROW(PLE.firstrow))),0,
           IF(OFFSET(PLE!$G$15,$M74-$A$15,AY$13)="",10^12,OFFSET(PLE!$G$15,$M74-$A$15,AY$13)))</f>
        <v>0</v>
      </c>
      <c r="AZ74" s="173">
        <f ca="1">IF(OR($D74&lt;&gt;"Serviço",AND(AUTOEVENTO="Manual",$M74=$A$15),$M74&gt;(ROW(PLE.lastrow)-ROW(PLE.firstrow))),0,
           IF(OFFSET(PLE!$G$15,$M74-$A$15,AZ$13)="",10^12,OFFSET(PLE!$G$15,$M74-$A$15,AZ$13)))</f>
        <v>0</v>
      </c>
      <c r="BA74" s="173">
        <f ca="1">IF(OR($D74&lt;&gt;"Serviço",AND(AUTOEVENTO="Manual",$M74=$A$15),$M74&gt;(ROW(PLE.lastrow)-ROW(PLE.firstrow))),0,
           IF(OFFSET(PLE!$G$15,$M74-$A$15,BA$13)="",10^12,OFFSET(PLE!$G$15,$M74-$A$15,BA$13)))</f>
        <v>0</v>
      </c>
      <c r="BB74" s="173">
        <f ca="1">IF(OR($D74&lt;&gt;"Serviço",AND(AUTOEVENTO="Manual",$M74=$A$15),$M74&gt;(ROW(PLE.lastrow)-ROW(PLE.firstrow))),0,
           IF(OFFSET(PLE!$G$15,$M74-$A$15,BB$13)="",10^12,OFFSET(PLE!$G$15,$M74-$A$15,BB$13)))</f>
        <v>0</v>
      </c>
      <c r="BC74" s="173">
        <f ca="1">IF(OR($D74&lt;&gt;"Serviço",AND(AUTOEVENTO="Manual",$M74=$A$15),$M74&gt;(ROW(PLE.lastrow)-ROW(PLE.firstrow))),0,
           IF(OFFSET(PLE!$G$15,$M74-$A$15,BC$13)="",10^12,OFFSET(PLE!$G$15,$M74-$A$15,BC$13)))</f>
        <v>0</v>
      </c>
      <c r="BD74" s="173">
        <f ca="1">IF(OR($D74&lt;&gt;"Serviço",AND(AUTOEVENTO="Manual",$M74=$A$15),$M74&gt;(ROW(PLE.lastrow)-ROW(PLE.firstrow))),0,
           IF(OFFSET(PLE!$G$15,$M74-$A$15,BD$13)="",10^12,OFFSET(PLE!$G$15,$M74-$A$15,BD$13)))</f>
        <v>0</v>
      </c>
      <c r="BE74" s="173">
        <f ca="1">IF(OR($D74&lt;&gt;"Serviço",AND(AUTOEVENTO="Manual",$M74=$A$15),$M74&gt;(ROW(PLE.lastrow)-ROW(PLE.firstrow))),0,
           IF(OFFSET(PLE!$G$15,$M74-$A$15,BE$13)="",10^12,OFFSET(PLE!$G$15,$M74-$A$15,BE$13)))</f>
        <v>0</v>
      </c>
      <c r="BF74" s="173">
        <f ca="1">IF(OR($D74&lt;&gt;"Serviço",AND(AUTOEVENTO="Manual",$M74=$A$15),$M74&gt;(ROW(PLE.lastrow)-ROW(PLE.firstrow))),0,
           IF(OFFSET(PLE!$G$15,$M74-$A$15,BF$13)="",10^12,OFFSET(PLE!$G$15,$M74-$A$15,BF$13)))</f>
        <v>0</v>
      </c>
      <c r="BG74" s="173">
        <f ca="1">IF(OR($D74&lt;&gt;"Serviço",AND(AUTOEVENTO="Manual",$M74=$A$15),$M74&gt;(ROW(PLE.lastrow)-ROW(PLE.firstrow))),0,
           IF(OFFSET(PLE!$G$15,$M74-$A$15,BG$13)="",10^12,OFFSET(PLE!$G$15,$M74-$A$15,BG$13)))</f>
        <v>0</v>
      </c>
    </row>
    <row r="75" spans="1:59" s="675" customFormat="1" ht="25.5" x14ac:dyDescent="0.2">
      <c r="A75" s="671" t="str">
        <f t="shared" ca="1" si="10"/>
        <v>59</v>
      </c>
      <c r="B75" s="671" t="str">
        <f ca="1">OFFSET(ORÇAMENTO!C$15,ROW(B75)-ROW(B$15),0)</f>
        <v>S</v>
      </c>
      <c r="C75" s="671" t="str">
        <f ca="1">OFFSET(ORÇAMENTO!L$15,ROW(C75)-ROW(C$15),0)</f>
        <v/>
      </c>
      <c r="D75" s="117" t="str">
        <f ca="1">OFFSET(ORÇAMENTO!N$15,ROW(D75)-ROW(D$15),0)</f>
        <v>Serviço</v>
      </c>
      <c r="E75" s="118" t="str">
        <f ca="1">OFFSET(ORÇAMENTO!O$15,ROW(E75)-ROW(E$15),0)</f>
        <v>-</v>
      </c>
      <c r="F75" s="164" t="str">
        <f ca="1">OFFSET(ORÇAMENTO!R$15,ROW(F75)-ROW(F$15),0)</f>
        <v>(abra o arquivo 'Referência 09-2025.xlsm)</v>
      </c>
      <c r="G75" s="165" t="str">
        <f ca="1">IF($D75&lt;&gt;"Serviço","",OFFSET(ORÇAMENTO!S$15,ROW(G75)-ROW(G$15),0))</f>
        <v>-</v>
      </c>
      <c r="H75" s="123">
        <f ca="1">IF($D75&lt;&gt;"Serviço",0,IF(ACOMPANHAMENTO="BM",ROUND(OFFSET(ORÇAMENTO!AJ$15,ROW(H75)-ROW(H$15),0),15-13*ORÇAMENTO!$AF$7),SUMPRODUCT(($Q$1:$AA$1=1)*ROUND($Q75:$AA75,15-13*ORÇAMENTO!$AF$7))))</f>
        <v>212</v>
      </c>
      <c r="I75" s="469" t="s">
        <v>1094</v>
      </c>
      <c r="J75" s="667" t="str">
        <f ca="1">IF(OR(B75&lt;&gt;"S",CÁLCULO.FrentesPreenchidas=0),"",IF(AND(ACOMPANHAMENTO="PLE",AUTOEVENTO="Manual",OR(H75&gt;0,ORÇAMENTO!AC75="QUANT."),OR(K75="",M75=0,N75="")),"►",IF(AND(ACOMPANHAMENTO="PLE",ORÇAMENTO!AC75="QUANT."),"►►",IF(AND(COUNTIF($P$11:$AA$11,"▼")=0,H75&gt;0,I75=""),"◄",""))))</f>
        <v/>
      </c>
      <c r="K75" s="668"/>
      <c r="L75" s="166" t="s">
        <v>765</v>
      </c>
      <c r="M75" s="167">
        <f ca="1">IF($D75&lt;&gt;"Serviço","",
          IF(AUTOEVENTO="manual",$A75,
                IF(ISERROR(MATCH($A75,$A$15:OFFSET($A75,-1,0),0)),MAX($M$15:OFFSET(M75,-1,0))+1,
                      INDEX($M$15:OFFSET(M75,-1,0),MATCH($A75,$A$15:OFFSET($A75,-1,0),0)))))</f>
        <v>7</v>
      </c>
      <c r="N75" s="168" t="str">
        <f ca="1">IF($D75&lt;&gt;"Serviço","",
         IF(AUTOEVENTO="Manual",
                IF($A75=0,"&lt;-- defina o número do agrupador",
                       OFFSET(EVENTOS!$D$15,$A75-$A$15,0)),
                OFFSET($F$15,$A75,0)))</f>
        <v>LINHA DE RECALQUE INCLUI TRAVESSIA - MATERIAIS</v>
      </c>
      <c r="O75" s="169"/>
      <c r="Q75" s="169"/>
      <c r="R75" s="170"/>
      <c r="S75" s="170"/>
      <c r="T75" s="170"/>
      <c r="U75" s="170"/>
      <c r="V75" s="170"/>
      <c r="W75" s="170"/>
      <c r="X75" s="170"/>
      <c r="Y75" s="170"/>
      <c r="Z75" s="171"/>
      <c r="AB75" s="454">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4">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4">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4">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4">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4">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4">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4">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4">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4">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2">
        <f ca="1">IF(OR($D75&lt;&gt;"Serviço",AND(AUTOEVENTO="Manual",$M75=$A$15)),0,
         IF(OFFSET(CRONOPLE!$F$15,$M75-$A$15,AM$13)=0,10^12,OFFSET(CRONOPLE!$F$15,$M75-$A$15,AM$13)))</f>
        <v>1000000000000</v>
      </c>
      <c r="AN75" s="172">
        <f ca="1">IF(OR($D75&lt;&gt;"Serviço",AND(AUTOEVENTO="Manual",$M75=$A$15)),0,
         IF(OFFSET(CRONOPLE!$F$15,$M75-$A$15,AN$13)=0,10^12,OFFSET(CRONOPLE!$F$15,$M75-$A$15,AN$13)))</f>
        <v>1000000000000</v>
      </c>
      <c r="AO75" s="172">
        <f ca="1">IF(OR($D75&lt;&gt;"Serviço",AND(AUTOEVENTO="Manual",$M75=$A$15)),0,
         IF(OFFSET(CRONOPLE!$F$15,$M75-$A$15,AO$13)=0,10^12,OFFSET(CRONOPLE!$F$15,$M75-$A$15,AO$13)))</f>
        <v>1000000000000</v>
      </c>
      <c r="AP75" s="172">
        <f ca="1">IF(OR($D75&lt;&gt;"Serviço",AND(AUTOEVENTO="Manual",$M75=$A$15)),0,
         IF(OFFSET(CRONOPLE!$F$15,$M75-$A$15,AP$13)=0,10^12,OFFSET(CRONOPLE!$F$15,$M75-$A$15,AP$13)))</f>
        <v>1000000000000</v>
      </c>
      <c r="AQ75" s="172">
        <f ca="1">IF(OR($D75&lt;&gt;"Serviço",AND(AUTOEVENTO="Manual",$M75=$A$15)),0,
         IF(OFFSET(CRONOPLE!$F$15,$M75-$A$15,AQ$13)=0,10^12,OFFSET(CRONOPLE!$F$15,$M75-$A$15,AQ$13)))</f>
        <v>1000000000000</v>
      </c>
      <c r="AR75" s="172">
        <f ca="1">IF(OR($D75&lt;&gt;"Serviço",AND(AUTOEVENTO="Manual",$M75=$A$15)),0,
         IF(OFFSET(CRONOPLE!$F$15,$M75-$A$15,AR$13)=0,10^12,OFFSET(CRONOPLE!$F$15,$M75-$A$15,AR$13)))</f>
        <v>1000000000000</v>
      </c>
      <c r="AS75" s="172">
        <f ca="1">IF(OR($D75&lt;&gt;"Serviço",AND(AUTOEVENTO="Manual",$M75=$A$15)),0,
         IF(OFFSET(CRONOPLE!$F$15,$M75-$A$15,AS$13)=0,10^12,OFFSET(CRONOPLE!$F$15,$M75-$A$15,AS$13)))</f>
        <v>1000000000000</v>
      </c>
      <c r="AT75" s="172">
        <f ca="1">IF(OR($D75&lt;&gt;"Serviço",AND(AUTOEVENTO="Manual",$M75=$A$15)),0,
         IF(OFFSET(CRONOPLE!$F$15,$M75-$A$15,AT$13)=0,10^12,OFFSET(CRONOPLE!$F$15,$M75-$A$15,AT$13)))</f>
        <v>1000000000000</v>
      </c>
      <c r="AU75" s="172">
        <f ca="1">IF(OR($D75&lt;&gt;"Serviço",AND(AUTOEVENTO="Manual",$M75=$A$15)),0,
         IF(OFFSET(CRONOPLE!$F$15,$M75-$A$15,AU$13)=0,10^12,OFFSET(CRONOPLE!$F$15,$M75-$A$15,AU$13)))</f>
        <v>1000000000000</v>
      </c>
      <c r="AV75" s="172">
        <f ca="1">IF(OR($D75&lt;&gt;"Serviço",AND(AUTOEVENTO="Manual",$M75=$A$15)),0,
         IF(OFFSET(CRONOPLE!$F$15,$M75-$A$15,AV$13)=0,10^12,OFFSET(CRONOPLE!$F$15,$M75-$A$15,AV$13)))</f>
        <v>1000000000000</v>
      </c>
      <c r="AX75" s="173">
        <f ca="1">IF(OR($D75&lt;&gt;"Serviço",AND(AUTOEVENTO="Manual",$M75=$A$15),$M75&gt;(ROW(PLE.lastrow)-ROW(PLE.firstrow))),0,
           IF(OFFSET(PLE!$G$15,$M75-$A$15,AX$13)="",10^12,OFFSET(PLE!$G$15,$M75-$A$15,AX$13)))</f>
        <v>1000000000000</v>
      </c>
      <c r="AY75" s="173">
        <f ca="1">IF(OR($D75&lt;&gt;"Serviço",AND(AUTOEVENTO="Manual",$M75=$A$15),$M75&gt;(ROW(PLE.lastrow)-ROW(PLE.firstrow))),0,
           IF(OFFSET(PLE!$G$15,$M75-$A$15,AY$13)="",10^12,OFFSET(PLE!$G$15,$M75-$A$15,AY$13)))</f>
        <v>1000000000000</v>
      </c>
      <c r="AZ75" s="173">
        <f ca="1">IF(OR($D75&lt;&gt;"Serviço",AND(AUTOEVENTO="Manual",$M75=$A$15),$M75&gt;(ROW(PLE.lastrow)-ROW(PLE.firstrow))),0,
           IF(OFFSET(PLE!$G$15,$M75-$A$15,AZ$13)="",10^12,OFFSET(PLE!$G$15,$M75-$A$15,AZ$13)))</f>
        <v>1000000000000</v>
      </c>
      <c r="BA75" s="173">
        <f ca="1">IF(OR($D75&lt;&gt;"Serviço",AND(AUTOEVENTO="Manual",$M75=$A$15),$M75&gt;(ROW(PLE.lastrow)-ROW(PLE.firstrow))),0,
           IF(OFFSET(PLE!$G$15,$M75-$A$15,BA$13)="",10^12,OFFSET(PLE!$G$15,$M75-$A$15,BA$13)))</f>
        <v>1000000000000</v>
      </c>
      <c r="BB75" s="173">
        <f ca="1">IF(OR($D75&lt;&gt;"Serviço",AND(AUTOEVENTO="Manual",$M75=$A$15),$M75&gt;(ROW(PLE.lastrow)-ROW(PLE.firstrow))),0,
           IF(OFFSET(PLE!$G$15,$M75-$A$15,BB$13)="",10^12,OFFSET(PLE!$G$15,$M75-$A$15,BB$13)))</f>
        <v>1000000000000</v>
      </c>
      <c r="BC75" s="173">
        <f ca="1">IF(OR($D75&lt;&gt;"Serviço",AND(AUTOEVENTO="Manual",$M75=$A$15),$M75&gt;(ROW(PLE.lastrow)-ROW(PLE.firstrow))),0,
           IF(OFFSET(PLE!$G$15,$M75-$A$15,BC$13)="",10^12,OFFSET(PLE!$G$15,$M75-$A$15,BC$13)))</f>
        <v>1000000000000</v>
      </c>
      <c r="BD75" s="173">
        <f ca="1">IF(OR($D75&lt;&gt;"Serviço",AND(AUTOEVENTO="Manual",$M75=$A$15),$M75&gt;(ROW(PLE.lastrow)-ROW(PLE.firstrow))),0,
           IF(OFFSET(PLE!$G$15,$M75-$A$15,BD$13)="",10^12,OFFSET(PLE!$G$15,$M75-$A$15,BD$13)))</f>
        <v>1000000000000</v>
      </c>
      <c r="BE75" s="173">
        <f ca="1">IF(OR($D75&lt;&gt;"Serviço",AND(AUTOEVENTO="Manual",$M75=$A$15),$M75&gt;(ROW(PLE.lastrow)-ROW(PLE.firstrow))),0,
           IF(OFFSET(PLE!$G$15,$M75-$A$15,BE$13)="",10^12,OFFSET(PLE!$G$15,$M75-$A$15,BE$13)))</f>
        <v>1000000000000</v>
      </c>
      <c r="BF75" s="173">
        <f ca="1">IF(OR($D75&lt;&gt;"Serviço",AND(AUTOEVENTO="Manual",$M75=$A$15),$M75&gt;(ROW(PLE.lastrow)-ROW(PLE.firstrow))),0,
           IF(OFFSET(PLE!$G$15,$M75-$A$15,BF$13)="",10^12,OFFSET(PLE!$G$15,$M75-$A$15,BF$13)))</f>
        <v>1000000000000</v>
      </c>
      <c r="BG75" s="173">
        <f ca="1">IF(OR($D75&lt;&gt;"Serviço",AND(AUTOEVENTO="Manual",$M75=$A$15),$M75&gt;(ROW(PLE.lastrow)-ROW(PLE.firstrow))),0,
           IF(OFFSET(PLE!$G$15,$M75-$A$15,BG$13)="",10^12,OFFSET(PLE!$G$15,$M75-$A$15,BG$13)))</f>
        <v>1000000000000</v>
      </c>
    </row>
    <row r="76" spans="1:59" s="675" customFormat="1" ht="25.5" x14ac:dyDescent="0.2">
      <c r="A76" s="671" t="str">
        <f t="shared" ca="1" si="10"/>
        <v>59</v>
      </c>
      <c r="B76" s="671" t="str">
        <f ca="1">OFFSET(ORÇAMENTO!C$15,ROW(B76)-ROW(B$15),0)</f>
        <v>S</v>
      </c>
      <c r="C76" s="671" t="str">
        <f ca="1">OFFSET(ORÇAMENTO!L$15,ROW(C76)-ROW(C$15),0)</f>
        <v/>
      </c>
      <c r="D76" s="117" t="str">
        <f ca="1">OFFSET(ORÇAMENTO!N$15,ROW(D76)-ROW(D$15),0)</f>
        <v>Serviço</v>
      </c>
      <c r="E76" s="118" t="str">
        <f ca="1">OFFSET(ORÇAMENTO!O$15,ROW(E76)-ROW(E$15),0)</f>
        <v>-</v>
      </c>
      <c r="F76" s="164" t="str">
        <f ca="1">OFFSET(ORÇAMENTO!R$15,ROW(F76)-ROW(F$15),0)</f>
        <v>(abra o arquivo 'Referência 09-2025.xlsm)</v>
      </c>
      <c r="G76" s="165" t="str">
        <f ca="1">IF($D76&lt;&gt;"Serviço","",OFFSET(ORÇAMENTO!S$15,ROW(G76)-ROW(G$15),0))</f>
        <v>-</v>
      </c>
      <c r="H76" s="123">
        <f ca="1">IF($D76&lt;&gt;"Serviço",0,IF(ACOMPANHAMENTO="BM",ROUND(OFFSET(ORÇAMENTO!AJ$15,ROW(H76)-ROW(H$15),0),15-13*ORÇAMENTO!$AF$7),SUMPRODUCT(($Q$1:$AA$1=1)*ROUND($Q76:$AA76,15-13*ORÇAMENTO!$AF$7))))</f>
        <v>6</v>
      </c>
      <c r="I76" s="469" t="s">
        <v>1101</v>
      </c>
      <c r="J76" s="667" t="str">
        <f ca="1">IF(OR(B76&lt;&gt;"S",CÁLCULO.FrentesPreenchidas=0),"",IF(AND(ACOMPANHAMENTO="PLE",AUTOEVENTO="Manual",OR(H76&gt;0,ORÇAMENTO!AC76="QUANT."),OR(K76="",M76=0,N76="")),"►",IF(AND(ACOMPANHAMENTO="PLE",ORÇAMENTO!AC76="QUANT."),"►►",IF(AND(COUNTIF($P$11:$AA$11,"▼")=0,H76&gt;0,I76=""),"◄",""))))</f>
        <v/>
      </c>
      <c r="K76" s="668"/>
      <c r="L76" s="166" t="s">
        <v>765</v>
      </c>
      <c r="M76" s="167">
        <f ca="1">IF($D76&lt;&gt;"Serviço","",
          IF(AUTOEVENTO="manual",$A76,
                IF(ISERROR(MATCH($A76,$A$15:OFFSET($A76,-1,0),0)),MAX($M$15:OFFSET(M76,-1,0))+1,
                      INDEX($M$15:OFFSET(M76,-1,0),MATCH($A76,$A$15:OFFSET($A76,-1,0),0)))))</f>
        <v>7</v>
      </c>
      <c r="N76" s="168" t="str">
        <f ca="1">IF($D76&lt;&gt;"Serviço","",
         IF(AUTOEVENTO="Manual",
                IF($A76=0,"&lt;-- defina o número do agrupador",
                       OFFSET(EVENTOS!$D$15,$A76-$A$15,0)),
                OFFSET($F$15,$A76,0)))</f>
        <v>LINHA DE RECALQUE INCLUI TRAVESSIA - MATERIAIS</v>
      </c>
      <c r="O76" s="169"/>
      <c r="Q76" s="169"/>
      <c r="R76" s="170"/>
      <c r="S76" s="170"/>
      <c r="T76" s="170"/>
      <c r="U76" s="170"/>
      <c r="V76" s="170"/>
      <c r="W76" s="170"/>
      <c r="X76" s="170"/>
      <c r="Y76" s="170"/>
      <c r="Z76" s="171"/>
      <c r="AB76" s="454">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4">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4">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4">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4">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4">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4">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4">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4">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4">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2">
        <f ca="1">IF(OR($D76&lt;&gt;"Serviço",AND(AUTOEVENTO="Manual",$M76=$A$15)),0,
         IF(OFFSET(CRONOPLE!$F$15,$M76-$A$15,AM$13)=0,10^12,OFFSET(CRONOPLE!$F$15,$M76-$A$15,AM$13)))</f>
        <v>1000000000000</v>
      </c>
      <c r="AN76" s="172">
        <f ca="1">IF(OR($D76&lt;&gt;"Serviço",AND(AUTOEVENTO="Manual",$M76=$A$15)),0,
         IF(OFFSET(CRONOPLE!$F$15,$M76-$A$15,AN$13)=0,10^12,OFFSET(CRONOPLE!$F$15,$M76-$A$15,AN$13)))</f>
        <v>1000000000000</v>
      </c>
      <c r="AO76" s="172">
        <f ca="1">IF(OR($D76&lt;&gt;"Serviço",AND(AUTOEVENTO="Manual",$M76=$A$15)),0,
         IF(OFFSET(CRONOPLE!$F$15,$M76-$A$15,AO$13)=0,10^12,OFFSET(CRONOPLE!$F$15,$M76-$A$15,AO$13)))</f>
        <v>1000000000000</v>
      </c>
      <c r="AP76" s="172">
        <f ca="1">IF(OR($D76&lt;&gt;"Serviço",AND(AUTOEVENTO="Manual",$M76=$A$15)),0,
         IF(OFFSET(CRONOPLE!$F$15,$M76-$A$15,AP$13)=0,10^12,OFFSET(CRONOPLE!$F$15,$M76-$A$15,AP$13)))</f>
        <v>1000000000000</v>
      </c>
      <c r="AQ76" s="172">
        <f ca="1">IF(OR($D76&lt;&gt;"Serviço",AND(AUTOEVENTO="Manual",$M76=$A$15)),0,
         IF(OFFSET(CRONOPLE!$F$15,$M76-$A$15,AQ$13)=0,10^12,OFFSET(CRONOPLE!$F$15,$M76-$A$15,AQ$13)))</f>
        <v>1000000000000</v>
      </c>
      <c r="AR76" s="172">
        <f ca="1">IF(OR($D76&lt;&gt;"Serviço",AND(AUTOEVENTO="Manual",$M76=$A$15)),0,
         IF(OFFSET(CRONOPLE!$F$15,$M76-$A$15,AR$13)=0,10^12,OFFSET(CRONOPLE!$F$15,$M76-$A$15,AR$13)))</f>
        <v>1000000000000</v>
      </c>
      <c r="AS76" s="172">
        <f ca="1">IF(OR($D76&lt;&gt;"Serviço",AND(AUTOEVENTO="Manual",$M76=$A$15)),0,
         IF(OFFSET(CRONOPLE!$F$15,$M76-$A$15,AS$13)=0,10^12,OFFSET(CRONOPLE!$F$15,$M76-$A$15,AS$13)))</f>
        <v>1000000000000</v>
      </c>
      <c r="AT76" s="172">
        <f ca="1">IF(OR($D76&lt;&gt;"Serviço",AND(AUTOEVENTO="Manual",$M76=$A$15)),0,
         IF(OFFSET(CRONOPLE!$F$15,$M76-$A$15,AT$13)=0,10^12,OFFSET(CRONOPLE!$F$15,$M76-$A$15,AT$13)))</f>
        <v>1000000000000</v>
      </c>
      <c r="AU76" s="172">
        <f ca="1">IF(OR($D76&lt;&gt;"Serviço",AND(AUTOEVENTO="Manual",$M76=$A$15)),0,
         IF(OFFSET(CRONOPLE!$F$15,$M76-$A$15,AU$13)=0,10^12,OFFSET(CRONOPLE!$F$15,$M76-$A$15,AU$13)))</f>
        <v>1000000000000</v>
      </c>
      <c r="AV76" s="172">
        <f ca="1">IF(OR($D76&lt;&gt;"Serviço",AND(AUTOEVENTO="Manual",$M76=$A$15)),0,
         IF(OFFSET(CRONOPLE!$F$15,$M76-$A$15,AV$13)=0,10^12,OFFSET(CRONOPLE!$F$15,$M76-$A$15,AV$13)))</f>
        <v>1000000000000</v>
      </c>
      <c r="AX76" s="173">
        <f ca="1">IF(OR($D76&lt;&gt;"Serviço",AND(AUTOEVENTO="Manual",$M76=$A$15),$M76&gt;(ROW(PLE.lastrow)-ROW(PLE.firstrow))),0,
           IF(OFFSET(PLE!$G$15,$M76-$A$15,AX$13)="",10^12,OFFSET(PLE!$G$15,$M76-$A$15,AX$13)))</f>
        <v>1000000000000</v>
      </c>
      <c r="AY76" s="173">
        <f ca="1">IF(OR($D76&lt;&gt;"Serviço",AND(AUTOEVENTO="Manual",$M76=$A$15),$M76&gt;(ROW(PLE.lastrow)-ROW(PLE.firstrow))),0,
           IF(OFFSET(PLE!$G$15,$M76-$A$15,AY$13)="",10^12,OFFSET(PLE!$G$15,$M76-$A$15,AY$13)))</f>
        <v>1000000000000</v>
      </c>
      <c r="AZ76" s="173">
        <f ca="1">IF(OR($D76&lt;&gt;"Serviço",AND(AUTOEVENTO="Manual",$M76=$A$15),$M76&gt;(ROW(PLE.lastrow)-ROW(PLE.firstrow))),0,
           IF(OFFSET(PLE!$G$15,$M76-$A$15,AZ$13)="",10^12,OFFSET(PLE!$G$15,$M76-$A$15,AZ$13)))</f>
        <v>1000000000000</v>
      </c>
      <c r="BA76" s="173">
        <f ca="1">IF(OR($D76&lt;&gt;"Serviço",AND(AUTOEVENTO="Manual",$M76=$A$15),$M76&gt;(ROW(PLE.lastrow)-ROW(PLE.firstrow))),0,
           IF(OFFSET(PLE!$G$15,$M76-$A$15,BA$13)="",10^12,OFFSET(PLE!$G$15,$M76-$A$15,BA$13)))</f>
        <v>1000000000000</v>
      </c>
      <c r="BB76" s="173">
        <f ca="1">IF(OR($D76&lt;&gt;"Serviço",AND(AUTOEVENTO="Manual",$M76=$A$15),$M76&gt;(ROW(PLE.lastrow)-ROW(PLE.firstrow))),0,
           IF(OFFSET(PLE!$G$15,$M76-$A$15,BB$13)="",10^12,OFFSET(PLE!$G$15,$M76-$A$15,BB$13)))</f>
        <v>1000000000000</v>
      </c>
      <c r="BC76" s="173">
        <f ca="1">IF(OR($D76&lt;&gt;"Serviço",AND(AUTOEVENTO="Manual",$M76=$A$15),$M76&gt;(ROW(PLE.lastrow)-ROW(PLE.firstrow))),0,
           IF(OFFSET(PLE!$G$15,$M76-$A$15,BC$13)="",10^12,OFFSET(PLE!$G$15,$M76-$A$15,BC$13)))</f>
        <v>1000000000000</v>
      </c>
      <c r="BD76" s="173">
        <f ca="1">IF(OR($D76&lt;&gt;"Serviço",AND(AUTOEVENTO="Manual",$M76=$A$15),$M76&gt;(ROW(PLE.lastrow)-ROW(PLE.firstrow))),0,
           IF(OFFSET(PLE!$G$15,$M76-$A$15,BD$13)="",10^12,OFFSET(PLE!$G$15,$M76-$A$15,BD$13)))</f>
        <v>1000000000000</v>
      </c>
      <c r="BE76" s="173">
        <f ca="1">IF(OR($D76&lt;&gt;"Serviço",AND(AUTOEVENTO="Manual",$M76=$A$15),$M76&gt;(ROW(PLE.lastrow)-ROW(PLE.firstrow))),0,
           IF(OFFSET(PLE!$G$15,$M76-$A$15,BE$13)="",10^12,OFFSET(PLE!$G$15,$M76-$A$15,BE$13)))</f>
        <v>1000000000000</v>
      </c>
      <c r="BF76" s="173">
        <f ca="1">IF(OR($D76&lt;&gt;"Serviço",AND(AUTOEVENTO="Manual",$M76=$A$15),$M76&gt;(ROW(PLE.lastrow)-ROW(PLE.firstrow))),0,
           IF(OFFSET(PLE!$G$15,$M76-$A$15,BF$13)="",10^12,OFFSET(PLE!$G$15,$M76-$A$15,BF$13)))</f>
        <v>1000000000000</v>
      </c>
      <c r="BG76" s="173">
        <f ca="1">IF(OR($D76&lt;&gt;"Serviço",AND(AUTOEVENTO="Manual",$M76=$A$15),$M76&gt;(ROW(PLE.lastrow)-ROW(PLE.firstrow))),0,
           IF(OFFSET(PLE!$G$15,$M76-$A$15,BG$13)="",10^12,OFFSET(PLE!$G$15,$M76-$A$15,BG$13)))</f>
        <v>1000000000000</v>
      </c>
    </row>
    <row r="77" spans="1:59" s="675" customFormat="1" ht="25.5" x14ac:dyDescent="0.2">
      <c r="A77" s="671" t="str">
        <f t="shared" ca="1" si="10"/>
        <v>59</v>
      </c>
      <c r="B77" s="671" t="str">
        <f ca="1">OFFSET(ORÇAMENTO!C$15,ROW(B77)-ROW(B$15),0)</f>
        <v>S</v>
      </c>
      <c r="C77" s="671" t="str">
        <f ca="1">OFFSET(ORÇAMENTO!L$15,ROW(C77)-ROW(C$15),0)</f>
        <v/>
      </c>
      <c r="D77" s="117" t="str">
        <f ca="1">OFFSET(ORÇAMENTO!N$15,ROW(D77)-ROW(D$15),0)</f>
        <v>Serviço</v>
      </c>
      <c r="E77" s="118" t="str">
        <f ca="1">OFFSET(ORÇAMENTO!O$15,ROW(E77)-ROW(E$15),0)</f>
        <v>-</v>
      </c>
      <c r="F77" s="164" t="str">
        <f ca="1">OFFSET(ORÇAMENTO!R$15,ROW(F77)-ROW(F$15),0)</f>
        <v>(abra o arquivo 'Referência 09-2025.xlsm)</v>
      </c>
      <c r="G77" s="165" t="str">
        <f ca="1">IF($D77&lt;&gt;"Serviço","",OFFSET(ORÇAMENTO!S$15,ROW(G77)-ROW(G$15),0))</f>
        <v>-</v>
      </c>
      <c r="H77" s="123">
        <f ca="1">IF($D77&lt;&gt;"Serviço",0,IF(ACOMPANHAMENTO="BM",ROUND(OFFSET(ORÇAMENTO!AJ$15,ROW(H77)-ROW(H$15),0),15-13*ORÇAMENTO!$AF$7),SUMPRODUCT(($Q$1:$AA$1=1)*ROUND($Q77:$AA77,15-13*ORÇAMENTO!$AF$7))))</f>
        <v>6</v>
      </c>
      <c r="I77" s="469" t="s">
        <v>1101</v>
      </c>
      <c r="J77" s="667" t="str">
        <f ca="1">IF(OR(B77&lt;&gt;"S",CÁLCULO.FrentesPreenchidas=0),"",IF(AND(ACOMPANHAMENTO="PLE",AUTOEVENTO="Manual",OR(H77&gt;0,ORÇAMENTO!AC77="QUANT."),OR(K77="",M77=0,N77="")),"►",IF(AND(ACOMPANHAMENTO="PLE",ORÇAMENTO!AC77="QUANT."),"►►",IF(AND(COUNTIF($P$11:$AA$11,"▼")=0,H77&gt;0,I77=""),"◄",""))))</f>
        <v/>
      </c>
      <c r="K77" s="668"/>
      <c r="L77" s="166" t="s">
        <v>765</v>
      </c>
      <c r="M77" s="167">
        <f ca="1">IF($D77&lt;&gt;"Serviço","",
          IF(AUTOEVENTO="manual",$A77,
                IF(ISERROR(MATCH($A77,$A$15:OFFSET($A77,-1,0),0)),MAX($M$15:OFFSET(M77,-1,0))+1,
                      INDEX($M$15:OFFSET(M77,-1,0),MATCH($A77,$A$15:OFFSET($A77,-1,0),0)))))</f>
        <v>7</v>
      </c>
      <c r="N77" s="168" t="str">
        <f ca="1">IF($D77&lt;&gt;"Serviço","",
         IF(AUTOEVENTO="Manual",
                IF($A77=0,"&lt;-- defina o número do agrupador",
                       OFFSET(EVENTOS!$D$15,$A77-$A$15,0)),
                OFFSET($F$15,$A77,0)))</f>
        <v>LINHA DE RECALQUE INCLUI TRAVESSIA - MATERIAIS</v>
      </c>
      <c r="O77" s="169"/>
      <c r="Q77" s="169"/>
      <c r="R77" s="170"/>
      <c r="S77" s="170"/>
      <c r="T77" s="170"/>
      <c r="U77" s="170"/>
      <c r="V77" s="170"/>
      <c r="W77" s="170"/>
      <c r="X77" s="170"/>
      <c r="Y77" s="170"/>
      <c r="Z77" s="171"/>
      <c r="AB77" s="454">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4">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4">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4">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4">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4">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4">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4">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4">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4">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2">
        <f ca="1">IF(OR($D77&lt;&gt;"Serviço",AND(AUTOEVENTO="Manual",$M77=$A$15)),0,
         IF(OFFSET(CRONOPLE!$F$15,$M77-$A$15,AM$13)=0,10^12,OFFSET(CRONOPLE!$F$15,$M77-$A$15,AM$13)))</f>
        <v>1000000000000</v>
      </c>
      <c r="AN77" s="172">
        <f ca="1">IF(OR($D77&lt;&gt;"Serviço",AND(AUTOEVENTO="Manual",$M77=$A$15)),0,
         IF(OFFSET(CRONOPLE!$F$15,$M77-$A$15,AN$13)=0,10^12,OFFSET(CRONOPLE!$F$15,$M77-$A$15,AN$13)))</f>
        <v>1000000000000</v>
      </c>
      <c r="AO77" s="172">
        <f ca="1">IF(OR($D77&lt;&gt;"Serviço",AND(AUTOEVENTO="Manual",$M77=$A$15)),0,
         IF(OFFSET(CRONOPLE!$F$15,$M77-$A$15,AO$13)=0,10^12,OFFSET(CRONOPLE!$F$15,$M77-$A$15,AO$13)))</f>
        <v>1000000000000</v>
      </c>
      <c r="AP77" s="172">
        <f ca="1">IF(OR($D77&lt;&gt;"Serviço",AND(AUTOEVENTO="Manual",$M77=$A$15)),0,
         IF(OFFSET(CRONOPLE!$F$15,$M77-$A$15,AP$13)=0,10^12,OFFSET(CRONOPLE!$F$15,$M77-$A$15,AP$13)))</f>
        <v>1000000000000</v>
      </c>
      <c r="AQ77" s="172">
        <f ca="1">IF(OR($D77&lt;&gt;"Serviço",AND(AUTOEVENTO="Manual",$M77=$A$15)),0,
         IF(OFFSET(CRONOPLE!$F$15,$M77-$A$15,AQ$13)=0,10^12,OFFSET(CRONOPLE!$F$15,$M77-$A$15,AQ$13)))</f>
        <v>1000000000000</v>
      </c>
      <c r="AR77" s="172">
        <f ca="1">IF(OR($D77&lt;&gt;"Serviço",AND(AUTOEVENTO="Manual",$M77=$A$15)),0,
         IF(OFFSET(CRONOPLE!$F$15,$M77-$A$15,AR$13)=0,10^12,OFFSET(CRONOPLE!$F$15,$M77-$A$15,AR$13)))</f>
        <v>1000000000000</v>
      </c>
      <c r="AS77" s="172">
        <f ca="1">IF(OR($D77&lt;&gt;"Serviço",AND(AUTOEVENTO="Manual",$M77=$A$15)),0,
         IF(OFFSET(CRONOPLE!$F$15,$M77-$A$15,AS$13)=0,10^12,OFFSET(CRONOPLE!$F$15,$M77-$A$15,AS$13)))</f>
        <v>1000000000000</v>
      </c>
      <c r="AT77" s="172">
        <f ca="1">IF(OR($D77&lt;&gt;"Serviço",AND(AUTOEVENTO="Manual",$M77=$A$15)),0,
         IF(OFFSET(CRONOPLE!$F$15,$M77-$A$15,AT$13)=0,10^12,OFFSET(CRONOPLE!$F$15,$M77-$A$15,AT$13)))</f>
        <v>1000000000000</v>
      </c>
      <c r="AU77" s="172">
        <f ca="1">IF(OR($D77&lt;&gt;"Serviço",AND(AUTOEVENTO="Manual",$M77=$A$15)),0,
         IF(OFFSET(CRONOPLE!$F$15,$M77-$A$15,AU$13)=0,10^12,OFFSET(CRONOPLE!$F$15,$M77-$A$15,AU$13)))</f>
        <v>1000000000000</v>
      </c>
      <c r="AV77" s="172">
        <f ca="1">IF(OR($D77&lt;&gt;"Serviço",AND(AUTOEVENTO="Manual",$M77=$A$15)),0,
         IF(OFFSET(CRONOPLE!$F$15,$M77-$A$15,AV$13)=0,10^12,OFFSET(CRONOPLE!$F$15,$M77-$A$15,AV$13)))</f>
        <v>1000000000000</v>
      </c>
      <c r="AX77" s="173">
        <f ca="1">IF(OR($D77&lt;&gt;"Serviço",AND(AUTOEVENTO="Manual",$M77=$A$15),$M77&gt;(ROW(PLE.lastrow)-ROW(PLE.firstrow))),0,
           IF(OFFSET(PLE!$G$15,$M77-$A$15,AX$13)="",10^12,OFFSET(PLE!$G$15,$M77-$A$15,AX$13)))</f>
        <v>1000000000000</v>
      </c>
      <c r="AY77" s="173">
        <f ca="1">IF(OR($D77&lt;&gt;"Serviço",AND(AUTOEVENTO="Manual",$M77=$A$15),$M77&gt;(ROW(PLE.lastrow)-ROW(PLE.firstrow))),0,
           IF(OFFSET(PLE!$G$15,$M77-$A$15,AY$13)="",10^12,OFFSET(PLE!$G$15,$M77-$A$15,AY$13)))</f>
        <v>1000000000000</v>
      </c>
      <c r="AZ77" s="173">
        <f ca="1">IF(OR($D77&lt;&gt;"Serviço",AND(AUTOEVENTO="Manual",$M77=$A$15),$M77&gt;(ROW(PLE.lastrow)-ROW(PLE.firstrow))),0,
           IF(OFFSET(PLE!$G$15,$M77-$A$15,AZ$13)="",10^12,OFFSET(PLE!$G$15,$M77-$A$15,AZ$13)))</f>
        <v>1000000000000</v>
      </c>
      <c r="BA77" s="173">
        <f ca="1">IF(OR($D77&lt;&gt;"Serviço",AND(AUTOEVENTO="Manual",$M77=$A$15),$M77&gt;(ROW(PLE.lastrow)-ROW(PLE.firstrow))),0,
           IF(OFFSET(PLE!$G$15,$M77-$A$15,BA$13)="",10^12,OFFSET(PLE!$G$15,$M77-$A$15,BA$13)))</f>
        <v>1000000000000</v>
      </c>
      <c r="BB77" s="173">
        <f ca="1">IF(OR($D77&lt;&gt;"Serviço",AND(AUTOEVENTO="Manual",$M77=$A$15),$M77&gt;(ROW(PLE.lastrow)-ROW(PLE.firstrow))),0,
           IF(OFFSET(PLE!$G$15,$M77-$A$15,BB$13)="",10^12,OFFSET(PLE!$G$15,$M77-$A$15,BB$13)))</f>
        <v>1000000000000</v>
      </c>
      <c r="BC77" s="173">
        <f ca="1">IF(OR($D77&lt;&gt;"Serviço",AND(AUTOEVENTO="Manual",$M77=$A$15),$M77&gt;(ROW(PLE.lastrow)-ROW(PLE.firstrow))),0,
           IF(OFFSET(PLE!$G$15,$M77-$A$15,BC$13)="",10^12,OFFSET(PLE!$G$15,$M77-$A$15,BC$13)))</f>
        <v>1000000000000</v>
      </c>
      <c r="BD77" s="173">
        <f ca="1">IF(OR($D77&lt;&gt;"Serviço",AND(AUTOEVENTO="Manual",$M77=$A$15),$M77&gt;(ROW(PLE.lastrow)-ROW(PLE.firstrow))),0,
           IF(OFFSET(PLE!$G$15,$M77-$A$15,BD$13)="",10^12,OFFSET(PLE!$G$15,$M77-$A$15,BD$13)))</f>
        <v>1000000000000</v>
      </c>
      <c r="BE77" s="173">
        <f ca="1">IF(OR($D77&lt;&gt;"Serviço",AND(AUTOEVENTO="Manual",$M77=$A$15),$M77&gt;(ROW(PLE.lastrow)-ROW(PLE.firstrow))),0,
           IF(OFFSET(PLE!$G$15,$M77-$A$15,BE$13)="",10^12,OFFSET(PLE!$G$15,$M77-$A$15,BE$13)))</f>
        <v>1000000000000</v>
      </c>
      <c r="BF77" s="173">
        <f ca="1">IF(OR($D77&lt;&gt;"Serviço",AND(AUTOEVENTO="Manual",$M77=$A$15),$M77&gt;(ROW(PLE.lastrow)-ROW(PLE.firstrow))),0,
           IF(OFFSET(PLE!$G$15,$M77-$A$15,BF$13)="",10^12,OFFSET(PLE!$G$15,$M77-$A$15,BF$13)))</f>
        <v>1000000000000</v>
      </c>
      <c r="BG77" s="173">
        <f ca="1">IF(OR($D77&lt;&gt;"Serviço",AND(AUTOEVENTO="Manual",$M77=$A$15),$M77&gt;(ROW(PLE.lastrow)-ROW(PLE.firstrow))),0,
           IF(OFFSET(PLE!$G$15,$M77-$A$15,BG$13)="",10^12,OFFSET(PLE!$G$15,$M77-$A$15,BG$13)))</f>
        <v>1000000000000</v>
      </c>
    </row>
    <row r="78" spans="1:59" s="675" customFormat="1" ht="25.5" x14ac:dyDescent="0.2">
      <c r="A78" s="671" t="str">
        <f t="shared" ca="1" si="10"/>
        <v>59</v>
      </c>
      <c r="B78" s="671" t="str">
        <f ca="1">OFFSET(ORÇAMENTO!C$15,ROW(B78)-ROW(B$15),0)</f>
        <v>S</v>
      </c>
      <c r="C78" s="671" t="str">
        <f ca="1">OFFSET(ORÇAMENTO!L$15,ROW(C78)-ROW(C$15),0)</f>
        <v/>
      </c>
      <c r="D78" s="117" t="str">
        <f ca="1">OFFSET(ORÇAMENTO!N$15,ROW(D78)-ROW(D$15),0)</f>
        <v>Serviço</v>
      </c>
      <c r="E78" s="118" t="str">
        <f ca="1">OFFSET(ORÇAMENTO!O$15,ROW(E78)-ROW(E$15),0)</f>
        <v>-</v>
      </c>
      <c r="F78" s="164" t="str">
        <f ca="1">OFFSET(ORÇAMENTO!R$15,ROW(F78)-ROW(F$15),0)</f>
        <v>(abra o arquivo 'Referência 09-2025.xlsm)</v>
      </c>
      <c r="G78" s="165" t="str">
        <f ca="1">IF($D78&lt;&gt;"Serviço","",OFFSET(ORÇAMENTO!S$15,ROW(G78)-ROW(G$15),0))</f>
        <v>-</v>
      </c>
      <c r="H78" s="123">
        <f ca="1">IF($D78&lt;&gt;"Serviço",0,IF(ACOMPANHAMENTO="BM",ROUND(OFFSET(ORÇAMENTO!AJ$15,ROW(H78)-ROW(H$15),0),15-13*ORÇAMENTO!$AF$7),SUMPRODUCT(($Q$1:$AA$1=1)*ROUND($Q78:$AA78,15-13*ORÇAMENTO!$AF$7))))</f>
        <v>6</v>
      </c>
      <c r="I78" s="469" t="s">
        <v>1101</v>
      </c>
      <c r="J78" s="667" t="str">
        <f ca="1">IF(OR(B78&lt;&gt;"S",CÁLCULO.FrentesPreenchidas=0),"",IF(AND(ACOMPANHAMENTO="PLE",AUTOEVENTO="Manual",OR(H78&gt;0,ORÇAMENTO!AC78="QUANT."),OR(K78="",M78=0,N78="")),"►",IF(AND(ACOMPANHAMENTO="PLE",ORÇAMENTO!AC78="QUANT."),"►►",IF(AND(COUNTIF($P$11:$AA$11,"▼")=0,H78&gt;0,I78=""),"◄",""))))</f>
        <v/>
      </c>
      <c r="K78" s="668"/>
      <c r="L78" s="166" t="s">
        <v>765</v>
      </c>
      <c r="M78" s="167">
        <f ca="1">IF($D78&lt;&gt;"Serviço","",
          IF(AUTOEVENTO="manual",$A78,
                IF(ISERROR(MATCH($A78,$A$15:OFFSET($A78,-1,0),0)),MAX($M$15:OFFSET(M78,-1,0))+1,
                      INDEX($M$15:OFFSET(M78,-1,0),MATCH($A78,$A$15:OFFSET($A78,-1,0),0)))))</f>
        <v>7</v>
      </c>
      <c r="N78" s="168" t="str">
        <f ca="1">IF($D78&lt;&gt;"Serviço","",
         IF(AUTOEVENTO="Manual",
                IF($A78=0,"&lt;-- defina o número do agrupador",
                       OFFSET(EVENTOS!$D$15,$A78-$A$15,0)),
                OFFSET($F$15,$A78,0)))</f>
        <v>LINHA DE RECALQUE INCLUI TRAVESSIA - MATERIAIS</v>
      </c>
      <c r="O78" s="169"/>
      <c r="Q78" s="169"/>
      <c r="R78" s="170"/>
      <c r="S78" s="170"/>
      <c r="T78" s="170"/>
      <c r="U78" s="170"/>
      <c r="V78" s="170"/>
      <c r="W78" s="170"/>
      <c r="X78" s="170"/>
      <c r="Y78" s="170"/>
      <c r="Z78" s="171"/>
      <c r="AB78" s="454">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4">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4">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4">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4">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4">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4">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4">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4">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4">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2">
        <f ca="1">IF(OR($D78&lt;&gt;"Serviço",AND(AUTOEVENTO="Manual",$M78=$A$15)),0,
         IF(OFFSET(CRONOPLE!$F$15,$M78-$A$15,AM$13)=0,10^12,OFFSET(CRONOPLE!$F$15,$M78-$A$15,AM$13)))</f>
        <v>1000000000000</v>
      </c>
      <c r="AN78" s="172">
        <f ca="1">IF(OR($D78&lt;&gt;"Serviço",AND(AUTOEVENTO="Manual",$M78=$A$15)),0,
         IF(OFFSET(CRONOPLE!$F$15,$M78-$A$15,AN$13)=0,10^12,OFFSET(CRONOPLE!$F$15,$M78-$A$15,AN$13)))</f>
        <v>1000000000000</v>
      </c>
      <c r="AO78" s="172">
        <f ca="1">IF(OR($D78&lt;&gt;"Serviço",AND(AUTOEVENTO="Manual",$M78=$A$15)),0,
         IF(OFFSET(CRONOPLE!$F$15,$M78-$A$15,AO$13)=0,10^12,OFFSET(CRONOPLE!$F$15,$M78-$A$15,AO$13)))</f>
        <v>1000000000000</v>
      </c>
      <c r="AP78" s="172">
        <f ca="1">IF(OR($D78&lt;&gt;"Serviço",AND(AUTOEVENTO="Manual",$M78=$A$15)),0,
         IF(OFFSET(CRONOPLE!$F$15,$M78-$A$15,AP$13)=0,10^12,OFFSET(CRONOPLE!$F$15,$M78-$A$15,AP$13)))</f>
        <v>1000000000000</v>
      </c>
      <c r="AQ78" s="172">
        <f ca="1">IF(OR($D78&lt;&gt;"Serviço",AND(AUTOEVENTO="Manual",$M78=$A$15)),0,
         IF(OFFSET(CRONOPLE!$F$15,$M78-$A$15,AQ$13)=0,10^12,OFFSET(CRONOPLE!$F$15,$M78-$A$15,AQ$13)))</f>
        <v>1000000000000</v>
      </c>
      <c r="AR78" s="172">
        <f ca="1">IF(OR($D78&lt;&gt;"Serviço",AND(AUTOEVENTO="Manual",$M78=$A$15)),0,
         IF(OFFSET(CRONOPLE!$F$15,$M78-$A$15,AR$13)=0,10^12,OFFSET(CRONOPLE!$F$15,$M78-$A$15,AR$13)))</f>
        <v>1000000000000</v>
      </c>
      <c r="AS78" s="172">
        <f ca="1">IF(OR($D78&lt;&gt;"Serviço",AND(AUTOEVENTO="Manual",$M78=$A$15)),0,
         IF(OFFSET(CRONOPLE!$F$15,$M78-$A$15,AS$13)=0,10^12,OFFSET(CRONOPLE!$F$15,$M78-$A$15,AS$13)))</f>
        <v>1000000000000</v>
      </c>
      <c r="AT78" s="172">
        <f ca="1">IF(OR($D78&lt;&gt;"Serviço",AND(AUTOEVENTO="Manual",$M78=$A$15)),0,
         IF(OFFSET(CRONOPLE!$F$15,$M78-$A$15,AT$13)=0,10^12,OFFSET(CRONOPLE!$F$15,$M78-$A$15,AT$13)))</f>
        <v>1000000000000</v>
      </c>
      <c r="AU78" s="172">
        <f ca="1">IF(OR($D78&lt;&gt;"Serviço",AND(AUTOEVENTO="Manual",$M78=$A$15)),0,
         IF(OFFSET(CRONOPLE!$F$15,$M78-$A$15,AU$13)=0,10^12,OFFSET(CRONOPLE!$F$15,$M78-$A$15,AU$13)))</f>
        <v>1000000000000</v>
      </c>
      <c r="AV78" s="172">
        <f ca="1">IF(OR($D78&lt;&gt;"Serviço",AND(AUTOEVENTO="Manual",$M78=$A$15)),0,
         IF(OFFSET(CRONOPLE!$F$15,$M78-$A$15,AV$13)=0,10^12,OFFSET(CRONOPLE!$F$15,$M78-$A$15,AV$13)))</f>
        <v>1000000000000</v>
      </c>
      <c r="AX78" s="173">
        <f ca="1">IF(OR($D78&lt;&gt;"Serviço",AND(AUTOEVENTO="Manual",$M78=$A$15),$M78&gt;(ROW(PLE.lastrow)-ROW(PLE.firstrow))),0,
           IF(OFFSET(PLE!$G$15,$M78-$A$15,AX$13)="",10^12,OFFSET(PLE!$G$15,$M78-$A$15,AX$13)))</f>
        <v>1000000000000</v>
      </c>
      <c r="AY78" s="173">
        <f ca="1">IF(OR($D78&lt;&gt;"Serviço",AND(AUTOEVENTO="Manual",$M78=$A$15),$M78&gt;(ROW(PLE.lastrow)-ROW(PLE.firstrow))),0,
           IF(OFFSET(PLE!$G$15,$M78-$A$15,AY$13)="",10^12,OFFSET(PLE!$G$15,$M78-$A$15,AY$13)))</f>
        <v>1000000000000</v>
      </c>
      <c r="AZ78" s="173">
        <f ca="1">IF(OR($D78&lt;&gt;"Serviço",AND(AUTOEVENTO="Manual",$M78=$A$15),$M78&gt;(ROW(PLE.lastrow)-ROW(PLE.firstrow))),0,
           IF(OFFSET(PLE!$G$15,$M78-$A$15,AZ$13)="",10^12,OFFSET(PLE!$G$15,$M78-$A$15,AZ$13)))</f>
        <v>1000000000000</v>
      </c>
      <c r="BA78" s="173">
        <f ca="1">IF(OR($D78&lt;&gt;"Serviço",AND(AUTOEVENTO="Manual",$M78=$A$15),$M78&gt;(ROW(PLE.lastrow)-ROW(PLE.firstrow))),0,
           IF(OFFSET(PLE!$G$15,$M78-$A$15,BA$13)="",10^12,OFFSET(PLE!$G$15,$M78-$A$15,BA$13)))</f>
        <v>1000000000000</v>
      </c>
      <c r="BB78" s="173">
        <f ca="1">IF(OR($D78&lt;&gt;"Serviço",AND(AUTOEVENTO="Manual",$M78=$A$15),$M78&gt;(ROW(PLE.lastrow)-ROW(PLE.firstrow))),0,
           IF(OFFSET(PLE!$G$15,$M78-$A$15,BB$13)="",10^12,OFFSET(PLE!$G$15,$M78-$A$15,BB$13)))</f>
        <v>1000000000000</v>
      </c>
      <c r="BC78" s="173">
        <f ca="1">IF(OR($D78&lt;&gt;"Serviço",AND(AUTOEVENTO="Manual",$M78=$A$15),$M78&gt;(ROW(PLE.lastrow)-ROW(PLE.firstrow))),0,
           IF(OFFSET(PLE!$G$15,$M78-$A$15,BC$13)="",10^12,OFFSET(PLE!$G$15,$M78-$A$15,BC$13)))</f>
        <v>1000000000000</v>
      </c>
      <c r="BD78" s="173">
        <f ca="1">IF(OR($D78&lt;&gt;"Serviço",AND(AUTOEVENTO="Manual",$M78=$A$15),$M78&gt;(ROW(PLE.lastrow)-ROW(PLE.firstrow))),0,
           IF(OFFSET(PLE!$G$15,$M78-$A$15,BD$13)="",10^12,OFFSET(PLE!$G$15,$M78-$A$15,BD$13)))</f>
        <v>1000000000000</v>
      </c>
      <c r="BE78" s="173">
        <f ca="1">IF(OR($D78&lt;&gt;"Serviço",AND(AUTOEVENTO="Manual",$M78=$A$15),$M78&gt;(ROW(PLE.lastrow)-ROW(PLE.firstrow))),0,
           IF(OFFSET(PLE!$G$15,$M78-$A$15,BE$13)="",10^12,OFFSET(PLE!$G$15,$M78-$A$15,BE$13)))</f>
        <v>1000000000000</v>
      </c>
      <c r="BF78" s="173">
        <f ca="1">IF(OR($D78&lt;&gt;"Serviço",AND(AUTOEVENTO="Manual",$M78=$A$15),$M78&gt;(ROW(PLE.lastrow)-ROW(PLE.firstrow))),0,
           IF(OFFSET(PLE!$G$15,$M78-$A$15,BF$13)="",10^12,OFFSET(PLE!$G$15,$M78-$A$15,BF$13)))</f>
        <v>1000000000000</v>
      </c>
      <c r="BG78" s="173">
        <f ca="1">IF(OR($D78&lt;&gt;"Serviço",AND(AUTOEVENTO="Manual",$M78=$A$15),$M78&gt;(ROW(PLE.lastrow)-ROW(PLE.firstrow))),0,
           IF(OFFSET(PLE!$G$15,$M78-$A$15,BG$13)="",10^12,OFFSET(PLE!$G$15,$M78-$A$15,BG$13)))</f>
        <v>1000000000000</v>
      </c>
    </row>
    <row r="79" spans="1:59" s="675" customFormat="1" ht="25.5" x14ac:dyDescent="0.2">
      <c r="A79" s="671" t="str">
        <f t="shared" ca="1" si="10"/>
        <v>59</v>
      </c>
      <c r="B79" s="671" t="str">
        <f ca="1">OFFSET(ORÇAMENTO!C$15,ROW(B79)-ROW(B$15),0)</f>
        <v>S</v>
      </c>
      <c r="C79" s="671" t="str">
        <f ca="1">OFFSET(ORÇAMENTO!L$15,ROW(C79)-ROW(C$15),0)</f>
        <v/>
      </c>
      <c r="D79" s="117" t="str">
        <f ca="1">OFFSET(ORÇAMENTO!N$15,ROW(D79)-ROW(D$15),0)</f>
        <v>Serviço</v>
      </c>
      <c r="E79" s="118" t="str">
        <f ca="1">OFFSET(ORÇAMENTO!O$15,ROW(E79)-ROW(E$15),0)</f>
        <v>-</v>
      </c>
      <c r="F79" s="164" t="str">
        <f ca="1">OFFSET(ORÇAMENTO!R$15,ROW(F79)-ROW(F$15),0)</f>
        <v>(abra o arquivo 'Referência 09-2025.xlsm)</v>
      </c>
      <c r="G79" s="165" t="str">
        <f ca="1">IF($D79&lt;&gt;"Serviço","",OFFSET(ORÇAMENTO!S$15,ROW(G79)-ROW(G$15),0))</f>
        <v>-</v>
      </c>
      <c r="H79" s="123">
        <f ca="1">IF($D79&lt;&gt;"Serviço",0,IF(ACOMPANHAMENTO="BM",ROUND(OFFSET(ORÇAMENTO!AJ$15,ROW(H79)-ROW(H$15),0),15-13*ORÇAMENTO!$AF$7),SUMPRODUCT(($Q$1:$AA$1=1)*ROUND($Q79:$AA79,15-13*ORÇAMENTO!$AF$7))))</f>
        <v>1</v>
      </c>
      <c r="I79" s="469" t="s">
        <v>1101</v>
      </c>
      <c r="J79" s="667" t="str">
        <f ca="1">IF(OR(B79&lt;&gt;"S",CÁLCULO.FrentesPreenchidas=0),"",IF(AND(ACOMPANHAMENTO="PLE",AUTOEVENTO="Manual",OR(H79&gt;0,ORÇAMENTO!AC79="QUANT."),OR(K79="",M79=0,N79="")),"►",IF(AND(ACOMPANHAMENTO="PLE",ORÇAMENTO!AC79="QUANT."),"►►",IF(AND(COUNTIF($P$11:$AA$11,"▼")=0,H79&gt;0,I79=""),"◄",""))))</f>
        <v/>
      </c>
      <c r="K79" s="668"/>
      <c r="L79" s="166" t="s">
        <v>765</v>
      </c>
      <c r="M79" s="167">
        <f ca="1">IF($D79&lt;&gt;"Serviço","",
          IF(AUTOEVENTO="manual",$A79,
                IF(ISERROR(MATCH($A79,$A$15:OFFSET($A79,-1,0),0)),MAX($M$15:OFFSET(M79,-1,0))+1,
                      INDEX($M$15:OFFSET(M79,-1,0),MATCH($A79,$A$15:OFFSET($A79,-1,0),0)))))</f>
        <v>7</v>
      </c>
      <c r="N79" s="168" t="str">
        <f ca="1">IF($D79&lt;&gt;"Serviço","",
         IF(AUTOEVENTO="Manual",
                IF($A79=0,"&lt;-- defina o número do agrupador",
                       OFFSET(EVENTOS!$D$15,$A79-$A$15,0)),
                OFFSET($F$15,$A79,0)))</f>
        <v>LINHA DE RECALQUE INCLUI TRAVESSIA - MATERIAIS</v>
      </c>
      <c r="O79" s="169"/>
      <c r="Q79" s="169"/>
      <c r="R79" s="170"/>
      <c r="S79" s="170"/>
      <c r="T79" s="170"/>
      <c r="U79" s="170"/>
      <c r="V79" s="170"/>
      <c r="W79" s="170"/>
      <c r="X79" s="170"/>
      <c r="Y79" s="170"/>
      <c r="Z79" s="171"/>
      <c r="AB79" s="454">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4">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4">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4">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4">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4">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4">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4">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4">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4">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2">
        <f ca="1">IF(OR($D79&lt;&gt;"Serviço",AND(AUTOEVENTO="Manual",$M79=$A$15)),0,
         IF(OFFSET(CRONOPLE!$F$15,$M79-$A$15,AM$13)=0,10^12,OFFSET(CRONOPLE!$F$15,$M79-$A$15,AM$13)))</f>
        <v>1000000000000</v>
      </c>
      <c r="AN79" s="172">
        <f ca="1">IF(OR($D79&lt;&gt;"Serviço",AND(AUTOEVENTO="Manual",$M79=$A$15)),0,
         IF(OFFSET(CRONOPLE!$F$15,$M79-$A$15,AN$13)=0,10^12,OFFSET(CRONOPLE!$F$15,$M79-$A$15,AN$13)))</f>
        <v>1000000000000</v>
      </c>
      <c r="AO79" s="172">
        <f ca="1">IF(OR($D79&lt;&gt;"Serviço",AND(AUTOEVENTO="Manual",$M79=$A$15)),0,
         IF(OFFSET(CRONOPLE!$F$15,$M79-$A$15,AO$13)=0,10^12,OFFSET(CRONOPLE!$F$15,$M79-$A$15,AO$13)))</f>
        <v>1000000000000</v>
      </c>
      <c r="AP79" s="172">
        <f ca="1">IF(OR($D79&lt;&gt;"Serviço",AND(AUTOEVENTO="Manual",$M79=$A$15)),0,
         IF(OFFSET(CRONOPLE!$F$15,$M79-$A$15,AP$13)=0,10^12,OFFSET(CRONOPLE!$F$15,$M79-$A$15,AP$13)))</f>
        <v>1000000000000</v>
      </c>
      <c r="AQ79" s="172">
        <f ca="1">IF(OR($D79&lt;&gt;"Serviço",AND(AUTOEVENTO="Manual",$M79=$A$15)),0,
         IF(OFFSET(CRONOPLE!$F$15,$M79-$A$15,AQ$13)=0,10^12,OFFSET(CRONOPLE!$F$15,$M79-$A$15,AQ$13)))</f>
        <v>1000000000000</v>
      </c>
      <c r="AR79" s="172">
        <f ca="1">IF(OR($D79&lt;&gt;"Serviço",AND(AUTOEVENTO="Manual",$M79=$A$15)),0,
         IF(OFFSET(CRONOPLE!$F$15,$M79-$A$15,AR$13)=0,10^12,OFFSET(CRONOPLE!$F$15,$M79-$A$15,AR$13)))</f>
        <v>1000000000000</v>
      </c>
      <c r="AS79" s="172">
        <f ca="1">IF(OR($D79&lt;&gt;"Serviço",AND(AUTOEVENTO="Manual",$M79=$A$15)),0,
         IF(OFFSET(CRONOPLE!$F$15,$M79-$A$15,AS$13)=0,10^12,OFFSET(CRONOPLE!$F$15,$M79-$A$15,AS$13)))</f>
        <v>1000000000000</v>
      </c>
      <c r="AT79" s="172">
        <f ca="1">IF(OR($D79&lt;&gt;"Serviço",AND(AUTOEVENTO="Manual",$M79=$A$15)),0,
         IF(OFFSET(CRONOPLE!$F$15,$M79-$A$15,AT$13)=0,10^12,OFFSET(CRONOPLE!$F$15,$M79-$A$15,AT$13)))</f>
        <v>1000000000000</v>
      </c>
      <c r="AU79" s="172">
        <f ca="1">IF(OR($D79&lt;&gt;"Serviço",AND(AUTOEVENTO="Manual",$M79=$A$15)),0,
         IF(OFFSET(CRONOPLE!$F$15,$M79-$A$15,AU$13)=0,10^12,OFFSET(CRONOPLE!$F$15,$M79-$A$15,AU$13)))</f>
        <v>1000000000000</v>
      </c>
      <c r="AV79" s="172">
        <f ca="1">IF(OR($D79&lt;&gt;"Serviço",AND(AUTOEVENTO="Manual",$M79=$A$15)),0,
         IF(OFFSET(CRONOPLE!$F$15,$M79-$A$15,AV$13)=0,10^12,OFFSET(CRONOPLE!$F$15,$M79-$A$15,AV$13)))</f>
        <v>1000000000000</v>
      </c>
      <c r="AX79" s="173">
        <f ca="1">IF(OR($D79&lt;&gt;"Serviço",AND(AUTOEVENTO="Manual",$M79=$A$15),$M79&gt;(ROW(PLE.lastrow)-ROW(PLE.firstrow))),0,
           IF(OFFSET(PLE!$G$15,$M79-$A$15,AX$13)="",10^12,OFFSET(PLE!$G$15,$M79-$A$15,AX$13)))</f>
        <v>1000000000000</v>
      </c>
      <c r="AY79" s="173">
        <f ca="1">IF(OR($D79&lt;&gt;"Serviço",AND(AUTOEVENTO="Manual",$M79=$A$15),$M79&gt;(ROW(PLE.lastrow)-ROW(PLE.firstrow))),0,
           IF(OFFSET(PLE!$G$15,$M79-$A$15,AY$13)="",10^12,OFFSET(PLE!$G$15,$M79-$A$15,AY$13)))</f>
        <v>1000000000000</v>
      </c>
      <c r="AZ79" s="173">
        <f ca="1">IF(OR($D79&lt;&gt;"Serviço",AND(AUTOEVENTO="Manual",$M79=$A$15),$M79&gt;(ROW(PLE.lastrow)-ROW(PLE.firstrow))),0,
           IF(OFFSET(PLE!$G$15,$M79-$A$15,AZ$13)="",10^12,OFFSET(PLE!$G$15,$M79-$A$15,AZ$13)))</f>
        <v>1000000000000</v>
      </c>
      <c r="BA79" s="173">
        <f ca="1">IF(OR($D79&lt;&gt;"Serviço",AND(AUTOEVENTO="Manual",$M79=$A$15),$M79&gt;(ROW(PLE.lastrow)-ROW(PLE.firstrow))),0,
           IF(OFFSET(PLE!$G$15,$M79-$A$15,BA$13)="",10^12,OFFSET(PLE!$G$15,$M79-$A$15,BA$13)))</f>
        <v>1000000000000</v>
      </c>
      <c r="BB79" s="173">
        <f ca="1">IF(OR($D79&lt;&gt;"Serviço",AND(AUTOEVENTO="Manual",$M79=$A$15),$M79&gt;(ROW(PLE.lastrow)-ROW(PLE.firstrow))),0,
           IF(OFFSET(PLE!$G$15,$M79-$A$15,BB$13)="",10^12,OFFSET(PLE!$G$15,$M79-$A$15,BB$13)))</f>
        <v>1000000000000</v>
      </c>
      <c r="BC79" s="173">
        <f ca="1">IF(OR($D79&lt;&gt;"Serviço",AND(AUTOEVENTO="Manual",$M79=$A$15),$M79&gt;(ROW(PLE.lastrow)-ROW(PLE.firstrow))),0,
           IF(OFFSET(PLE!$G$15,$M79-$A$15,BC$13)="",10^12,OFFSET(PLE!$G$15,$M79-$A$15,BC$13)))</f>
        <v>1000000000000</v>
      </c>
      <c r="BD79" s="173">
        <f ca="1">IF(OR($D79&lt;&gt;"Serviço",AND(AUTOEVENTO="Manual",$M79=$A$15),$M79&gt;(ROW(PLE.lastrow)-ROW(PLE.firstrow))),0,
           IF(OFFSET(PLE!$G$15,$M79-$A$15,BD$13)="",10^12,OFFSET(PLE!$G$15,$M79-$A$15,BD$13)))</f>
        <v>1000000000000</v>
      </c>
      <c r="BE79" s="173">
        <f ca="1">IF(OR($D79&lt;&gt;"Serviço",AND(AUTOEVENTO="Manual",$M79=$A$15),$M79&gt;(ROW(PLE.lastrow)-ROW(PLE.firstrow))),0,
           IF(OFFSET(PLE!$G$15,$M79-$A$15,BE$13)="",10^12,OFFSET(PLE!$G$15,$M79-$A$15,BE$13)))</f>
        <v>1000000000000</v>
      </c>
      <c r="BF79" s="173">
        <f ca="1">IF(OR($D79&lt;&gt;"Serviço",AND(AUTOEVENTO="Manual",$M79=$A$15),$M79&gt;(ROW(PLE.lastrow)-ROW(PLE.firstrow))),0,
           IF(OFFSET(PLE!$G$15,$M79-$A$15,BF$13)="",10^12,OFFSET(PLE!$G$15,$M79-$A$15,BF$13)))</f>
        <v>1000000000000</v>
      </c>
      <c r="BG79" s="173">
        <f ca="1">IF(OR($D79&lt;&gt;"Serviço",AND(AUTOEVENTO="Manual",$M79=$A$15),$M79&gt;(ROW(PLE.lastrow)-ROW(PLE.firstrow))),0,
           IF(OFFSET(PLE!$G$15,$M79-$A$15,BG$13)="",10^12,OFFSET(PLE!$G$15,$M79-$A$15,BG$13)))</f>
        <v>1000000000000</v>
      </c>
    </row>
    <row r="80" spans="1:59" s="675" customFormat="1" ht="25.5" x14ac:dyDescent="0.2">
      <c r="A80" s="671" t="str">
        <f t="shared" ca="1" si="10"/>
        <v>59</v>
      </c>
      <c r="B80" s="671" t="str">
        <f ca="1">OFFSET(ORÇAMENTO!C$15,ROW(B80)-ROW(B$15),0)</f>
        <v>S</v>
      </c>
      <c r="C80" s="671" t="str">
        <f ca="1">OFFSET(ORÇAMENTO!L$15,ROW(C80)-ROW(C$15),0)</f>
        <v/>
      </c>
      <c r="D80" s="117" t="str">
        <f ca="1">OFFSET(ORÇAMENTO!N$15,ROW(D80)-ROW(D$15),0)</f>
        <v>Serviço</v>
      </c>
      <c r="E80" s="118" t="str">
        <f ca="1">OFFSET(ORÇAMENTO!O$15,ROW(E80)-ROW(E$15),0)</f>
        <v>-</v>
      </c>
      <c r="F80" s="164" t="str">
        <f ca="1">OFFSET(ORÇAMENTO!R$15,ROW(F80)-ROW(F$15),0)</f>
        <v>(abra o arquivo 'Referência 09-2025.xlsm)</v>
      </c>
      <c r="G80" s="165" t="str">
        <f ca="1">IF($D80&lt;&gt;"Serviço","",OFFSET(ORÇAMENTO!S$15,ROW(G80)-ROW(G$15),0))</f>
        <v>-</v>
      </c>
      <c r="H80" s="123">
        <f ca="1">IF($D80&lt;&gt;"Serviço",0,IF(ACOMPANHAMENTO="BM",ROUND(OFFSET(ORÇAMENTO!AJ$15,ROW(H80)-ROW(H$15),0),15-13*ORÇAMENTO!$AF$7),SUMPRODUCT(($Q$1:$AA$1=1)*ROUND($Q80:$AA80,15-13*ORÇAMENTO!$AF$7))))</f>
        <v>2</v>
      </c>
      <c r="I80" s="469" t="s">
        <v>1101</v>
      </c>
      <c r="J80" s="667" t="str">
        <f ca="1">IF(OR(B80&lt;&gt;"S",CÁLCULO.FrentesPreenchidas=0),"",IF(AND(ACOMPANHAMENTO="PLE",AUTOEVENTO="Manual",OR(H80&gt;0,ORÇAMENTO!AC80="QUANT."),OR(K80="",M80=0,N80="")),"►",IF(AND(ACOMPANHAMENTO="PLE",ORÇAMENTO!AC80="QUANT."),"►►",IF(AND(COUNTIF($P$11:$AA$11,"▼")=0,H80&gt;0,I80=""),"◄",""))))</f>
        <v/>
      </c>
      <c r="K80" s="668"/>
      <c r="L80" s="166" t="s">
        <v>765</v>
      </c>
      <c r="M80" s="167">
        <f ca="1">IF($D80&lt;&gt;"Serviço","",
          IF(AUTOEVENTO="manual",$A80,
                IF(ISERROR(MATCH($A80,$A$15:OFFSET($A80,-1,0),0)),MAX($M$15:OFFSET(M80,-1,0))+1,
                      INDEX($M$15:OFFSET(M80,-1,0),MATCH($A80,$A$15:OFFSET($A80,-1,0),0)))))</f>
        <v>7</v>
      </c>
      <c r="N80" s="168" t="str">
        <f ca="1">IF($D80&lt;&gt;"Serviço","",
         IF(AUTOEVENTO="Manual",
                IF($A80=0,"&lt;-- defina o número do agrupador",
                       OFFSET(EVENTOS!$D$15,$A80-$A$15,0)),
                OFFSET($F$15,$A80,0)))</f>
        <v>LINHA DE RECALQUE INCLUI TRAVESSIA - MATERIAIS</v>
      </c>
      <c r="O80" s="169"/>
      <c r="Q80" s="169"/>
      <c r="R80" s="170"/>
      <c r="S80" s="170"/>
      <c r="T80" s="170"/>
      <c r="U80" s="170"/>
      <c r="V80" s="170"/>
      <c r="W80" s="170"/>
      <c r="X80" s="170"/>
      <c r="Y80" s="170"/>
      <c r="Z80" s="171"/>
      <c r="AB80" s="454">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54">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4">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4">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4">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4">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4">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4">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4">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4">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2">
        <f ca="1">IF(OR($D80&lt;&gt;"Serviço",AND(AUTOEVENTO="Manual",$M80=$A$15)),0,
         IF(OFFSET(CRONOPLE!$F$15,$M80-$A$15,AM$13)=0,10^12,OFFSET(CRONOPLE!$F$15,$M80-$A$15,AM$13)))</f>
        <v>1000000000000</v>
      </c>
      <c r="AN80" s="172">
        <f ca="1">IF(OR($D80&lt;&gt;"Serviço",AND(AUTOEVENTO="Manual",$M80=$A$15)),0,
         IF(OFFSET(CRONOPLE!$F$15,$M80-$A$15,AN$13)=0,10^12,OFFSET(CRONOPLE!$F$15,$M80-$A$15,AN$13)))</f>
        <v>1000000000000</v>
      </c>
      <c r="AO80" s="172">
        <f ca="1">IF(OR($D80&lt;&gt;"Serviço",AND(AUTOEVENTO="Manual",$M80=$A$15)),0,
         IF(OFFSET(CRONOPLE!$F$15,$M80-$A$15,AO$13)=0,10^12,OFFSET(CRONOPLE!$F$15,$M80-$A$15,AO$13)))</f>
        <v>1000000000000</v>
      </c>
      <c r="AP80" s="172">
        <f ca="1">IF(OR($D80&lt;&gt;"Serviço",AND(AUTOEVENTO="Manual",$M80=$A$15)),0,
         IF(OFFSET(CRONOPLE!$F$15,$M80-$A$15,AP$13)=0,10^12,OFFSET(CRONOPLE!$F$15,$M80-$A$15,AP$13)))</f>
        <v>1000000000000</v>
      </c>
      <c r="AQ80" s="172">
        <f ca="1">IF(OR($D80&lt;&gt;"Serviço",AND(AUTOEVENTO="Manual",$M80=$A$15)),0,
         IF(OFFSET(CRONOPLE!$F$15,$M80-$A$15,AQ$13)=0,10^12,OFFSET(CRONOPLE!$F$15,$M80-$A$15,AQ$13)))</f>
        <v>1000000000000</v>
      </c>
      <c r="AR80" s="172">
        <f ca="1">IF(OR($D80&lt;&gt;"Serviço",AND(AUTOEVENTO="Manual",$M80=$A$15)),0,
         IF(OFFSET(CRONOPLE!$F$15,$M80-$A$15,AR$13)=0,10^12,OFFSET(CRONOPLE!$F$15,$M80-$A$15,AR$13)))</f>
        <v>1000000000000</v>
      </c>
      <c r="AS80" s="172">
        <f ca="1">IF(OR($D80&lt;&gt;"Serviço",AND(AUTOEVENTO="Manual",$M80=$A$15)),0,
         IF(OFFSET(CRONOPLE!$F$15,$M80-$A$15,AS$13)=0,10^12,OFFSET(CRONOPLE!$F$15,$M80-$A$15,AS$13)))</f>
        <v>1000000000000</v>
      </c>
      <c r="AT80" s="172">
        <f ca="1">IF(OR($D80&lt;&gt;"Serviço",AND(AUTOEVENTO="Manual",$M80=$A$15)),0,
         IF(OFFSET(CRONOPLE!$F$15,$M80-$A$15,AT$13)=0,10^12,OFFSET(CRONOPLE!$F$15,$M80-$A$15,AT$13)))</f>
        <v>1000000000000</v>
      </c>
      <c r="AU80" s="172">
        <f ca="1">IF(OR($D80&lt;&gt;"Serviço",AND(AUTOEVENTO="Manual",$M80=$A$15)),0,
         IF(OFFSET(CRONOPLE!$F$15,$M80-$A$15,AU$13)=0,10^12,OFFSET(CRONOPLE!$F$15,$M80-$A$15,AU$13)))</f>
        <v>1000000000000</v>
      </c>
      <c r="AV80" s="172">
        <f ca="1">IF(OR($D80&lt;&gt;"Serviço",AND(AUTOEVENTO="Manual",$M80=$A$15)),0,
         IF(OFFSET(CRONOPLE!$F$15,$M80-$A$15,AV$13)=0,10^12,OFFSET(CRONOPLE!$F$15,$M80-$A$15,AV$13)))</f>
        <v>1000000000000</v>
      </c>
      <c r="AX80" s="173">
        <f ca="1">IF(OR($D80&lt;&gt;"Serviço",AND(AUTOEVENTO="Manual",$M80=$A$15),$M80&gt;(ROW(PLE.lastrow)-ROW(PLE.firstrow))),0,
           IF(OFFSET(PLE!$G$15,$M80-$A$15,AX$13)="",10^12,OFFSET(PLE!$G$15,$M80-$A$15,AX$13)))</f>
        <v>1000000000000</v>
      </c>
      <c r="AY80" s="173">
        <f ca="1">IF(OR($D80&lt;&gt;"Serviço",AND(AUTOEVENTO="Manual",$M80=$A$15),$M80&gt;(ROW(PLE.lastrow)-ROW(PLE.firstrow))),0,
           IF(OFFSET(PLE!$G$15,$M80-$A$15,AY$13)="",10^12,OFFSET(PLE!$G$15,$M80-$A$15,AY$13)))</f>
        <v>1000000000000</v>
      </c>
      <c r="AZ80" s="173">
        <f ca="1">IF(OR($D80&lt;&gt;"Serviço",AND(AUTOEVENTO="Manual",$M80=$A$15),$M80&gt;(ROW(PLE.lastrow)-ROW(PLE.firstrow))),0,
           IF(OFFSET(PLE!$G$15,$M80-$A$15,AZ$13)="",10^12,OFFSET(PLE!$G$15,$M80-$A$15,AZ$13)))</f>
        <v>1000000000000</v>
      </c>
      <c r="BA80" s="173">
        <f ca="1">IF(OR($D80&lt;&gt;"Serviço",AND(AUTOEVENTO="Manual",$M80=$A$15),$M80&gt;(ROW(PLE.lastrow)-ROW(PLE.firstrow))),0,
           IF(OFFSET(PLE!$G$15,$M80-$A$15,BA$13)="",10^12,OFFSET(PLE!$G$15,$M80-$A$15,BA$13)))</f>
        <v>1000000000000</v>
      </c>
      <c r="BB80" s="173">
        <f ca="1">IF(OR($D80&lt;&gt;"Serviço",AND(AUTOEVENTO="Manual",$M80=$A$15),$M80&gt;(ROW(PLE.lastrow)-ROW(PLE.firstrow))),0,
           IF(OFFSET(PLE!$G$15,$M80-$A$15,BB$13)="",10^12,OFFSET(PLE!$G$15,$M80-$A$15,BB$13)))</f>
        <v>1000000000000</v>
      </c>
      <c r="BC80" s="173">
        <f ca="1">IF(OR($D80&lt;&gt;"Serviço",AND(AUTOEVENTO="Manual",$M80=$A$15),$M80&gt;(ROW(PLE.lastrow)-ROW(PLE.firstrow))),0,
           IF(OFFSET(PLE!$G$15,$M80-$A$15,BC$13)="",10^12,OFFSET(PLE!$G$15,$M80-$A$15,BC$13)))</f>
        <v>1000000000000</v>
      </c>
      <c r="BD80" s="173">
        <f ca="1">IF(OR($D80&lt;&gt;"Serviço",AND(AUTOEVENTO="Manual",$M80=$A$15),$M80&gt;(ROW(PLE.lastrow)-ROW(PLE.firstrow))),0,
           IF(OFFSET(PLE!$G$15,$M80-$A$15,BD$13)="",10^12,OFFSET(PLE!$G$15,$M80-$A$15,BD$13)))</f>
        <v>1000000000000</v>
      </c>
      <c r="BE80" s="173">
        <f ca="1">IF(OR($D80&lt;&gt;"Serviço",AND(AUTOEVENTO="Manual",$M80=$A$15),$M80&gt;(ROW(PLE.lastrow)-ROW(PLE.firstrow))),0,
           IF(OFFSET(PLE!$G$15,$M80-$A$15,BE$13)="",10^12,OFFSET(PLE!$G$15,$M80-$A$15,BE$13)))</f>
        <v>1000000000000</v>
      </c>
      <c r="BF80" s="173">
        <f ca="1">IF(OR($D80&lt;&gt;"Serviço",AND(AUTOEVENTO="Manual",$M80=$A$15),$M80&gt;(ROW(PLE.lastrow)-ROW(PLE.firstrow))),0,
           IF(OFFSET(PLE!$G$15,$M80-$A$15,BF$13)="",10^12,OFFSET(PLE!$G$15,$M80-$A$15,BF$13)))</f>
        <v>1000000000000</v>
      </c>
      <c r="BG80" s="173">
        <f ca="1">IF(OR($D80&lt;&gt;"Serviço",AND(AUTOEVENTO="Manual",$M80=$A$15),$M80&gt;(ROW(PLE.lastrow)-ROW(PLE.firstrow))),0,
           IF(OFFSET(PLE!$G$15,$M80-$A$15,BG$13)="",10^12,OFFSET(PLE!$G$15,$M80-$A$15,BG$13)))</f>
        <v>1000000000000</v>
      </c>
    </row>
    <row r="81" spans="1:59" s="675" customFormat="1" ht="25.5" x14ac:dyDescent="0.2">
      <c r="A81" s="671" t="str">
        <f t="shared" ca="1" si="10"/>
        <v>59</v>
      </c>
      <c r="B81" s="671" t="str">
        <f ca="1">OFFSET(ORÇAMENTO!C$15,ROW(B81)-ROW(B$15),0)</f>
        <v>S</v>
      </c>
      <c r="C81" s="671" t="str">
        <f ca="1">OFFSET(ORÇAMENTO!L$15,ROW(C81)-ROW(C$15),0)</f>
        <v/>
      </c>
      <c r="D81" s="117" t="str">
        <f ca="1">OFFSET(ORÇAMENTO!N$15,ROW(D81)-ROW(D$15),0)</f>
        <v>Serviço</v>
      </c>
      <c r="E81" s="118" t="str">
        <f ca="1">OFFSET(ORÇAMENTO!O$15,ROW(E81)-ROW(E$15),0)</f>
        <v>-</v>
      </c>
      <c r="F81" s="164" t="str">
        <f ca="1">OFFSET(ORÇAMENTO!R$15,ROW(F81)-ROW(F$15),0)</f>
        <v>(abra o arquivo 'Referência 09-2025.xlsm)</v>
      </c>
      <c r="G81" s="165" t="str">
        <f ca="1">IF($D81&lt;&gt;"Serviço","",OFFSET(ORÇAMENTO!S$15,ROW(G81)-ROW(G$15),0))</f>
        <v>-</v>
      </c>
      <c r="H81" s="123">
        <f ca="1">IF($D81&lt;&gt;"Serviço",0,IF(ACOMPANHAMENTO="BM",ROUND(OFFSET(ORÇAMENTO!AJ$15,ROW(H81)-ROW(H$15),0),15-13*ORÇAMENTO!$AF$7),SUMPRODUCT(($Q$1:$AA$1=1)*ROUND($Q81:$AA81,15-13*ORÇAMENTO!$AF$7))))</f>
        <v>1</v>
      </c>
      <c r="I81" s="469" t="s">
        <v>1101</v>
      </c>
      <c r="J81" s="667" t="str">
        <f ca="1">IF(OR(B81&lt;&gt;"S",CÁLCULO.FrentesPreenchidas=0),"",IF(AND(ACOMPANHAMENTO="PLE",AUTOEVENTO="Manual",OR(H81&gt;0,ORÇAMENTO!AC81="QUANT."),OR(K81="",M81=0,N81="")),"►",IF(AND(ACOMPANHAMENTO="PLE",ORÇAMENTO!AC81="QUANT."),"►►",IF(AND(COUNTIF($P$11:$AA$11,"▼")=0,H81&gt;0,I81=""),"◄",""))))</f>
        <v/>
      </c>
      <c r="K81" s="668"/>
      <c r="L81" s="166" t="s">
        <v>765</v>
      </c>
      <c r="M81" s="167">
        <f ca="1">IF($D81&lt;&gt;"Serviço","",
          IF(AUTOEVENTO="manual",$A81,
                IF(ISERROR(MATCH($A81,$A$15:OFFSET($A81,-1,0),0)),MAX($M$15:OFFSET(M81,-1,0))+1,
                      INDEX($M$15:OFFSET(M81,-1,0),MATCH($A81,$A$15:OFFSET($A81,-1,0),0)))))</f>
        <v>7</v>
      </c>
      <c r="N81" s="168" t="str">
        <f ca="1">IF($D81&lt;&gt;"Serviço","",
         IF(AUTOEVENTO="Manual",
                IF($A81=0,"&lt;-- defina o número do agrupador",
                       OFFSET(EVENTOS!$D$15,$A81-$A$15,0)),
                OFFSET($F$15,$A81,0)))</f>
        <v>LINHA DE RECALQUE INCLUI TRAVESSIA - MATERIAIS</v>
      </c>
      <c r="O81" s="169"/>
      <c r="Q81" s="169"/>
      <c r="R81" s="170"/>
      <c r="S81" s="170"/>
      <c r="T81" s="170"/>
      <c r="U81" s="170"/>
      <c r="V81" s="170"/>
      <c r="W81" s="170"/>
      <c r="X81" s="170"/>
      <c r="Y81" s="170"/>
      <c r="Z81" s="171"/>
      <c r="AB81" s="454">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4">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4">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4">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4">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4">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4">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4">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4">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4">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2">
        <f ca="1">IF(OR($D81&lt;&gt;"Serviço",AND(AUTOEVENTO="Manual",$M81=$A$15)),0,
         IF(OFFSET(CRONOPLE!$F$15,$M81-$A$15,AM$13)=0,10^12,OFFSET(CRONOPLE!$F$15,$M81-$A$15,AM$13)))</f>
        <v>1000000000000</v>
      </c>
      <c r="AN81" s="172">
        <f ca="1">IF(OR($D81&lt;&gt;"Serviço",AND(AUTOEVENTO="Manual",$M81=$A$15)),0,
         IF(OFFSET(CRONOPLE!$F$15,$M81-$A$15,AN$13)=0,10^12,OFFSET(CRONOPLE!$F$15,$M81-$A$15,AN$13)))</f>
        <v>1000000000000</v>
      </c>
      <c r="AO81" s="172">
        <f ca="1">IF(OR($D81&lt;&gt;"Serviço",AND(AUTOEVENTO="Manual",$M81=$A$15)),0,
         IF(OFFSET(CRONOPLE!$F$15,$M81-$A$15,AO$13)=0,10^12,OFFSET(CRONOPLE!$F$15,$M81-$A$15,AO$13)))</f>
        <v>1000000000000</v>
      </c>
      <c r="AP81" s="172">
        <f ca="1">IF(OR($D81&lt;&gt;"Serviço",AND(AUTOEVENTO="Manual",$M81=$A$15)),0,
         IF(OFFSET(CRONOPLE!$F$15,$M81-$A$15,AP$13)=0,10^12,OFFSET(CRONOPLE!$F$15,$M81-$A$15,AP$13)))</f>
        <v>1000000000000</v>
      </c>
      <c r="AQ81" s="172">
        <f ca="1">IF(OR($D81&lt;&gt;"Serviço",AND(AUTOEVENTO="Manual",$M81=$A$15)),0,
         IF(OFFSET(CRONOPLE!$F$15,$M81-$A$15,AQ$13)=0,10^12,OFFSET(CRONOPLE!$F$15,$M81-$A$15,AQ$13)))</f>
        <v>1000000000000</v>
      </c>
      <c r="AR81" s="172">
        <f ca="1">IF(OR($D81&lt;&gt;"Serviço",AND(AUTOEVENTO="Manual",$M81=$A$15)),0,
         IF(OFFSET(CRONOPLE!$F$15,$M81-$A$15,AR$13)=0,10^12,OFFSET(CRONOPLE!$F$15,$M81-$A$15,AR$13)))</f>
        <v>1000000000000</v>
      </c>
      <c r="AS81" s="172">
        <f ca="1">IF(OR($D81&lt;&gt;"Serviço",AND(AUTOEVENTO="Manual",$M81=$A$15)),0,
         IF(OFFSET(CRONOPLE!$F$15,$M81-$A$15,AS$13)=0,10^12,OFFSET(CRONOPLE!$F$15,$M81-$A$15,AS$13)))</f>
        <v>1000000000000</v>
      </c>
      <c r="AT81" s="172">
        <f ca="1">IF(OR($D81&lt;&gt;"Serviço",AND(AUTOEVENTO="Manual",$M81=$A$15)),0,
         IF(OFFSET(CRONOPLE!$F$15,$M81-$A$15,AT$13)=0,10^12,OFFSET(CRONOPLE!$F$15,$M81-$A$15,AT$13)))</f>
        <v>1000000000000</v>
      </c>
      <c r="AU81" s="172">
        <f ca="1">IF(OR($D81&lt;&gt;"Serviço",AND(AUTOEVENTO="Manual",$M81=$A$15)),0,
         IF(OFFSET(CRONOPLE!$F$15,$M81-$A$15,AU$13)=0,10^12,OFFSET(CRONOPLE!$F$15,$M81-$A$15,AU$13)))</f>
        <v>1000000000000</v>
      </c>
      <c r="AV81" s="172">
        <f ca="1">IF(OR($D81&lt;&gt;"Serviço",AND(AUTOEVENTO="Manual",$M81=$A$15)),0,
         IF(OFFSET(CRONOPLE!$F$15,$M81-$A$15,AV$13)=0,10^12,OFFSET(CRONOPLE!$F$15,$M81-$A$15,AV$13)))</f>
        <v>1000000000000</v>
      </c>
      <c r="AX81" s="173">
        <f ca="1">IF(OR($D81&lt;&gt;"Serviço",AND(AUTOEVENTO="Manual",$M81=$A$15),$M81&gt;(ROW(PLE.lastrow)-ROW(PLE.firstrow))),0,
           IF(OFFSET(PLE!$G$15,$M81-$A$15,AX$13)="",10^12,OFFSET(PLE!$G$15,$M81-$A$15,AX$13)))</f>
        <v>1000000000000</v>
      </c>
      <c r="AY81" s="173">
        <f ca="1">IF(OR($D81&lt;&gt;"Serviço",AND(AUTOEVENTO="Manual",$M81=$A$15),$M81&gt;(ROW(PLE.lastrow)-ROW(PLE.firstrow))),0,
           IF(OFFSET(PLE!$G$15,$M81-$A$15,AY$13)="",10^12,OFFSET(PLE!$G$15,$M81-$A$15,AY$13)))</f>
        <v>1000000000000</v>
      </c>
      <c r="AZ81" s="173">
        <f ca="1">IF(OR($D81&lt;&gt;"Serviço",AND(AUTOEVENTO="Manual",$M81=$A$15),$M81&gt;(ROW(PLE.lastrow)-ROW(PLE.firstrow))),0,
           IF(OFFSET(PLE!$G$15,$M81-$A$15,AZ$13)="",10^12,OFFSET(PLE!$G$15,$M81-$A$15,AZ$13)))</f>
        <v>1000000000000</v>
      </c>
      <c r="BA81" s="173">
        <f ca="1">IF(OR($D81&lt;&gt;"Serviço",AND(AUTOEVENTO="Manual",$M81=$A$15),$M81&gt;(ROW(PLE.lastrow)-ROW(PLE.firstrow))),0,
           IF(OFFSET(PLE!$G$15,$M81-$A$15,BA$13)="",10^12,OFFSET(PLE!$G$15,$M81-$A$15,BA$13)))</f>
        <v>1000000000000</v>
      </c>
      <c r="BB81" s="173">
        <f ca="1">IF(OR($D81&lt;&gt;"Serviço",AND(AUTOEVENTO="Manual",$M81=$A$15),$M81&gt;(ROW(PLE.lastrow)-ROW(PLE.firstrow))),0,
           IF(OFFSET(PLE!$G$15,$M81-$A$15,BB$13)="",10^12,OFFSET(PLE!$G$15,$M81-$A$15,BB$13)))</f>
        <v>1000000000000</v>
      </c>
      <c r="BC81" s="173">
        <f ca="1">IF(OR($D81&lt;&gt;"Serviço",AND(AUTOEVENTO="Manual",$M81=$A$15),$M81&gt;(ROW(PLE.lastrow)-ROW(PLE.firstrow))),0,
           IF(OFFSET(PLE!$G$15,$M81-$A$15,BC$13)="",10^12,OFFSET(PLE!$G$15,$M81-$A$15,BC$13)))</f>
        <v>1000000000000</v>
      </c>
      <c r="BD81" s="173">
        <f ca="1">IF(OR($D81&lt;&gt;"Serviço",AND(AUTOEVENTO="Manual",$M81=$A$15),$M81&gt;(ROW(PLE.lastrow)-ROW(PLE.firstrow))),0,
           IF(OFFSET(PLE!$G$15,$M81-$A$15,BD$13)="",10^12,OFFSET(PLE!$G$15,$M81-$A$15,BD$13)))</f>
        <v>1000000000000</v>
      </c>
      <c r="BE81" s="173">
        <f ca="1">IF(OR($D81&lt;&gt;"Serviço",AND(AUTOEVENTO="Manual",$M81=$A$15),$M81&gt;(ROW(PLE.lastrow)-ROW(PLE.firstrow))),0,
           IF(OFFSET(PLE!$G$15,$M81-$A$15,BE$13)="",10^12,OFFSET(PLE!$G$15,$M81-$A$15,BE$13)))</f>
        <v>1000000000000</v>
      </c>
      <c r="BF81" s="173">
        <f ca="1">IF(OR($D81&lt;&gt;"Serviço",AND(AUTOEVENTO="Manual",$M81=$A$15),$M81&gt;(ROW(PLE.lastrow)-ROW(PLE.firstrow))),0,
           IF(OFFSET(PLE!$G$15,$M81-$A$15,BF$13)="",10^12,OFFSET(PLE!$G$15,$M81-$A$15,BF$13)))</f>
        <v>1000000000000</v>
      </c>
      <c r="BG81" s="173">
        <f ca="1">IF(OR($D81&lt;&gt;"Serviço",AND(AUTOEVENTO="Manual",$M81=$A$15),$M81&gt;(ROW(PLE.lastrow)-ROW(PLE.firstrow))),0,
           IF(OFFSET(PLE!$G$15,$M81-$A$15,BG$13)="",10^12,OFFSET(PLE!$G$15,$M81-$A$15,BG$13)))</f>
        <v>1000000000000</v>
      </c>
    </row>
    <row r="82" spans="1:59" s="720" customFormat="1" ht="25.5" x14ac:dyDescent="0.2">
      <c r="A82" s="718" t="str">
        <f t="shared" ca="1" si="10"/>
        <v>59</v>
      </c>
      <c r="B82" s="718" t="str">
        <f ca="1">OFFSET(ORÇAMENTO!C$15,ROW(B82)-ROW(B$15),0)</f>
        <v>S</v>
      </c>
      <c r="C82" s="718" t="str">
        <f ca="1">OFFSET(ORÇAMENTO!L$15,ROW(C82)-ROW(C$15),0)</f>
        <v/>
      </c>
      <c r="D82" s="117" t="str">
        <f ca="1">OFFSET(ORÇAMENTO!N$15,ROW(D82)-ROW(D$15),0)</f>
        <v>Serviço</v>
      </c>
      <c r="E82" s="118" t="str">
        <f ca="1">OFFSET(ORÇAMENTO!O$15,ROW(E82)-ROW(E$15),0)</f>
        <v>-</v>
      </c>
      <c r="F82" s="164" t="str">
        <f ca="1">OFFSET(ORÇAMENTO!R$15,ROW(F82)-ROW(F$15),0)</f>
        <v>(abra o arquivo 'Referência 09-2025.xlsm)</v>
      </c>
      <c r="G82" s="165" t="str">
        <f ca="1">IF($D82&lt;&gt;"Serviço","",OFFSET(ORÇAMENTO!S$15,ROW(G82)-ROW(G$15),0))</f>
        <v>-</v>
      </c>
      <c r="H82" s="123">
        <f ca="1">IF($D82&lt;&gt;"Serviço",0,IF(ACOMPANHAMENTO="BM",ROUND(OFFSET(ORÇAMENTO!AJ$15,ROW(H82)-ROW(H$15),0),15-13*ORÇAMENTO!$AF$7),SUMPRODUCT(($Q$1:$AA$1=1)*ROUND($Q82:$AA82,15-13*ORÇAMENTO!$AF$7))))</f>
        <v>8</v>
      </c>
      <c r="I82" s="469"/>
      <c r="J82" s="667" t="str">
        <f ca="1">IF(OR(B82&lt;&gt;"S",CÁLCULO.FrentesPreenchidas=0),"",IF(AND(ACOMPANHAMENTO="PLE",AUTOEVENTO="Manual",OR(H82&gt;0,ORÇAMENTO!AC82="QUANT."),OR(K82="",M82=0,N82="")),"►",IF(AND(ACOMPANHAMENTO="PLE",ORÇAMENTO!AC82="QUANT."),"►►",IF(AND(COUNTIF($P$11:$AA$11,"▼")=0,H82&gt;0,I82=""),"◄",""))))</f>
        <v/>
      </c>
      <c r="K82" s="668"/>
      <c r="L82" s="166" t="s">
        <v>765</v>
      </c>
      <c r="M82" s="167">
        <f ca="1">IF($D82&lt;&gt;"Serviço","",
          IF(AUTOEVENTO="manual",$A82,
                IF(ISERROR(MATCH($A82,$A$15:OFFSET($A82,-1,0),0)),MAX($M$15:OFFSET(M82,-1,0))+1,
                      INDEX($M$15:OFFSET(M82,-1,0),MATCH($A82,$A$15:OFFSET($A82,-1,0),0)))))</f>
        <v>7</v>
      </c>
      <c r="N82" s="168" t="str">
        <f ca="1">IF($D82&lt;&gt;"Serviço","",
         IF(AUTOEVENTO="Manual",
                IF($A82=0,"&lt;-- defina o número do agrupador",
                       OFFSET(EVENTOS!$D$15,$A82-$A$15,0)),
                OFFSET($F$15,$A82,0)))</f>
        <v>LINHA DE RECALQUE INCLUI TRAVESSIA - MATERIAIS</v>
      </c>
      <c r="O82" s="169"/>
      <c r="Q82" s="169"/>
      <c r="R82" s="170"/>
      <c r="S82" s="170"/>
      <c r="T82" s="170"/>
      <c r="U82" s="170"/>
      <c r="V82" s="170"/>
      <c r="W82" s="170"/>
      <c r="X82" s="170"/>
      <c r="Y82" s="170"/>
      <c r="Z82" s="171"/>
      <c r="AB82" s="454">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4">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4">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4">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4">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4">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4">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4">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4">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4">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2">
        <f ca="1">IF(OR($D82&lt;&gt;"Serviço",AND(AUTOEVENTO="Manual",$M82=$A$15)),0,
         IF(OFFSET(CRONOPLE!$F$15,$M82-$A$15,AM$13)=0,10^12,OFFSET(CRONOPLE!$F$15,$M82-$A$15,AM$13)))</f>
        <v>1000000000000</v>
      </c>
      <c r="AN82" s="172">
        <f ca="1">IF(OR($D82&lt;&gt;"Serviço",AND(AUTOEVENTO="Manual",$M82=$A$15)),0,
         IF(OFFSET(CRONOPLE!$F$15,$M82-$A$15,AN$13)=0,10^12,OFFSET(CRONOPLE!$F$15,$M82-$A$15,AN$13)))</f>
        <v>1000000000000</v>
      </c>
      <c r="AO82" s="172">
        <f ca="1">IF(OR($D82&lt;&gt;"Serviço",AND(AUTOEVENTO="Manual",$M82=$A$15)),0,
         IF(OFFSET(CRONOPLE!$F$15,$M82-$A$15,AO$13)=0,10^12,OFFSET(CRONOPLE!$F$15,$M82-$A$15,AO$13)))</f>
        <v>1000000000000</v>
      </c>
      <c r="AP82" s="172">
        <f ca="1">IF(OR($D82&lt;&gt;"Serviço",AND(AUTOEVENTO="Manual",$M82=$A$15)),0,
         IF(OFFSET(CRONOPLE!$F$15,$M82-$A$15,AP$13)=0,10^12,OFFSET(CRONOPLE!$F$15,$M82-$A$15,AP$13)))</f>
        <v>1000000000000</v>
      </c>
      <c r="AQ82" s="172">
        <f ca="1">IF(OR($D82&lt;&gt;"Serviço",AND(AUTOEVENTO="Manual",$M82=$A$15)),0,
         IF(OFFSET(CRONOPLE!$F$15,$M82-$A$15,AQ$13)=0,10^12,OFFSET(CRONOPLE!$F$15,$M82-$A$15,AQ$13)))</f>
        <v>1000000000000</v>
      </c>
      <c r="AR82" s="172">
        <f ca="1">IF(OR($D82&lt;&gt;"Serviço",AND(AUTOEVENTO="Manual",$M82=$A$15)),0,
         IF(OFFSET(CRONOPLE!$F$15,$M82-$A$15,AR$13)=0,10^12,OFFSET(CRONOPLE!$F$15,$M82-$A$15,AR$13)))</f>
        <v>1000000000000</v>
      </c>
      <c r="AS82" s="172">
        <f ca="1">IF(OR($D82&lt;&gt;"Serviço",AND(AUTOEVENTO="Manual",$M82=$A$15)),0,
         IF(OFFSET(CRONOPLE!$F$15,$M82-$A$15,AS$13)=0,10^12,OFFSET(CRONOPLE!$F$15,$M82-$A$15,AS$13)))</f>
        <v>1000000000000</v>
      </c>
      <c r="AT82" s="172">
        <f ca="1">IF(OR($D82&lt;&gt;"Serviço",AND(AUTOEVENTO="Manual",$M82=$A$15)),0,
         IF(OFFSET(CRONOPLE!$F$15,$M82-$A$15,AT$13)=0,10^12,OFFSET(CRONOPLE!$F$15,$M82-$A$15,AT$13)))</f>
        <v>1000000000000</v>
      </c>
      <c r="AU82" s="172">
        <f ca="1">IF(OR($D82&lt;&gt;"Serviço",AND(AUTOEVENTO="Manual",$M82=$A$15)),0,
         IF(OFFSET(CRONOPLE!$F$15,$M82-$A$15,AU$13)=0,10^12,OFFSET(CRONOPLE!$F$15,$M82-$A$15,AU$13)))</f>
        <v>1000000000000</v>
      </c>
      <c r="AV82" s="172">
        <f ca="1">IF(OR($D82&lt;&gt;"Serviço",AND(AUTOEVENTO="Manual",$M82=$A$15)),0,
         IF(OFFSET(CRONOPLE!$F$15,$M82-$A$15,AV$13)=0,10^12,OFFSET(CRONOPLE!$F$15,$M82-$A$15,AV$13)))</f>
        <v>1000000000000</v>
      </c>
      <c r="AX82" s="173">
        <f ca="1">IF(OR($D82&lt;&gt;"Serviço",AND(AUTOEVENTO="Manual",$M82=$A$15),$M82&gt;(ROW(PLE.lastrow)-ROW(PLE.firstrow))),0,
           IF(OFFSET(PLE!$G$15,$M82-$A$15,AX$13)="",10^12,OFFSET(PLE!$G$15,$M82-$A$15,AX$13)))</f>
        <v>1000000000000</v>
      </c>
      <c r="AY82" s="173">
        <f ca="1">IF(OR($D82&lt;&gt;"Serviço",AND(AUTOEVENTO="Manual",$M82=$A$15),$M82&gt;(ROW(PLE.lastrow)-ROW(PLE.firstrow))),0,
           IF(OFFSET(PLE!$G$15,$M82-$A$15,AY$13)="",10^12,OFFSET(PLE!$G$15,$M82-$A$15,AY$13)))</f>
        <v>1000000000000</v>
      </c>
      <c r="AZ82" s="173">
        <f ca="1">IF(OR($D82&lt;&gt;"Serviço",AND(AUTOEVENTO="Manual",$M82=$A$15),$M82&gt;(ROW(PLE.lastrow)-ROW(PLE.firstrow))),0,
           IF(OFFSET(PLE!$G$15,$M82-$A$15,AZ$13)="",10^12,OFFSET(PLE!$G$15,$M82-$A$15,AZ$13)))</f>
        <v>1000000000000</v>
      </c>
      <c r="BA82" s="173">
        <f ca="1">IF(OR($D82&lt;&gt;"Serviço",AND(AUTOEVENTO="Manual",$M82=$A$15),$M82&gt;(ROW(PLE.lastrow)-ROW(PLE.firstrow))),0,
           IF(OFFSET(PLE!$G$15,$M82-$A$15,BA$13)="",10^12,OFFSET(PLE!$G$15,$M82-$A$15,BA$13)))</f>
        <v>1000000000000</v>
      </c>
      <c r="BB82" s="173">
        <f ca="1">IF(OR($D82&lt;&gt;"Serviço",AND(AUTOEVENTO="Manual",$M82=$A$15),$M82&gt;(ROW(PLE.lastrow)-ROW(PLE.firstrow))),0,
           IF(OFFSET(PLE!$G$15,$M82-$A$15,BB$13)="",10^12,OFFSET(PLE!$G$15,$M82-$A$15,BB$13)))</f>
        <v>1000000000000</v>
      </c>
      <c r="BC82" s="173">
        <f ca="1">IF(OR($D82&lt;&gt;"Serviço",AND(AUTOEVENTO="Manual",$M82=$A$15),$M82&gt;(ROW(PLE.lastrow)-ROW(PLE.firstrow))),0,
           IF(OFFSET(PLE!$G$15,$M82-$A$15,BC$13)="",10^12,OFFSET(PLE!$G$15,$M82-$A$15,BC$13)))</f>
        <v>1000000000000</v>
      </c>
      <c r="BD82" s="173">
        <f ca="1">IF(OR($D82&lt;&gt;"Serviço",AND(AUTOEVENTO="Manual",$M82=$A$15),$M82&gt;(ROW(PLE.lastrow)-ROW(PLE.firstrow))),0,
           IF(OFFSET(PLE!$G$15,$M82-$A$15,BD$13)="",10^12,OFFSET(PLE!$G$15,$M82-$A$15,BD$13)))</f>
        <v>1000000000000</v>
      </c>
      <c r="BE82" s="173">
        <f ca="1">IF(OR($D82&lt;&gt;"Serviço",AND(AUTOEVENTO="Manual",$M82=$A$15),$M82&gt;(ROW(PLE.lastrow)-ROW(PLE.firstrow))),0,
           IF(OFFSET(PLE!$G$15,$M82-$A$15,BE$13)="",10^12,OFFSET(PLE!$G$15,$M82-$A$15,BE$13)))</f>
        <v>1000000000000</v>
      </c>
      <c r="BF82" s="173">
        <f ca="1">IF(OR($D82&lt;&gt;"Serviço",AND(AUTOEVENTO="Manual",$M82=$A$15),$M82&gt;(ROW(PLE.lastrow)-ROW(PLE.firstrow))),0,
           IF(OFFSET(PLE!$G$15,$M82-$A$15,BF$13)="",10^12,OFFSET(PLE!$G$15,$M82-$A$15,BF$13)))</f>
        <v>1000000000000</v>
      </c>
      <c r="BG82" s="173">
        <f ca="1">IF(OR($D82&lt;&gt;"Serviço",AND(AUTOEVENTO="Manual",$M82=$A$15),$M82&gt;(ROW(PLE.lastrow)-ROW(PLE.firstrow))),0,
           IF(OFFSET(PLE!$G$15,$M82-$A$15,BG$13)="",10^12,OFFSET(PLE!$G$15,$M82-$A$15,BG$13)))</f>
        <v>1000000000000</v>
      </c>
    </row>
    <row r="83" spans="1:59" s="720" customFormat="1" ht="25.5" x14ac:dyDescent="0.2">
      <c r="A83" s="718" t="str">
        <f t="shared" ca="1" si="10"/>
        <v>59</v>
      </c>
      <c r="B83" s="718" t="str">
        <f ca="1">OFFSET(ORÇAMENTO!C$15,ROW(B83)-ROW(B$15),0)</f>
        <v>S</v>
      </c>
      <c r="C83" s="718" t="str">
        <f ca="1">OFFSET(ORÇAMENTO!L$15,ROW(C83)-ROW(C$15),0)</f>
        <v/>
      </c>
      <c r="D83" s="117" t="str">
        <f ca="1">OFFSET(ORÇAMENTO!N$15,ROW(D83)-ROW(D$15),0)</f>
        <v>Serviço</v>
      </c>
      <c r="E83" s="118" t="str">
        <f ca="1">OFFSET(ORÇAMENTO!O$15,ROW(E83)-ROW(E$15),0)</f>
        <v>-</v>
      </c>
      <c r="F83" s="164" t="str">
        <f ca="1">OFFSET(ORÇAMENTO!R$15,ROW(F83)-ROW(F$15),0)</f>
        <v>(abra o arquivo 'Referência 09-2025.xlsm)</v>
      </c>
      <c r="G83" s="165" t="str">
        <f ca="1">IF($D83&lt;&gt;"Serviço","",OFFSET(ORÇAMENTO!S$15,ROW(G83)-ROW(G$15),0))</f>
        <v>-</v>
      </c>
      <c r="H83" s="123">
        <f ca="1">IF($D83&lt;&gt;"Serviço",0,IF(ACOMPANHAMENTO="BM",ROUND(OFFSET(ORÇAMENTO!AJ$15,ROW(H83)-ROW(H$15),0),15-13*ORÇAMENTO!$AF$7),SUMPRODUCT(($Q$1:$AA$1=1)*ROUND($Q83:$AA83,15-13*ORÇAMENTO!$AF$7))))</f>
        <v>2</v>
      </c>
      <c r="I83" s="469"/>
      <c r="J83" s="667" t="str">
        <f ca="1">IF(OR(B83&lt;&gt;"S",CÁLCULO.FrentesPreenchidas=0),"",IF(AND(ACOMPANHAMENTO="PLE",AUTOEVENTO="Manual",OR(H83&gt;0,ORÇAMENTO!AC83="QUANT."),OR(K83="",M83=0,N83="")),"►",IF(AND(ACOMPANHAMENTO="PLE",ORÇAMENTO!AC83="QUANT."),"►►",IF(AND(COUNTIF($P$11:$AA$11,"▼")=0,H83&gt;0,I83=""),"◄",""))))</f>
        <v/>
      </c>
      <c r="K83" s="668"/>
      <c r="L83" s="166" t="s">
        <v>765</v>
      </c>
      <c r="M83" s="167">
        <f ca="1">IF($D83&lt;&gt;"Serviço","",
          IF(AUTOEVENTO="manual",$A83,
                IF(ISERROR(MATCH($A83,$A$15:OFFSET($A83,-1,0),0)),MAX($M$15:OFFSET(M83,-1,0))+1,
                      INDEX($M$15:OFFSET(M83,-1,0),MATCH($A83,$A$15:OFFSET($A83,-1,0),0)))))</f>
        <v>7</v>
      </c>
      <c r="N83" s="168" t="str">
        <f ca="1">IF($D83&lt;&gt;"Serviço","",
         IF(AUTOEVENTO="Manual",
                IF($A83=0,"&lt;-- defina o número do agrupador",
                       OFFSET(EVENTOS!$D$15,$A83-$A$15,0)),
                OFFSET($F$15,$A83,0)))</f>
        <v>LINHA DE RECALQUE INCLUI TRAVESSIA - MATERIAIS</v>
      </c>
      <c r="O83" s="169"/>
      <c r="Q83" s="169"/>
      <c r="R83" s="170"/>
      <c r="S83" s="170"/>
      <c r="T83" s="170"/>
      <c r="U83" s="170"/>
      <c r="V83" s="170"/>
      <c r="W83" s="170"/>
      <c r="X83" s="170"/>
      <c r="Y83" s="170"/>
      <c r="Z83" s="171"/>
      <c r="AB83" s="454">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4">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4">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4">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4">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4">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4">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4">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4">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4">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2">
        <f ca="1">IF(OR($D83&lt;&gt;"Serviço",AND(AUTOEVENTO="Manual",$M83=$A$15)),0,
         IF(OFFSET(CRONOPLE!$F$15,$M83-$A$15,AM$13)=0,10^12,OFFSET(CRONOPLE!$F$15,$M83-$A$15,AM$13)))</f>
        <v>1000000000000</v>
      </c>
      <c r="AN83" s="172">
        <f ca="1">IF(OR($D83&lt;&gt;"Serviço",AND(AUTOEVENTO="Manual",$M83=$A$15)),0,
         IF(OFFSET(CRONOPLE!$F$15,$M83-$A$15,AN$13)=0,10^12,OFFSET(CRONOPLE!$F$15,$M83-$A$15,AN$13)))</f>
        <v>1000000000000</v>
      </c>
      <c r="AO83" s="172">
        <f ca="1">IF(OR($D83&lt;&gt;"Serviço",AND(AUTOEVENTO="Manual",$M83=$A$15)),0,
         IF(OFFSET(CRONOPLE!$F$15,$M83-$A$15,AO$13)=0,10^12,OFFSET(CRONOPLE!$F$15,$M83-$A$15,AO$13)))</f>
        <v>1000000000000</v>
      </c>
      <c r="AP83" s="172">
        <f ca="1">IF(OR($D83&lt;&gt;"Serviço",AND(AUTOEVENTO="Manual",$M83=$A$15)),0,
         IF(OFFSET(CRONOPLE!$F$15,$M83-$A$15,AP$13)=0,10^12,OFFSET(CRONOPLE!$F$15,$M83-$A$15,AP$13)))</f>
        <v>1000000000000</v>
      </c>
      <c r="AQ83" s="172">
        <f ca="1">IF(OR($D83&lt;&gt;"Serviço",AND(AUTOEVENTO="Manual",$M83=$A$15)),0,
         IF(OFFSET(CRONOPLE!$F$15,$M83-$A$15,AQ$13)=0,10^12,OFFSET(CRONOPLE!$F$15,$M83-$A$15,AQ$13)))</f>
        <v>1000000000000</v>
      </c>
      <c r="AR83" s="172">
        <f ca="1">IF(OR($D83&lt;&gt;"Serviço",AND(AUTOEVENTO="Manual",$M83=$A$15)),0,
         IF(OFFSET(CRONOPLE!$F$15,$M83-$A$15,AR$13)=0,10^12,OFFSET(CRONOPLE!$F$15,$M83-$A$15,AR$13)))</f>
        <v>1000000000000</v>
      </c>
      <c r="AS83" s="172">
        <f ca="1">IF(OR($D83&lt;&gt;"Serviço",AND(AUTOEVENTO="Manual",$M83=$A$15)),0,
         IF(OFFSET(CRONOPLE!$F$15,$M83-$A$15,AS$13)=0,10^12,OFFSET(CRONOPLE!$F$15,$M83-$A$15,AS$13)))</f>
        <v>1000000000000</v>
      </c>
      <c r="AT83" s="172">
        <f ca="1">IF(OR($D83&lt;&gt;"Serviço",AND(AUTOEVENTO="Manual",$M83=$A$15)),0,
         IF(OFFSET(CRONOPLE!$F$15,$M83-$A$15,AT$13)=0,10^12,OFFSET(CRONOPLE!$F$15,$M83-$A$15,AT$13)))</f>
        <v>1000000000000</v>
      </c>
      <c r="AU83" s="172">
        <f ca="1">IF(OR($D83&lt;&gt;"Serviço",AND(AUTOEVENTO="Manual",$M83=$A$15)),0,
         IF(OFFSET(CRONOPLE!$F$15,$M83-$A$15,AU$13)=0,10^12,OFFSET(CRONOPLE!$F$15,$M83-$A$15,AU$13)))</f>
        <v>1000000000000</v>
      </c>
      <c r="AV83" s="172">
        <f ca="1">IF(OR($D83&lt;&gt;"Serviço",AND(AUTOEVENTO="Manual",$M83=$A$15)),0,
         IF(OFFSET(CRONOPLE!$F$15,$M83-$A$15,AV$13)=0,10^12,OFFSET(CRONOPLE!$F$15,$M83-$A$15,AV$13)))</f>
        <v>1000000000000</v>
      </c>
      <c r="AX83" s="173">
        <f ca="1">IF(OR($D83&lt;&gt;"Serviço",AND(AUTOEVENTO="Manual",$M83=$A$15),$M83&gt;(ROW(PLE.lastrow)-ROW(PLE.firstrow))),0,
           IF(OFFSET(PLE!$G$15,$M83-$A$15,AX$13)="",10^12,OFFSET(PLE!$G$15,$M83-$A$15,AX$13)))</f>
        <v>1000000000000</v>
      </c>
      <c r="AY83" s="173">
        <f ca="1">IF(OR($D83&lt;&gt;"Serviço",AND(AUTOEVENTO="Manual",$M83=$A$15),$M83&gt;(ROW(PLE.lastrow)-ROW(PLE.firstrow))),0,
           IF(OFFSET(PLE!$G$15,$M83-$A$15,AY$13)="",10^12,OFFSET(PLE!$G$15,$M83-$A$15,AY$13)))</f>
        <v>1000000000000</v>
      </c>
      <c r="AZ83" s="173">
        <f ca="1">IF(OR($D83&lt;&gt;"Serviço",AND(AUTOEVENTO="Manual",$M83=$A$15),$M83&gt;(ROW(PLE.lastrow)-ROW(PLE.firstrow))),0,
           IF(OFFSET(PLE!$G$15,$M83-$A$15,AZ$13)="",10^12,OFFSET(PLE!$G$15,$M83-$A$15,AZ$13)))</f>
        <v>1000000000000</v>
      </c>
      <c r="BA83" s="173">
        <f ca="1">IF(OR($D83&lt;&gt;"Serviço",AND(AUTOEVENTO="Manual",$M83=$A$15),$M83&gt;(ROW(PLE.lastrow)-ROW(PLE.firstrow))),0,
           IF(OFFSET(PLE!$G$15,$M83-$A$15,BA$13)="",10^12,OFFSET(PLE!$G$15,$M83-$A$15,BA$13)))</f>
        <v>1000000000000</v>
      </c>
      <c r="BB83" s="173">
        <f ca="1">IF(OR($D83&lt;&gt;"Serviço",AND(AUTOEVENTO="Manual",$M83=$A$15),$M83&gt;(ROW(PLE.lastrow)-ROW(PLE.firstrow))),0,
           IF(OFFSET(PLE!$G$15,$M83-$A$15,BB$13)="",10^12,OFFSET(PLE!$G$15,$M83-$A$15,BB$13)))</f>
        <v>1000000000000</v>
      </c>
      <c r="BC83" s="173">
        <f ca="1">IF(OR($D83&lt;&gt;"Serviço",AND(AUTOEVENTO="Manual",$M83=$A$15),$M83&gt;(ROW(PLE.lastrow)-ROW(PLE.firstrow))),0,
           IF(OFFSET(PLE!$G$15,$M83-$A$15,BC$13)="",10^12,OFFSET(PLE!$G$15,$M83-$A$15,BC$13)))</f>
        <v>1000000000000</v>
      </c>
      <c r="BD83" s="173">
        <f ca="1">IF(OR($D83&lt;&gt;"Serviço",AND(AUTOEVENTO="Manual",$M83=$A$15),$M83&gt;(ROW(PLE.lastrow)-ROW(PLE.firstrow))),0,
           IF(OFFSET(PLE!$G$15,$M83-$A$15,BD$13)="",10^12,OFFSET(PLE!$G$15,$M83-$A$15,BD$13)))</f>
        <v>1000000000000</v>
      </c>
      <c r="BE83" s="173">
        <f ca="1">IF(OR($D83&lt;&gt;"Serviço",AND(AUTOEVENTO="Manual",$M83=$A$15),$M83&gt;(ROW(PLE.lastrow)-ROW(PLE.firstrow))),0,
           IF(OFFSET(PLE!$G$15,$M83-$A$15,BE$13)="",10^12,OFFSET(PLE!$G$15,$M83-$A$15,BE$13)))</f>
        <v>1000000000000</v>
      </c>
      <c r="BF83" s="173">
        <f ca="1">IF(OR($D83&lt;&gt;"Serviço",AND(AUTOEVENTO="Manual",$M83=$A$15),$M83&gt;(ROW(PLE.lastrow)-ROW(PLE.firstrow))),0,
           IF(OFFSET(PLE!$G$15,$M83-$A$15,BF$13)="",10^12,OFFSET(PLE!$G$15,$M83-$A$15,BF$13)))</f>
        <v>1000000000000</v>
      </c>
      <c r="BG83" s="173">
        <f ca="1">IF(OR($D83&lt;&gt;"Serviço",AND(AUTOEVENTO="Manual",$M83=$A$15),$M83&gt;(ROW(PLE.lastrow)-ROW(PLE.firstrow))),0,
           IF(OFFSET(PLE!$G$15,$M83-$A$15,BG$13)="",10^12,OFFSET(PLE!$G$15,$M83-$A$15,BG$13)))</f>
        <v>1000000000000</v>
      </c>
    </row>
    <row r="84" spans="1:59" s="675" customFormat="1" ht="25.5" x14ac:dyDescent="0.2">
      <c r="A84" s="671" t="str">
        <f t="shared" ca="1" si="10"/>
        <v>59</v>
      </c>
      <c r="B84" s="671" t="str">
        <f ca="1">OFFSET(ORÇAMENTO!C$15,ROW(B84)-ROW(B$15),0)</f>
        <v>S</v>
      </c>
      <c r="C84" s="671" t="str">
        <f ca="1">OFFSET(ORÇAMENTO!L$15,ROW(C84)-ROW(C$15),0)</f>
        <v/>
      </c>
      <c r="D84" s="117" t="str">
        <f ca="1">OFFSET(ORÇAMENTO!N$15,ROW(D84)-ROW(D$15),0)</f>
        <v>Serviço</v>
      </c>
      <c r="E84" s="118" t="str">
        <f ca="1">OFFSET(ORÇAMENTO!O$15,ROW(E84)-ROW(E$15),0)</f>
        <v>-</v>
      </c>
      <c r="F84" s="164" t="str">
        <f ca="1">OFFSET(ORÇAMENTO!R$15,ROW(F84)-ROW(F$15),0)</f>
        <v>(abra o arquivo 'Referência 09-2025.xlsm)</v>
      </c>
      <c r="G84" s="165" t="str">
        <f ca="1">IF($D84&lt;&gt;"Serviço","",OFFSET(ORÇAMENTO!S$15,ROW(G84)-ROW(G$15),0))</f>
        <v>-</v>
      </c>
      <c r="H84" s="123">
        <f ca="1">IF($D84&lt;&gt;"Serviço",0,IF(ACOMPANHAMENTO="BM",ROUND(OFFSET(ORÇAMENTO!AJ$15,ROW(H84)-ROW(H$15),0),15-13*ORÇAMENTO!$AF$7),SUMPRODUCT(($Q$1:$AA$1=1)*ROUND($Q84:$AA84,15-13*ORÇAMENTO!$AF$7))))</f>
        <v>8</v>
      </c>
      <c r="I84" s="469" t="s">
        <v>1101</v>
      </c>
      <c r="J84" s="667" t="str">
        <f ca="1">IF(OR(B84&lt;&gt;"S",CÁLCULO.FrentesPreenchidas=0),"",IF(AND(ACOMPANHAMENTO="PLE",AUTOEVENTO="Manual",OR(H84&gt;0,ORÇAMENTO!AC84="QUANT."),OR(K84="",M84=0,N84="")),"►",IF(AND(ACOMPANHAMENTO="PLE",ORÇAMENTO!AC84="QUANT."),"►►",IF(AND(COUNTIF($P$11:$AA$11,"▼")=0,H84&gt;0,I84=""),"◄",""))))</f>
        <v/>
      </c>
      <c r="K84" s="668"/>
      <c r="L84" s="166" t="s">
        <v>765</v>
      </c>
      <c r="M84" s="167">
        <f ca="1">IF($D84&lt;&gt;"Serviço","",
          IF(AUTOEVENTO="manual",$A84,
                IF(ISERROR(MATCH($A84,$A$15:OFFSET($A84,-1,0),0)),MAX($M$15:OFFSET(M84,-1,0))+1,
                      INDEX($M$15:OFFSET(M84,-1,0),MATCH($A84,$A$15:OFFSET($A84,-1,0),0)))))</f>
        <v>7</v>
      </c>
      <c r="N84" s="168" t="str">
        <f ca="1">IF($D84&lt;&gt;"Serviço","",
         IF(AUTOEVENTO="Manual",
                IF($A84=0,"&lt;-- defina o número do agrupador",
                       OFFSET(EVENTOS!$D$15,$A84-$A$15,0)),
                OFFSET($F$15,$A84,0)))</f>
        <v>LINHA DE RECALQUE INCLUI TRAVESSIA - MATERIAIS</v>
      </c>
      <c r="O84" s="169"/>
      <c r="Q84" s="169"/>
      <c r="R84" s="170"/>
      <c r="S84" s="170"/>
      <c r="T84" s="170"/>
      <c r="U84" s="170"/>
      <c r="V84" s="170"/>
      <c r="W84" s="170"/>
      <c r="X84" s="170"/>
      <c r="Y84" s="170"/>
      <c r="Z84" s="171"/>
      <c r="AB84" s="454">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54">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4">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4">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4">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4">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4">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4">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4">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4">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2">
        <f ca="1">IF(OR($D84&lt;&gt;"Serviço",AND(AUTOEVENTO="Manual",$M84=$A$15)),0,
         IF(OFFSET(CRONOPLE!$F$15,$M84-$A$15,AM$13)=0,10^12,OFFSET(CRONOPLE!$F$15,$M84-$A$15,AM$13)))</f>
        <v>1000000000000</v>
      </c>
      <c r="AN84" s="172">
        <f ca="1">IF(OR($D84&lt;&gt;"Serviço",AND(AUTOEVENTO="Manual",$M84=$A$15)),0,
         IF(OFFSET(CRONOPLE!$F$15,$M84-$A$15,AN$13)=0,10^12,OFFSET(CRONOPLE!$F$15,$M84-$A$15,AN$13)))</f>
        <v>1000000000000</v>
      </c>
      <c r="AO84" s="172">
        <f ca="1">IF(OR($D84&lt;&gt;"Serviço",AND(AUTOEVENTO="Manual",$M84=$A$15)),0,
         IF(OFFSET(CRONOPLE!$F$15,$M84-$A$15,AO$13)=0,10^12,OFFSET(CRONOPLE!$F$15,$M84-$A$15,AO$13)))</f>
        <v>1000000000000</v>
      </c>
      <c r="AP84" s="172">
        <f ca="1">IF(OR($D84&lt;&gt;"Serviço",AND(AUTOEVENTO="Manual",$M84=$A$15)),0,
         IF(OFFSET(CRONOPLE!$F$15,$M84-$A$15,AP$13)=0,10^12,OFFSET(CRONOPLE!$F$15,$M84-$A$15,AP$13)))</f>
        <v>1000000000000</v>
      </c>
      <c r="AQ84" s="172">
        <f ca="1">IF(OR($D84&lt;&gt;"Serviço",AND(AUTOEVENTO="Manual",$M84=$A$15)),0,
         IF(OFFSET(CRONOPLE!$F$15,$M84-$A$15,AQ$13)=0,10^12,OFFSET(CRONOPLE!$F$15,$M84-$A$15,AQ$13)))</f>
        <v>1000000000000</v>
      </c>
      <c r="AR84" s="172">
        <f ca="1">IF(OR($D84&lt;&gt;"Serviço",AND(AUTOEVENTO="Manual",$M84=$A$15)),0,
         IF(OFFSET(CRONOPLE!$F$15,$M84-$A$15,AR$13)=0,10^12,OFFSET(CRONOPLE!$F$15,$M84-$A$15,AR$13)))</f>
        <v>1000000000000</v>
      </c>
      <c r="AS84" s="172">
        <f ca="1">IF(OR($D84&lt;&gt;"Serviço",AND(AUTOEVENTO="Manual",$M84=$A$15)),0,
         IF(OFFSET(CRONOPLE!$F$15,$M84-$A$15,AS$13)=0,10^12,OFFSET(CRONOPLE!$F$15,$M84-$A$15,AS$13)))</f>
        <v>1000000000000</v>
      </c>
      <c r="AT84" s="172">
        <f ca="1">IF(OR($D84&lt;&gt;"Serviço",AND(AUTOEVENTO="Manual",$M84=$A$15)),0,
         IF(OFFSET(CRONOPLE!$F$15,$M84-$A$15,AT$13)=0,10^12,OFFSET(CRONOPLE!$F$15,$M84-$A$15,AT$13)))</f>
        <v>1000000000000</v>
      </c>
      <c r="AU84" s="172">
        <f ca="1">IF(OR($D84&lt;&gt;"Serviço",AND(AUTOEVENTO="Manual",$M84=$A$15)),0,
         IF(OFFSET(CRONOPLE!$F$15,$M84-$A$15,AU$13)=0,10^12,OFFSET(CRONOPLE!$F$15,$M84-$A$15,AU$13)))</f>
        <v>1000000000000</v>
      </c>
      <c r="AV84" s="172">
        <f ca="1">IF(OR($D84&lt;&gt;"Serviço",AND(AUTOEVENTO="Manual",$M84=$A$15)),0,
         IF(OFFSET(CRONOPLE!$F$15,$M84-$A$15,AV$13)=0,10^12,OFFSET(CRONOPLE!$F$15,$M84-$A$15,AV$13)))</f>
        <v>1000000000000</v>
      </c>
      <c r="AX84" s="173">
        <f ca="1">IF(OR($D84&lt;&gt;"Serviço",AND(AUTOEVENTO="Manual",$M84=$A$15),$M84&gt;(ROW(PLE.lastrow)-ROW(PLE.firstrow))),0,
           IF(OFFSET(PLE!$G$15,$M84-$A$15,AX$13)="",10^12,OFFSET(PLE!$G$15,$M84-$A$15,AX$13)))</f>
        <v>1000000000000</v>
      </c>
      <c r="AY84" s="173">
        <f ca="1">IF(OR($D84&lt;&gt;"Serviço",AND(AUTOEVENTO="Manual",$M84=$A$15),$M84&gt;(ROW(PLE.lastrow)-ROW(PLE.firstrow))),0,
           IF(OFFSET(PLE!$G$15,$M84-$A$15,AY$13)="",10^12,OFFSET(PLE!$G$15,$M84-$A$15,AY$13)))</f>
        <v>1000000000000</v>
      </c>
      <c r="AZ84" s="173">
        <f ca="1">IF(OR($D84&lt;&gt;"Serviço",AND(AUTOEVENTO="Manual",$M84=$A$15),$M84&gt;(ROW(PLE.lastrow)-ROW(PLE.firstrow))),0,
           IF(OFFSET(PLE!$G$15,$M84-$A$15,AZ$13)="",10^12,OFFSET(PLE!$G$15,$M84-$A$15,AZ$13)))</f>
        <v>1000000000000</v>
      </c>
      <c r="BA84" s="173">
        <f ca="1">IF(OR($D84&lt;&gt;"Serviço",AND(AUTOEVENTO="Manual",$M84=$A$15),$M84&gt;(ROW(PLE.lastrow)-ROW(PLE.firstrow))),0,
           IF(OFFSET(PLE!$G$15,$M84-$A$15,BA$13)="",10^12,OFFSET(PLE!$G$15,$M84-$A$15,BA$13)))</f>
        <v>1000000000000</v>
      </c>
      <c r="BB84" s="173">
        <f ca="1">IF(OR($D84&lt;&gt;"Serviço",AND(AUTOEVENTO="Manual",$M84=$A$15),$M84&gt;(ROW(PLE.lastrow)-ROW(PLE.firstrow))),0,
           IF(OFFSET(PLE!$G$15,$M84-$A$15,BB$13)="",10^12,OFFSET(PLE!$G$15,$M84-$A$15,BB$13)))</f>
        <v>1000000000000</v>
      </c>
      <c r="BC84" s="173">
        <f ca="1">IF(OR($D84&lt;&gt;"Serviço",AND(AUTOEVENTO="Manual",$M84=$A$15),$M84&gt;(ROW(PLE.lastrow)-ROW(PLE.firstrow))),0,
           IF(OFFSET(PLE!$G$15,$M84-$A$15,BC$13)="",10^12,OFFSET(PLE!$G$15,$M84-$A$15,BC$13)))</f>
        <v>1000000000000</v>
      </c>
      <c r="BD84" s="173">
        <f ca="1">IF(OR($D84&lt;&gt;"Serviço",AND(AUTOEVENTO="Manual",$M84=$A$15),$M84&gt;(ROW(PLE.lastrow)-ROW(PLE.firstrow))),0,
           IF(OFFSET(PLE!$G$15,$M84-$A$15,BD$13)="",10^12,OFFSET(PLE!$G$15,$M84-$A$15,BD$13)))</f>
        <v>1000000000000</v>
      </c>
      <c r="BE84" s="173">
        <f ca="1">IF(OR($D84&lt;&gt;"Serviço",AND(AUTOEVENTO="Manual",$M84=$A$15),$M84&gt;(ROW(PLE.lastrow)-ROW(PLE.firstrow))),0,
           IF(OFFSET(PLE!$G$15,$M84-$A$15,BE$13)="",10^12,OFFSET(PLE!$G$15,$M84-$A$15,BE$13)))</f>
        <v>1000000000000</v>
      </c>
      <c r="BF84" s="173">
        <f ca="1">IF(OR($D84&lt;&gt;"Serviço",AND(AUTOEVENTO="Manual",$M84=$A$15),$M84&gt;(ROW(PLE.lastrow)-ROW(PLE.firstrow))),0,
           IF(OFFSET(PLE!$G$15,$M84-$A$15,BF$13)="",10^12,OFFSET(PLE!$G$15,$M84-$A$15,BF$13)))</f>
        <v>1000000000000</v>
      </c>
      <c r="BG84" s="173">
        <f ca="1">IF(OR($D84&lt;&gt;"Serviço",AND(AUTOEVENTO="Manual",$M84=$A$15),$M84&gt;(ROW(PLE.lastrow)-ROW(PLE.firstrow))),0,
           IF(OFFSET(PLE!$G$15,$M84-$A$15,BG$13)="",10^12,OFFSET(PLE!$G$15,$M84-$A$15,BG$13)))</f>
        <v>1000000000000</v>
      </c>
    </row>
    <row r="85" spans="1:59" s="675" customFormat="1" ht="25.5" x14ac:dyDescent="0.2">
      <c r="A85" s="671" t="str">
        <f t="shared" ca="1" si="10"/>
        <v>59</v>
      </c>
      <c r="B85" s="671" t="str">
        <f ca="1">OFFSET(ORÇAMENTO!C$15,ROW(B85)-ROW(B$15),0)</f>
        <v>S</v>
      </c>
      <c r="C85" s="671" t="str">
        <f ca="1">OFFSET(ORÇAMENTO!L$15,ROW(C85)-ROW(C$15),0)</f>
        <v/>
      </c>
      <c r="D85" s="117" t="str">
        <f ca="1">OFFSET(ORÇAMENTO!N$15,ROW(D85)-ROW(D$15),0)</f>
        <v>Serviço</v>
      </c>
      <c r="E85" s="118" t="str">
        <f ca="1">OFFSET(ORÇAMENTO!O$15,ROW(E85)-ROW(E$15),0)</f>
        <v>-</v>
      </c>
      <c r="F85" s="164" t="str">
        <f ca="1">OFFSET(ORÇAMENTO!R$15,ROW(F85)-ROW(F$15),0)</f>
        <v>(abra o arquivo 'Referência 09-2025.xlsm)</v>
      </c>
      <c r="G85" s="165" t="str">
        <f ca="1">IF($D85&lt;&gt;"Serviço","",OFFSET(ORÇAMENTO!S$15,ROW(G85)-ROW(G$15),0))</f>
        <v>-</v>
      </c>
      <c r="H85" s="123">
        <f ca="1">IF($D85&lt;&gt;"Serviço",0,IF(ACOMPANHAMENTO="BM",ROUND(OFFSET(ORÇAMENTO!AJ$15,ROW(H85)-ROW(H$15),0),15-13*ORÇAMENTO!$AF$7),SUMPRODUCT(($Q$1:$AA$1=1)*ROUND($Q85:$AA85,15-13*ORÇAMENTO!$AF$7))))</f>
        <v>2</v>
      </c>
      <c r="I85" s="469" t="s">
        <v>1101</v>
      </c>
      <c r="J85" s="667" t="str">
        <f ca="1">IF(OR(B85&lt;&gt;"S",CÁLCULO.FrentesPreenchidas=0),"",IF(AND(ACOMPANHAMENTO="PLE",AUTOEVENTO="Manual",OR(H85&gt;0,ORÇAMENTO!AC85="QUANT."),OR(K85="",M85=0,N85="")),"►",IF(AND(ACOMPANHAMENTO="PLE",ORÇAMENTO!AC85="QUANT."),"►►",IF(AND(COUNTIF($P$11:$AA$11,"▼")=0,H85&gt;0,I85=""),"◄",""))))</f>
        <v/>
      </c>
      <c r="K85" s="668"/>
      <c r="L85" s="166" t="s">
        <v>765</v>
      </c>
      <c r="M85" s="167">
        <f ca="1">IF($D85&lt;&gt;"Serviço","",
          IF(AUTOEVENTO="manual",$A85,
                IF(ISERROR(MATCH($A85,$A$15:OFFSET($A85,-1,0),0)),MAX($M$15:OFFSET(M85,-1,0))+1,
                      INDEX($M$15:OFFSET(M85,-1,0),MATCH($A85,$A$15:OFFSET($A85,-1,0),0)))))</f>
        <v>7</v>
      </c>
      <c r="N85" s="168" t="str">
        <f ca="1">IF($D85&lt;&gt;"Serviço","",
         IF(AUTOEVENTO="Manual",
                IF($A85=0,"&lt;-- defina o número do agrupador",
                       OFFSET(EVENTOS!$D$15,$A85-$A$15,0)),
                OFFSET($F$15,$A85,0)))</f>
        <v>LINHA DE RECALQUE INCLUI TRAVESSIA - MATERIAIS</v>
      </c>
      <c r="O85" s="169"/>
      <c r="Q85" s="169"/>
      <c r="R85" s="170"/>
      <c r="S85" s="170"/>
      <c r="T85" s="170"/>
      <c r="U85" s="170"/>
      <c r="V85" s="170"/>
      <c r="W85" s="170"/>
      <c r="X85" s="170"/>
      <c r="Y85" s="170"/>
      <c r="Z85" s="171"/>
      <c r="AB85" s="454">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4">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4">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4">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4">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4">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4">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4">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4">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4">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2">
        <f ca="1">IF(OR($D85&lt;&gt;"Serviço",AND(AUTOEVENTO="Manual",$M85=$A$15)),0,
         IF(OFFSET(CRONOPLE!$F$15,$M85-$A$15,AM$13)=0,10^12,OFFSET(CRONOPLE!$F$15,$M85-$A$15,AM$13)))</f>
        <v>1000000000000</v>
      </c>
      <c r="AN85" s="172">
        <f ca="1">IF(OR($D85&lt;&gt;"Serviço",AND(AUTOEVENTO="Manual",$M85=$A$15)),0,
         IF(OFFSET(CRONOPLE!$F$15,$M85-$A$15,AN$13)=0,10^12,OFFSET(CRONOPLE!$F$15,$M85-$A$15,AN$13)))</f>
        <v>1000000000000</v>
      </c>
      <c r="AO85" s="172">
        <f ca="1">IF(OR($D85&lt;&gt;"Serviço",AND(AUTOEVENTO="Manual",$M85=$A$15)),0,
         IF(OFFSET(CRONOPLE!$F$15,$M85-$A$15,AO$13)=0,10^12,OFFSET(CRONOPLE!$F$15,$M85-$A$15,AO$13)))</f>
        <v>1000000000000</v>
      </c>
      <c r="AP85" s="172">
        <f ca="1">IF(OR($D85&lt;&gt;"Serviço",AND(AUTOEVENTO="Manual",$M85=$A$15)),0,
         IF(OFFSET(CRONOPLE!$F$15,$M85-$A$15,AP$13)=0,10^12,OFFSET(CRONOPLE!$F$15,$M85-$A$15,AP$13)))</f>
        <v>1000000000000</v>
      </c>
      <c r="AQ85" s="172">
        <f ca="1">IF(OR($D85&lt;&gt;"Serviço",AND(AUTOEVENTO="Manual",$M85=$A$15)),0,
         IF(OFFSET(CRONOPLE!$F$15,$M85-$A$15,AQ$13)=0,10^12,OFFSET(CRONOPLE!$F$15,$M85-$A$15,AQ$13)))</f>
        <v>1000000000000</v>
      </c>
      <c r="AR85" s="172">
        <f ca="1">IF(OR($D85&lt;&gt;"Serviço",AND(AUTOEVENTO="Manual",$M85=$A$15)),0,
         IF(OFFSET(CRONOPLE!$F$15,$M85-$A$15,AR$13)=0,10^12,OFFSET(CRONOPLE!$F$15,$M85-$A$15,AR$13)))</f>
        <v>1000000000000</v>
      </c>
      <c r="AS85" s="172">
        <f ca="1">IF(OR($D85&lt;&gt;"Serviço",AND(AUTOEVENTO="Manual",$M85=$A$15)),0,
         IF(OFFSET(CRONOPLE!$F$15,$M85-$A$15,AS$13)=0,10^12,OFFSET(CRONOPLE!$F$15,$M85-$A$15,AS$13)))</f>
        <v>1000000000000</v>
      </c>
      <c r="AT85" s="172">
        <f ca="1">IF(OR($D85&lt;&gt;"Serviço",AND(AUTOEVENTO="Manual",$M85=$A$15)),0,
         IF(OFFSET(CRONOPLE!$F$15,$M85-$A$15,AT$13)=0,10^12,OFFSET(CRONOPLE!$F$15,$M85-$A$15,AT$13)))</f>
        <v>1000000000000</v>
      </c>
      <c r="AU85" s="172">
        <f ca="1">IF(OR($D85&lt;&gt;"Serviço",AND(AUTOEVENTO="Manual",$M85=$A$15)),0,
         IF(OFFSET(CRONOPLE!$F$15,$M85-$A$15,AU$13)=0,10^12,OFFSET(CRONOPLE!$F$15,$M85-$A$15,AU$13)))</f>
        <v>1000000000000</v>
      </c>
      <c r="AV85" s="172">
        <f ca="1">IF(OR($D85&lt;&gt;"Serviço",AND(AUTOEVENTO="Manual",$M85=$A$15)),0,
         IF(OFFSET(CRONOPLE!$F$15,$M85-$A$15,AV$13)=0,10^12,OFFSET(CRONOPLE!$F$15,$M85-$A$15,AV$13)))</f>
        <v>1000000000000</v>
      </c>
      <c r="AX85" s="173">
        <f ca="1">IF(OR($D85&lt;&gt;"Serviço",AND(AUTOEVENTO="Manual",$M85=$A$15),$M85&gt;(ROW(PLE.lastrow)-ROW(PLE.firstrow))),0,
           IF(OFFSET(PLE!$G$15,$M85-$A$15,AX$13)="",10^12,OFFSET(PLE!$G$15,$M85-$A$15,AX$13)))</f>
        <v>1000000000000</v>
      </c>
      <c r="AY85" s="173">
        <f ca="1">IF(OR($D85&lt;&gt;"Serviço",AND(AUTOEVENTO="Manual",$M85=$A$15),$M85&gt;(ROW(PLE.lastrow)-ROW(PLE.firstrow))),0,
           IF(OFFSET(PLE!$G$15,$M85-$A$15,AY$13)="",10^12,OFFSET(PLE!$G$15,$M85-$A$15,AY$13)))</f>
        <v>1000000000000</v>
      </c>
      <c r="AZ85" s="173">
        <f ca="1">IF(OR($D85&lt;&gt;"Serviço",AND(AUTOEVENTO="Manual",$M85=$A$15),$M85&gt;(ROW(PLE.lastrow)-ROW(PLE.firstrow))),0,
           IF(OFFSET(PLE!$G$15,$M85-$A$15,AZ$13)="",10^12,OFFSET(PLE!$G$15,$M85-$A$15,AZ$13)))</f>
        <v>1000000000000</v>
      </c>
      <c r="BA85" s="173">
        <f ca="1">IF(OR($D85&lt;&gt;"Serviço",AND(AUTOEVENTO="Manual",$M85=$A$15),$M85&gt;(ROW(PLE.lastrow)-ROW(PLE.firstrow))),0,
           IF(OFFSET(PLE!$G$15,$M85-$A$15,BA$13)="",10^12,OFFSET(PLE!$G$15,$M85-$A$15,BA$13)))</f>
        <v>1000000000000</v>
      </c>
      <c r="BB85" s="173">
        <f ca="1">IF(OR($D85&lt;&gt;"Serviço",AND(AUTOEVENTO="Manual",$M85=$A$15),$M85&gt;(ROW(PLE.lastrow)-ROW(PLE.firstrow))),0,
           IF(OFFSET(PLE!$G$15,$M85-$A$15,BB$13)="",10^12,OFFSET(PLE!$G$15,$M85-$A$15,BB$13)))</f>
        <v>1000000000000</v>
      </c>
      <c r="BC85" s="173">
        <f ca="1">IF(OR($D85&lt;&gt;"Serviço",AND(AUTOEVENTO="Manual",$M85=$A$15),$M85&gt;(ROW(PLE.lastrow)-ROW(PLE.firstrow))),0,
           IF(OFFSET(PLE!$G$15,$M85-$A$15,BC$13)="",10^12,OFFSET(PLE!$G$15,$M85-$A$15,BC$13)))</f>
        <v>1000000000000</v>
      </c>
      <c r="BD85" s="173">
        <f ca="1">IF(OR($D85&lt;&gt;"Serviço",AND(AUTOEVENTO="Manual",$M85=$A$15),$M85&gt;(ROW(PLE.lastrow)-ROW(PLE.firstrow))),0,
           IF(OFFSET(PLE!$G$15,$M85-$A$15,BD$13)="",10^12,OFFSET(PLE!$G$15,$M85-$A$15,BD$13)))</f>
        <v>1000000000000</v>
      </c>
      <c r="BE85" s="173">
        <f ca="1">IF(OR($D85&lt;&gt;"Serviço",AND(AUTOEVENTO="Manual",$M85=$A$15),$M85&gt;(ROW(PLE.lastrow)-ROW(PLE.firstrow))),0,
           IF(OFFSET(PLE!$G$15,$M85-$A$15,BE$13)="",10^12,OFFSET(PLE!$G$15,$M85-$A$15,BE$13)))</f>
        <v>1000000000000</v>
      </c>
      <c r="BF85" s="173">
        <f ca="1">IF(OR($D85&lt;&gt;"Serviço",AND(AUTOEVENTO="Manual",$M85=$A$15),$M85&gt;(ROW(PLE.lastrow)-ROW(PLE.firstrow))),0,
           IF(OFFSET(PLE!$G$15,$M85-$A$15,BF$13)="",10^12,OFFSET(PLE!$G$15,$M85-$A$15,BF$13)))</f>
        <v>1000000000000</v>
      </c>
      <c r="BG85" s="173">
        <f ca="1">IF(OR($D85&lt;&gt;"Serviço",AND(AUTOEVENTO="Manual",$M85=$A$15),$M85&gt;(ROW(PLE.lastrow)-ROW(PLE.firstrow))),0,
           IF(OFFSET(PLE!$G$15,$M85-$A$15,BG$13)="",10^12,OFFSET(PLE!$G$15,$M85-$A$15,BG$13)))</f>
        <v>1000000000000</v>
      </c>
    </row>
    <row r="86" spans="1:59" s="675" customFormat="1" ht="114.75" x14ac:dyDescent="0.2">
      <c r="A86" s="671" t="str">
        <f t="shared" ca="1" si="10"/>
        <v>59</v>
      </c>
      <c r="B86" s="671" t="str">
        <f ca="1">OFFSET(ORÇAMENTO!C$15,ROW(B86)-ROW(B$15),0)</f>
        <v>S</v>
      </c>
      <c r="C86" s="671" t="str">
        <f ca="1">OFFSET(ORÇAMENTO!L$15,ROW(C86)-ROW(C$15),0)</f>
        <v/>
      </c>
      <c r="D86" s="117" t="str">
        <f ca="1">OFFSET(ORÇAMENTO!N$15,ROW(D86)-ROW(D$15),0)</f>
        <v>Serviço</v>
      </c>
      <c r="E86" s="118" t="str">
        <f ca="1">OFFSET(ORÇAMENTO!O$15,ROW(E86)-ROW(E$15),0)</f>
        <v>-</v>
      </c>
      <c r="F86" s="164" t="str">
        <f ca="1">OFFSET(ORÇAMENTO!R$15,ROW(F86)-ROW(F$15),0)</f>
        <v>(abra o arquivo 'Referência 09-2025.xlsm)</v>
      </c>
      <c r="G86" s="165" t="str">
        <f ca="1">IF($D86&lt;&gt;"Serviço","",OFFSET(ORÇAMENTO!S$15,ROW(G86)-ROW(G$15),0))</f>
        <v>-</v>
      </c>
      <c r="H86" s="123">
        <f ca="1">IF($D86&lt;&gt;"Serviço",0,IF(ACOMPANHAMENTO="BM",ROUND(OFFSET(ORÇAMENTO!AJ$15,ROW(H86)-ROW(H$15),0),15-13*ORÇAMENTO!$AF$7),SUMPRODUCT(($Q$1:$AA$1=1)*ROUND($Q86:$AA86,15-13*ORÇAMENTO!$AF$7))))</f>
        <v>6</v>
      </c>
      <c r="I86" s="469" t="s">
        <v>1140</v>
      </c>
      <c r="J86" s="667" t="str">
        <f ca="1">IF(OR(B86&lt;&gt;"S",CÁLCULO.FrentesPreenchidas=0),"",IF(AND(ACOMPANHAMENTO="PLE",AUTOEVENTO="Manual",OR(H86&gt;0,ORÇAMENTO!AC86="QUANT."),OR(K86="",M86=0,N86="")),"►",IF(AND(ACOMPANHAMENTO="PLE",ORÇAMENTO!AC86="QUANT."),"►►",IF(AND(COUNTIF($P$11:$AA$11,"▼")=0,H86&gt;0,I86=""),"◄",""))))</f>
        <v/>
      </c>
      <c r="K86" s="668"/>
      <c r="L86" s="166" t="s">
        <v>765</v>
      </c>
      <c r="M86" s="167">
        <f ca="1">IF($D86&lt;&gt;"Serviço","",
          IF(AUTOEVENTO="manual",$A86,
                IF(ISERROR(MATCH($A86,$A$15:OFFSET($A86,-1,0),0)),MAX($M$15:OFFSET(M86,-1,0))+1,
                      INDEX($M$15:OFFSET(M86,-1,0),MATCH($A86,$A$15:OFFSET($A86,-1,0),0)))))</f>
        <v>7</v>
      </c>
      <c r="N86" s="168" t="str">
        <f ca="1">IF($D86&lt;&gt;"Serviço","",
         IF(AUTOEVENTO="Manual",
                IF($A86=0,"&lt;-- defina o número do agrupador",
                       OFFSET(EVENTOS!$D$15,$A86-$A$15,0)),
                OFFSET($F$15,$A86,0)))</f>
        <v>LINHA DE RECALQUE INCLUI TRAVESSIA - MATERIAIS</v>
      </c>
      <c r="O86" s="169"/>
      <c r="Q86" s="169"/>
      <c r="R86" s="170"/>
      <c r="S86" s="170"/>
      <c r="T86" s="170"/>
      <c r="U86" s="170"/>
      <c r="V86" s="170"/>
      <c r="W86" s="170"/>
      <c r="X86" s="170"/>
      <c r="Y86" s="170"/>
      <c r="Z86" s="171"/>
      <c r="AB86" s="454">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54">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4">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4">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4">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4">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4">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4">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4">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4">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2">
        <f ca="1">IF(OR($D86&lt;&gt;"Serviço",AND(AUTOEVENTO="Manual",$M86=$A$15)),0,
         IF(OFFSET(CRONOPLE!$F$15,$M86-$A$15,AM$13)=0,10^12,OFFSET(CRONOPLE!$F$15,$M86-$A$15,AM$13)))</f>
        <v>1000000000000</v>
      </c>
      <c r="AN86" s="172">
        <f ca="1">IF(OR($D86&lt;&gt;"Serviço",AND(AUTOEVENTO="Manual",$M86=$A$15)),0,
         IF(OFFSET(CRONOPLE!$F$15,$M86-$A$15,AN$13)=0,10^12,OFFSET(CRONOPLE!$F$15,$M86-$A$15,AN$13)))</f>
        <v>1000000000000</v>
      </c>
      <c r="AO86" s="172">
        <f ca="1">IF(OR($D86&lt;&gt;"Serviço",AND(AUTOEVENTO="Manual",$M86=$A$15)),0,
         IF(OFFSET(CRONOPLE!$F$15,$M86-$A$15,AO$13)=0,10^12,OFFSET(CRONOPLE!$F$15,$M86-$A$15,AO$13)))</f>
        <v>1000000000000</v>
      </c>
      <c r="AP86" s="172">
        <f ca="1">IF(OR($D86&lt;&gt;"Serviço",AND(AUTOEVENTO="Manual",$M86=$A$15)),0,
         IF(OFFSET(CRONOPLE!$F$15,$M86-$A$15,AP$13)=0,10^12,OFFSET(CRONOPLE!$F$15,$M86-$A$15,AP$13)))</f>
        <v>1000000000000</v>
      </c>
      <c r="AQ86" s="172">
        <f ca="1">IF(OR($D86&lt;&gt;"Serviço",AND(AUTOEVENTO="Manual",$M86=$A$15)),0,
         IF(OFFSET(CRONOPLE!$F$15,$M86-$A$15,AQ$13)=0,10^12,OFFSET(CRONOPLE!$F$15,$M86-$A$15,AQ$13)))</f>
        <v>1000000000000</v>
      </c>
      <c r="AR86" s="172">
        <f ca="1">IF(OR($D86&lt;&gt;"Serviço",AND(AUTOEVENTO="Manual",$M86=$A$15)),0,
         IF(OFFSET(CRONOPLE!$F$15,$M86-$A$15,AR$13)=0,10^12,OFFSET(CRONOPLE!$F$15,$M86-$A$15,AR$13)))</f>
        <v>1000000000000</v>
      </c>
      <c r="AS86" s="172">
        <f ca="1">IF(OR($D86&lt;&gt;"Serviço",AND(AUTOEVENTO="Manual",$M86=$A$15)),0,
         IF(OFFSET(CRONOPLE!$F$15,$M86-$A$15,AS$13)=0,10^12,OFFSET(CRONOPLE!$F$15,$M86-$A$15,AS$13)))</f>
        <v>1000000000000</v>
      </c>
      <c r="AT86" s="172">
        <f ca="1">IF(OR($D86&lt;&gt;"Serviço",AND(AUTOEVENTO="Manual",$M86=$A$15)),0,
         IF(OFFSET(CRONOPLE!$F$15,$M86-$A$15,AT$13)=0,10^12,OFFSET(CRONOPLE!$F$15,$M86-$A$15,AT$13)))</f>
        <v>1000000000000</v>
      </c>
      <c r="AU86" s="172">
        <f ca="1">IF(OR($D86&lt;&gt;"Serviço",AND(AUTOEVENTO="Manual",$M86=$A$15)),0,
         IF(OFFSET(CRONOPLE!$F$15,$M86-$A$15,AU$13)=0,10^12,OFFSET(CRONOPLE!$F$15,$M86-$A$15,AU$13)))</f>
        <v>1000000000000</v>
      </c>
      <c r="AV86" s="172">
        <f ca="1">IF(OR($D86&lt;&gt;"Serviço",AND(AUTOEVENTO="Manual",$M86=$A$15)),0,
         IF(OFFSET(CRONOPLE!$F$15,$M86-$A$15,AV$13)=0,10^12,OFFSET(CRONOPLE!$F$15,$M86-$A$15,AV$13)))</f>
        <v>1000000000000</v>
      </c>
      <c r="AX86" s="173">
        <f ca="1">IF(OR($D86&lt;&gt;"Serviço",AND(AUTOEVENTO="Manual",$M86=$A$15),$M86&gt;(ROW(PLE.lastrow)-ROW(PLE.firstrow))),0,
           IF(OFFSET(PLE!$G$15,$M86-$A$15,AX$13)="",10^12,OFFSET(PLE!$G$15,$M86-$A$15,AX$13)))</f>
        <v>1000000000000</v>
      </c>
      <c r="AY86" s="173">
        <f ca="1">IF(OR($D86&lt;&gt;"Serviço",AND(AUTOEVENTO="Manual",$M86=$A$15),$M86&gt;(ROW(PLE.lastrow)-ROW(PLE.firstrow))),0,
           IF(OFFSET(PLE!$G$15,$M86-$A$15,AY$13)="",10^12,OFFSET(PLE!$G$15,$M86-$A$15,AY$13)))</f>
        <v>1000000000000</v>
      </c>
      <c r="AZ86" s="173">
        <f ca="1">IF(OR($D86&lt;&gt;"Serviço",AND(AUTOEVENTO="Manual",$M86=$A$15),$M86&gt;(ROW(PLE.lastrow)-ROW(PLE.firstrow))),0,
           IF(OFFSET(PLE!$G$15,$M86-$A$15,AZ$13)="",10^12,OFFSET(PLE!$G$15,$M86-$A$15,AZ$13)))</f>
        <v>1000000000000</v>
      </c>
      <c r="BA86" s="173">
        <f ca="1">IF(OR($D86&lt;&gt;"Serviço",AND(AUTOEVENTO="Manual",$M86=$A$15),$M86&gt;(ROW(PLE.lastrow)-ROW(PLE.firstrow))),0,
           IF(OFFSET(PLE!$G$15,$M86-$A$15,BA$13)="",10^12,OFFSET(PLE!$G$15,$M86-$A$15,BA$13)))</f>
        <v>1000000000000</v>
      </c>
      <c r="BB86" s="173">
        <f ca="1">IF(OR($D86&lt;&gt;"Serviço",AND(AUTOEVENTO="Manual",$M86=$A$15),$M86&gt;(ROW(PLE.lastrow)-ROW(PLE.firstrow))),0,
           IF(OFFSET(PLE!$G$15,$M86-$A$15,BB$13)="",10^12,OFFSET(PLE!$G$15,$M86-$A$15,BB$13)))</f>
        <v>1000000000000</v>
      </c>
      <c r="BC86" s="173">
        <f ca="1">IF(OR($D86&lt;&gt;"Serviço",AND(AUTOEVENTO="Manual",$M86=$A$15),$M86&gt;(ROW(PLE.lastrow)-ROW(PLE.firstrow))),0,
           IF(OFFSET(PLE!$G$15,$M86-$A$15,BC$13)="",10^12,OFFSET(PLE!$G$15,$M86-$A$15,BC$13)))</f>
        <v>1000000000000</v>
      </c>
      <c r="BD86" s="173">
        <f ca="1">IF(OR($D86&lt;&gt;"Serviço",AND(AUTOEVENTO="Manual",$M86=$A$15),$M86&gt;(ROW(PLE.lastrow)-ROW(PLE.firstrow))),0,
           IF(OFFSET(PLE!$G$15,$M86-$A$15,BD$13)="",10^12,OFFSET(PLE!$G$15,$M86-$A$15,BD$13)))</f>
        <v>1000000000000</v>
      </c>
      <c r="BE86" s="173">
        <f ca="1">IF(OR($D86&lt;&gt;"Serviço",AND(AUTOEVENTO="Manual",$M86=$A$15),$M86&gt;(ROW(PLE.lastrow)-ROW(PLE.firstrow))),0,
           IF(OFFSET(PLE!$G$15,$M86-$A$15,BE$13)="",10^12,OFFSET(PLE!$G$15,$M86-$A$15,BE$13)))</f>
        <v>1000000000000</v>
      </c>
      <c r="BF86" s="173">
        <f ca="1">IF(OR($D86&lt;&gt;"Serviço",AND(AUTOEVENTO="Manual",$M86=$A$15),$M86&gt;(ROW(PLE.lastrow)-ROW(PLE.firstrow))),0,
           IF(OFFSET(PLE!$G$15,$M86-$A$15,BF$13)="",10^12,OFFSET(PLE!$G$15,$M86-$A$15,BF$13)))</f>
        <v>1000000000000</v>
      </c>
      <c r="BG86" s="173">
        <f ca="1">IF(OR($D86&lt;&gt;"Serviço",AND(AUTOEVENTO="Manual",$M86=$A$15),$M86&gt;(ROW(PLE.lastrow)-ROW(PLE.firstrow))),0,
           IF(OFFSET(PLE!$G$15,$M86-$A$15,BG$13)="",10^12,OFFSET(PLE!$G$15,$M86-$A$15,BG$13)))</f>
        <v>1000000000000</v>
      </c>
    </row>
    <row r="87" spans="1:59" s="675" customFormat="1" ht="38.25" x14ac:dyDescent="0.2">
      <c r="A87" s="671" t="str">
        <f t="shared" ca="1" si="10"/>
        <v>59</v>
      </c>
      <c r="B87" s="671" t="str">
        <f ca="1">OFFSET(ORÇAMENTO!C$15,ROW(B87)-ROW(B$15),0)</f>
        <v>S</v>
      </c>
      <c r="C87" s="671" t="str">
        <f ca="1">OFFSET(ORÇAMENTO!L$15,ROW(C87)-ROW(C$15),0)</f>
        <v/>
      </c>
      <c r="D87" s="117" t="str">
        <f ca="1">OFFSET(ORÇAMENTO!N$15,ROW(D87)-ROW(D$15),0)</f>
        <v>Serviço</v>
      </c>
      <c r="E87" s="118" t="str">
        <f ca="1">OFFSET(ORÇAMENTO!O$15,ROW(E87)-ROW(E$15),0)</f>
        <v>-</v>
      </c>
      <c r="F87" s="164" t="str">
        <f ca="1">OFFSET(ORÇAMENTO!R$15,ROW(F87)-ROW(F$15),0)</f>
        <v>(abra o arquivo 'Referência 09-2025.xlsm)</v>
      </c>
      <c r="G87" s="165" t="str">
        <f ca="1">IF($D87&lt;&gt;"Serviço","",OFFSET(ORÇAMENTO!S$15,ROW(G87)-ROW(G$15),0))</f>
        <v>-</v>
      </c>
      <c r="H87" s="123">
        <f ca="1">IF($D87&lt;&gt;"Serviço",0,IF(ACOMPANHAMENTO="BM",ROUND(OFFSET(ORÇAMENTO!AJ$15,ROW(H87)-ROW(H$15),0),15-13*ORÇAMENTO!$AF$7),SUMPRODUCT(($Q$1:$AA$1=1)*ROUND($Q87:$AA87,15-13*ORÇAMENTO!$AF$7))))</f>
        <v>8</v>
      </c>
      <c r="I87" s="469" t="s">
        <v>1101</v>
      </c>
      <c r="J87" s="667" t="str">
        <f ca="1">IF(OR(B87&lt;&gt;"S",CÁLCULO.FrentesPreenchidas=0),"",IF(AND(ACOMPANHAMENTO="PLE",AUTOEVENTO="Manual",OR(H87&gt;0,ORÇAMENTO!AC87="QUANT."),OR(K87="",M87=0,N87="")),"►",IF(AND(ACOMPANHAMENTO="PLE",ORÇAMENTO!AC87="QUANT."),"►►",IF(AND(COUNTIF($P$11:$AA$11,"▼")=0,H87&gt;0,I87=""),"◄",""))))</f>
        <v/>
      </c>
      <c r="K87" s="668"/>
      <c r="L87" s="166" t="s">
        <v>765</v>
      </c>
      <c r="M87" s="167">
        <f ca="1">IF($D87&lt;&gt;"Serviço","",
          IF(AUTOEVENTO="manual",$A87,
                IF(ISERROR(MATCH($A87,$A$15:OFFSET($A87,-1,0),0)),MAX($M$15:OFFSET(M87,-1,0))+1,
                      INDEX($M$15:OFFSET(M87,-1,0),MATCH($A87,$A$15:OFFSET($A87,-1,0),0)))))</f>
        <v>7</v>
      </c>
      <c r="N87" s="168" t="str">
        <f ca="1">IF($D87&lt;&gt;"Serviço","",
         IF(AUTOEVENTO="Manual",
                IF($A87=0,"&lt;-- defina o número do agrupador",
                       OFFSET(EVENTOS!$D$15,$A87-$A$15,0)),
                OFFSET($F$15,$A87,0)))</f>
        <v>LINHA DE RECALQUE INCLUI TRAVESSIA - MATERIAIS</v>
      </c>
      <c r="O87" s="169"/>
      <c r="Q87" s="169"/>
      <c r="R87" s="170"/>
      <c r="S87" s="170"/>
      <c r="T87" s="170"/>
      <c r="U87" s="170"/>
      <c r="V87" s="170"/>
      <c r="W87" s="170"/>
      <c r="X87" s="170"/>
      <c r="Y87" s="170"/>
      <c r="Z87" s="171"/>
      <c r="AB87" s="454">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4">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4">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4">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4">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4">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4">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4">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4">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4">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2">
        <f ca="1">IF(OR($D87&lt;&gt;"Serviço",AND(AUTOEVENTO="Manual",$M87=$A$15)),0,
         IF(OFFSET(CRONOPLE!$F$15,$M87-$A$15,AM$13)=0,10^12,OFFSET(CRONOPLE!$F$15,$M87-$A$15,AM$13)))</f>
        <v>1000000000000</v>
      </c>
      <c r="AN87" s="172">
        <f ca="1">IF(OR($D87&lt;&gt;"Serviço",AND(AUTOEVENTO="Manual",$M87=$A$15)),0,
         IF(OFFSET(CRONOPLE!$F$15,$M87-$A$15,AN$13)=0,10^12,OFFSET(CRONOPLE!$F$15,$M87-$A$15,AN$13)))</f>
        <v>1000000000000</v>
      </c>
      <c r="AO87" s="172">
        <f ca="1">IF(OR($D87&lt;&gt;"Serviço",AND(AUTOEVENTO="Manual",$M87=$A$15)),0,
         IF(OFFSET(CRONOPLE!$F$15,$M87-$A$15,AO$13)=0,10^12,OFFSET(CRONOPLE!$F$15,$M87-$A$15,AO$13)))</f>
        <v>1000000000000</v>
      </c>
      <c r="AP87" s="172">
        <f ca="1">IF(OR($D87&lt;&gt;"Serviço",AND(AUTOEVENTO="Manual",$M87=$A$15)),0,
         IF(OFFSET(CRONOPLE!$F$15,$M87-$A$15,AP$13)=0,10^12,OFFSET(CRONOPLE!$F$15,$M87-$A$15,AP$13)))</f>
        <v>1000000000000</v>
      </c>
      <c r="AQ87" s="172">
        <f ca="1">IF(OR($D87&lt;&gt;"Serviço",AND(AUTOEVENTO="Manual",$M87=$A$15)),0,
         IF(OFFSET(CRONOPLE!$F$15,$M87-$A$15,AQ$13)=0,10^12,OFFSET(CRONOPLE!$F$15,$M87-$A$15,AQ$13)))</f>
        <v>1000000000000</v>
      </c>
      <c r="AR87" s="172">
        <f ca="1">IF(OR($D87&lt;&gt;"Serviço",AND(AUTOEVENTO="Manual",$M87=$A$15)),0,
         IF(OFFSET(CRONOPLE!$F$15,$M87-$A$15,AR$13)=0,10^12,OFFSET(CRONOPLE!$F$15,$M87-$A$15,AR$13)))</f>
        <v>1000000000000</v>
      </c>
      <c r="AS87" s="172">
        <f ca="1">IF(OR($D87&lt;&gt;"Serviço",AND(AUTOEVENTO="Manual",$M87=$A$15)),0,
         IF(OFFSET(CRONOPLE!$F$15,$M87-$A$15,AS$13)=0,10^12,OFFSET(CRONOPLE!$F$15,$M87-$A$15,AS$13)))</f>
        <v>1000000000000</v>
      </c>
      <c r="AT87" s="172">
        <f ca="1">IF(OR($D87&lt;&gt;"Serviço",AND(AUTOEVENTO="Manual",$M87=$A$15)),0,
         IF(OFFSET(CRONOPLE!$F$15,$M87-$A$15,AT$13)=0,10^12,OFFSET(CRONOPLE!$F$15,$M87-$A$15,AT$13)))</f>
        <v>1000000000000</v>
      </c>
      <c r="AU87" s="172">
        <f ca="1">IF(OR($D87&lt;&gt;"Serviço",AND(AUTOEVENTO="Manual",$M87=$A$15)),0,
         IF(OFFSET(CRONOPLE!$F$15,$M87-$A$15,AU$13)=0,10^12,OFFSET(CRONOPLE!$F$15,$M87-$A$15,AU$13)))</f>
        <v>1000000000000</v>
      </c>
      <c r="AV87" s="172">
        <f ca="1">IF(OR($D87&lt;&gt;"Serviço",AND(AUTOEVENTO="Manual",$M87=$A$15)),0,
         IF(OFFSET(CRONOPLE!$F$15,$M87-$A$15,AV$13)=0,10^12,OFFSET(CRONOPLE!$F$15,$M87-$A$15,AV$13)))</f>
        <v>1000000000000</v>
      </c>
      <c r="AX87" s="173">
        <f ca="1">IF(OR($D87&lt;&gt;"Serviço",AND(AUTOEVENTO="Manual",$M87=$A$15),$M87&gt;(ROW(PLE.lastrow)-ROW(PLE.firstrow))),0,
           IF(OFFSET(PLE!$G$15,$M87-$A$15,AX$13)="",10^12,OFFSET(PLE!$G$15,$M87-$A$15,AX$13)))</f>
        <v>1000000000000</v>
      </c>
      <c r="AY87" s="173">
        <f ca="1">IF(OR($D87&lt;&gt;"Serviço",AND(AUTOEVENTO="Manual",$M87=$A$15),$M87&gt;(ROW(PLE.lastrow)-ROW(PLE.firstrow))),0,
           IF(OFFSET(PLE!$G$15,$M87-$A$15,AY$13)="",10^12,OFFSET(PLE!$G$15,$M87-$A$15,AY$13)))</f>
        <v>1000000000000</v>
      </c>
      <c r="AZ87" s="173">
        <f ca="1">IF(OR($D87&lt;&gt;"Serviço",AND(AUTOEVENTO="Manual",$M87=$A$15),$M87&gt;(ROW(PLE.lastrow)-ROW(PLE.firstrow))),0,
           IF(OFFSET(PLE!$G$15,$M87-$A$15,AZ$13)="",10^12,OFFSET(PLE!$G$15,$M87-$A$15,AZ$13)))</f>
        <v>1000000000000</v>
      </c>
      <c r="BA87" s="173">
        <f ca="1">IF(OR($D87&lt;&gt;"Serviço",AND(AUTOEVENTO="Manual",$M87=$A$15),$M87&gt;(ROW(PLE.lastrow)-ROW(PLE.firstrow))),0,
           IF(OFFSET(PLE!$G$15,$M87-$A$15,BA$13)="",10^12,OFFSET(PLE!$G$15,$M87-$A$15,BA$13)))</f>
        <v>1000000000000</v>
      </c>
      <c r="BB87" s="173">
        <f ca="1">IF(OR($D87&lt;&gt;"Serviço",AND(AUTOEVENTO="Manual",$M87=$A$15),$M87&gt;(ROW(PLE.lastrow)-ROW(PLE.firstrow))),0,
           IF(OFFSET(PLE!$G$15,$M87-$A$15,BB$13)="",10^12,OFFSET(PLE!$G$15,$M87-$A$15,BB$13)))</f>
        <v>1000000000000</v>
      </c>
      <c r="BC87" s="173">
        <f ca="1">IF(OR($D87&lt;&gt;"Serviço",AND(AUTOEVENTO="Manual",$M87=$A$15),$M87&gt;(ROW(PLE.lastrow)-ROW(PLE.firstrow))),0,
           IF(OFFSET(PLE!$G$15,$M87-$A$15,BC$13)="",10^12,OFFSET(PLE!$G$15,$M87-$A$15,BC$13)))</f>
        <v>1000000000000</v>
      </c>
      <c r="BD87" s="173">
        <f ca="1">IF(OR($D87&lt;&gt;"Serviço",AND(AUTOEVENTO="Manual",$M87=$A$15),$M87&gt;(ROW(PLE.lastrow)-ROW(PLE.firstrow))),0,
           IF(OFFSET(PLE!$G$15,$M87-$A$15,BD$13)="",10^12,OFFSET(PLE!$G$15,$M87-$A$15,BD$13)))</f>
        <v>1000000000000</v>
      </c>
      <c r="BE87" s="173">
        <f ca="1">IF(OR($D87&lt;&gt;"Serviço",AND(AUTOEVENTO="Manual",$M87=$A$15),$M87&gt;(ROW(PLE.lastrow)-ROW(PLE.firstrow))),0,
           IF(OFFSET(PLE!$G$15,$M87-$A$15,BE$13)="",10^12,OFFSET(PLE!$G$15,$M87-$A$15,BE$13)))</f>
        <v>1000000000000</v>
      </c>
      <c r="BF87" s="173">
        <f ca="1">IF(OR($D87&lt;&gt;"Serviço",AND(AUTOEVENTO="Manual",$M87=$A$15),$M87&gt;(ROW(PLE.lastrow)-ROW(PLE.firstrow))),0,
           IF(OFFSET(PLE!$G$15,$M87-$A$15,BF$13)="",10^12,OFFSET(PLE!$G$15,$M87-$A$15,BF$13)))</f>
        <v>1000000000000</v>
      </c>
      <c r="BG87" s="173">
        <f ca="1">IF(OR($D87&lt;&gt;"Serviço",AND(AUTOEVENTO="Manual",$M87=$A$15),$M87&gt;(ROW(PLE.lastrow)-ROW(PLE.firstrow))),0,
           IF(OFFSET(PLE!$G$15,$M87-$A$15,BG$13)="",10^12,OFFSET(PLE!$G$15,$M87-$A$15,BG$13)))</f>
        <v>1000000000000</v>
      </c>
    </row>
    <row r="88" spans="1:59" s="675" customFormat="1" ht="25.5" x14ac:dyDescent="0.2">
      <c r="A88" s="671" t="str">
        <f t="shared" ca="1" si="10"/>
        <v>59</v>
      </c>
      <c r="B88" s="671" t="str">
        <f ca="1">OFFSET(ORÇAMENTO!C$15,ROW(B88)-ROW(B$15),0)</f>
        <v>S</v>
      </c>
      <c r="C88" s="671" t="str">
        <f ca="1">OFFSET(ORÇAMENTO!L$15,ROW(C88)-ROW(C$15),0)</f>
        <v/>
      </c>
      <c r="D88" s="117" t="str">
        <f ca="1">OFFSET(ORÇAMENTO!N$15,ROW(D88)-ROW(D$15),0)</f>
        <v>Serviço</v>
      </c>
      <c r="E88" s="118" t="str">
        <f ca="1">OFFSET(ORÇAMENTO!O$15,ROW(E88)-ROW(E$15),0)</f>
        <v>-</v>
      </c>
      <c r="F88" s="164" t="str">
        <f ca="1">OFFSET(ORÇAMENTO!R$15,ROW(F88)-ROW(F$15),0)</f>
        <v>(abra o arquivo 'Referência 09-2025.xlsm)</v>
      </c>
      <c r="G88" s="165" t="str">
        <f ca="1">IF($D88&lt;&gt;"Serviço","",OFFSET(ORÇAMENTO!S$15,ROW(G88)-ROW(G$15),0))</f>
        <v>-</v>
      </c>
      <c r="H88" s="123">
        <f ca="1">IF($D88&lt;&gt;"Serviço",0,IF(ACOMPANHAMENTO="BM",ROUND(OFFSET(ORÇAMENTO!AJ$15,ROW(H88)-ROW(H$15),0),15-13*ORÇAMENTO!$AF$7),SUMPRODUCT(($Q$1:$AA$1=1)*ROUND($Q88:$AA88,15-13*ORÇAMENTO!$AF$7))))</f>
        <v>16</v>
      </c>
      <c r="I88" s="469" t="s">
        <v>1101</v>
      </c>
      <c r="J88" s="667" t="str">
        <f ca="1">IF(OR(B88&lt;&gt;"S",CÁLCULO.FrentesPreenchidas=0),"",IF(AND(ACOMPANHAMENTO="PLE",AUTOEVENTO="Manual",OR(H88&gt;0,ORÇAMENTO!AC88="QUANT."),OR(K88="",M88=0,N88="")),"►",IF(AND(ACOMPANHAMENTO="PLE",ORÇAMENTO!AC88="QUANT."),"►►",IF(AND(COUNTIF($P$11:$AA$11,"▼")=0,H88&gt;0,I88=""),"◄",""))))</f>
        <v/>
      </c>
      <c r="K88" s="668"/>
      <c r="L88" s="166" t="s">
        <v>765</v>
      </c>
      <c r="M88" s="167">
        <f ca="1">IF($D88&lt;&gt;"Serviço","",
          IF(AUTOEVENTO="manual",$A88,
                IF(ISERROR(MATCH($A88,$A$15:OFFSET($A88,-1,0),0)),MAX($M$15:OFFSET(M88,-1,0))+1,
                      INDEX($M$15:OFFSET(M88,-1,0),MATCH($A88,$A$15:OFFSET($A88,-1,0),0)))))</f>
        <v>7</v>
      </c>
      <c r="N88" s="168" t="str">
        <f ca="1">IF($D88&lt;&gt;"Serviço","",
         IF(AUTOEVENTO="Manual",
                IF($A88=0,"&lt;-- defina o número do agrupador",
                       OFFSET(EVENTOS!$D$15,$A88-$A$15,0)),
                OFFSET($F$15,$A88,0)))</f>
        <v>LINHA DE RECALQUE INCLUI TRAVESSIA - MATERIAIS</v>
      </c>
      <c r="O88" s="169"/>
      <c r="Q88" s="169"/>
      <c r="R88" s="170"/>
      <c r="S88" s="170"/>
      <c r="T88" s="170"/>
      <c r="U88" s="170"/>
      <c r="V88" s="170"/>
      <c r="W88" s="170"/>
      <c r="X88" s="170"/>
      <c r="Y88" s="170"/>
      <c r="Z88" s="171"/>
      <c r="AB88" s="454">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4">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4">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4">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4">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4">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4">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4">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4">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4">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2">
        <f ca="1">IF(OR($D88&lt;&gt;"Serviço",AND(AUTOEVENTO="Manual",$M88=$A$15)),0,
         IF(OFFSET(CRONOPLE!$F$15,$M88-$A$15,AM$13)=0,10^12,OFFSET(CRONOPLE!$F$15,$M88-$A$15,AM$13)))</f>
        <v>1000000000000</v>
      </c>
      <c r="AN88" s="172">
        <f ca="1">IF(OR($D88&lt;&gt;"Serviço",AND(AUTOEVENTO="Manual",$M88=$A$15)),0,
         IF(OFFSET(CRONOPLE!$F$15,$M88-$A$15,AN$13)=0,10^12,OFFSET(CRONOPLE!$F$15,$M88-$A$15,AN$13)))</f>
        <v>1000000000000</v>
      </c>
      <c r="AO88" s="172">
        <f ca="1">IF(OR($D88&lt;&gt;"Serviço",AND(AUTOEVENTO="Manual",$M88=$A$15)),0,
         IF(OFFSET(CRONOPLE!$F$15,$M88-$A$15,AO$13)=0,10^12,OFFSET(CRONOPLE!$F$15,$M88-$A$15,AO$13)))</f>
        <v>1000000000000</v>
      </c>
      <c r="AP88" s="172">
        <f ca="1">IF(OR($D88&lt;&gt;"Serviço",AND(AUTOEVENTO="Manual",$M88=$A$15)),0,
         IF(OFFSET(CRONOPLE!$F$15,$M88-$A$15,AP$13)=0,10^12,OFFSET(CRONOPLE!$F$15,$M88-$A$15,AP$13)))</f>
        <v>1000000000000</v>
      </c>
      <c r="AQ88" s="172">
        <f ca="1">IF(OR($D88&lt;&gt;"Serviço",AND(AUTOEVENTO="Manual",$M88=$A$15)),0,
         IF(OFFSET(CRONOPLE!$F$15,$M88-$A$15,AQ$13)=0,10^12,OFFSET(CRONOPLE!$F$15,$M88-$A$15,AQ$13)))</f>
        <v>1000000000000</v>
      </c>
      <c r="AR88" s="172">
        <f ca="1">IF(OR($D88&lt;&gt;"Serviço",AND(AUTOEVENTO="Manual",$M88=$A$15)),0,
         IF(OFFSET(CRONOPLE!$F$15,$M88-$A$15,AR$13)=0,10^12,OFFSET(CRONOPLE!$F$15,$M88-$A$15,AR$13)))</f>
        <v>1000000000000</v>
      </c>
      <c r="AS88" s="172">
        <f ca="1">IF(OR($D88&lt;&gt;"Serviço",AND(AUTOEVENTO="Manual",$M88=$A$15)),0,
         IF(OFFSET(CRONOPLE!$F$15,$M88-$A$15,AS$13)=0,10^12,OFFSET(CRONOPLE!$F$15,$M88-$A$15,AS$13)))</f>
        <v>1000000000000</v>
      </c>
      <c r="AT88" s="172">
        <f ca="1">IF(OR($D88&lt;&gt;"Serviço",AND(AUTOEVENTO="Manual",$M88=$A$15)),0,
         IF(OFFSET(CRONOPLE!$F$15,$M88-$A$15,AT$13)=0,10^12,OFFSET(CRONOPLE!$F$15,$M88-$A$15,AT$13)))</f>
        <v>1000000000000</v>
      </c>
      <c r="AU88" s="172">
        <f ca="1">IF(OR($D88&lt;&gt;"Serviço",AND(AUTOEVENTO="Manual",$M88=$A$15)),0,
         IF(OFFSET(CRONOPLE!$F$15,$M88-$A$15,AU$13)=0,10^12,OFFSET(CRONOPLE!$F$15,$M88-$A$15,AU$13)))</f>
        <v>1000000000000</v>
      </c>
      <c r="AV88" s="172">
        <f ca="1">IF(OR($D88&lt;&gt;"Serviço",AND(AUTOEVENTO="Manual",$M88=$A$15)),0,
         IF(OFFSET(CRONOPLE!$F$15,$M88-$A$15,AV$13)=0,10^12,OFFSET(CRONOPLE!$F$15,$M88-$A$15,AV$13)))</f>
        <v>1000000000000</v>
      </c>
      <c r="AX88" s="173">
        <f ca="1">IF(OR($D88&lt;&gt;"Serviço",AND(AUTOEVENTO="Manual",$M88=$A$15),$M88&gt;(ROW(PLE.lastrow)-ROW(PLE.firstrow))),0,
           IF(OFFSET(PLE!$G$15,$M88-$A$15,AX$13)="",10^12,OFFSET(PLE!$G$15,$M88-$A$15,AX$13)))</f>
        <v>1000000000000</v>
      </c>
      <c r="AY88" s="173">
        <f ca="1">IF(OR($D88&lt;&gt;"Serviço",AND(AUTOEVENTO="Manual",$M88=$A$15),$M88&gt;(ROW(PLE.lastrow)-ROW(PLE.firstrow))),0,
           IF(OFFSET(PLE!$G$15,$M88-$A$15,AY$13)="",10^12,OFFSET(PLE!$G$15,$M88-$A$15,AY$13)))</f>
        <v>1000000000000</v>
      </c>
      <c r="AZ88" s="173">
        <f ca="1">IF(OR($D88&lt;&gt;"Serviço",AND(AUTOEVENTO="Manual",$M88=$A$15),$M88&gt;(ROW(PLE.lastrow)-ROW(PLE.firstrow))),0,
           IF(OFFSET(PLE!$G$15,$M88-$A$15,AZ$13)="",10^12,OFFSET(PLE!$G$15,$M88-$A$15,AZ$13)))</f>
        <v>1000000000000</v>
      </c>
      <c r="BA88" s="173">
        <f ca="1">IF(OR($D88&lt;&gt;"Serviço",AND(AUTOEVENTO="Manual",$M88=$A$15),$M88&gt;(ROW(PLE.lastrow)-ROW(PLE.firstrow))),0,
           IF(OFFSET(PLE!$G$15,$M88-$A$15,BA$13)="",10^12,OFFSET(PLE!$G$15,$M88-$A$15,BA$13)))</f>
        <v>1000000000000</v>
      </c>
      <c r="BB88" s="173">
        <f ca="1">IF(OR($D88&lt;&gt;"Serviço",AND(AUTOEVENTO="Manual",$M88=$A$15),$M88&gt;(ROW(PLE.lastrow)-ROW(PLE.firstrow))),0,
           IF(OFFSET(PLE!$G$15,$M88-$A$15,BB$13)="",10^12,OFFSET(PLE!$G$15,$M88-$A$15,BB$13)))</f>
        <v>1000000000000</v>
      </c>
      <c r="BC88" s="173">
        <f ca="1">IF(OR($D88&lt;&gt;"Serviço",AND(AUTOEVENTO="Manual",$M88=$A$15),$M88&gt;(ROW(PLE.lastrow)-ROW(PLE.firstrow))),0,
           IF(OFFSET(PLE!$G$15,$M88-$A$15,BC$13)="",10^12,OFFSET(PLE!$G$15,$M88-$A$15,BC$13)))</f>
        <v>1000000000000</v>
      </c>
      <c r="BD88" s="173">
        <f ca="1">IF(OR($D88&lt;&gt;"Serviço",AND(AUTOEVENTO="Manual",$M88=$A$15),$M88&gt;(ROW(PLE.lastrow)-ROW(PLE.firstrow))),0,
           IF(OFFSET(PLE!$G$15,$M88-$A$15,BD$13)="",10^12,OFFSET(PLE!$G$15,$M88-$A$15,BD$13)))</f>
        <v>1000000000000</v>
      </c>
      <c r="BE88" s="173">
        <f ca="1">IF(OR($D88&lt;&gt;"Serviço",AND(AUTOEVENTO="Manual",$M88=$A$15),$M88&gt;(ROW(PLE.lastrow)-ROW(PLE.firstrow))),0,
           IF(OFFSET(PLE!$G$15,$M88-$A$15,BE$13)="",10^12,OFFSET(PLE!$G$15,$M88-$A$15,BE$13)))</f>
        <v>1000000000000</v>
      </c>
      <c r="BF88" s="173">
        <f ca="1">IF(OR($D88&lt;&gt;"Serviço",AND(AUTOEVENTO="Manual",$M88=$A$15),$M88&gt;(ROW(PLE.lastrow)-ROW(PLE.firstrow))),0,
           IF(OFFSET(PLE!$G$15,$M88-$A$15,BF$13)="",10^12,OFFSET(PLE!$G$15,$M88-$A$15,BF$13)))</f>
        <v>1000000000000</v>
      </c>
      <c r="BG88" s="173">
        <f ca="1">IF(OR($D88&lt;&gt;"Serviço",AND(AUTOEVENTO="Manual",$M88=$A$15),$M88&gt;(ROW(PLE.lastrow)-ROW(PLE.firstrow))),0,
           IF(OFFSET(PLE!$G$15,$M88-$A$15,BG$13)="",10^12,OFFSET(PLE!$G$15,$M88-$A$15,BG$13)))</f>
        <v>1000000000000</v>
      </c>
    </row>
    <row r="89" spans="1:59" s="675" customFormat="1" ht="25.5" x14ac:dyDescent="0.2">
      <c r="A89" s="671" t="str">
        <f t="shared" ca="1" si="10"/>
        <v>59</v>
      </c>
      <c r="B89" s="671" t="str">
        <f ca="1">OFFSET(ORÇAMENTO!C$15,ROW(B89)-ROW(B$15),0)</f>
        <v>S</v>
      </c>
      <c r="C89" s="671" t="str">
        <f ca="1">OFFSET(ORÇAMENTO!L$15,ROW(C89)-ROW(C$15),0)</f>
        <v/>
      </c>
      <c r="D89" s="117" t="str">
        <f ca="1">OFFSET(ORÇAMENTO!N$15,ROW(D89)-ROW(D$15),0)</f>
        <v>Serviço</v>
      </c>
      <c r="E89" s="118" t="str">
        <f ca="1">OFFSET(ORÇAMENTO!O$15,ROW(E89)-ROW(E$15),0)</f>
        <v>-</v>
      </c>
      <c r="F89" s="164" t="str">
        <f ca="1">OFFSET(ORÇAMENTO!R$15,ROW(F89)-ROW(F$15),0)</f>
        <v>(abra o arquivo 'Referência 09-2025.xlsm)</v>
      </c>
      <c r="G89" s="165" t="str">
        <f ca="1">IF($D89&lt;&gt;"Serviço","",OFFSET(ORÇAMENTO!S$15,ROW(G89)-ROW(G$15),0))</f>
        <v>-</v>
      </c>
      <c r="H89" s="123">
        <f ca="1">IF($D89&lt;&gt;"Serviço",0,IF(ACOMPANHAMENTO="BM",ROUND(OFFSET(ORÇAMENTO!AJ$15,ROW(H89)-ROW(H$15),0),15-13*ORÇAMENTO!$AF$7),SUMPRODUCT(($Q$1:$AA$1=1)*ROUND($Q89:$AA89,15-13*ORÇAMENTO!$AF$7))))</f>
        <v>6</v>
      </c>
      <c r="I89" s="469" t="s">
        <v>1101</v>
      </c>
      <c r="J89" s="667" t="str">
        <f ca="1">IF(OR(B89&lt;&gt;"S",CÁLCULO.FrentesPreenchidas=0),"",IF(AND(ACOMPANHAMENTO="PLE",AUTOEVENTO="Manual",OR(H89&gt;0,ORÇAMENTO!AC89="QUANT."),OR(K89="",M89=0,N89="")),"►",IF(AND(ACOMPANHAMENTO="PLE",ORÇAMENTO!AC89="QUANT."),"►►",IF(AND(COUNTIF($P$11:$AA$11,"▼")=0,H89&gt;0,I89=""),"◄",""))))</f>
        <v/>
      </c>
      <c r="K89" s="668"/>
      <c r="L89" s="166" t="s">
        <v>765</v>
      </c>
      <c r="M89" s="167">
        <f ca="1">IF($D89&lt;&gt;"Serviço","",
          IF(AUTOEVENTO="manual",$A89,
                IF(ISERROR(MATCH($A89,$A$15:OFFSET($A89,-1,0),0)),MAX($M$15:OFFSET(M89,-1,0))+1,
                      INDEX($M$15:OFFSET(M89,-1,0),MATCH($A89,$A$15:OFFSET($A89,-1,0),0)))))</f>
        <v>7</v>
      </c>
      <c r="N89" s="168" t="str">
        <f ca="1">IF($D89&lt;&gt;"Serviço","",
         IF(AUTOEVENTO="Manual",
                IF($A89=0,"&lt;-- defina o número do agrupador",
                       OFFSET(EVENTOS!$D$15,$A89-$A$15,0)),
                OFFSET($F$15,$A89,0)))</f>
        <v>LINHA DE RECALQUE INCLUI TRAVESSIA - MATERIAIS</v>
      </c>
      <c r="O89" s="169"/>
      <c r="Q89" s="169"/>
      <c r="R89" s="170"/>
      <c r="S89" s="170"/>
      <c r="T89" s="170"/>
      <c r="U89" s="170"/>
      <c r="V89" s="170"/>
      <c r="W89" s="170"/>
      <c r="X89" s="170"/>
      <c r="Y89" s="170"/>
      <c r="Z89" s="171"/>
      <c r="AB89" s="454">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0</v>
      </c>
      <c r="AC89" s="454">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4">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4">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4">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4">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4">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4">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4">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4">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2">
        <f ca="1">IF(OR($D89&lt;&gt;"Serviço",AND(AUTOEVENTO="Manual",$M89=$A$15)),0,
         IF(OFFSET(CRONOPLE!$F$15,$M89-$A$15,AM$13)=0,10^12,OFFSET(CRONOPLE!$F$15,$M89-$A$15,AM$13)))</f>
        <v>1000000000000</v>
      </c>
      <c r="AN89" s="172">
        <f ca="1">IF(OR($D89&lt;&gt;"Serviço",AND(AUTOEVENTO="Manual",$M89=$A$15)),0,
         IF(OFFSET(CRONOPLE!$F$15,$M89-$A$15,AN$13)=0,10^12,OFFSET(CRONOPLE!$F$15,$M89-$A$15,AN$13)))</f>
        <v>1000000000000</v>
      </c>
      <c r="AO89" s="172">
        <f ca="1">IF(OR($D89&lt;&gt;"Serviço",AND(AUTOEVENTO="Manual",$M89=$A$15)),0,
         IF(OFFSET(CRONOPLE!$F$15,$M89-$A$15,AO$13)=0,10^12,OFFSET(CRONOPLE!$F$15,$M89-$A$15,AO$13)))</f>
        <v>1000000000000</v>
      </c>
      <c r="AP89" s="172">
        <f ca="1">IF(OR($D89&lt;&gt;"Serviço",AND(AUTOEVENTO="Manual",$M89=$A$15)),0,
         IF(OFFSET(CRONOPLE!$F$15,$M89-$A$15,AP$13)=0,10^12,OFFSET(CRONOPLE!$F$15,$M89-$A$15,AP$13)))</f>
        <v>1000000000000</v>
      </c>
      <c r="AQ89" s="172">
        <f ca="1">IF(OR($D89&lt;&gt;"Serviço",AND(AUTOEVENTO="Manual",$M89=$A$15)),0,
         IF(OFFSET(CRONOPLE!$F$15,$M89-$A$15,AQ$13)=0,10^12,OFFSET(CRONOPLE!$F$15,$M89-$A$15,AQ$13)))</f>
        <v>1000000000000</v>
      </c>
      <c r="AR89" s="172">
        <f ca="1">IF(OR($D89&lt;&gt;"Serviço",AND(AUTOEVENTO="Manual",$M89=$A$15)),0,
         IF(OFFSET(CRONOPLE!$F$15,$M89-$A$15,AR$13)=0,10^12,OFFSET(CRONOPLE!$F$15,$M89-$A$15,AR$13)))</f>
        <v>1000000000000</v>
      </c>
      <c r="AS89" s="172">
        <f ca="1">IF(OR($D89&lt;&gt;"Serviço",AND(AUTOEVENTO="Manual",$M89=$A$15)),0,
         IF(OFFSET(CRONOPLE!$F$15,$M89-$A$15,AS$13)=0,10^12,OFFSET(CRONOPLE!$F$15,$M89-$A$15,AS$13)))</f>
        <v>1000000000000</v>
      </c>
      <c r="AT89" s="172">
        <f ca="1">IF(OR($D89&lt;&gt;"Serviço",AND(AUTOEVENTO="Manual",$M89=$A$15)),0,
         IF(OFFSET(CRONOPLE!$F$15,$M89-$A$15,AT$13)=0,10^12,OFFSET(CRONOPLE!$F$15,$M89-$A$15,AT$13)))</f>
        <v>1000000000000</v>
      </c>
      <c r="AU89" s="172">
        <f ca="1">IF(OR($D89&lt;&gt;"Serviço",AND(AUTOEVENTO="Manual",$M89=$A$15)),0,
         IF(OFFSET(CRONOPLE!$F$15,$M89-$A$15,AU$13)=0,10^12,OFFSET(CRONOPLE!$F$15,$M89-$A$15,AU$13)))</f>
        <v>1000000000000</v>
      </c>
      <c r="AV89" s="172">
        <f ca="1">IF(OR($D89&lt;&gt;"Serviço",AND(AUTOEVENTO="Manual",$M89=$A$15)),0,
         IF(OFFSET(CRONOPLE!$F$15,$M89-$A$15,AV$13)=0,10^12,OFFSET(CRONOPLE!$F$15,$M89-$A$15,AV$13)))</f>
        <v>1000000000000</v>
      </c>
      <c r="AX89" s="173">
        <f ca="1">IF(OR($D89&lt;&gt;"Serviço",AND(AUTOEVENTO="Manual",$M89=$A$15),$M89&gt;(ROW(PLE.lastrow)-ROW(PLE.firstrow))),0,
           IF(OFFSET(PLE!$G$15,$M89-$A$15,AX$13)="",10^12,OFFSET(PLE!$G$15,$M89-$A$15,AX$13)))</f>
        <v>1000000000000</v>
      </c>
      <c r="AY89" s="173">
        <f ca="1">IF(OR($D89&lt;&gt;"Serviço",AND(AUTOEVENTO="Manual",$M89=$A$15),$M89&gt;(ROW(PLE.lastrow)-ROW(PLE.firstrow))),0,
           IF(OFFSET(PLE!$G$15,$M89-$A$15,AY$13)="",10^12,OFFSET(PLE!$G$15,$M89-$A$15,AY$13)))</f>
        <v>1000000000000</v>
      </c>
      <c r="AZ89" s="173">
        <f ca="1">IF(OR($D89&lt;&gt;"Serviço",AND(AUTOEVENTO="Manual",$M89=$A$15),$M89&gt;(ROW(PLE.lastrow)-ROW(PLE.firstrow))),0,
           IF(OFFSET(PLE!$G$15,$M89-$A$15,AZ$13)="",10^12,OFFSET(PLE!$G$15,$M89-$A$15,AZ$13)))</f>
        <v>1000000000000</v>
      </c>
      <c r="BA89" s="173">
        <f ca="1">IF(OR($D89&lt;&gt;"Serviço",AND(AUTOEVENTO="Manual",$M89=$A$15),$M89&gt;(ROW(PLE.lastrow)-ROW(PLE.firstrow))),0,
           IF(OFFSET(PLE!$G$15,$M89-$A$15,BA$13)="",10^12,OFFSET(PLE!$G$15,$M89-$A$15,BA$13)))</f>
        <v>1000000000000</v>
      </c>
      <c r="BB89" s="173">
        <f ca="1">IF(OR($D89&lt;&gt;"Serviço",AND(AUTOEVENTO="Manual",$M89=$A$15),$M89&gt;(ROW(PLE.lastrow)-ROW(PLE.firstrow))),0,
           IF(OFFSET(PLE!$G$15,$M89-$A$15,BB$13)="",10^12,OFFSET(PLE!$G$15,$M89-$A$15,BB$13)))</f>
        <v>1000000000000</v>
      </c>
      <c r="BC89" s="173">
        <f ca="1">IF(OR($D89&lt;&gt;"Serviço",AND(AUTOEVENTO="Manual",$M89=$A$15),$M89&gt;(ROW(PLE.lastrow)-ROW(PLE.firstrow))),0,
           IF(OFFSET(PLE!$G$15,$M89-$A$15,BC$13)="",10^12,OFFSET(PLE!$G$15,$M89-$A$15,BC$13)))</f>
        <v>1000000000000</v>
      </c>
      <c r="BD89" s="173">
        <f ca="1">IF(OR($D89&lt;&gt;"Serviço",AND(AUTOEVENTO="Manual",$M89=$A$15),$M89&gt;(ROW(PLE.lastrow)-ROW(PLE.firstrow))),0,
           IF(OFFSET(PLE!$G$15,$M89-$A$15,BD$13)="",10^12,OFFSET(PLE!$G$15,$M89-$A$15,BD$13)))</f>
        <v>1000000000000</v>
      </c>
      <c r="BE89" s="173">
        <f ca="1">IF(OR($D89&lt;&gt;"Serviço",AND(AUTOEVENTO="Manual",$M89=$A$15),$M89&gt;(ROW(PLE.lastrow)-ROW(PLE.firstrow))),0,
           IF(OFFSET(PLE!$G$15,$M89-$A$15,BE$13)="",10^12,OFFSET(PLE!$G$15,$M89-$A$15,BE$13)))</f>
        <v>1000000000000</v>
      </c>
      <c r="BF89" s="173">
        <f ca="1">IF(OR($D89&lt;&gt;"Serviço",AND(AUTOEVENTO="Manual",$M89=$A$15),$M89&gt;(ROW(PLE.lastrow)-ROW(PLE.firstrow))),0,
           IF(OFFSET(PLE!$G$15,$M89-$A$15,BF$13)="",10^12,OFFSET(PLE!$G$15,$M89-$A$15,BF$13)))</f>
        <v>1000000000000</v>
      </c>
      <c r="BG89" s="173">
        <f ca="1">IF(OR($D89&lt;&gt;"Serviço",AND(AUTOEVENTO="Manual",$M89=$A$15),$M89&gt;(ROW(PLE.lastrow)-ROW(PLE.firstrow))),0,
           IF(OFFSET(PLE!$G$15,$M89-$A$15,BG$13)="",10^12,OFFSET(PLE!$G$15,$M89-$A$15,BG$13)))</f>
        <v>1000000000000</v>
      </c>
    </row>
    <row r="90" spans="1:59" s="675" customFormat="1" ht="25.5" x14ac:dyDescent="0.2">
      <c r="A90" s="671" t="str">
        <f t="shared" ca="1" si="10"/>
        <v>59</v>
      </c>
      <c r="B90" s="671" t="str">
        <f ca="1">OFFSET(ORÇAMENTO!C$15,ROW(B90)-ROW(B$15),0)</f>
        <v>S</v>
      </c>
      <c r="C90" s="671" t="str">
        <f ca="1">OFFSET(ORÇAMENTO!L$15,ROW(C90)-ROW(C$15),0)</f>
        <v/>
      </c>
      <c r="D90" s="117" t="str">
        <f ca="1">OFFSET(ORÇAMENTO!N$15,ROW(D90)-ROW(D$15),0)</f>
        <v>Serviço</v>
      </c>
      <c r="E90" s="118" t="str">
        <f ca="1">OFFSET(ORÇAMENTO!O$15,ROW(E90)-ROW(E$15),0)</f>
        <v>-</v>
      </c>
      <c r="F90" s="164" t="str">
        <f ca="1">OFFSET(ORÇAMENTO!R$15,ROW(F90)-ROW(F$15),0)</f>
        <v>(abra o arquivo 'Referência 09-2025.xlsm)</v>
      </c>
      <c r="G90" s="165" t="str">
        <f ca="1">IF($D90&lt;&gt;"Serviço","",OFFSET(ORÇAMENTO!S$15,ROW(G90)-ROW(G$15),0))</f>
        <v>-</v>
      </c>
      <c r="H90" s="123">
        <f ca="1">IF($D90&lt;&gt;"Serviço",0,IF(ACOMPANHAMENTO="BM",ROUND(OFFSET(ORÇAMENTO!AJ$15,ROW(H90)-ROW(H$15),0),15-13*ORÇAMENTO!$AF$7),SUMPRODUCT(($Q$1:$AA$1=1)*ROUND($Q90:$AA90,15-13*ORÇAMENTO!$AF$7))))</f>
        <v>72</v>
      </c>
      <c r="I90" s="469" t="s">
        <v>1101</v>
      </c>
      <c r="J90" s="667" t="str">
        <f ca="1">IF(OR(B90&lt;&gt;"S",CÁLCULO.FrentesPreenchidas=0),"",IF(AND(ACOMPANHAMENTO="PLE",AUTOEVENTO="Manual",OR(H90&gt;0,ORÇAMENTO!AC90="QUANT."),OR(K90="",M90=0,N90="")),"►",IF(AND(ACOMPANHAMENTO="PLE",ORÇAMENTO!AC90="QUANT."),"►►",IF(AND(COUNTIF($P$11:$AA$11,"▼")=0,H90&gt;0,I90=""),"◄",""))))</f>
        <v/>
      </c>
      <c r="K90" s="668"/>
      <c r="L90" s="166" t="s">
        <v>765</v>
      </c>
      <c r="M90" s="167">
        <f ca="1">IF($D90&lt;&gt;"Serviço","",
          IF(AUTOEVENTO="manual",$A90,
                IF(ISERROR(MATCH($A90,$A$15:OFFSET($A90,-1,0),0)),MAX($M$15:OFFSET(M90,-1,0))+1,
                      INDEX($M$15:OFFSET(M90,-1,0),MATCH($A90,$A$15:OFFSET($A90,-1,0),0)))))</f>
        <v>7</v>
      </c>
      <c r="N90" s="168" t="str">
        <f ca="1">IF($D90&lt;&gt;"Serviço","",
         IF(AUTOEVENTO="Manual",
                IF($A90=0,"&lt;-- defina o número do agrupador",
                       OFFSET(EVENTOS!$D$15,$A90-$A$15,0)),
                OFFSET($F$15,$A90,0)))</f>
        <v>LINHA DE RECALQUE INCLUI TRAVESSIA - MATERIAIS</v>
      </c>
      <c r="O90" s="169"/>
      <c r="Q90" s="169"/>
      <c r="R90" s="170"/>
      <c r="S90" s="170"/>
      <c r="T90" s="170"/>
      <c r="U90" s="170"/>
      <c r="V90" s="170"/>
      <c r="W90" s="170"/>
      <c r="X90" s="170"/>
      <c r="Y90" s="170"/>
      <c r="Z90" s="171"/>
      <c r="AB90" s="454">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0</v>
      </c>
      <c r="AC90" s="454">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4">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4">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4">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4">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4">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4">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4">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4">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2">
        <f ca="1">IF(OR($D90&lt;&gt;"Serviço",AND(AUTOEVENTO="Manual",$M90=$A$15)),0,
         IF(OFFSET(CRONOPLE!$F$15,$M90-$A$15,AM$13)=0,10^12,OFFSET(CRONOPLE!$F$15,$M90-$A$15,AM$13)))</f>
        <v>1000000000000</v>
      </c>
      <c r="AN90" s="172">
        <f ca="1">IF(OR($D90&lt;&gt;"Serviço",AND(AUTOEVENTO="Manual",$M90=$A$15)),0,
         IF(OFFSET(CRONOPLE!$F$15,$M90-$A$15,AN$13)=0,10^12,OFFSET(CRONOPLE!$F$15,$M90-$A$15,AN$13)))</f>
        <v>1000000000000</v>
      </c>
      <c r="AO90" s="172">
        <f ca="1">IF(OR($D90&lt;&gt;"Serviço",AND(AUTOEVENTO="Manual",$M90=$A$15)),0,
         IF(OFFSET(CRONOPLE!$F$15,$M90-$A$15,AO$13)=0,10^12,OFFSET(CRONOPLE!$F$15,$M90-$A$15,AO$13)))</f>
        <v>1000000000000</v>
      </c>
      <c r="AP90" s="172">
        <f ca="1">IF(OR($D90&lt;&gt;"Serviço",AND(AUTOEVENTO="Manual",$M90=$A$15)),0,
         IF(OFFSET(CRONOPLE!$F$15,$M90-$A$15,AP$13)=0,10^12,OFFSET(CRONOPLE!$F$15,$M90-$A$15,AP$13)))</f>
        <v>1000000000000</v>
      </c>
      <c r="AQ90" s="172">
        <f ca="1">IF(OR($D90&lt;&gt;"Serviço",AND(AUTOEVENTO="Manual",$M90=$A$15)),0,
         IF(OFFSET(CRONOPLE!$F$15,$M90-$A$15,AQ$13)=0,10^12,OFFSET(CRONOPLE!$F$15,$M90-$A$15,AQ$13)))</f>
        <v>1000000000000</v>
      </c>
      <c r="AR90" s="172">
        <f ca="1">IF(OR($D90&lt;&gt;"Serviço",AND(AUTOEVENTO="Manual",$M90=$A$15)),0,
         IF(OFFSET(CRONOPLE!$F$15,$M90-$A$15,AR$13)=0,10^12,OFFSET(CRONOPLE!$F$15,$M90-$A$15,AR$13)))</f>
        <v>1000000000000</v>
      </c>
      <c r="AS90" s="172">
        <f ca="1">IF(OR($D90&lt;&gt;"Serviço",AND(AUTOEVENTO="Manual",$M90=$A$15)),0,
         IF(OFFSET(CRONOPLE!$F$15,$M90-$A$15,AS$13)=0,10^12,OFFSET(CRONOPLE!$F$15,$M90-$A$15,AS$13)))</f>
        <v>1000000000000</v>
      </c>
      <c r="AT90" s="172">
        <f ca="1">IF(OR($D90&lt;&gt;"Serviço",AND(AUTOEVENTO="Manual",$M90=$A$15)),0,
         IF(OFFSET(CRONOPLE!$F$15,$M90-$A$15,AT$13)=0,10^12,OFFSET(CRONOPLE!$F$15,$M90-$A$15,AT$13)))</f>
        <v>1000000000000</v>
      </c>
      <c r="AU90" s="172">
        <f ca="1">IF(OR($D90&lt;&gt;"Serviço",AND(AUTOEVENTO="Manual",$M90=$A$15)),0,
         IF(OFFSET(CRONOPLE!$F$15,$M90-$A$15,AU$13)=0,10^12,OFFSET(CRONOPLE!$F$15,$M90-$A$15,AU$13)))</f>
        <v>1000000000000</v>
      </c>
      <c r="AV90" s="172">
        <f ca="1">IF(OR($D90&lt;&gt;"Serviço",AND(AUTOEVENTO="Manual",$M90=$A$15)),0,
         IF(OFFSET(CRONOPLE!$F$15,$M90-$A$15,AV$13)=0,10^12,OFFSET(CRONOPLE!$F$15,$M90-$A$15,AV$13)))</f>
        <v>1000000000000</v>
      </c>
      <c r="AX90" s="173">
        <f ca="1">IF(OR($D90&lt;&gt;"Serviço",AND(AUTOEVENTO="Manual",$M90=$A$15),$M90&gt;(ROW(PLE.lastrow)-ROW(PLE.firstrow))),0,
           IF(OFFSET(PLE!$G$15,$M90-$A$15,AX$13)="",10^12,OFFSET(PLE!$G$15,$M90-$A$15,AX$13)))</f>
        <v>1000000000000</v>
      </c>
      <c r="AY90" s="173">
        <f ca="1">IF(OR($D90&lt;&gt;"Serviço",AND(AUTOEVENTO="Manual",$M90=$A$15),$M90&gt;(ROW(PLE.lastrow)-ROW(PLE.firstrow))),0,
           IF(OFFSET(PLE!$G$15,$M90-$A$15,AY$13)="",10^12,OFFSET(PLE!$G$15,$M90-$A$15,AY$13)))</f>
        <v>1000000000000</v>
      </c>
      <c r="AZ90" s="173">
        <f ca="1">IF(OR($D90&lt;&gt;"Serviço",AND(AUTOEVENTO="Manual",$M90=$A$15),$M90&gt;(ROW(PLE.lastrow)-ROW(PLE.firstrow))),0,
           IF(OFFSET(PLE!$G$15,$M90-$A$15,AZ$13)="",10^12,OFFSET(PLE!$G$15,$M90-$A$15,AZ$13)))</f>
        <v>1000000000000</v>
      </c>
      <c r="BA90" s="173">
        <f ca="1">IF(OR($D90&lt;&gt;"Serviço",AND(AUTOEVENTO="Manual",$M90=$A$15),$M90&gt;(ROW(PLE.lastrow)-ROW(PLE.firstrow))),0,
           IF(OFFSET(PLE!$G$15,$M90-$A$15,BA$13)="",10^12,OFFSET(PLE!$G$15,$M90-$A$15,BA$13)))</f>
        <v>1000000000000</v>
      </c>
      <c r="BB90" s="173">
        <f ca="1">IF(OR($D90&lt;&gt;"Serviço",AND(AUTOEVENTO="Manual",$M90=$A$15),$M90&gt;(ROW(PLE.lastrow)-ROW(PLE.firstrow))),0,
           IF(OFFSET(PLE!$G$15,$M90-$A$15,BB$13)="",10^12,OFFSET(PLE!$G$15,$M90-$A$15,BB$13)))</f>
        <v>1000000000000</v>
      </c>
      <c r="BC90" s="173">
        <f ca="1">IF(OR($D90&lt;&gt;"Serviço",AND(AUTOEVENTO="Manual",$M90=$A$15),$M90&gt;(ROW(PLE.lastrow)-ROW(PLE.firstrow))),0,
           IF(OFFSET(PLE!$G$15,$M90-$A$15,BC$13)="",10^12,OFFSET(PLE!$G$15,$M90-$A$15,BC$13)))</f>
        <v>1000000000000</v>
      </c>
      <c r="BD90" s="173">
        <f ca="1">IF(OR($D90&lt;&gt;"Serviço",AND(AUTOEVENTO="Manual",$M90=$A$15),$M90&gt;(ROW(PLE.lastrow)-ROW(PLE.firstrow))),0,
           IF(OFFSET(PLE!$G$15,$M90-$A$15,BD$13)="",10^12,OFFSET(PLE!$G$15,$M90-$A$15,BD$13)))</f>
        <v>1000000000000</v>
      </c>
      <c r="BE90" s="173">
        <f ca="1">IF(OR($D90&lt;&gt;"Serviço",AND(AUTOEVENTO="Manual",$M90=$A$15),$M90&gt;(ROW(PLE.lastrow)-ROW(PLE.firstrow))),0,
           IF(OFFSET(PLE!$G$15,$M90-$A$15,BE$13)="",10^12,OFFSET(PLE!$G$15,$M90-$A$15,BE$13)))</f>
        <v>1000000000000</v>
      </c>
      <c r="BF90" s="173">
        <f ca="1">IF(OR($D90&lt;&gt;"Serviço",AND(AUTOEVENTO="Manual",$M90=$A$15),$M90&gt;(ROW(PLE.lastrow)-ROW(PLE.firstrow))),0,
           IF(OFFSET(PLE!$G$15,$M90-$A$15,BF$13)="",10^12,OFFSET(PLE!$G$15,$M90-$A$15,BF$13)))</f>
        <v>1000000000000</v>
      </c>
      <c r="BG90" s="173">
        <f ca="1">IF(OR($D90&lt;&gt;"Serviço",AND(AUTOEVENTO="Manual",$M90=$A$15),$M90&gt;(ROW(PLE.lastrow)-ROW(PLE.firstrow))),0,
           IF(OFFSET(PLE!$G$15,$M90-$A$15,BG$13)="",10^12,OFFSET(PLE!$G$15,$M90-$A$15,BG$13)))</f>
        <v>1000000000000</v>
      </c>
    </row>
    <row r="91" spans="1:59" s="675" customFormat="1" ht="25.5" x14ac:dyDescent="0.2">
      <c r="A91" s="671" t="str">
        <f t="shared" ca="1" si="10"/>
        <v>59</v>
      </c>
      <c r="B91" s="671" t="str">
        <f ca="1">OFFSET(ORÇAMENTO!C$15,ROW(B91)-ROW(B$15),0)</f>
        <v>S</v>
      </c>
      <c r="C91" s="671" t="str">
        <f ca="1">OFFSET(ORÇAMENTO!L$15,ROW(C91)-ROW(C$15),0)</f>
        <v/>
      </c>
      <c r="D91" s="117" t="str">
        <f ca="1">OFFSET(ORÇAMENTO!N$15,ROW(D91)-ROW(D$15),0)</f>
        <v>Serviço</v>
      </c>
      <c r="E91" s="118" t="str">
        <f ca="1">OFFSET(ORÇAMENTO!O$15,ROW(E91)-ROW(E$15),0)</f>
        <v>-</v>
      </c>
      <c r="F91" s="164" t="str">
        <f ca="1">OFFSET(ORÇAMENTO!R$15,ROW(F91)-ROW(F$15),0)</f>
        <v>(abra o arquivo 'Referência 09-2025.xlsm)</v>
      </c>
      <c r="G91" s="165" t="str">
        <f ca="1">IF($D91&lt;&gt;"Serviço","",OFFSET(ORÇAMENTO!S$15,ROW(G91)-ROW(G$15),0))</f>
        <v>-</v>
      </c>
      <c r="H91" s="123">
        <f ca="1">IF($D91&lt;&gt;"Serviço",0,IF(ACOMPANHAMENTO="BM",ROUND(OFFSET(ORÇAMENTO!AJ$15,ROW(H91)-ROW(H$15),0),15-13*ORÇAMENTO!$AF$7),SUMPRODUCT(($Q$1:$AA$1=1)*ROUND($Q91:$AA91,15-13*ORÇAMENTO!$AF$7))))</f>
        <v>64</v>
      </c>
      <c r="I91" s="469" t="s">
        <v>1101</v>
      </c>
      <c r="J91" s="667" t="str">
        <f ca="1">IF(OR(B91&lt;&gt;"S",CÁLCULO.FrentesPreenchidas=0),"",IF(AND(ACOMPANHAMENTO="PLE",AUTOEVENTO="Manual",OR(H91&gt;0,ORÇAMENTO!AC91="QUANT."),OR(K91="",M91=0,N91="")),"►",IF(AND(ACOMPANHAMENTO="PLE",ORÇAMENTO!AC91="QUANT."),"►►",IF(AND(COUNTIF($P$11:$AA$11,"▼")=0,H91&gt;0,I91=""),"◄",""))))</f>
        <v/>
      </c>
      <c r="K91" s="668"/>
      <c r="L91" s="166" t="s">
        <v>765</v>
      </c>
      <c r="M91" s="167">
        <f ca="1">IF($D91&lt;&gt;"Serviço","",
          IF(AUTOEVENTO="manual",$A91,
                IF(ISERROR(MATCH($A91,$A$15:OFFSET($A91,-1,0),0)),MAX($M$15:OFFSET(M91,-1,0))+1,
                      INDEX($M$15:OFFSET(M91,-1,0),MATCH($A91,$A$15:OFFSET($A91,-1,0),0)))))</f>
        <v>7</v>
      </c>
      <c r="N91" s="168" t="str">
        <f ca="1">IF($D91&lt;&gt;"Serviço","",
         IF(AUTOEVENTO="Manual",
                IF($A91=0,"&lt;-- defina o número do agrupador",
                       OFFSET(EVENTOS!$D$15,$A91-$A$15,0)),
                OFFSET($F$15,$A91,0)))</f>
        <v>LINHA DE RECALQUE INCLUI TRAVESSIA - MATERIAIS</v>
      </c>
      <c r="O91" s="169"/>
      <c r="Q91" s="169"/>
      <c r="R91" s="170"/>
      <c r="S91" s="170"/>
      <c r="T91" s="170"/>
      <c r="U91" s="170"/>
      <c r="V91" s="170"/>
      <c r="W91" s="170"/>
      <c r="X91" s="170"/>
      <c r="Y91" s="170"/>
      <c r="Z91" s="171"/>
      <c r="AB91" s="454">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0</v>
      </c>
      <c r="AC91" s="454">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4">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4">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4">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4">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4">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4">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4">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4">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2">
        <f ca="1">IF(OR($D91&lt;&gt;"Serviço",AND(AUTOEVENTO="Manual",$M91=$A$15)),0,
         IF(OFFSET(CRONOPLE!$F$15,$M91-$A$15,AM$13)=0,10^12,OFFSET(CRONOPLE!$F$15,$M91-$A$15,AM$13)))</f>
        <v>1000000000000</v>
      </c>
      <c r="AN91" s="172">
        <f ca="1">IF(OR($D91&lt;&gt;"Serviço",AND(AUTOEVENTO="Manual",$M91=$A$15)),0,
         IF(OFFSET(CRONOPLE!$F$15,$M91-$A$15,AN$13)=0,10^12,OFFSET(CRONOPLE!$F$15,$M91-$A$15,AN$13)))</f>
        <v>1000000000000</v>
      </c>
      <c r="AO91" s="172">
        <f ca="1">IF(OR($D91&lt;&gt;"Serviço",AND(AUTOEVENTO="Manual",$M91=$A$15)),0,
         IF(OFFSET(CRONOPLE!$F$15,$M91-$A$15,AO$13)=0,10^12,OFFSET(CRONOPLE!$F$15,$M91-$A$15,AO$13)))</f>
        <v>1000000000000</v>
      </c>
      <c r="AP91" s="172">
        <f ca="1">IF(OR($D91&lt;&gt;"Serviço",AND(AUTOEVENTO="Manual",$M91=$A$15)),0,
         IF(OFFSET(CRONOPLE!$F$15,$M91-$A$15,AP$13)=0,10^12,OFFSET(CRONOPLE!$F$15,$M91-$A$15,AP$13)))</f>
        <v>1000000000000</v>
      </c>
      <c r="AQ91" s="172">
        <f ca="1">IF(OR($D91&lt;&gt;"Serviço",AND(AUTOEVENTO="Manual",$M91=$A$15)),0,
         IF(OFFSET(CRONOPLE!$F$15,$M91-$A$15,AQ$13)=0,10^12,OFFSET(CRONOPLE!$F$15,$M91-$A$15,AQ$13)))</f>
        <v>1000000000000</v>
      </c>
      <c r="AR91" s="172">
        <f ca="1">IF(OR($D91&lt;&gt;"Serviço",AND(AUTOEVENTO="Manual",$M91=$A$15)),0,
         IF(OFFSET(CRONOPLE!$F$15,$M91-$A$15,AR$13)=0,10^12,OFFSET(CRONOPLE!$F$15,$M91-$A$15,AR$13)))</f>
        <v>1000000000000</v>
      </c>
      <c r="AS91" s="172">
        <f ca="1">IF(OR($D91&lt;&gt;"Serviço",AND(AUTOEVENTO="Manual",$M91=$A$15)),0,
         IF(OFFSET(CRONOPLE!$F$15,$M91-$A$15,AS$13)=0,10^12,OFFSET(CRONOPLE!$F$15,$M91-$A$15,AS$13)))</f>
        <v>1000000000000</v>
      </c>
      <c r="AT91" s="172">
        <f ca="1">IF(OR($D91&lt;&gt;"Serviço",AND(AUTOEVENTO="Manual",$M91=$A$15)),0,
         IF(OFFSET(CRONOPLE!$F$15,$M91-$A$15,AT$13)=0,10^12,OFFSET(CRONOPLE!$F$15,$M91-$A$15,AT$13)))</f>
        <v>1000000000000</v>
      </c>
      <c r="AU91" s="172">
        <f ca="1">IF(OR($D91&lt;&gt;"Serviço",AND(AUTOEVENTO="Manual",$M91=$A$15)),0,
         IF(OFFSET(CRONOPLE!$F$15,$M91-$A$15,AU$13)=0,10^12,OFFSET(CRONOPLE!$F$15,$M91-$A$15,AU$13)))</f>
        <v>1000000000000</v>
      </c>
      <c r="AV91" s="172">
        <f ca="1">IF(OR($D91&lt;&gt;"Serviço",AND(AUTOEVENTO="Manual",$M91=$A$15)),0,
         IF(OFFSET(CRONOPLE!$F$15,$M91-$A$15,AV$13)=0,10^12,OFFSET(CRONOPLE!$F$15,$M91-$A$15,AV$13)))</f>
        <v>1000000000000</v>
      </c>
      <c r="AX91" s="173">
        <f ca="1">IF(OR($D91&lt;&gt;"Serviço",AND(AUTOEVENTO="Manual",$M91=$A$15),$M91&gt;(ROW(PLE.lastrow)-ROW(PLE.firstrow))),0,
           IF(OFFSET(PLE!$G$15,$M91-$A$15,AX$13)="",10^12,OFFSET(PLE!$G$15,$M91-$A$15,AX$13)))</f>
        <v>1000000000000</v>
      </c>
      <c r="AY91" s="173">
        <f ca="1">IF(OR($D91&lt;&gt;"Serviço",AND(AUTOEVENTO="Manual",$M91=$A$15),$M91&gt;(ROW(PLE.lastrow)-ROW(PLE.firstrow))),0,
           IF(OFFSET(PLE!$G$15,$M91-$A$15,AY$13)="",10^12,OFFSET(PLE!$G$15,$M91-$A$15,AY$13)))</f>
        <v>1000000000000</v>
      </c>
      <c r="AZ91" s="173">
        <f ca="1">IF(OR($D91&lt;&gt;"Serviço",AND(AUTOEVENTO="Manual",$M91=$A$15),$M91&gt;(ROW(PLE.lastrow)-ROW(PLE.firstrow))),0,
           IF(OFFSET(PLE!$G$15,$M91-$A$15,AZ$13)="",10^12,OFFSET(PLE!$G$15,$M91-$A$15,AZ$13)))</f>
        <v>1000000000000</v>
      </c>
      <c r="BA91" s="173">
        <f ca="1">IF(OR($D91&lt;&gt;"Serviço",AND(AUTOEVENTO="Manual",$M91=$A$15),$M91&gt;(ROW(PLE.lastrow)-ROW(PLE.firstrow))),0,
           IF(OFFSET(PLE!$G$15,$M91-$A$15,BA$13)="",10^12,OFFSET(PLE!$G$15,$M91-$A$15,BA$13)))</f>
        <v>1000000000000</v>
      </c>
      <c r="BB91" s="173">
        <f ca="1">IF(OR($D91&lt;&gt;"Serviço",AND(AUTOEVENTO="Manual",$M91=$A$15),$M91&gt;(ROW(PLE.lastrow)-ROW(PLE.firstrow))),0,
           IF(OFFSET(PLE!$G$15,$M91-$A$15,BB$13)="",10^12,OFFSET(PLE!$G$15,$M91-$A$15,BB$13)))</f>
        <v>1000000000000</v>
      </c>
      <c r="BC91" s="173">
        <f ca="1">IF(OR($D91&lt;&gt;"Serviço",AND(AUTOEVENTO="Manual",$M91=$A$15),$M91&gt;(ROW(PLE.lastrow)-ROW(PLE.firstrow))),0,
           IF(OFFSET(PLE!$G$15,$M91-$A$15,BC$13)="",10^12,OFFSET(PLE!$G$15,$M91-$A$15,BC$13)))</f>
        <v>1000000000000</v>
      </c>
      <c r="BD91" s="173">
        <f ca="1">IF(OR($D91&lt;&gt;"Serviço",AND(AUTOEVENTO="Manual",$M91=$A$15),$M91&gt;(ROW(PLE.lastrow)-ROW(PLE.firstrow))),0,
           IF(OFFSET(PLE!$G$15,$M91-$A$15,BD$13)="",10^12,OFFSET(PLE!$G$15,$M91-$A$15,BD$13)))</f>
        <v>1000000000000</v>
      </c>
      <c r="BE91" s="173">
        <f ca="1">IF(OR($D91&lt;&gt;"Serviço",AND(AUTOEVENTO="Manual",$M91=$A$15),$M91&gt;(ROW(PLE.lastrow)-ROW(PLE.firstrow))),0,
           IF(OFFSET(PLE!$G$15,$M91-$A$15,BE$13)="",10^12,OFFSET(PLE!$G$15,$M91-$A$15,BE$13)))</f>
        <v>1000000000000</v>
      </c>
      <c r="BF91" s="173">
        <f ca="1">IF(OR($D91&lt;&gt;"Serviço",AND(AUTOEVENTO="Manual",$M91=$A$15),$M91&gt;(ROW(PLE.lastrow)-ROW(PLE.firstrow))),0,
           IF(OFFSET(PLE!$G$15,$M91-$A$15,BF$13)="",10^12,OFFSET(PLE!$G$15,$M91-$A$15,BF$13)))</f>
        <v>1000000000000</v>
      </c>
      <c r="BG91" s="173">
        <f ca="1">IF(OR($D91&lt;&gt;"Serviço",AND(AUTOEVENTO="Manual",$M91=$A$15),$M91&gt;(ROW(PLE.lastrow)-ROW(PLE.firstrow))),0,
           IF(OFFSET(PLE!$G$15,$M91-$A$15,BG$13)="",10^12,OFFSET(PLE!$G$15,$M91-$A$15,BG$13)))</f>
        <v>1000000000000</v>
      </c>
    </row>
    <row r="92" spans="1:59" s="675" customFormat="1" ht="12.75" x14ac:dyDescent="0.2">
      <c r="A92" s="671" t="str">
        <f t="shared" ca="1" si="10"/>
        <v>77.</v>
      </c>
      <c r="B92" s="671">
        <f ca="1">OFFSET(ORÇAMENTO!C$15,ROW(B92)-ROW(B$15),0)</f>
        <v>2</v>
      </c>
      <c r="C92" s="671" t="str">
        <f ca="1">OFFSET(ORÇAMENTO!L$15,ROW(C92)-ROW(C$15),0)</f>
        <v>F</v>
      </c>
      <c r="D92" s="117" t="str">
        <f ca="1">OFFSET(ORÇAMENTO!N$15,ROW(D92)-ROW(D$15),0)</f>
        <v>Nível 2</v>
      </c>
      <c r="E92" s="118" t="str">
        <f ca="1">OFFSET(ORÇAMENTO!O$15,ROW(E92)-ROW(E$15),0)</f>
        <v>1.9.</v>
      </c>
      <c r="F92" s="164" t="str">
        <f ca="1">OFFSET(ORÇAMENTO!R$15,ROW(F92)-ROW(F$15),0)</f>
        <v xml:space="preserve">TRAVESSIA RODOVIA MG-050 - MATERIAIS </v>
      </c>
      <c r="G92" s="165" t="str">
        <f ca="1">IF($D92&lt;&gt;"Serviço","",OFFSET(ORÇAMENTO!S$15,ROW(G92)-ROW(G$15),0))</f>
        <v/>
      </c>
      <c r="H92" s="123">
        <f ca="1">IF($D92&lt;&gt;"Serviço",0,IF(ACOMPANHAMENTO="BM",ROUND(OFFSET(ORÇAMENTO!AJ$15,ROW(H92)-ROW(H$15),0),15-13*ORÇAMENTO!$AF$7),SUMPRODUCT(($Q$1:$AA$1=1)*ROUND($Q92:$AA92,15-13*ORÇAMENTO!$AF$7))))</f>
        <v>0</v>
      </c>
      <c r="I92" s="469"/>
      <c r="J92" s="667" t="str">
        <f ca="1">IF(OR(B92&lt;&gt;"S",CÁLCULO.FrentesPreenchidas=0),"",IF(AND(ACOMPANHAMENTO="PLE",AUTOEVENTO="Manual",OR(H92&gt;0,ORÇAMENTO!AC92="QUANT."),OR(K92="",M92=0,N92="")),"►",IF(AND(ACOMPANHAMENTO="PLE",ORÇAMENTO!AC92="QUANT."),"►►",IF(AND(COUNTIF($P$11:$AA$11,"▼")=0,H92&gt;0,I92=""),"◄",""))))</f>
        <v/>
      </c>
      <c r="K92" s="668"/>
      <c r="L92" s="166" t="s">
        <v>765</v>
      </c>
      <c r="M92" s="167" t="str">
        <f ca="1">IF($D92&lt;&gt;"Serviço","",
          IF(AUTOEVENTO="manual",$A92,
                IF(ISERROR(MATCH($A92,$A$15:OFFSET($A92,-1,0),0)),MAX($M$15:OFFSET(M92,-1,0))+1,
                      INDEX($M$15:OFFSET(M92,-1,0),MATCH($A92,$A$15:OFFSET($A92,-1,0),0)))))</f>
        <v/>
      </c>
      <c r="N92" s="168" t="str">
        <f ca="1">IF($D92&lt;&gt;"Serviço","",
         IF(AUTOEVENTO="Manual",
                IF($A92=0,"&lt;-- defina o número do agrupador",
                       OFFSET(EVENTOS!$D$15,$A92-$A$15,0)),
                OFFSET($F$15,$A92,0)))</f>
        <v/>
      </c>
      <c r="O92" s="169"/>
      <c r="Q92" s="169"/>
      <c r="R92" s="170"/>
      <c r="S92" s="170"/>
      <c r="T92" s="170"/>
      <c r="U92" s="170"/>
      <c r="V92" s="170"/>
      <c r="W92" s="170"/>
      <c r="X92" s="170"/>
      <c r="Y92" s="170"/>
      <c r="Z92" s="171"/>
      <c r="AB92" s="454">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0</v>
      </c>
      <c r="AC92" s="454">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0</v>
      </c>
      <c r="AD92" s="454">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0</v>
      </c>
      <c r="AE92" s="454">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4">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4">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4">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4">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4">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4">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2">
        <f ca="1">IF(OR($D92&lt;&gt;"Serviço",AND(AUTOEVENTO="Manual",$M92=$A$15)),0,
         IF(OFFSET(CRONOPLE!$F$15,$M92-$A$15,AM$13)=0,10^12,OFFSET(CRONOPLE!$F$15,$M92-$A$15,AM$13)))</f>
        <v>0</v>
      </c>
      <c r="AN92" s="172">
        <f ca="1">IF(OR($D92&lt;&gt;"Serviço",AND(AUTOEVENTO="Manual",$M92=$A$15)),0,
         IF(OFFSET(CRONOPLE!$F$15,$M92-$A$15,AN$13)=0,10^12,OFFSET(CRONOPLE!$F$15,$M92-$A$15,AN$13)))</f>
        <v>0</v>
      </c>
      <c r="AO92" s="172">
        <f ca="1">IF(OR($D92&lt;&gt;"Serviço",AND(AUTOEVENTO="Manual",$M92=$A$15)),0,
         IF(OFFSET(CRONOPLE!$F$15,$M92-$A$15,AO$13)=0,10^12,OFFSET(CRONOPLE!$F$15,$M92-$A$15,AO$13)))</f>
        <v>0</v>
      </c>
      <c r="AP92" s="172">
        <f ca="1">IF(OR($D92&lt;&gt;"Serviço",AND(AUTOEVENTO="Manual",$M92=$A$15)),0,
         IF(OFFSET(CRONOPLE!$F$15,$M92-$A$15,AP$13)=0,10^12,OFFSET(CRONOPLE!$F$15,$M92-$A$15,AP$13)))</f>
        <v>0</v>
      </c>
      <c r="AQ92" s="172">
        <f ca="1">IF(OR($D92&lt;&gt;"Serviço",AND(AUTOEVENTO="Manual",$M92=$A$15)),0,
         IF(OFFSET(CRONOPLE!$F$15,$M92-$A$15,AQ$13)=0,10^12,OFFSET(CRONOPLE!$F$15,$M92-$A$15,AQ$13)))</f>
        <v>0</v>
      </c>
      <c r="AR92" s="172">
        <f ca="1">IF(OR($D92&lt;&gt;"Serviço",AND(AUTOEVENTO="Manual",$M92=$A$15)),0,
         IF(OFFSET(CRONOPLE!$F$15,$M92-$A$15,AR$13)=0,10^12,OFFSET(CRONOPLE!$F$15,$M92-$A$15,AR$13)))</f>
        <v>0</v>
      </c>
      <c r="AS92" s="172">
        <f ca="1">IF(OR($D92&lt;&gt;"Serviço",AND(AUTOEVENTO="Manual",$M92=$A$15)),0,
         IF(OFFSET(CRONOPLE!$F$15,$M92-$A$15,AS$13)=0,10^12,OFFSET(CRONOPLE!$F$15,$M92-$A$15,AS$13)))</f>
        <v>0</v>
      </c>
      <c r="AT92" s="172">
        <f ca="1">IF(OR($D92&lt;&gt;"Serviço",AND(AUTOEVENTO="Manual",$M92=$A$15)),0,
         IF(OFFSET(CRONOPLE!$F$15,$M92-$A$15,AT$13)=0,10^12,OFFSET(CRONOPLE!$F$15,$M92-$A$15,AT$13)))</f>
        <v>0</v>
      </c>
      <c r="AU92" s="172">
        <f ca="1">IF(OR($D92&lt;&gt;"Serviço",AND(AUTOEVENTO="Manual",$M92=$A$15)),0,
         IF(OFFSET(CRONOPLE!$F$15,$M92-$A$15,AU$13)=0,10^12,OFFSET(CRONOPLE!$F$15,$M92-$A$15,AU$13)))</f>
        <v>0</v>
      </c>
      <c r="AV92" s="172">
        <f ca="1">IF(OR($D92&lt;&gt;"Serviço",AND(AUTOEVENTO="Manual",$M92=$A$15)),0,
         IF(OFFSET(CRONOPLE!$F$15,$M92-$A$15,AV$13)=0,10^12,OFFSET(CRONOPLE!$F$15,$M92-$A$15,AV$13)))</f>
        <v>0</v>
      </c>
      <c r="AX92" s="173">
        <f ca="1">IF(OR($D92&lt;&gt;"Serviço",AND(AUTOEVENTO="Manual",$M92=$A$15),$M92&gt;(ROW(PLE.lastrow)-ROW(PLE.firstrow))),0,
           IF(OFFSET(PLE!$G$15,$M92-$A$15,AX$13)="",10^12,OFFSET(PLE!$G$15,$M92-$A$15,AX$13)))</f>
        <v>0</v>
      </c>
      <c r="AY92" s="173">
        <f ca="1">IF(OR($D92&lt;&gt;"Serviço",AND(AUTOEVENTO="Manual",$M92=$A$15),$M92&gt;(ROW(PLE.lastrow)-ROW(PLE.firstrow))),0,
           IF(OFFSET(PLE!$G$15,$M92-$A$15,AY$13)="",10^12,OFFSET(PLE!$G$15,$M92-$A$15,AY$13)))</f>
        <v>0</v>
      </c>
      <c r="AZ92" s="173">
        <f ca="1">IF(OR($D92&lt;&gt;"Serviço",AND(AUTOEVENTO="Manual",$M92=$A$15),$M92&gt;(ROW(PLE.lastrow)-ROW(PLE.firstrow))),0,
           IF(OFFSET(PLE!$G$15,$M92-$A$15,AZ$13)="",10^12,OFFSET(PLE!$G$15,$M92-$A$15,AZ$13)))</f>
        <v>0</v>
      </c>
      <c r="BA92" s="173">
        <f ca="1">IF(OR($D92&lt;&gt;"Serviço",AND(AUTOEVENTO="Manual",$M92=$A$15),$M92&gt;(ROW(PLE.lastrow)-ROW(PLE.firstrow))),0,
           IF(OFFSET(PLE!$G$15,$M92-$A$15,BA$13)="",10^12,OFFSET(PLE!$G$15,$M92-$A$15,BA$13)))</f>
        <v>0</v>
      </c>
      <c r="BB92" s="173">
        <f ca="1">IF(OR($D92&lt;&gt;"Serviço",AND(AUTOEVENTO="Manual",$M92=$A$15),$M92&gt;(ROW(PLE.lastrow)-ROW(PLE.firstrow))),0,
           IF(OFFSET(PLE!$G$15,$M92-$A$15,BB$13)="",10^12,OFFSET(PLE!$G$15,$M92-$A$15,BB$13)))</f>
        <v>0</v>
      </c>
      <c r="BC92" s="173">
        <f ca="1">IF(OR($D92&lt;&gt;"Serviço",AND(AUTOEVENTO="Manual",$M92=$A$15),$M92&gt;(ROW(PLE.lastrow)-ROW(PLE.firstrow))),0,
           IF(OFFSET(PLE!$G$15,$M92-$A$15,BC$13)="",10^12,OFFSET(PLE!$G$15,$M92-$A$15,BC$13)))</f>
        <v>0</v>
      </c>
      <c r="BD92" s="173">
        <f ca="1">IF(OR($D92&lt;&gt;"Serviço",AND(AUTOEVENTO="Manual",$M92=$A$15),$M92&gt;(ROW(PLE.lastrow)-ROW(PLE.firstrow))),0,
           IF(OFFSET(PLE!$G$15,$M92-$A$15,BD$13)="",10^12,OFFSET(PLE!$G$15,$M92-$A$15,BD$13)))</f>
        <v>0</v>
      </c>
      <c r="BE92" s="173">
        <f ca="1">IF(OR($D92&lt;&gt;"Serviço",AND(AUTOEVENTO="Manual",$M92=$A$15),$M92&gt;(ROW(PLE.lastrow)-ROW(PLE.firstrow))),0,
           IF(OFFSET(PLE!$G$15,$M92-$A$15,BE$13)="",10^12,OFFSET(PLE!$G$15,$M92-$A$15,BE$13)))</f>
        <v>0</v>
      </c>
      <c r="BF92" s="173">
        <f ca="1">IF(OR($D92&lt;&gt;"Serviço",AND(AUTOEVENTO="Manual",$M92=$A$15),$M92&gt;(ROW(PLE.lastrow)-ROW(PLE.firstrow))),0,
           IF(OFFSET(PLE!$G$15,$M92-$A$15,BF$13)="",10^12,OFFSET(PLE!$G$15,$M92-$A$15,BF$13)))</f>
        <v>0</v>
      </c>
      <c r="BG92" s="173">
        <f ca="1">IF(OR($D92&lt;&gt;"Serviço",AND(AUTOEVENTO="Manual",$M92=$A$15),$M92&gt;(ROW(PLE.lastrow)-ROW(PLE.firstrow))),0,
           IF(OFFSET(PLE!$G$15,$M92-$A$15,BG$13)="",10^12,OFFSET(PLE!$G$15,$M92-$A$15,BG$13)))</f>
        <v>0</v>
      </c>
    </row>
    <row r="93" spans="1:59" s="675" customFormat="1" ht="38.25" x14ac:dyDescent="0.2">
      <c r="A93" s="671" t="str">
        <f t="shared" ca="1" si="10"/>
        <v>77</v>
      </c>
      <c r="B93" s="671" t="str">
        <f ca="1">OFFSET(ORÇAMENTO!C$15,ROW(B93)-ROW(B$15),0)</f>
        <v>S</v>
      </c>
      <c r="C93" s="671" t="str">
        <f ca="1">OFFSET(ORÇAMENTO!L$15,ROW(C93)-ROW(C$15),0)</f>
        <v/>
      </c>
      <c r="D93" s="117" t="str">
        <f ca="1">OFFSET(ORÇAMENTO!N$15,ROW(D93)-ROW(D$15),0)</f>
        <v>Serviço</v>
      </c>
      <c r="E93" s="118" t="str">
        <f ca="1">OFFSET(ORÇAMENTO!O$15,ROW(E93)-ROW(E$15),0)</f>
        <v>-</v>
      </c>
      <c r="F93" s="164" t="str">
        <f ca="1">OFFSET(ORÇAMENTO!R$15,ROW(F93)-ROW(F$15),0)</f>
        <v>(abra o arquivo 'Referência 09-2025.xlsm)</v>
      </c>
      <c r="G93" s="165" t="str">
        <f ca="1">IF($D93&lt;&gt;"Serviço","",OFFSET(ORÇAMENTO!S$15,ROW(G93)-ROW(G$15),0))</f>
        <v>-</v>
      </c>
      <c r="H93" s="123">
        <f ca="1">IF($D93&lt;&gt;"Serviço",0,IF(ACOMPANHAMENTO="BM",ROUND(OFFSET(ORÇAMENTO!AJ$15,ROW(H93)-ROW(H$15),0),15-13*ORÇAMENTO!$AF$7),SUMPRODUCT(($Q$1:$AA$1=1)*ROUND($Q93:$AA93,15-13*ORÇAMENTO!$AF$7))))</f>
        <v>52</v>
      </c>
      <c r="I93" s="469" t="s">
        <v>1101</v>
      </c>
      <c r="J93" s="667" t="str">
        <f ca="1">IF(OR(B93&lt;&gt;"S",CÁLCULO.FrentesPreenchidas=0),"",IF(AND(ACOMPANHAMENTO="PLE",AUTOEVENTO="Manual",OR(H93&gt;0,ORÇAMENTO!AC93="QUANT."),OR(K93="",M93=0,N93="")),"►",IF(AND(ACOMPANHAMENTO="PLE",ORÇAMENTO!AC93="QUANT."),"►►",IF(AND(COUNTIF($P$11:$AA$11,"▼")=0,H93&gt;0,I93=""),"◄",""))))</f>
        <v/>
      </c>
      <c r="K93" s="668"/>
      <c r="L93" s="166" t="s">
        <v>765</v>
      </c>
      <c r="M93" s="167">
        <f ca="1">IF($D93&lt;&gt;"Serviço","",
          IF(AUTOEVENTO="manual",$A93,
                IF(ISERROR(MATCH($A93,$A$15:OFFSET($A93,-1,0),0)),MAX($M$15:OFFSET(M93,-1,0))+1,
                      INDEX($M$15:OFFSET(M93,-1,0),MATCH($A93,$A$15:OFFSET($A93,-1,0),0)))))</f>
        <v>8</v>
      </c>
      <c r="N93" s="168" t="str">
        <f ca="1">IF($D93&lt;&gt;"Serviço","",
         IF(AUTOEVENTO="Manual",
                IF($A93=0,"&lt;-- defina o número do agrupador",
                       OFFSET(EVENTOS!$D$15,$A93-$A$15,0)),
                OFFSET($F$15,$A93,0)))</f>
        <v xml:space="preserve">TRAVESSIA RODOVIA MG-050 - MATERIAIS </v>
      </c>
      <c r="O93" s="169"/>
      <c r="Q93" s="169"/>
      <c r="R93" s="170"/>
      <c r="S93" s="170"/>
      <c r="T93" s="170"/>
      <c r="U93" s="170"/>
      <c r="V93" s="170"/>
      <c r="W93" s="170"/>
      <c r="X93" s="170"/>
      <c r="Y93" s="170"/>
      <c r="Z93" s="171"/>
      <c r="AB93" s="454">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0</v>
      </c>
      <c r="AC93" s="454">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4">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4">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4">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4">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4">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4">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4">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4">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2">
        <f ca="1">IF(OR($D93&lt;&gt;"Serviço",AND(AUTOEVENTO="Manual",$M93=$A$15)),0,
         IF(OFFSET(CRONOPLE!$F$15,$M93-$A$15,AM$13)=0,10^12,OFFSET(CRONOPLE!$F$15,$M93-$A$15,AM$13)))</f>
        <v>1000000000000</v>
      </c>
      <c r="AN93" s="172">
        <f ca="1">IF(OR($D93&lt;&gt;"Serviço",AND(AUTOEVENTO="Manual",$M93=$A$15)),0,
         IF(OFFSET(CRONOPLE!$F$15,$M93-$A$15,AN$13)=0,10^12,OFFSET(CRONOPLE!$F$15,$M93-$A$15,AN$13)))</f>
        <v>1000000000000</v>
      </c>
      <c r="AO93" s="172">
        <f ca="1">IF(OR($D93&lt;&gt;"Serviço",AND(AUTOEVENTO="Manual",$M93=$A$15)),0,
         IF(OFFSET(CRONOPLE!$F$15,$M93-$A$15,AO$13)=0,10^12,OFFSET(CRONOPLE!$F$15,$M93-$A$15,AO$13)))</f>
        <v>1000000000000</v>
      </c>
      <c r="AP93" s="172">
        <f ca="1">IF(OR($D93&lt;&gt;"Serviço",AND(AUTOEVENTO="Manual",$M93=$A$15)),0,
         IF(OFFSET(CRONOPLE!$F$15,$M93-$A$15,AP$13)=0,10^12,OFFSET(CRONOPLE!$F$15,$M93-$A$15,AP$13)))</f>
        <v>1000000000000</v>
      </c>
      <c r="AQ93" s="172">
        <f ca="1">IF(OR($D93&lt;&gt;"Serviço",AND(AUTOEVENTO="Manual",$M93=$A$15)),0,
         IF(OFFSET(CRONOPLE!$F$15,$M93-$A$15,AQ$13)=0,10^12,OFFSET(CRONOPLE!$F$15,$M93-$A$15,AQ$13)))</f>
        <v>1000000000000</v>
      </c>
      <c r="AR93" s="172">
        <f ca="1">IF(OR($D93&lt;&gt;"Serviço",AND(AUTOEVENTO="Manual",$M93=$A$15)),0,
         IF(OFFSET(CRONOPLE!$F$15,$M93-$A$15,AR$13)=0,10^12,OFFSET(CRONOPLE!$F$15,$M93-$A$15,AR$13)))</f>
        <v>1000000000000</v>
      </c>
      <c r="AS93" s="172">
        <f ca="1">IF(OR($D93&lt;&gt;"Serviço",AND(AUTOEVENTO="Manual",$M93=$A$15)),0,
         IF(OFFSET(CRONOPLE!$F$15,$M93-$A$15,AS$13)=0,10^12,OFFSET(CRONOPLE!$F$15,$M93-$A$15,AS$13)))</f>
        <v>1000000000000</v>
      </c>
      <c r="AT93" s="172">
        <f ca="1">IF(OR($D93&lt;&gt;"Serviço",AND(AUTOEVENTO="Manual",$M93=$A$15)),0,
         IF(OFFSET(CRONOPLE!$F$15,$M93-$A$15,AT$13)=0,10^12,OFFSET(CRONOPLE!$F$15,$M93-$A$15,AT$13)))</f>
        <v>1000000000000</v>
      </c>
      <c r="AU93" s="172">
        <f ca="1">IF(OR($D93&lt;&gt;"Serviço",AND(AUTOEVENTO="Manual",$M93=$A$15)),0,
         IF(OFFSET(CRONOPLE!$F$15,$M93-$A$15,AU$13)=0,10^12,OFFSET(CRONOPLE!$F$15,$M93-$A$15,AU$13)))</f>
        <v>1000000000000</v>
      </c>
      <c r="AV93" s="172">
        <f ca="1">IF(OR($D93&lt;&gt;"Serviço",AND(AUTOEVENTO="Manual",$M93=$A$15)),0,
         IF(OFFSET(CRONOPLE!$F$15,$M93-$A$15,AV$13)=0,10^12,OFFSET(CRONOPLE!$F$15,$M93-$A$15,AV$13)))</f>
        <v>1000000000000</v>
      </c>
      <c r="AX93" s="173">
        <f ca="1">IF(OR($D93&lt;&gt;"Serviço",AND(AUTOEVENTO="Manual",$M93=$A$15),$M93&gt;(ROW(PLE.lastrow)-ROW(PLE.firstrow))),0,
           IF(OFFSET(PLE!$G$15,$M93-$A$15,AX$13)="",10^12,OFFSET(PLE!$G$15,$M93-$A$15,AX$13)))</f>
        <v>1000000000000</v>
      </c>
      <c r="AY93" s="173">
        <f ca="1">IF(OR($D93&lt;&gt;"Serviço",AND(AUTOEVENTO="Manual",$M93=$A$15),$M93&gt;(ROW(PLE.lastrow)-ROW(PLE.firstrow))),0,
           IF(OFFSET(PLE!$G$15,$M93-$A$15,AY$13)="",10^12,OFFSET(PLE!$G$15,$M93-$A$15,AY$13)))</f>
        <v>1000000000000</v>
      </c>
      <c r="AZ93" s="173">
        <f ca="1">IF(OR($D93&lt;&gt;"Serviço",AND(AUTOEVENTO="Manual",$M93=$A$15),$M93&gt;(ROW(PLE.lastrow)-ROW(PLE.firstrow))),0,
           IF(OFFSET(PLE!$G$15,$M93-$A$15,AZ$13)="",10^12,OFFSET(PLE!$G$15,$M93-$A$15,AZ$13)))</f>
        <v>1000000000000</v>
      </c>
      <c r="BA93" s="173">
        <f ca="1">IF(OR($D93&lt;&gt;"Serviço",AND(AUTOEVENTO="Manual",$M93=$A$15),$M93&gt;(ROW(PLE.lastrow)-ROW(PLE.firstrow))),0,
           IF(OFFSET(PLE!$G$15,$M93-$A$15,BA$13)="",10^12,OFFSET(PLE!$G$15,$M93-$A$15,BA$13)))</f>
        <v>1000000000000</v>
      </c>
      <c r="BB93" s="173">
        <f ca="1">IF(OR($D93&lt;&gt;"Serviço",AND(AUTOEVENTO="Manual",$M93=$A$15),$M93&gt;(ROW(PLE.lastrow)-ROW(PLE.firstrow))),0,
           IF(OFFSET(PLE!$G$15,$M93-$A$15,BB$13)="",10^12,OFFSET(PLE!$G$15,$M93-$A$15,BB$13)))</f>
        <v>1000000000000</v>
      </c>
      <c r="BC93" s="173">
        <f ca="1">IF(OR($D93&lt;&gt;"Serviço",AND(AUTOEVENTO="Manual",$M93=$A$15),$M93&gt;(ROW(PLE.lastrow)-ROW(PLE.firstrow))),0,
           IF(OFFSET(PLE!$G$15,$M93-$A$15,BC$13)="",10^12,OFFSET(PLE!$G$15,$M93-$A$15,BC$13)))</f>
        <v>1000000000000</v>
      </c>
      <c r="BD93" s="173">
        <f ca="1">IF(OR($D93&lt;&gt;"Serviço",AND(AUTOEVENTO="Manual",$M93=$A$15),$M93&gt;(ROW(PLE.lastrow)-ROW(PLE.firstrow))),0,
           IF(OFFSET(PLE!$G$15,$M93-$A$15,BD$13)="",10^12,OFFSET(PLE!$G$15,$M93-$A$15,BD$13)))</f>
        <v>1000000000000</v>
      </c>
      <c r="BE93" s="173">
        <f ca="1">IF(OR($D93&lt;&gt;"Serviço",AND(AUTOEVENTO="Manual",$M93=$A$15),$M93&gt;(ROW(PLE.lastrow)-ROW(PLE.firstrow))),0,
           IF(OFFSET(PLE!$G$15,$M93-$A$15,BE$13)="",10^12,OFFSET(PLE!$G$15,$M93-$A$15,BE$13)))</f>
        <v>1000000000000</v>
      </c>
      <c r="BF93" s="173">
        <f ca="1">IF(OR($D93&lt;&gt;"Serviço",AND(AUTOEVENTO="Manual",$M93=$A$15),$M93&gt;(ROW(PLE.lastrow)-ROW(PLE.firstrow))),0,
           IF(OFFSET(PLE!$G$15,$M93-$A$15,BF$13)="",10^12,OFFSET(PLE!$G$15,$M93-$A$15,BF$13)))</f>
        <v>1000000000000</v>
      </c>
      <c r="BG93" s="173">
        <f ca="1">IF(OR($D93&lt;&gt;"Serviço",AND(AUTOEVENTO="Manual",$M93=$A$15),$M93&gt;(ROW(PLE.lastrow)-ROW(PLE.firstrow))),0,
           IF(OFFSET(PLE!$G$15,$M93-$A$15,BG$13)="",10^12,OFFSET(PLE!$G$15,$M93-$A$15,BG$13)))</f>
        <v>1000000000000</v>
      </c>
    </row>
    <row r="94" spans="1:59" s="675" customFormat="1" ht="38.25" x14ac:dyDescent="0.2">
      <c r="A94" s="671" t="str">
        <f t="shared" ca="1" si="10"/>
        <v>77</v>
      </c>
      <c r="B94" s="671" t="str">
        <f ca="1">OFFSET(ORÇAMENTO!C$15,ROW(B94)-ROW(B$15),0)</f>
        <v>S</v>
      </c>
      <c r="C94" s="671" t="str">
        <f ca="1">OFFSET(ORÇAMENTO!L$15,ROW(C94)-ROW(C$15),0)</f>
        <v/>
      </c>
      <c r="D94" s="117" t="str">
        <f ca="1">OFFSET(ORÇAMENTO!N$15,ROW(D94)-ROW(D$15),0)</f>
        <v>Serviço</v>
      </c>
      <c r="E94" s="118" t="str">
        <f ca="1">OFFSET(ORÇAMENTO!O$15,ROW(E94)-ROW(E$15),0)</f>
        <v>-</v>
      </c>
      <c r="F94" s="164" t="str">
        <f ca="1">OFFSET(ORÇAMENTO!R$15,ROW(F94)-ROW(F$15),0)</f>
        <v>(abra o arquivo 'Referência 09-2025.xlsm)</v>
      </c>
      <c r="G94" s="165" t="str">
        <f ca="1">IF($D94&lt;&gt;"Serviço","",OFFSET(ORÇAMENTO!S$15,ROW(G94)-ROW(G$15),0))</f>
        <v>-</v>
      </c>
      <c r="H94" s="123">
        <f ca="1">IF($D94&lt;&gt;"Serviço",0,IF(ACOMPANHAMENTO="BM",ROUND(OFFSET(ORÇAMENTO!AJ$15,ROW(H94)-ROW(H$15),0),15-13*ORÇAMENTO!$AF$7),SUMPRODUCT(($Q$1:$AA$1=1)*ROUND($Q94:$AA94,15-13*ORÇAMENTO!$AF$7))))</f>
        <v>2</v>
      </c>
      <c r="I94" s="469" t="s">
        <v>1102</v>
      </c>
      <c r="J94" s="667" t="str">
        <f ca="1">IF(OR(B94&lt;&gt;"S",CÁLCULO.FrentesPreenchidas=0),"",IF(AND(ACOMPANHAMENTO="PLE",AUTOEVENTO="Manual",OR(H94&gt;0,ORÇAMENTO!AC94="QUANT."),OR(K94="",M94=0,N94="")),"►",IF(AND(ACOMPANHAMENTO="PLE",ORÇAMENTO!AC94="QUANT."),"►►",IF(AND(COUNTIF($P$11:$AA$11,"▼")=0,H94&gt;0,I94=""),"◄",""))))</f>
        <v/>
      </c>
      <c r="K94" s="668"/>
      <c r="L94" s="166" t="s">
        <v>765</v>
      </c>
      <c r="M94" s="167">
        <f ca="1">IF($D94&lt;&gt;"Serviço","",
          IF(AUTOEVENTO="manual",$A94,
                IF(ISERROR(MATCH($A94,$A$15:OFFSET($A94,-1,0),0)),MAX($M$15:OFFSET(M94,-1,0))+1,
                      INDEX($M$15:OFFSET(M94,-1,0),MATCH($A94,$A$15:OFFSET($A94,-1,0),0)))))</f>
        <v>8</v>
      </c>
      <c r="N94" s="168" t="str">
        <f ca="1">IF($D94&lt;&gt;"Serviço","",
         IF(AUTOEVENTO="Manual",
                IF($A94=0,"&lt;-- defina o número do agrupador",
                       OFFSET(EVENTOS!$D$15,$A94-$A$15,0)),
                OFFSET($F$15,$A94,0)))</f>
        <v xml:space="preserve">TRAVESSIA RODOVIA MG-050 - MATERIAIS </v>
      </c>
      <c r="O94" s="169"/>
      <c r="Q94" s="169"/>
      <c r="R94" s="170"/>
      <c r="S94" s="170"/>
      <c r="T94" s="170"/>
      <c r="U94" s="170"/>
      <c r="V94" s="170"/>
      <c r="W94" s="170"/>
      <c r="X94" s="170"/>
      <c r="Y94" s="170"/>
      <c r="Z94" s="171"/>
      <c r="AB94" s="454">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0</v>
      </c>
      <c r="AC94" s="454">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0</v>
      </c>
      <c r="AD94" s="454">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0</v>
      </c>
      <c r="AE94" s="454">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4">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4">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4">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4">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4">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4">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2">
        <f ca="1">IF(OR($D94&lt;&gt;"Serviço",AND(AUTOEVENTO="Manual",$M94=$A$15)),0,
         IF(OFFSET(CRONOPLE!$F$15,$M94-$A$15,AM$13)=0,10^12,OFFSET(CRONOPLE!$F$15,$M94-$A$15,AM$13)))</f>
        <v>1000000000000</v>
      </c>
      <c r="AN94" s="172">
        <f ca="1">IF(OR($D94&lt;&gt;"Serviço",AND(AUTOEVENTO="Manual",$M94=$A$15)),0,
         IF(OFFSET(CRONOPLE!$F$15,$M94-$A$15,AN$13)=0,10^12,OFFSET(CRONOPLE!$F$15,$M94-$A$15,AN$13)))</f>
        <v>1000000000000</v>
      </c>
      <c r="AO94" s="172">
        <f ca="1">IF(OR($D94&lt;&gt;"Serviço",AND(AUTOEVENTO="Manual",$M94=$A$15)),0,
         IF(OFFSET(CRONOPLE!$F$15,$M94-$A$15,AO$13)=0,10^12,OFFSET(CRONOPLE!$F$15,$M94-$A$15,AO$13)))</f>
        <v>1000000000000</v>
      </c>
      <c r="AP94" s="172">
        <f ca="1">IF(OR($D94&lt;&gt;"Serviço",AND(AUTOEVENTO="Manual",$M94=$A$15)),0,
         IF(OFFSET(CRONOPLE!$F$15,$M94-$A$15,AP$13)=0,10^12,OFFSET(CRONOPLE!$F$15,$M94-$A$15,AP$13)))</f>
        <v>1000000000000</v>
      </c>
      <c r="AQ94" s="172">
        <f ca="1">IF(OR($D94&lt;&gt;"Serviço",AND(AUTOEVENTO="Manual",$M94=$A$15)),0,
         IF(OFFSET(CRONOPLE!$F$15,$M94-$A$15,AQ$13)=0,10^12,OFFSET(CRONOPLE!$F$15,$M94-$A$15,AQ$13)))</f>
        <v>1000000000000</v>
      </c>
      <c r="AR94" s="172">
        <f ca="1">IF(OR($D94&lt;&gt;"Serviço",AND(AUTOEVENTO="Manual",$M94=$A$15)),0,
         IF(OFFSET(CRONOPLE!$F$15,$M94-$A$15,AR$13)=0,10^12,OFFSET(CRONOPLE!$F$15,$M94-$A$15,AR$13)))</f>
        <v>1000000000000</v>
      </c>
      <c r="AS94" s="172">
        <f ca="1">IF(OR($D94&lt;&gt;"Serviço",AND(AUTOEVENTO="Manual",$M94=$A$15)),0,
         IF(OFFSET(CRONOPLE!$F$15,$M94-$A$15,AS$13)=0,10^12,OFFSET(CRONOPLE!$F$15,$M94-$A$15,AS$13)))</f>
        <v>1000000000000</v>
      </c>
      <c r="AT94" s="172">
        <f ca="1">IF(OR($D94&lt;&gt;"Serviço",AND(AUTOEVENTO="Manual",$M94=$A$15)),0,
         IF(OFFSET(CRONOPLE!$F$15,$M94-$A$15,AT$13)=0,10^12,OFFSET(CRONOPLE!$F$15,$M94-$A$15,AT$13)))</f>
        <v>1000000000000</v>
      </c>
      <c r="AU94" s="172">
        <f ca="1">IF(OR($D94&lt;&gt;"Serviço",AND(AUTOEVENTO="Manual",$M94=$A$15)),0,
         IF(OFFSET(CRONOPLE!$F$15,$M94-$A$15,AU$13)=0,10^12,OFFSET(CRONOPLE!$F$15,$M94-$A$15,AU$13)))</f>
        <v>1000000000000</v>
      </c>
      <c r="AV94" s="172">
        <f ca="1">IF(OR($D94&lt;&gt;"Serviço",AND(AUTOEVENTO="Manual",$M94=$A$15)),0,
         IF(OFFSET(CRONOPLE!$F$15,$M94-$A$15,AV$13)=0,10^12,OFFSET(CRONOPLE!$F$15,$M94-$A$15,AV$13)))</f>
        <v>1000000000000</v>
      </c>
      <c r="AX94" s="173">
        <f ca="1">IF(OR($D94&lt;&gt;"Serviço",AND(AUTOEVENTO="Manual",$M94=$A$15),$M94&gt;(ROW(PLE.lastrow)-ROW(PLE.firstrow))),0,
           IF(OFFSET(PLE!$G$15,$M94-$A$15,AX$13)="",10^12,OFFSET(PLE!$G$15,$M94-$A$15,AX$13)))</f>
        <v>1000000000000</v>
      </c>
      <c r="AY94" s="173">
        <f ca="1">IF(OR($D94&lt;&gt;"Serviço",AND(AUTOEVENTO="Manual",$M94=$A$15),$M94&gt;(ROW(PLE.lastrow)-ROW(PLE.firstrow))),0,
           IF(OFFSET(PLE!$G$15,$M94-$A$15,AY$13)="",10^12,OFFSET(PLE!$G$15,$M94-$A$15,AY$13)))</f>
        <v>1000000000000</v>
      </c>
      <c r="AZ94" s="173">
        <f ca="1">IF(OR($D94&lt;&gt;"Serviço",AND(AUTOEVENTO="Manual",$M94=$A$15),$M94&gt;(ROW(PLE.lastrow)-ROW(PLE.firstrow))),0,
           IF(OFFSET(PLE!$G$15,$M94-$A$15,AZ$13)="",10^12,OFFSET(PLE!$G$15,$M94-$A$15,AZ$13)))</f>
        <v>1000000000000</v>
      </c>
      <c r="BA94" s="173">
        <f ca="1">IF(OR($D94&lt;&gt;"Serviço",AND(AUTOEVENTO="Manual",$M94=$A$15),$M94&gt;(ROW(PLE.lastrow)-ROW(PLE.firstrow))),0,
           IF(OFFSET(PLE!$G$15,$M94-$A$15,BA$13)="",10^12,OFFSET(PLE!$G$15,$M94-$A$15,BA$13)))</f>
        <v>1000000000000</v>
      </c>
      <c r="BB94" s="173">
        <f ca="1">IF(OR($D94&lt;&gt;"Serviço",AND(AUTOEVENTO="Manual",$M94=$A$15),$M94&gt;(ROW(PLE.lastrow)-ROW(PLE.firstrow))),0,
           IF(OFFSET(PLE!$G$15,$M94-$A$15,BB$13)="",10^12,OFFSET(PLE!$G$15,$M94-$A$15,BB$13)))</f>
        <v>1000000000000</v>
      </c>
      <c r="BC94" s="173">
        <f ca="1">IF(OR($D94&lt;&gt;"Serviço",AND(AUTOEVENTO="Manual",$M94=$A$15),$M94&gt;(ROW(PLE.lastrow)-ROW(PLE.firstrow))),0,
           IF(OFFSET(PLE!$G$15,$M94-$A$15,BC$13)="",10^12,OFFSET(PLE!$G$15,$M94-$A$15,BC$13)))</f>
        <v>1000000000000</v>
      </c>
      <c r="BD94" s="173">
        <f ca="1">IF(OR($D94&lt;&gt;"Serviço",AND(AUTOEVENTO="Manual",$M94=$A$15),$M94&gt;(ROW(PLE.lastrow)-ROW(PLE.firstrow))),0,
           IF(OFFSET(PLE!$G$15,$M94-$A$15,BD$13)="",10^12,OFFSET(PLE!$G$15,$M94-$A$15,BD$13)))</f>
        <v>1000000000000</v>
      </c>
      <c r="BE94" s="173">
        <f ca="1">IF(OR($D94&lt;&gt;"Serviço",AND(AUTOEVENTO="Manual",$M94=$A$15),$M94&gt;(ROW(PLE.lastrow)-ROW(PLE.firstrow))),0,
           IF(OFFSET(PLE!$G$15,$M94-$A$15,BE$13)="",10^12,OFFSET(PLE!$G$15,$M94-$A$15,BE$13)))</f>
        <v>1000000000000</v>
      </c>
      <c r="BF94" s="173">
        <f ca="1">IF(OR($D94&lt;&gt;"Serviço",AND(AUTOEVENTO="Manual",$M94=$A$15),$M94&gt;(ROW(PLE.lastrow)-ROW(PLE.firstrow))),0,
           IF(OFFSET(PLE!$G$15,$M94-$A$15,BF$13)="",10^12,OFFSET(PLE!$G$15,$M94-$A$15,BF$13)))</f>
        <v>1000000000000</v>
      </c>
      <c r="BG94" s="173">
        <f ca="1">IF(OR($D94&lt;&gt;"Serviço",AND(AUTOEVENTO="Manual",$M94=$A$15),$M94&gt;(ROW(PLE.lastrow)-ROW(PLE.firstrow))),0,
           IF(OFFSET(PLE!$G$15,$M94-$A$15,BG$13)="",10^12,OFFSET(PLE!$G$15,$M94-$A$15,BG$13)))</f>
        <v>1000000000000</v>
      </c>
    </row>
    <row r="95" spans="1:59" s="675" customFormat="1" ht="12.75" x14ac:dyDescent="0.2">
      <c r="A95" s="671" t="str">
        <f t="shared" ca="1" si="10"/>
        <v>80.</v>
      </c>
      <c r="B95" s="671">
        <f ca="1">OFFSET(ORÇAMENTO!C$15,ROW(B95)-ROW(B$15),0)</f>
        <v>2</v>
      </c>
      <c r="C95" s="671" t="str">
        <f ca="1">OFFSET(ORÇAMENTO!L$15,ROW(C95)-ROW(C$15),0)</f>
        <v>F</v>
      </c>
      <c r="D95" s="117" t="str">
        <f ca="1">OFFSET(ORÇAMENTO!N$15,ROW(D95)-ROW(D$15),0)</f>
        <v>Nível 2</v>
      </c>
      <c r="E95" s="118" t="str">
        <f ca="1">OFFSET(ORÇAMENTO!O$15,ROW(E95)-ROW(E$15),0)</f>
        <v>1.10.</v>
      </c>
      <c r="F95" s="164" t="str">
        <f ca="1">OFFSET(ORÇAMENTO!R$15,ROW(F95)-ROW(F$15),0)</f>
        <v>BY-PASS - MATERIAIS</v>
      </c>
      <c r="G95" s="165" t="str">
        <f ca="1">IF($D95&lt;&gt;"Serviço","",OFFSET(ORÇAMENTO!S$15,ROW(G95)-ROW(G$15),0))</f>
        <v/>
      </c>
      <c r="H95" s="123">
        <f ca="1">IF($D95&lt;&gt;"Serviço",0,IF(ACOMPANHAMENTO="BM",ROUND(OFFSET(ORÇAMENTO!AJ$15,ROW(H95)-ROW(H$15),0),15-13*ORÇAMENTO!$AF$7),SUMPRODUCT(($Q$1:$AA$1=1)*ROUND($Q95:$AA95,15-13*ORÇAMENTO!$AF$7))))</f>
        <v>0</v>
      </c>
      <c r="I95" s="469"/>
      <c r="J95" s="667" t="str">
        <f ca="1">IF(OR(B95&lt;&gt;"S",CÁLCULO.FrentesPreenchidas=0),"",IF(AND(ACOMPANHAMENTO="PLE",AUTOEVENTO="Manual",OR(H95&gt;0,ORÇAMENTO!AC95="QUANT."),OR(K95="",M95=0,N95="")),"►",IF(AND(ACOMPANHAMENTO="PLE",ORÇAMENTO!AC95="QUANT."),"►►",IF(AND(COUNTIF($P$11:$AA$11,"▼")=0,H95&gt;0,I95=""),"◄",""))))</f>
        <v/>
      </c>
      <c r="K95" s="668"/>
      <c r="L95" s="166" t="s">
        <v>765</v>
      </c>
      <c r="M95" s="167" t="str">
        <f ca="1">IF($D95&lt;&gt;"Serviço","",
          IF(AUTOEVENTO="manual",$A95,
                IF(ISERROR(MATCH($A95,$A$15:OFFSET($A95,-1,0),0)),MAX($M$15:OFFSET(M95,-1,0))+1,
                      INDEX($M$15:OFFSET(M95,-1,0),MATCH($A95,$A$15:OFFSET($A95,-1,0),0)))))</f>
        <v/>
      </c>
      <c r="N95" s="168" t="str">
        <f ca="1">IF($D95&lt;&gt;"Serviço","",
         IF(AUTOEVENTO="Manual",
                IF($A95=0,"&lt;-- defina o número do agrupador",
                       OFFSET(EVENTOS!$D$15,$A95-$A$15,0)),
                OFFSET($F$15,$A95,0)))</f>
        <v/>
      </c>
      <c r="O95" s="169"/>
      <c r="Q95" s="169"/>
      <c r="R95" s="170"/>
      <c r="S95" s="170"/>
      <c r="T95" s="170"/>
      <c r="U95" s="170"/>
      <c r="V95" s="170"/>
      <c r="W95" s="170"/>
      <c r="X95" s="170"/>
      <c r="Y95" s="170"/>
      <c r="Z95" s="171"/>
      <c r="AB95" s="454">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0</v>
      </c>
      <c r="AC95" s="454">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0</v>
      </c>
      <c r="AD95" s="454">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0</v>
      </c>
      <c r="AE95" s="454">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4">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4">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4">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4">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4">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4">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2">
        <f ca="1">IF(OR($D95&lt;&gt;"Serviço",AND(AUTOEVENTO="Manual",$M95=$A$15)),0,
         IF(OFFSET(CRONOPLE!$F$15,$M95-$A$15,AM$13)=0,10^12,OFFSET(CRONOPLE!$F$15,$M95-$A$15,AM$13)))</f>
        <v>0</v>
      </c>
      <c r="AN95" s="172">
        <f ca="1">IF(OR($D95&lt;&gt;"Serviço",AND(AUTOEVENTO="Manual",$M95=$A$15)),0,
         IF(OFFSET(CRONOPLE!$F$15,$M95-$A$15,AN$13)=0,10^12,OFFSET(CRONOPLE!$F$15,$M95-$A$15,AN$13)))</f>
        <v>0</v>
      </c>
      <c r="AO95" s="172">
        <f ca="1">IF(OR($D95&lt;&gt;"Serviço",AND(AUTOEVENTO="Manual",$M95=$A$15)),0,
         IF(OFFSET(CRONOPLE!$F$15,$M95-$A$15,AO$13)=0,10^12,OFFSET(CRONOPLE!$F$15,$M95-$A$15,AO$13)))</f>
        <v>0</v>
      </c>
      <c r="AP95" s="172">
        <f ca="1">IF(OR($D95&lt;&gt;"Serviço",AND(AUTOEVENTO="Manual",$M95=$A$15)),0,
         IF(OFFSET(CRONOPLE!$F$15,$M95-$A$15,AP$13)=0,10^12,OFFSET(CRONOPLE!$F$15,$M95-$A$15,AP$13)))</f>
        <v>0</v>
      </c>
      <c r="AQ95" s="172">
        <f ca="1">IF(OR($D95&lt;&gt;"Serviço",AND(AUTOEVENTO="Manual",$M95=$A$15)),0,
         IF(OFFSET(CRONOPLE!$F$15,$M95-$A$15,AQ$13)=0,10^12,OFFSET(CRONOPLE!$F$15,$M95-$A$15,AQ$13)))</f>
        <v>0</v>
      </c>
      <c r="AR95" s="172">
        <f ca="1">IF(OR($D95&lt;&gt;"Serviço",AND(AUTOEVENTO="Manual",$M95=$A$15)),0,
         IF(OFFSET(CRONOPLE!$F$15,$M95-$A$15,AR$13)=0,10^12,OFFSET(CRONOPLE!$F$15,$M95-$A$15,AR$13)))</f>
        <v>0</v>
      </c>
      <c r="AS95" s="172">
        <f ca="1">IF(OR($D95&lt;&gt;"Serviço",AND(AUTOEVENTO="Manual",$M95=$A$15)),0,
         IF(OFFSET(CRONOPLE!$F$15,$M95-$A$15,AS$13)=0,10^12,OFFSET(CRONOPLE!$F$15,$M95-$A$15,AS$13)))</f>
        <v>0</v>
      </c>
      <c r="AT95" s="172">
        <f ca="1">IF(OR($D95&lt;&gt;"Serviço",AND(AUTOEVENTO="Manual",$M95=$A$15)),0,
         IF(OFFSET(CRONOPLE!$F$15,$M95-$A$15,AT$13)=0,10^12,OFFSET(CRONOPLE!$F$15,$M95-$A$15,AT$13)))</f>
        <v>0</v>
      </c>
      <c r="AU95" s="172">
        <f ca="1">IF(OR($D95&lt;&gt;"Serviço",AND(AUTOEVENTO="Manual",$M95=$A$15)),0,
         IF(OFFSET(CRONOPLE!$F$15,$M95-$A$15,AU$13)=0,10^12,OFFSET(CRONOPLE!$F$15,$M95-$A$15,AU$13)))</f>
        <v>0</v>
      </c>
      <c r="AV95" s="172">
        <f ca="1">IF(OR($D95&lt;&gt;"Serviço",AND(AUTOEVENTO="Manual",$M95=$A$15)),0,
         IF(OFFSET(CRONOPLE!$F$15,$M95-$A$15,AV$13)=0,10^12,OFFSET(CRONOPLE!$F$15,$M95-$A$15,AV$13)))</f>
        <v>0</v>
      </c>
      <c r="AX95" s="173">
        <f ca="1">IF(OR($D95&lt;&gt;"Serviço",AND(AUTOEVENTO="Manual",$M95=$A$15),$M95&gt;(ROW(PLE.lastrow)-ROW(PLE.firstrow))),0,
           IF(OFFSET(PLE!$G$15,$M95-$A$15,AX$13)="",10^12,OFFSET(PLE!$G$15,$M95-$A$15,AX$13)))</f>
        <v>0</v>
      </c>
      <c r="AY95" s="173">
        <f ca="1">IF(OR($D95&lt;&gt;"Serviço",AND(AUTOEVENTO="Manual",$M95=$A$15),$M95&gt;(ROW(PLE.lastrow)-ROW(PLE.firstrow))),0,
           IF(OFFSET(PLE!$G$15,$M95-$A$15,AY$13)="",10^12,OFFSET(PLE!$G$15,$M95-$A$15,AY$13)))</f>
        <v>0</v>
      </c>
      <c r="AZ95" s="173">
        <f ca="1">IF(OR($D95&lt;&gt;"Serviço",AND(AUTOEVENTO="Manual",$M95=$A$15),$M95&gt;(ROW(PLE.lastrow)-ROW(PLE.firstrow))),0,
           IF(OFFSET(PLE!$G$15,$M95-$A$15,AZ$13)="",10^12,OFFSET(PLE!$G$15,$M95-$A$15,AZ$13)))</f>
        <v>0</v>
      </c>
      <c r="BA95" s="173">
        <f ca="1">IF(OR($D95&lt;&gt;"Serviço",AND(AUTOEVENTO="Manual",$M95=$A$15),$M95&gt;(ROW(PLE.lastrow)-ROW(PLE.firstrow))),0,
           IF(OFFSET(PLE!$G$15,$M95-$A$15,BA$13)="",10^12,OFFSET(PLE!$G$15,$M95-$A$15,BA$13)))</f>
        <v>0</v>
      </c>
      <c r="BB95" s="173">
        <f ca="1">IF(OR($D95&lt;&gt;"Serviço",AND(AUTOEVENTO="Manual",$M95=$A$15),$M95&gt;(ROW(PLE.lastrow)-ROW(PLE.firstrow))),0,
           IF(OFFSET(PLE!$G$15,$M95-$A$15,BB$13)="",10^12,OFFSET(PLE!$G$15,$M95-$A$15,BB$13)))</f>
        <v>0</v>
      </c>
      <c r="BC95" s="173">
        <f ca="1">IF(OR($D95&lt;&gt;"Serviço",AND(AUTOEVENTO="Manual",$M95=$A$15),$M95&gt;(ROW(PLE.lastrow)-ROW(PLE.firstrow))),0,
           IF(OFFSET(PLE!$G$15,$M95-$A$15,BC$13)="",10^12,OFFSET(PLE!$G$15,$M95-$A$15,BC$13)))</f>
        <v>0</v>
      </c>
      <c r="BD95" s="173">
        <f ca="1">IF(OR($D95&lt;&gt;"Serviço",AND(AUTOEVENTO="Manual",$M95=$A$15),$M95&gt;(ROW(PLE.lastrow)-ROW(PLE.firstrow))),0,
           IF(OFFSET(PLE!$G$15,$M95-$A$15,BD$13)="",10^12,OFFSET(PLE!$G$15,$M95-$A$15,BD$13)))</f>
        <v>0</v>
      </c>
      <c r="BE95" s="173">
        <f ca="1">IF(OR($D95&lt;&gt;"Serviço",AND(AUTOEVENTO="Manual",$M95=$A$15),$M95&gt;(ROW(PLE.lastrow)-ROW(PLE.firstrow))),0,
           IF(OFFSET(PLE!$G$15,$M95-$A$15,BE$13)="",10^12,OFFSET(PLE!$G$15,$M95-$A$15,BE$13)))</f>
        <v>0</v>
      </c>
      <c r="BF95" s="173">
        <f ca="1">IF(OR($D95&lt;&gt;"Serviço",AND(AUTOEVENTO="Manual",$M95=$A$15),$M95&gt;(ROW(PLE.lastrow)-ROW(PLE.firstrow))),0,
           IF(OFFSET(PLE!$G$15,$M95-$A$15,BF$13)="",10^12,OFFSET(PLE!$G$15,$M95-$A$15,BF$13)))</f>
        <v>0</v>
      </c>
      <c r="BG95" s="173">
        <f ca="1">IF(OR($D95&lt;&gt;"Serviço",AND(AUTOEVENTO="Manual",$M95=$A$15),$M95&gt;(ROW(PLE.lastrow)-ROW(PLE.firstrow))),0,
           IF(OFFSET(PLE!$G$15,$M95-$A$15,BG$13)="",10^12,OFFSET(PLE!$G$15,$M95-$A$15,BG$13)))</f>
        <v>0</v>
      </c>
    </row>
    <row r="96" spans="1:59" s="675" customFormat="1" ht="25.5" x14ac:dyDescent="0.2">
      <c r="A96" s="671" t="str">
        <f t="shared" ca="1" si="10"/>
        <v>80</v>
      </c>
      <c r="B96" s="671" t="str">
        <f ca="1">OFFSET(ORÇAMENTO!C$15,ROW(B96)-ROW(B$15),0)</f>
        <v>S</v>
      </c>
      <c r="C96" s="671" t="str">
        <f ca="1">OFFSET(ORÇAMENTO!L$15,ROW(C96)-ROW(C$15),0)</f>
        <v/>
      </c>
      <c r="D96" s="117" t="str">
        <f ca="1">OFFSET(ORÇAMENTO!N$15,ROW(D96)-ROW(D$15),0)</f>
        <v>Serviço</v>
      </c>
      <c r="E96" s="118" t="str">
        <f ca="1">OFFSET(ORÇAMENTO!O$15,ROW(E96)-ROW(E$15),0)</f>
        <v>-</v>
      </c>
      <c r="F96" s="164" t="str">
        <f ca="1">OFFSET(ORÇAMENTO!R$15,ROW(F96)-ROW(F$15),0)</f>
        <v>(abra o arquivo 'Referência 09-2025.xlsm)</v>
      </c>
      <c r="G96" s="165" t="str">
        <f ca="1">IF($D96&lt;&gt;"Serviço","",OFFSET(ORÇAMENTO!S$15,ROW(G96)-ROW(G$15),0))</f>
        <v>-</v>
      </c>
      <c r="H96" s="123">
        <f ca="1">IF($D96&lt;&gt;"Serviço",0,IF(ACOMPANHAMENTO="BM",ROUND(OFFSET(ORÇAMENTO!AJ$15,ROW(H96)-ROW(H$15),0),15-13*ORÇAMENTO!$AF$7),SUMPRODUCT(($Q$1:$AA$1=1)*ROUND($Q96:$AA96,15-13*ORÇAMENTO!$AF$7))))</f>
        <v>2</v>
      </c>
      <c r="I96" s="469" t="s">
        <v>1103</v>
      </c>
      <c r="J96" s="667" t="str">
        <f ca="1">IF(OR(B96&lt;&gt;"S",CÁLCULO.FrentesPreenchidas=0),"",IF(AND(ACOMPANHAMENTO="PLE",AUTOEVENTO="Manual",OR(H96&gt;0,ORÇAMENTO!AC96="QUANT."),OR(K96="",M96=0,N96="")),"►",IF(AND(ACOMPANHAMENTO="PLE",ORÇAMENTO!AC96="QUANT."),"►►",IF(AND(COUNTIF($P$11:$AA$11,"▼")=0,H96&gt;0,I96=""),"◄",""))))</f>
        <v/>
      </c>
      <c r="K96" s="668"/>
      <c r="L96" s="166" t="s">
        <v>765</v>
      </c>
      <c r="M96" s="167">
        <f ca="1">IF($D96&lt;&gt;"Serviço","",
          IF(AUTOEVENTO="manual",$A96,
                IF(ISERROR(MATCH($A96,$A$15:OFFSET($A96,-1,0),0)),MAX($M$15:OFFSET(M96,-1,0))+1,
                      INDEX($M$15:OFFSET(M96,-1,0),MATCH($A96,$A$15:OFFSET($A96,-1,0),0)))))</f>
        <v>9</v>
      </c>
      <c r="N96" s="168" t="str">
        <f ca="1">IF($D96&lt;&gt;"Serviço","",
         IF(AUTOEVENTO="Manual",
                IF($A96=0,"&lt;-- defina o número do agrupador",
                       OFFSET(EVENTOS!$D$15,$A96-$A$15,0)),
                OFFSET($F$15,$A96,0)))</f>
        <v>BY-PASS - MATERIAIS</v>
      </c>
      <c r="O96" s="169"/>
      <c r="Q96" s="169"/>
      <c r="R96" s="170"/>
      <c r="S96" s="170"/>
      <c r="T96" s="170"/>
      <c r="U96" s="170"/>
      <c r="V96" s="170"/>
      <c r="W96" s="170"/>
      <c r="X96" s="170"/>
      <c r="Y96" s="170"/>
      <c r="Z96" s="171"/>
      <c r="AB96" s="454">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0</v>
      </c>
      <c r="AC96" s="454">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0</v>
      </c>
      <c r="AD96" s="454">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0</v>
      </c>
      <c r="AE96" s="454">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4">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4">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4">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4">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4">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4">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2">
        <f ca="1">IF(OR($D96&lt;&gt;"Serviço",AND(AUTOEVENTO="Manual",$M96=$A$15)),0,
         IF(OFFSET(CRONOPLE!$F$15,$M96-$A$15,AM$13)=0,10^12,OFFSET(CRONOPLE!$F$15,$M96-$A$15,AM$13)))</f>
        <v>1000000000000</v>
      </c>
      <c r="AN96" s="172">
        <f ca="1">IF(OR($D96&lt;&gt;"Serviço",AND(AUTOEVENTO="Manual",$M96=$A$15)),0,
         IF(OFFSET(CRONOPLE!$F$15,$M96-$A$15,AN$13)=0,10^12,OFFSET(CRONOPLE!$F$15,$M96-$A$15,AN$13)))</f>
        <v>1000000000000</v>
      </c>
      <c r="AO96" s="172">
        <f ca="1">IF(OR($D96&lt;&gt;"Serviço",AND(AUTOEVENTO="Manual",$M96=$A$15)),0,
         IF(OFFSET(CRONOPLE!$F$15,$M96-$A$15,AO$13)=0,10^12,OFFSET(CRONOPLE!$F$15,$M96-$A$15,AO$13)))</f>
        <v>1000000000000</v>
      </c>
      <c r="AP96" s="172">
        <f ca="1">IF(OR($D96&lt;&gt;"Serviço",AND(AUTOEVENTO="Manual",$M96=$A$15)),0,
         IF(OFFSET(CRONOPLE!$F$15,$M96-$A$15,AP$13)=0,10^12,OFFSET(CRONOPLE!$F$15,$M96-$A$15,AP$13)))</f>
        <v>1000000000000</v>
      </c>
      <c r="AQ96" s="172">
        <f ca="1">IF(OR($D96&lt;&gt;"Serviço",AND(AUTOEVENTO="Manual",$M96=$A$15)),0,
         IF(OFFSET(CRONOPLE!$F$15,$M96-$A$15,AQ$13)=0,10^12,OFFSET(CRONOPLE!$F$15,$M96-$A$15,AQ$13)))</f>
        <v>1000000000000</v>
      </c>
      <c r="AR96" s="172">
        <f ca="1">IF(OR($D96&lt;&gt;"Serviço",AND(AUTOEVENTO="Manual",$M96=$A$15)),0,
         IF(OFFSET(CRONOPLE!$F$15,$M96-$A$15,AR$13)=0,10^12,OFFSET(CRONOPLE!$F$15,$M96-$A$15,AR$13)))</f>
        <v>1000000000000</v>
      </c>
      <c r="AS96" s="172">
        <f ca="1">IF(OR($D96&lt;&gt;"Serviço",AND(AUTOEVENTO="Manual",$M96=$A$15)),0,
         IF(OFFSET(CRONOPLE!$F$15,$M96-$A$15,AS$13)=0,10^12,OFFSET(CRONOPLE!$F$15,$M96-$A$15,AS$13)))</f>
        <v>1000000000000</v>
      </c>
      <c r="AT96" s="172">
        <f ca="1">IF(OR($D96&lt;&gt;"Serviço",AND(AUTOEVENTO="Manual",$M96=$A$15)),0,
         IF(OFFSET(CRONOPLE!$F$15,$M96-$A$15,AT$13)=0,10^12,OFFSET(CRONOPLE!$F$15,$M96-$A$15,AT$13)))</f>
        <v>1000000000000</v>
      </c>
      <c r="AU96" s="172">
        <f ca="1">IF(OR($D96&lt;&gt;"Serviço",AND(AUTOEVENTO="Manual",$M96=$A$15)),0,
         IF(OFFSET(CRONOPLE!$F$15,$M96-$A$15,AU$13)=0,10^12,OFFSET(CRONOPLE!$F$15,$M96-$A$15,AU$13)))</f>
        <v>1000000000000</v>
      </c>
      <c r="AV96" s="172">
        <f ca="1">IF(OR($D96&lt;&gt;"Serviço",AND(AUTOEVENTO="Manual",$M96=$A$15)),0,
         IF(OFFSET(CRONOPLE!$F$15,$M96-$A$15,AV$13)=0,10^12,OFFSET(CRONOPLE!$F$15,$M96-$A$15,AV$13)))</f>
        <v>1000000000000</v>
      </c>
      <c r="AX96" s="173">
        <f ca="1">IF(OR($D96&lt;&gt;"Serviço",AND(AUTOEVENTO="Manual",$M96=$A$15),$M96&gt;(ROW(PLE.lastrow)-ROW(PLE.firstrow))),0,
           IF(OFFSET(PLE!$G$15,$M96-$A$15,AX$13)="",10^12,OFFSET(PLE!$G$15,$M96-$A$15,AX$13)))</f>
        <v>1000000000000</v>
      </c>
      <c r="AY96" s="173">
        <f ca="1">IF(OR($D96&lt;&gt;"Serviço",AND(AUTOEVENTO="Manual",$M96=$A$15),$M96&gt;(ROW(PLE.lastrow)-ROW(PLE.firstrow))),0,
           IF(OFFSET(PLE!$G$15,$M96-$A$15,AY$13)="",10^12,OFFSET(PLE!$G$15,$M96-$A$15,AY$13)))</f>
        <v>1000000000000</v>
      </c>
      <c r="AZ96" s="173">
        <f ca="1">IF(OR($D96&lt;&gt;"Serviço",AND(AUTOEVENTO="Manual",$M96=$A$15),$M96&gt;(ROW(PLE.lastrow)-ROW(PLE.firstrow))),0,
           IF(OFFSET(PLE!$G$15,$M96-$A$15,AZ$13)="",10^12,OFFSET(PLE!$G$15,$M96-$A$15,AZ$13)))</f>
        <v>1000000000000</v>
      </c>
      <c r="BA96" s="173">
        <f ca="1">IF(OR($D96&lt;&gt;"Serviço",AND(AUTOEVENTO="Manual",$M96=$A$15),$M96&gt;(ROW(PLE.lastrow)-ROW(PLE.firstrow))),0,
           IF(OFFSET(PLE!$G$15,$M96-$A$15,BA$13)="",10^12,OFFSET(PLE!$G$15,$M96-$A$15,BA$13)))</f>
        <v>1000000000000</v>
      </c>
      <c r="BB96" s="173">
        <f ca="1">IF(OR($D96&lt;&gt;"Serviço",AND(AUTOEVENTO="Manual",$M96=$A$15),$M96&gt;(ROW(PLE.lastrow)-ROW(PLE.firstrow))),0,
           IF(OFFSET(PLE!$G$15,$M96-$A$15,BB$13)="",10^12,OFFSET(PLE!$G$15,$M96-$A$15,BB$13)))</f>
        <v>1000000000000</v>
      </c>
      <c r="BC96" s="173">
        <f ca="1">IF(OR($D96&lt;&gt;"Serviço",AND(AUTOEVENTO="Manual",$M96=$A$15),$M96&gt;(ROW(PLE.lastrow)-ROW(PLE.firstrow))),0,
           IF(OFFSET(PLE!$G$15,$M96-$A$15,BC$13)="",10^12,OFFSET(PLE!$G$15,$M96-$A$15,BC$13)))</f>
        <v>1000000000000</v>
      </c>
      <c r="BD96" s="173">
        <f ca="1">IF(OR($D96&lt;&gt;"Serviço",AND(AUTOEVENTO="Manual",$M96=$A$15),$M96&gt;(ROW(PLE.lastrow)-ROW(PLE.firstrow))),0,
           IF(OFFSET(PLE!$G$15,$M96-$A$15,BD$13)="",10^12,OFFSET(PLE!$G$15,$M96-$A$15,BD$13)))</f>
        <v>1000000000000</v>
      </c>
      <c r="BE96" s="173">
        <f ca="1">IF(OR($D96&lt;&gt;"Serviço",AND(AUTOEVENTO="Manual",$M96=$A$15),$M96&gt;(ROW(PLE.lastrow)-ROW(PLE.firstrow))),0,
           IF(OFFSET(PLE!$G$15,$M96-$A$15,BE$13)="",10^12,OFFSET(PLE!$G$15,$M96-$A$15,BE$13)))</f>
        <v>1000000000000</v>
      </c>
      <c r="BF96" s="173">
        <f ca="1">IF(OR($D96&lt;&gt;"Serviço",AND(AUTOEVENTO="Manual",$M96=$A$15),$M96&gt;(ROW(PLE.lastrow)-ROW(PLE.firstrow))),0,
           IF(OFFSET(PLE!$G$15,$M96-$A$15,BF$13)="",10^12,OFFSET(PLE!$G$15,$M96-$A$15,BF$13)))</f>
        <v>1000000000000</v>
      </c>
      <c r="BG96" s="173">
        <f ca="1">IF(OR($D96&lt;&gt;"Serviço",AND(AUTOEVENTO="Manual",$M96=$A$15),$M96&gt;(ROW(PLE.lastrow)-ROW(PLE.firstrow))),0,
           IF(OFFSET(PLE!$G$15,$M96-$A$15,BG$13)="",10^12,OFFSET(PLE!$G$15,$M96-$A$15,BG$13)))</f>
        <v>1000000000000</v>
      </c>
    </row>
    <row r="97" spans="1:59" s="675" customFormat="1" ht="38.25" x14ac:dyDescent="0.2">
      <c r="A97" s="671" t="str">
        <f t="shared" ca="1" si="10"/>
        <v>80</v>
      </c>
      <c r="B97" s="671" t="str">
        <f ca="1">OFFSET(ORÇAMENTO!C$15,ROW(B97)-ROW(B$15),0)</f>
        <v>S</v>
      </c>
      <c r="C97" s="671" t="str">
        <f ca="1">OFFSET(ORÇAMENTO!L$15,ROW(C97)-ROW(C$15),0)</f>
        <v/>
      </c>
      <c r="D97" s="117" t="str">
        <f ca="1">OFFSET(ORÇAMENTO!N$15,ROW(D97)-ROW(D$15),0)</f>
        <v>Serviço</v>
      </c>
      <c r="E97" s="118" t="str">
        <f ca="1">OFFSET(ORÇAMENTO!O$15,ROW(E97)-ROW(E$15),0)</f>
        <v>-</v>
      </c>
      <c r="F97" s="164" t="str">
        <f ca="1">OFFSET(ORÇAMENTO!R$15,ROW(F97)-ROW(F$15),0)</f>
        <v>(abra o arquivo 'Referência 09-2025.xlsm)</v>
      </c>
      <c r="G97" s="165" t="str">
        <f ca="1">IF($D97&lt;&gt;"Serviço","",OFFSET(ORÇAMENTO!S$15,ROW(G97)-ROW(G$15),0))</f>
        <v>-</v>
      </c>
      <c r="H97" s="123">
        <f ca="1">IF($D97&lt;&gt;"Serviço",0,IF(ACOMPANHAMENTO="BM",ROUND(OFFSET(ORÇAMENTO!AJ$15,ROW(H97)-ROW(H$15),0),15-13*ORÇAMENTO!$AF$7),SUMPRODUCT(($Q$1:$AA$1=1)*ROUND($Q97:$AA97,15-13*ORÇAMENTO!$AF$7))))</f>
        <v>1</v>
      </c>
      <c r="I97" s="469" t="s">
        <v>1104</v>
      </c>
      <c r="J97" s="667" t="str">
        <f ca="1">IF(OR(B97&lt;&gt;"S",CÁLCULO.FrentesPreenchidas=0),"",IF(AND(ACOMPANHAMENTO="PLE",AUTOEVENTO="Manual",OR(H97&gt;0,ORÇAMENTO!AC97="QUANT."),OR(K97="",M97=0,N97="")),"►",IF(AND(ACOMPANHAMENTO="PLE",ORÇAMENTO!AC97="QUANT."),"►►",IF(AND(COUNTIF($P$11:$AA$11,"▼")=0,H97&gt;0,I97=""),"◄",""))))</f>
        <v/>
      </c>
      <c r="K97" s="668"/>
      <c r="L97" s="166" t="s">
        <v>765</v>
      </c>
      <c r="M97" s="167">
        <f ca="1">IF($D97&lt;&gt;"Serviço","",
          IF(AUTOEVENTO="manual",$A97,
                IF(ISERROR(MATCH($A97,$A$15:OFFSET($A97,-1,0),0)),MAX($M$15:OFFSET(M97,-1,0))+1,
                      INDEX($M$15:OFFSET(M97,-1,0),MATCH($A97,$A$15:OFFSET($A97,-1,0),0)))))</f>
        <v>9</v>
      </c>
      <c r="N97" s="168" t="str">
        <f ca="1">IF($D97&lt;&gt;"Serviço","",
         IF(AUTOEVENTO="Manual",
                IF($A97=0,"&lt;-- defina o número do agrupador",
                       OFFSET(EVENTOS!$D$15,$A97-$A$15,0)),
                OFFSET($F$15,$A97,0)))</f>
        <v>BY-PASS - MATERIAIS</v>
      </c>
      <c r="O97" s="169"/>
      <c r="Q97" s="169"/>
      <c r="R97" s="170"/>
      <c r="S97" s="170"/>
      <c r="T97" s="170"/>
      <c r="U97" s="170"/>
      <c r="V97" s="170"/>
      <c r="W97" s="170"/>
      <c r="X97" s="170"/>
      <c r="Y97" s="170"/>
      <c r="Z97" s="171"/>
      <c r="AB97" s="454">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0</v>
      </c>
      <c r="AC97" s="454">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0</v>
      </c>
      <c r="AD97" s="454">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0</v>
      </c>
      <c r="AE97" s="454">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4">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4">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4">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4">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4">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4">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2">
        <f ca="1">IF(OR($D97&lt;&gt;"Serviço",AND(AUTOEVENTO="Manual",$M97=$A$15)),0,
         IF(OFFSET(CRONOPLE!$F$15,$M97-$A$15,AM$13)=0,10^12,OFFSET(CRONOPLE!$F$15,$M97-$A$15,AM$13)))</f>
        <v>1000000000000</v>
      </c>
      <c r="AN97" s="172">
        <f ca="1">IF(OR($D97&lt;&gt;"Serviço",AND(AUTOEVENTO="Manual",$M97=$A$15)),0,
         IF(OFFSET(CRONOPLE!$F$15,$M97-$A$15,AN$13)=0,10^12,OFFSET(CRONOPLE!$F$15,$M97-$A$15,AN$13)))</f>
        <v>1000000000000</v>
      </c>
      <c r="AO97" s="172">
        <f ca="1">IF(OR($D97&lt;&gt;"Serviço",AND(AUTOEVENTO="Manual",$M97=$A$15)),0,
         IF(OFFSET(CRONOPLE!$F$15,$M97-$A$15,AO$13)=0,10^12,OFFSET(CRONOPLE!$F$15,$M97-$A$15,AO$13)))</f>
        <v>1000000000000</v>
      </c>
      <c r="AP97" s="172">
        <f ca="1">IF(OR($D97&lt;&gt;"Serviço",AND(AUTOEVENTO="Manual",$M97=$A$15)),0,
         IF(OFFSET(CRONOPLE!$F$15,$M97-$A$15,AP$13)=0,10^12,OFFSET(CRONOPLE!$F$15,$M97-$A$15,AP$13)))</f>
        <v>1000000000000</v>
      </c>
      <c r="AQ97" s="172">
        <f ca="1">IF(OR($D97&lt;&gt;"Serviço",AND(AUTOEVENTO="Manual",$M97=$A$15)),0,
         IF(OFFSET(CRONOPLE!$F$15,$M97-$A$15,AQ$13)=0,10^12,OFFSET(CRONOPLE!$F$15,$M97-$A$15,AQ$13)))</f>
        <v>1000000000000</v>
      </c>
      <c r="AR97" s="172">
        <f ca="1">IF(OR($D97&lt;&gt;"Serviço",AND(AUTOEVENTO="Manual",$M97=$A$15)),0,
         IF(OFFSET(CRONOPLE!$F$15,$M97-$A$15,AR$13)=0,10^12,OFFSET(CRONOPLE!$F$15,$M97-$A$15,AR$13)))</f>
        <v>1000000000000</v>
      </c>
      <c r="AS97" s="172">
        <f ca="1">IF(OR($D97&lt;&gt;"Serviço",AND(AUTOEVENTO="Manual",$M97=$A$15)),0,
         IF(OFFSET(CRONOPLE!$F$15,$M97-$A$15,AS$13)=0,10^12,OFFSET(CRONOPLE!$F$15,$M97-$A$15,AS$13)))</f>
        <v>1000000000000</v>
      </c>
      <c r="AT97" s="172">
        <f ca="1">IF(OR($D97&lt;&gt;"Serviço",AND(AUTOEVENTO="Manual",$M97=$A$15)),0,
         IF(OFFSET(CRONOPLE!$F$15,$M97-$A$15,AT$13)=0,10^12,OFFSET(CRONOPLE!$F$15,$M97-$A$15,AT$13)))</f>
        <v>1000000000000</v>
      </c>
      <c r="AU97" s="172">
        <f ca="1">IF(OR($D97&lt;&gt;"Serviço",AND(AUTOEVENTO="Manual",$M97=$A$15)),0,
         IF(OFFSET(CRONOPLE!$F$15,$M97-$A$15,AU$13)=0,10^12,OFFSET(CRONOPLE!$F$15,$M97-$A$15,AU$13)))</f>
        <v>1000000000000</v>
      </c>
      <c r="AV97" s="172">
        <f ca="1">IF(OR($D97&lt;&gt;"Serviço",AND(AUTOEVENTO="Manual",$M97=$A$15)),0,
         IF(OFFSET(CRONOPLE!$F$15,$M97-$A$15,AV$13)=0,10^12,OFFSET(CRONOPLE!$F$15,$M97-$A$15,AV$13)))</f>
        <v>1000000000000</v>
      </c>
      <c r="AX97" s="173">
        <f ca="1">IF(OR($D97&lt;&gt;"Serviço",AND(AUTOEVENTO="Manual",$M97=$A$15),$M97&gt;(ROW(PLE.lastrow)-ROW(PLE.firstrow))),0,
           IF(OFFSET(PLE!$G$15,$M97-$A$15,AX$13)="",10^12,OFFSET(PLE!$G$15,$M97-$A$15,AX$13)))</f>
        <v>1000000000000</v>
      </c>
      <c r="AY97" s="173">
        <f ca="1">IF(OR($D97&lt;&gt;"Serviço",AND(AUTOEVENTO="Manual",$M97=$A$15),$M97&gt;(ROW(PLE.lastrow)-ROW(PLE.firstrow))),0,
           IF(OFFSET(PLE!$G$15,$M97-$A$15,AY$13)="",10^12,OFFSET(PLE!$G$15,$M97-$A$15,AY$13)))</f>
        <v>1000000000000</v>
      </c>
      <c r="AZ97" s="173">
        <f ca="1">IF(OR($D97&lt;&gt;"Serviço",AND(AUTOEVENTO="Manual",$M97=$A$15),$M97&gt;(ROW(PLE.lastrow)-ROW(PLE.firstrow))),0,
           IF(OFFSET(PLE!$G$15,$M97-$A$15,AZ$13)="",10^12,OFFSET(PLE!$G$15,$M97-$A$15,AZ$13)))</f>
        <v>1000000000000</v>
      </c>
      <c r="BA97" s="173">
        <f ca="1">IF(OR($D97&lt;&gt;"Serviço",AND(AUTOEVENTO="Manual",$M97=$A$15),$M97&gt;(ROW(PLE.lastrow)-ROW(PLE.firstrow))),0,
           IF(OFFSET(PLE!$G$15,$M97-$A$15,BA$13)="",10^12,OFFSET(PLE!$G$15,$M97-$A$15,BA$13)))</f>
        <v>1000000000000</v>
      </c>
      <c r="BB97" s="173">
        <f ca="1">IF(OR($D97&lt;&gt;"Serviço",AND(AUTOEVENTO="Manual",$M97=$A$15),$M97&gt;(ROW(PLE.lastrow)-ROW(PLE.firstrow))),0,
           IF(OFFSET(PLE!$G$15,$M97-$A$15,BB$13)="",10^12,OFFSET(PLE!$G$15,$M97-$A$15,BB$13)))</f>
        <v>1000000000000</v>
      </c>
      <c r="BC97" s="173">
        <f ca="1">IF(OR($D97&lt;&gt;"Serviço",AND(AUTOEVENTO="Manual",$M97=$A$15),$M97&gt;(ROW(PLE.lastrow)-ROW(PLE.firstrow))),0,
           IF(OFFSET(PLE!$G$15,$M97-$A$15,BC$13)="",10^12,OFFSET(PLE!$G$15,$M97-$A$15,BC$13)))</f>
        <v>1000000000000</v>
      </c>
      <c r="BD97" s="173">
        <f ca="1">IF(OR($D97&lt;&gt;"Serviço",AND(AUTOEVENTO="Manual",$M97=$A$15),$M97&gt;(ROW(PLE.lastrow)-ROW(PLE.firstrow))),0,
           IF(OFFSET(PLE!$G$15,$M97-$A$15,BD$13)="",10^12,OFFSET(PLE!$G$15,$M97-$A$15,BD$13)))</f>
        <v>1000000000000</v>
      </c>
      <c r="BE97" s="173">
        <f ca="1">IF(OR($D97&lt;&gt;"Serviço",AND(AUTOEVENTO="Manual",$M97=$A$15),$M97&gt;(ROW(PLE.lastrow)-ROW(PLE.firstrow))),0,
           IF(OFFSET(PLE!$G$15,$M97-$A$15,BE$13)="",10^12,OFFSET(PLE!$G$15,$M97-$A$15,BE$13)))</f>
        <v>1000000000000</v>
      </c>
      <c r="BF97" s="173">
        <f ca="1">IF(OR($D97&lt;&gt;"Serviço",AND(AUTOEVENTO="Manual",$M97=$A$15),$M97&gt;(ROW(PLE.lastrow)-ROW(PLE.firstrow))),0,
           IF(OFFSET(PLE!$G$15,$M97-$A$15,BF$13)="",10^12,OFFSET(PLE!$G$15,$M97-$A$15,BF$13)))</f>
        <v>1000000000000</v>
      </c>
      <c r="BG97" s="173">
        <f ca="1">IF(OR($D97&lt;&gt;"Serviço",AND(AUTOEVENTO="Manual",$M97=$A$15),$M97&gt;(ROW(PLE.lastrow)-ROW(PLE.firstrow))),0,
           IF(OFFSET(PLE!$G$15,$M97-$A$15,BG$13)="",10^12,OFFSET(PLE!$G$15,$M97-$A$15,BG$13)))</f>
        <v>1000000000000</v>
      </c>
    </row>
    <row r="98" spans="1:59" s="720" customFormat="1" ht="12.75" x14ac:dyDescent="0.2">
      <c r="A98" s="718" t="str">
        <f t="shared" ca="1" si="10"/>
        <v>83.</v>
      </c>
      <c r="B98" s="718">
        <f ca="1">OFFSET(ORÇAMENTO!C$15,ROW(B98)-ROW(B$15),0)</f>
        <v>2</v>
      </c>
      <c r="C98" s="718" t="str">
        <f ca="1">OFFSET(ORÇAMENTO!L$15,ROW(C98)-ROW(C$15),0)</f>
        <v>F</v>
      </c>
      <c r="D98" s="117" t="str">
        <f ca="1">OFFSET(ORÇAMENTO!N$15,ROW(D98)-ROW(D$15),0)</f>
        <v>Nível 2</v>
      </c>
      <c r="E98" s="118" t="str">
        <f ca="1">OFFSET(ORÇAMENTO!O$15,ROW(E98)-ROW(E$15),0)</f>
        <v>1.11.</v>
      </c>
      <c r="F98" s="164" t="str">
        <f ca="1">OFFSET(ORÇAMENTO!R$15,ROW(F98)-ROW(F$15),0)</f>
        <v>PAVIMENTAÇÃO</v>
      </c>
      <c r="G98" s="165" t="str">
        <f ca="1">IF($D98&lt;&gt;"Serviço","",OFFSET(ORÇAMENTO!S$15,ROW(G98)-ROW(G$15),0))</f>
        <v/>
      </c>
      <c r="H98" s="123">
        <f ca="1">IF($D98&lt;&gt;"Serviço",0,IF(ACOMPANHAMENTO="BM",ROUND(OFFSET(ORÇAMENTO!AJ$15,ROW(H98)-ROW(H$15),0),15-13*ORÇAMENTO!$AF$7),SUMPRODUCT(($Q$1:$AA$1=1)*ROUND($Q98:$AA98,15-13*ORÇAMENTO!$AF$7))))</f>
        <v>0</v>
      </c>
      <c r="I98" s="469"/>
      <c r="J98" s="667" t="str">
        <f ca="1">IF(OR(B98&lt;&gt;"S",CÁLCULO.FrentesPreenchidas=0),"",IF(AND(ACOMPANHAMENTO="PLE",AUTOEVENTO="Manual",OR(H98&gt;0,ORÇAMENTO!AC98="QUANT."),OR(K98="",M98=0,N98="")),"►",IF(AND(ACOMPANHAMENTO="PLE",ORÇAMENTO!AC98="QUANT."),"►►",IF(AND(COUNTIF($P$11:$AA$11,"▼")=0,H98&gt;0,I98=""),"◄",""))))</f>
        <v/>
      </c>
      <c r="K98" s="668"/>
      <c r="L98" s="166" t="s">
        <v>765</v>
      </c>
      <c r="M98" s="167" t="str">
        <f ca="1">IF($D98&lt;&gt;"Serviço","",
          IF(AUTOEVENTO="manual",$A98,
                IF(ISERROR(MATCH($A98,$A$15:OFFSET($A98,-1,0),0)),MAX($M$15:OFFSET(M98,-1,0))+1,
                      INDEX($M$15:OFFSET(M98,-1,0),MATCH($A98,$A$15:OFFSET($A98,-1,0),0)))))</f>
        <v/>
      </c>
      <c r="N98" s="168" t="str">
        <f ca="1">IF($D98&lt;&gt;"Serviço","",
         IF(AUTOEVENTO="Manual",
                IF($A98=0,"&lt;-- defina o número do agrupador",
                       OFFSET(EVENTOS!$D$15,$A98-$A$15,0)),
                OFFSET($F$15,$A98,0)))</f>
        <v/>
      </c>
      <c r="O98" s="169"/>
      <c r="Q98" s="169"/>
      <c r="R98" s="170"/>
      <c r="S98" s="170"/>
      <c r="T98" s="170"/>
      <c r="U98" s="170"/>
      <c r="V98" s="170"/>
      <c r="W98" s="170"/>
      <c r="X98" s="170"/>
      <c r="Y98" s="170"/>
      <c r="Z98" s="171"/>
      <c r="AB98" s="454">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0</v>
      </c>
      <c r="AC98" s="454">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0</v>
      </c>
      <c r="AD98" s="454">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0</v>
      </c>
      <c r="AE98" s="454">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4">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4">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4">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4">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4">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4">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2">
        <f ca="1">IF(OR($D98&lt;&gt;"Serviço",AND(AUTOEVENTO="Manual",$M98=$A$15)),0,
         IF(OFFSET(CRONOPLE!$F$15,$M98-$A$15,AM$13)=0,10^12,OFFSET(CRONOPLE!$F$15,$M98-$A$15,AM$13)))</f>
        <v>0</v>
      </c>
      <c r="AN98" s="172">
        <f ca="1">IF(OR($D98&lt;&gt;"Serviço",AND(AUTOEVENTO="Manual",$M98=$A$15)),0,
         IF(OFFSET(CRONOPLE!$F$15,$M98-$A$15,AN$13)=0,10^12,OFFSET(CRONOPLE!$F$15,$M98-$A$15,AN$13)))</f>
        <v>0</v>
      </c>
      <c r="AO98" s="172">
        <f ca="1">IF(OR($D98&lt;&gt;"Serviço",AND(AUTOEVENTO="Manual",$M98=$A$15)),0,
         IF(OFFSET(CRONOPLE!$F$15,$M98-$A$15,AO$13)=0,10^12,OFFSET(CRONOPLE!$F$15,$M98-$A$15,AO$13)))</f>
        <v>0</v>
      </c>
      <c r="AP98" s="172">
        <f ca="1">IF(OR($D98&lt;&gt;"Serviço",AND(AUTOEVENTO="Manual",$M98=$A$15)),0,
         IF(OFFSET(CRONOPLE!$F$15,$M98-$A$15,AP$13)=0,10^12,OFFSET(CRONOPLE!$F$15,$M98-$A$15,AP$13)))</f>
        <v>0</v>
      </c>
      <c r="AQ98" s="172">
        <f ca="1">IF(OR($D98&lt;&gt;"Serviço",AND(AUTOEVENTO="Manual",$M98=$A$15)),0,
         IF(OFFSET(CRONOPLE!$F$15,$M98-$A$15,AQ$13)=0,10^12,OFFSET(CRONOPLE!$F$15,$M98-$A$15,AQ$13)))</f>
        <v>0</v>
      </c>
      <c r="AR98" s="172">
        <f ca="1">IF(OR($D98&lt;&gt;"Serviço",AND(AUTOEVENTO="Manual",$M98=$A$15)),0,
         IF(OFFSET(CRONOPLE!$F$15,$M98-$A$15,AR$13)=0,10^12,OFFSET(CRONOPLE!$F$15,$M98-$A$15,AR$13)))</f>
        <v>0</v>
      </c>
      <c r="AS98" s="172">
        <f ca="1">IF(OR($D98&lt;&gt;"Serviço",AND(AUTOEVENTO="Manual",$M98=$A$15)),0,
         IF(OFFSET(CRONOPLE!$F$15,$M98-$A$15,AS$13)=0,10^12,OFFSET(CRONOPLE!$F$15,$M98-$A$15,AS$13)))</f>
        <v>0</v>
      </c>
      <c r="AT98" s="172">
        <f ca="1">IF(OR($D98&lt;&gt;"Serviço",AND(AUTOEVENTO="Manual",$M98=$A$15)),0,
         IF(OFFSET(CRONOPLE!$F$15,$M98-$A$15,AT$13)=0,10^12,OFFSET(CRONOPLE!$F$15,$M98-$A$15,AT$13)))</f>
        <v>0</v>
      </c>
      <c r="AU98" s="172">
        <f ca="1">IF(OR($D98&lt;&gt;"Serviço",AND(AUTOEVENTO="Manual",$M98=$A$15)),0,
         IF(OFFSET(CRONOPLE!$F$15,$M98-$A$15,AU$13)=0,10^12,OFFSET(CRONOPLE!$F$15,$M98-$A$15,AU$13)))</f>
        <v>0</v>
      </c>
      <c r="AV98" s="172">
        <f ca="1">IF(OR($D98&lt;&gt;"Serviço",AND(AUTOEVENTO="Manual",$M98=$A$15)),0,
         IF(OFFSET(CRONOPLE!$F$15,$M98-$A$15,AV$13)=0,10^12,OFFSET(CRONOPLE!$F$15,$M98-$A$15,AV$13)))</f>
        <v>0</v>
      </c>
      <c r="AX98" s="173">
        <f ca="1">IF(OR($D98&lt;&gt;"Serviço",AND(AUTOEVENTO="Manual",$M98=$A$15),$M98&gt;(ROW(PLE.lastrow)-ROW(PLE.firstrow))),0,
           IF(OFFSET(PLE!$G$15,$M98-$A$15,AX$13)="",10^12,OFFSET(PLE!$G$15,$M98-$A$15,AX$13)))</f>
        <v>0</v>
      </c>
      <c r="AY98" s="173">
        <f ca="1">IF(OR($D98&lt;&gt;"Serviço",AND(AUTOEVENTO="Manual",$M98=$A$15),$M98&gt;(ROW(PLE.lastrow)-ROW(PLE.firstrow))),0,
           IF(OFFSET(PLE!$G$15,$M98-$A$15,AY$13)="",10^12,OFFSET(PLE!$G$15,$M98-$A$15,AY$13)))</f>
        <v>0</v>
      </c>
      <c r="AZ98" s="173">
        <f ca="1">IF(OR($D98&lt;&gt;"Serviço",AND(AUTOEVENTO="Manual",$M98=$A$15),$M98&gt;(ROW(PLE.lastrow)-ROW(PLE.firstrow))),0,
           IF(OFFSET(PLE!$G$15,$M98-$A$15,AZ$13)="",10^12,OFFSET(PLE!$G$15,$M98-$A$15,AZ$13)))</f>
        <v>0</v>
      </c>
      <c r="BA98" s="173">
        <f ca="1">IF(OR($D98&lt;&gt;"Serviço",AND(AUTOEVENTO="Manual",$M98=$A$15),$M98&gt;(ROW(PLE.lastrow)-ROW(PLE.firstrow))),0,
           IF(OFFSET(PLE!$G$15,$M98-$A$15,BA$13)="",10^12,OFFSET(PLE!$G$15,$M98-$A$15,BA$13)))</f>
        <v>0</v>
      </c>
      <c r="BB98" s="173">
        <f ca="1">IF(OR($D98&lt;&gt;"Serviço",AND(AUTOEVENTO="Manual",$M98=$A$15),$M98&gt;(ROW(PLE.lastrow)-ROW(PLE.firstrow))),0,
           IF(OFFSET(PLE!$G$15,$M98-$A$15,BB$13)="",10^12,OFFSET(PLE!$G$15,$M98-$A$15,BB$13)))</f>
        <v>0</v>
      </c>
      <c r="BC98" s="173">
        <f ca="1">IF(OR($D98&lt;&gt;"Serviço",AND(AUTOEVENTO="Manual",$M98=$A$15),$M98&gt;(ROW(PLE.lastrow)-ROW(PLE.firstrow))),0,
           IF(OFFSET(PLE!$G$15,$M98-$A$15,BC$13)="",10^12,OFFSET(PLE!$G$15,$M98-$A$15,BC$13)))</f>
        <v>0</v>
      </c>
      <c r="BD98" s="173">
        <f ca="1">IF(OR($D98&lt;&gt;"Serviço",AND(AUTOEVENTO="Manual",$M98=$A$15),$M98&gt;(ROW(PLE.lastrow)-ROW(PLE.firstrow))),0,
           IF(OFFSET(PLE!$G$15,$M98-$A$15,BD$13)="",10^12,OFFSET(PLE!$G$15,$M98-$A$15,BD$13)))</f>
        <v>0</v>
      </c>
      <c r="BE98" s="173">
        <f ca="1">IF(OR($D98&lt;&gt;"Serviço",AND(AUTOEVENTO="Manual",$M98=$A$15),$M98&gt;(ROW(PLE.lastrow)-ROW(PLE.firstrow))),0,
           IF(OFFSET(PLE!$G$15,$M98-$A$15,BE$13)="",10^12,OFFSET(PLE!$G$15,$M98-$A$15,BE$13)))</f>
        <v>0</v>
      </c>
      <c r="BF98" s="173">
        <f ca="1">IF(OR($D98&lt;&gt;"Serviço",AND(AUTOEVENTO="Manual",$M98=$A$15),$M98&gt;(ROW(PLE.lastrow)-ROW(PLE.firstrow))),0,
           IF(OFFSET(PLE!$G$15,$M98-$A$15,BF$13)="",10^12,OFFSET(PLE!$G$15,$M98-$A$15,BF$13)))</f>
        <v>0</v>
      </c>
      <c r="BG98" s="173">
        <f ca="1">IF(OR($D98&lt;&gt;"Serviço",AND(AUTOEVENTO="Manual",$M98=$A$15),$M98&gt;(ROW(PLE.lastrow)-ROW(PLE.firstrow))),0,
           IF(OFFSET(PLE!$G$15,$M98-$A$15,BG$13)="",10^12,OFFSET(PLE!$G$15,$M98-$A$15,BG$13)))</f>
        <v>0</v>
      </c>
    </row>
    <row r="99" spans="1:59" s="720" customFormat="1" ht="12.75" x14ac:dyDescent="0.2">
      <c r="A99" s="718" t="str">
        <f t="shared" ca="1" si="10"/>
        <v>84.</v>
      </c>
      <c r="B99" s="718">
        <f ca="1">OFFSET(ORÇAMENTO!C$15,ROW(B99)-ROW(B$15),0)</f>
        <v>2</v>
      </c>
      <c r="C99" s="718" t="str">
        <f ca="1">OFFSET(ORÇAMENTO!L$15,ROW(C99)-ROW(C$15),0)</f>
        <v>F</v>
      </c>
      <c r="D99" s="117" t="str">
        <f ca="1">OFFSET(ORÇAMENTO!N$15,ROW(D99)-ROW(D$15),0)</f>
        <v>Nível 2</v>
      </c>
      <c r="E99" s="118" t="str">
        <f ca="1">OFFSET(ORÇAMENTO!O$15,ROW(E99)-ROW(E$15),0)</f>
        <v>1.12.</v>
      </c>
      <c r="F99" s="164" t="str">
        <f ca="1">OFFSET(ORÇAMENTO!R$15,ROW(F99)-ROW(F$15),0)</f>
        <v>SERVIÇOS PRELIMINARES</v>
      </c>
      <c r="G99" s="165" t="str">
        <f ca="1">IF($D99&lt;&gt;"Serviço","",OFFSET(ORÇAMENTO!S$15,ROW(G99)-ROW(G$15),0))</f>
        <v/>
      </c>
      <c r="H99" s="123">
        <f ca="1">IF($D99&lt;&gt;"Serviço",0,IF(ACOMPANHAMENTO="BM",ROUND(OFFSET(ORÇAMENTO!AJ$15,ROW(H99)-ROW(H$15),0),15-13*ORÇAMENTO!$AF$7),SUMPRODUCT(($Q$1:$AA$1=1)*ROUND($Q99:$AA99,15-13*ORÇAMENTO!$AF$7))))</f>
        <v>0</v>
      </c>
      <c r="I99" s="469"/>
      <c r="J99" s="667" t="str">
        <f ca="1">IF(OR(B99&lt;&gt;"S",CÁLCULO.FrentesPreenchidas=0),"",IF(AND(ACOMPANHAMENTO="PLE",AUTOEVENTO="Manual",OR(H99&gt;0,ORÇAMENTO!AC99="QUANT."),OR(K99="",M99=0,N99="")),"►",IF(AND(ACOMPANHAMENTO="PLE",ORÇAMENTO!AC99="QUANT."),"►►",IF(AND(COUNTIF($P$11:$AA$11,"▼")=0,H99&gt;0,I99=""),"◄",""))))</f>
        <v/>
      </c>
      <c r="K99" s="668"/>
      <c r="L99" s="166" t="s">
        <v>765</v>
      </c>
      <c r="M99" s="167" t="str">
        <f ca="1">IF($D99&lt;&gt;"Serviço","",
          IF(AUTOEVENTO="manual",$A99,
                IF(ISERROR(MATCH($A99,$A$15:OFFSET($A99,-1,0),0)),MAX($M$15:OFFSET(M99,-1,0))+1,
                      INDEX($M$15:OFFSET(M99,-1,0),MATCH($A99,$A$15:OFFSET($A99,-1,0),0)))))</f>
        <v/>
      </c>
      <c r="N99" s="168" t="str">
        <f ca="1">IF($D99&lt;&gt;"Serviço","",
         IF(AUTOEVENTO="Manual",
                IF($A99=0,"&lt;-- defina o número do agrupador",
                       OFFSET(EVENTOS!$D$15,$A99-$A$15,0)),
                OFFSET($F$15,$A99,0)))</f>
        <v/>
      </c>
      <c r="O99" s="169"/>
      <c r="Q99" s="169"/>
      <c r="R99" s="170"/>
      <c r="S99" s="170"/>
      <c r="T99" s="170"/>
      <c r="U99" s="170"/>
      <c r="V99" s="170"/>
      <c r="W99" s="170"/>
      <c r="X99" s="170"/>
      <c r="Y99" s="170"/>
      <c r="Z99" s="171"/>
      <c r="AB99" s="454">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0</v>
      </c>
      <c r="AC99" s="454">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0</v>
      </c>
      <c r="AD99" s="454">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0</v>
      </c>
      <c r="AE99" s="454">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4">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4">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4">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4">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4">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4">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2">
        <f ca="1">IF(OR($D99&lt;&gt;"Serviço",AND(AUTOEVENTO="Manual",$M99=$A$15)),0,
         IF(OFFSET(CRONOPLE!$F$15,$M99-$A$15,AM$13)=0,10^12,OFFSET(CRONOPLE!$F$15,$M99-$A$15,AM$13)))</f>
        <v>0</v>
      </c>
      <c r="AN99" s="172">
        <f ca="1">IF(OR($D99&lt;&gt;"Serviço",AND(AUTOEVENTO="Manual",$M99=$A$15)),0,
         IF(OFFSET(CRONOPLE!$F$15,$M99-$A$15,AN$13)=0,10^12,OFFSET(CRONOPLE!$F$15,$M99-$A$15,AN$13)))</f>
        <v>0</v>
      </c>
      <c r="AO99" s="172">
        <f ca="1">IF(OR($D99&lt;&gt;"Serviço",AND(AUTOEVENTO="Manual",$M99=$A$15)),0,
         IF(OFFSET(CRONOPLE!$F$15,$M99-$A$15,AO$13)=0,10^12,OFFSET(CRONOPLE!$F$15,$M99-$A$15,AO$13)))</f>
        <v>0</v>
      </c>
      <c r="AP99" s="172">
        <f ca="1">IF(OR($D99&lt;&gt;"Serviço",AND(AUTOEVENTO="Manual",$M99=$A$15)),0,
         IF(OFFSET(CRONOPLE!$F$15,$M99-$A$15,AP$13)=0,10^12,OFFSET(CRONOPLE!$F$15,$M99-$A$15,AP$13)))</f>
        <v>0</v>
      </c>
      <c r="AQ99" s="172">
        <f ca="1">IF(OR($D99&lt;&gt;"Serviço",AND(AUTOEVENTO="Manual",$M99=$A$15)),0,
         IF(OFFSET(CRONOPLE!$F$15,$M99-$A$15,AQ$13)=0,10^12,OFFSET(CRONOPLE!$F$15,$M99-$A$15,AQ$13)))</f>
        <v>0</v>
      </c>
      <c r="AR99" s="172">
        <f ca="1">IF(OR($D99&lt;&gt;"Serviço",AND(AUTOEVENTO="Manual",$M99=$A$15)),0,
         IF(OFFSET(CRONOPLE!$F$15,$M99-$A$15,AR$13)=0,10^12,OFFSET(CRONOPLE!$F$15,$M99-$A$15,AR$13)))</f>
        <v>0</v>
      </c>
      <c r="AS99" s="172">
        <f ca="1">IF(OR($D99&lt;&gt;"Serviço",AND(AUTOEVENTO="Manual",$M99=$A$15)),0,
         IF(OFFSET(CRONOPLE!$F$15,$M99-$A$15,AS$13)=0,10^12,OFFSET(CRONOPLE!$F$15,$M99-$A$15,AS$13)))</f>
        <v>0</v>
      </c>
      <c r="AT99" s="172">
        <f ca="1">IF(OR($D99&lt;&gt;"Serviço",AND(AUTOEVENTO="Manual",$M99=$A$15)),0,
         IF(OFFSET(CRONOPLE!$F$15,$M99-$A$15,AT$13)=0,10^12,OFFSET(CRONOPLE!$F$15,$M99-$A$15,AT$13)))</f>
        <v>0</v>
      </c>
      <c r="AU99" s="172">
        <f ca="1">IF(OR($D99&lt;&gt;"Serviço",AND(AUTOEVENTO="Manual",$M99=$A$15)),0,
         IF(OFFSET(CRONOPLE!$F$15,$M99-$A$15,AU$13)=0,10^12,OFFSET(CRONOPLE!$F$15,$M99-$A$15,AU$13)))</f>
        <v>0</v>
      </c>
      <c r="AV99" s="172">
        <f ca="1">IF(OR($D99&lt;&gt;"Serviço",AND(AUTOEVENTO="Manual",$M99=$A$15)),0,
         IF(OFFSET(CRONOPLE!$F$15,$M99-$A$15,AV$13)=0,10^12,OFFSET(CRONOPLE!$F$15,$M99-$A$15,AV$13)))</f>
        <v>0</v>
      </c>
      <c r="AX99" s="173">
        <f ca="1">IF(OR($D99&lt;&gt;"Serviço",AND(AUTOEVENTO="Manual",$M99=$A$15),$M99&gt;(ROW(PLE.lastrow)-ROW(PLE.firstrow))),0,
           IF(OFFSET(PLE!$G$15,$M99-$A$15,AX$13)="",10^12,OFFSET(PLE!$G$15,$M99-$A$15,AX$13)))</f>
        <v>0</v>
      </c>
      <c r="AY99" s="173">
        <f ca="1">IF(OR($D99&lt;&gt;"Serviço",AND(AUTOEVENTO="Manual",$M99=$A$15),$M99&gt;(ROW(PLE.lastrow)-ROW(PLE.firstrow))),0,
           IF(OFFSET(PLE!$G$15,$M99-$A$15,AY$13)="",10^12,OFFSET(PLE!$G$15,$M99-$A$15,AY$13)))</f>
        <v>0</v>
      </c>
      <c r="AZ99" s="173">
        <f ca="1">IF(OR($D99&lt;&gt;"Serviço",AND(AUTOEVENTO="Manual",$M99=$A$15),$M99&gt;(ROW(PLE.lastrow)-ROW(PLE.firstrow))),0,
           IF(OFFSET(PLE!$G$15,$M99-$A$15,AZ$13)="",10^12,OFFSET(PLE!$G$15,$M99-$A$15,AZ$13)))</f>
        <v>0</v>
      </c>
      <c r="BA99" s="173">
        <f ca="1">IF(OR($D99&lt;&gt;"Serviço",AND(AUTOEVENTO="Manual",$M99=$A$15),$M99&gt;(ROW(PLE.lastrow)-ROW(PLE.firstrow))),0,
           IF(OFFSET(PLE!$G$15,$M99-$A$15,BA$13)="",10^12,OFFSET(PLE!$G$15,$M99-$A$15,BA$13)))</f>
        <v>0</v>
      </c>
      <c r="BB99" s="173">
        <f ca="1">IF(OR($D99&lt;&gt;"Serviço",AND(AUTOEVENTO="Manual",$M99=$A$15),$M99&gt;(ROW(PLE.lastrow)-ROW(PLE.firstrow))),0,
           IF(OFFSET(PLE!$G$15,$M99-$A$15,BB$13)="",10^12,OFFSET(PLE!$G$15,$M99-$A$15,BB$13)))</f>
        <v>0</v>
      </c>
      <c r="BC99" s="173">
        <f ca="1">IF(OR($D99&lt;&gt;"Serviço",AND(AUTOEVENTO="Manual",$M99=$A$15),$M99&gt;(ROW(PLE.lastrow)-ROW(PLE.firstrow))),0,
           IF(OFFSET(PLE!$G$15,$M99-$A$15,BC$13)="",10^12,OFFSET(PLE!$G$15,$M99-$A$15,BC$13)))</f>
        <v>0</v>
      </c>
      <c r="BD99" s="173">
        <f ca="1">IF(OR($D99&lt;&gt;"Serviço",AND(AUTOEVENTO="Manual",$M99=$A$15),$M99&gt;(ROW(PLE.lastrow)-ROW(PLE.firstrow))),0,
           IF(OFFSET(PLE!$G$15,$M99-$A$15,BD$13)="",10^12,OFFSET(PLE!$G$15,$M99-$A$15,BD$13)))</f>
        <v>0</v>
      </c>
      <c r="BE99" s="173">
        <f ca="1">IF(OR($D99&lt;&gt;"Serviço",AND(AUTOEVENTO="Manual",$M99=$A$15),$M99&gt;(ROW(PLE.lastrow)-ROW(PLE.firstrow))),0,
           IF(OFFSET(PLE!$G$15,$M99-$A$15,BE$13)="",10^12,OFFSET(PLE!$G$15,$M99-$A$15,BE$13)))</f>
        <v>0</v>
      </c>
      <c r="BF99" s="173">
        <f ca="1">IF(OR($D99&lt;&gt;"Serviço",AND(AUTOEVENTO="Manual",$M99=$A$15),$M99&gt;(ROW(PLE.lastrow)-ROW(PLE.firstrow))),0,
           IF(OFFSET(PLE!$G$15,$M99-$A$15,BF$13)="",10^12,OFFSET(PLE!$G$15,$M99-$A$15,BF$13)))</f>
        <v>0</v>
      </c>
      <c r="BG99" s="173">
        <f ca="1">IF(OR($D99&lt;&gt;"Serviço",AND(AUTOEVENTO="Manual",$M99=$A$15),$M99&gt;(ROW(PLE.lastrow)-ROW(PLE.firstrow))),0,
           IF(OFFSET(PLE!$G$15,$M99-$A$15,BG$13)="",10^12,OFFSET(PLE!$G$15,$M99-$A$15,BG$13)))</f>
        <v>0</v>
      </c>
    </row>
    <row r="100" spans="1:59" s="720" customFormat="1" ht="25.5" x14ac:dyDescent="0.2">
      <c r="A100" s="718" t="str">
        <f t="shared" ca="1" si="10"/>
        <v>84</v>
      </c>
      <c r="B100" s="718" t="str">
        <f ca="1">OFFSET(ORÇAMENTO!C$15,ROW(B100)-ROW(B$15),0)</f>
        <v>S</v>
      </c>
      <c r="C100" s="718" t="str">
        <f ca="1">OFFSET(ORÇAMENTO!L$15,ROW(C100)-ROW(C$15),0)</f>
        <v/>
      </c>
      <c r="D100" s="117" t="str">
        <f ca="1">OFFSET(ORÇAMENTO!N$15,ROW(D100)-ROW(D$15),0)</f>
        <v>Serviço</v>
      </c>
      <c r="E100" s="118" t="str">
        <f ca="1">OFFSET(ORÇAMENTO!O$15,ROW(E100)-ROW(E$15),0)</f>
        <v>-</v>
      </c>
      <c r="F100" s="164" t="str">
        <f ca="1">OFFSET(ORÇAMENTO!R$15,ROW(F100)-ROW(F$15),0)</f>
        <v>(abra o arquivo 'Referência 09-2025.xlsm)</v>
      </c>
      <c r="G100" s="165" t="str">
        <f ca="1">IF($D100&lt;&gt;"Serviço","",OFFSET(ORÇAMENTO!S$15,ROW(G100)-ROW(G$15),0))</f>
        <v>-</v>
      </c>
      <c r="H100" s="123">
        <f ca="1">IF($D100&lt;&gt;"Serviço",0,IF(ACOMPANHAMENTO="BM",ROUND(OFFSET(ORÇAMENTO!AJ$15,ROW(H100)-ROW(H$15),0),15-13*ORÇAMENTO!$AF$7),SUMPRODUCT(($Q$1:$AA$1=1)*ROUND($Q100:$AA100,15-13*ORÇAMENTO!$AF$7))))</f>
        <v>246</v>
      </c>
      <c r="I100" s="469"/>
      <c r="J100" s="667" t="str">
        <f ca="1">IF(OR(B100&lt;&gt;"S",CÁLCULO.FrentesPreenchidas=0),"",IF(AND(ACOMPANHAMENTO="PLE",AUTOEVENTO="Manual",OR(H100&gt;0,ORÇAMENTO!AC100="QUANT."),OR(K100="",M100=0,N100="")),"►",IF(AND(ACOMPANHAMENTO="PLE",ORÇAMENTO!AC100="QUANT."),"►►",IF(AND(COUNTIF($P$11:$AA$11,"▼")=0,H100&gt;0,I100=""),"◄",""))))</f>
        <v/>
      </c>
      <c r="K100" s="668"/>
      <c r="L100" s="166" t="s">
        <v>765</v>
      </c>
      <c r="M100" s="167">
        <f ca="1">IF($D100&lt;&gt;"Serviço","",
          IF(AUTOEVENTO="manual",$A100,
                IF(ISERROR(MATCH($A100,$A$15:OFFSET($A100,-1,0),0)),MAX($M$15:OFFSET(M100,-1,0))+1,
                      INDEX($M$15:OFFSET(M100,-1,0),MATCH($A100,$A$15:OFFSET($A100,-1,0),0)))))</f>
        <v>10</v>
      </c>
      <c r="N100" s="168" t="str">
        <f ca="1">IF($D100&lt;&gt;"Serviço","",
         IF(AUTOEVENTO="Manual",
                IF($A100=0,"&lt;-- defina o número do agrupador",
                       OFFSET(EVENTOS!$D$15,$A100-$A$15,0)),
                OFFSET($F$15,$A100,0)))</f>
        <v>SERVIÇOS PRELIMINARES</v>
      </c>
      <c r="O100" s="169"/>
      <c r="Q100" s="169"/>
      <c r="R100" s="170"/>
      <c r="S100" s="170"/>
      <c r="T100" s="170"/>
      <c r="U100" s="170"/>
      <c r="V100" s="170"/>
      <c r="W100" s="170"/>
      <c r="X100" s="170"/>
      <c r="Y100" s="170"/>
      <c r="Z100" s="171"/>
      <c r="AB100" s="454">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0</v>
      </c>
      <c r="AC100" s="454">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0</v>
      </c>
      <c r="AD100" s="454">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0</v>
      </c>
      <c r="AE100" s="454">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4">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4">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4">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4">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4">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4">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2">
        <f ca="1">IF(OR($D100&lt;&gt;"Serviço",AND(AUTOEVENTO="Manual",$M100=$A$15)),0,
         IF(OFFSET(CRONOPLE!$F$15,$M100-$A$15,AM$13)=0,10^12,OFFSET(CRONOPLE!$F$15,$M100-$A$15,AM$13)))</f>
        <v>1000000000000</v>
      </c>
      <c r="AN100" s="172">
        <f ca="1">IF(OR($D100&lt;&gt;"Serviço",AND(AUTOEVENTO="Manual",$M100=$A$15)),0,
         IF(OFFSET(CRONOPLE!$F$15,$M100-$A$15,AN$13)=0,10^12,OFFSET(CRONOPLE!$F$15,$M100-$A$15,AN$13)))</f>
        <v>1000000000000</v>
      </c>
      <c r="AO100" s="172">
        <f ca="1">IF(OR($D100&lt;&gt;"Serviço",AND(AUTOEVENTO="Manual",$M100=$A$15)),0,
         IF(OFFSET(CRONOPLE!$F$15,$M100-$A$15,AO$13)=0,10^12,OFFSET(CRONOPLE!$F$15,$M100-$A$15,AO$13)))</f>
        <v>1000000000000</v>
      </c>
      <c r="AP100" s="172">
        <f ca="1">IF(OR($D100&lt;&gt;"Serviço",AND(AUTOEVENTO="Manual",$M100=$A$15)),0,
         IF(OFFSET(CRONOPLE!$F$15,$M100-$A$15,AP$13)=0,10^12,OFFSET(CRONOPLE!$F$15,$M100-$A$15,AP$13)))</f>
        <v>1000000000000</v>
      </c>
      <c r="AQ100" s="172">
        <f ca="1">IF(OR($D100&lt;&gt;"Serviço",AND(AUTOEVENTO="Manual",$M100=$A$15)),0,
         IF(OFFSET(CRONOPLE!$F$15,$M100-$A$15,AQ$13)=0,10^12,OFFSET(CRONOPLE!$F$15,$M100-$A$15,AQ$13)))</f>
        <v>1000000000000</v>
      </c>
      <c r="AR100" s="172">
        <f ca="1">IF(OR($D100&lt;&gt;"Serviço",AND(AUTOEVENTO="Manual",$M100=$A$15)),0,
         IF(OFFSET(CRONOPLE!$F$15,$M100-$A$15,AR$13)=0,10^12,OFFSET(CRONOPLE!$F$15,$M100-$A$15,AR$13)))</f>
        <v>1000000000000</v>
      </c>
      <c r="AS100" s="172">
        <f ca="1">IF(OR($D100&lt;&gt;"Serviço",AND(AUTOEVENTO="Manual",$M100=$A$15)),0,
         IF(OFFSET(CRONOPLE!$F$15,$M100-$A$15,AS$13)=0,10^12,OFFSET(CRONOPLE!$F$15,$M100-$A$15,AS$13)))</f>
        <v>1000000000000</v>
      </c>
      <c r="AT100" s="172">
        <f ca="1">IF(OR($D100&lt;&gt;"Serviço",AND(AUTOEVENTO="Manual",$M100=$A$15)),0,
         IF(OFFSET(CRONOPLE!$F$15,$M100-$A$15,AT$13)=0,10^12,OFFSET(CRONOPLE!$F$15,$M100-$A$15,AT$13)))</f>
        <v>1000000000000</v>
      </c>
      <c r="AU100" s="172">
        <f ca="1">IF(OR($D100&lt;&gt;"Serviço",AND(AUTOEVENTO="Manual",$M100=$A$15)),0,
         IF(OFFSET(CRONOPLE!$F$15,$M100-$A$15,AU$13)=0,10^12,OFFSET(CRONOPLE!$F$15,$M100-$A$15,AU$13)))</f>
        <v>1000000000000</v>
      </c>
      <c r="AV100" s="172">
        <f ca="1">IF(OR($D100&lt;&gt;"Serviço",AND(AUTOEVENTO="Manual",$M100=$A$15)),0,
         IF(OFFSET(CRONOPLE!$F$15,$M100-$A$15,AV$13)=0,10^12,OFFSET(CRONOPLE!$F$15,$M100-$A$15,AV$13)))</f>
        <v>1000000000000</v>
      </c>
      <c r="AX100" s="173">
        <f ca="1">IF(OR($D100&lt;&gt;"Serviço",AND(AUTOEVENTO="Manual",$M100=$A$15),$M100&gt;(ROW(PLE.lastrow)-ROW(PLE.firstrow))),0,
           IF(OFFSET(PLE!$G$15,$M100-$A$15,AX$13)="",10^12,OFFSET(PLE!$G$15,$M100-$A$15,AX$13)))</f>
        <v>1000000000000</v>
      </c>
      <c r="AY100" s="173">
        <f ca="1">IF(OR($D100&lt;&gt;"Serviço",AND(AUTOEVENTO="Manual",$M100=$A$15),$M100&gt;(ROW(PLE.lastrow)-ROW(PLE.firstrow))),0,
           IF(OFFSET(PLE!$G$15,$M100-$A$15,AY$13)="",10^12,OFFSET(PLE!$G$15,$M100-$A$15,AY$13)))</f>
        <v>1000000000000</v>
      </c>
      <c r="AZ100" s="173">
        <f ca="1">IF(OR($D100&lt;&gt;"Serviço",AND(AUTOEVENTO="Manual",$M100=$A$15),$M100&gt;(ROW(PLE.lastrow)-ROW(PLE.firstrow))),0,
           IF(OFFSET(PLE!$G$15,$M100-$A$15,AZ$13)="",10^12,OFFSET(PLE!$G$15,$M100-$A$15,AZ$13)))</f>
        <v>1000000000000</v>
      </c>
      <c r="BA100" s="173">
        <f ca="1">IF(OR($D100&lt;&gt;"Serviço",AND(AUTOEVENTO="Manual",$M100=$A$15),$M100&gt;(ROW(PLE.lastrow)-ROW(PLE.firstrow))),0,
           IF(OFFSET(PLE!$G$15,$M100-$A$15,BA$13)="",10^12,OFFSET(PLE!$G$15,$M100-$A$15,BA$13)))</f>
        <v>1000000000000</v>
      </c>
      <c r="BB100" s="173">
        <f ca="1">IF(OR($D100&lt;&gt;"Serviço",AND(AUTOEVENTO="Manual",$M100=$A$15),$M100&gt;(ROW(PLE.lastrow)-ROW(PLE.firstrow))),0,
           IF(OFFSET(PLE!$G$15,$M100-$A$15,BB$13)="",10^12,OFFSET(PLE!$G$15,$M100-$A$15,BB$13)))</f>
        <v>1000000000000</v>
      </c>
      <c r="BC100" s="173">
        <f ca="1">IF(OR($D100&lt;&gt;"Serviço",AND(AUTOEVENTO="Manual",$M100=$A$15),$M100&gt;(ROW(PLE.lastrow)-ROW(PLE.firstrow))),0,
           IF(OFFSET(PLE!$G$15,$M100-$A$15,BC$13)="",10^12,OFFSET(PLE!$G$15,$M100-$A$15,BC$13)))</f>
        <v>1000000000000</v>
      </c>
      <c r="BD100" s="173">
        <f ca="1">IF(OR($D100&lt;&gt;"Serviço",AND(AUTOEVENTO="Manual",$M100=$A$15),$M100&gt;(ROW(PLE.lastrow)-ROW(PLE.firstrow))),0,
           IF(OFFSET(PLE!$G$15,$M100-$A$15,BD$13)="",10^12,OFFSET(PLE!$G$15,$M100-$A$15,BD$13)))</f>
        <v>1000000000000</v>
      </c>
      <c r="BE100" s="173">
        <f ca="1">IF(OR($D100&lt;&gt;"Serviço",AND(AUTOEVENTO="Manual",$M100=$A$15),$M100&gt;(ROW(PLE.lastrow)-ROW(PLE.firstrow))),0,
           IF(OFFSET(PLE!$G$15,$M100-$A$15,BE$13)="",10^12,OFFSET(PLE!$G$15,$M100-$A$15,BE$13)))</f>
        <v>1000000000000</v>
      </c>
      <c r="BF100" s="173">
        <f ca="1">IF(OR($D100&lt;&gt;"Serviço",AND(AUTOEVENTO="Manual",$M100=$A$15),$M100&gt;(ROW(PLE.lastrow)-ROW(PLE.firstrow))),0,
           IF(OFFSET(PLE!$G$15,$M100-$A$15,BF$13)="",10^12,OFFSET(PLE!$G$15,$M100-$A$15,BF$13)))</f>
        <v>1000000000000</v>
      </c>
      <c r="BG100" s="173">
        <f ca="1">IF(OR($D100&lt;&gt;"Serviço",AND(AUTOEVENTO="Manual",$M100=$A$15),$M100&gt;(ROW(PLE.lastrow)-ROW(PLE.firstrow))),0,
           IF(OFFSET(PLE!$G$15,$M100-$A$15,BG$13)="",10^12,OFFSET(PLE!$G$15,$M100-$A$15,BG$13)))</f>
        <v>1000000000000</v>
      </c>
    </row>
    <row r="101" spans="1:59" s="720" customFormat="1" ht="25.5" x14ac:dyDescent="0.2">
      <c r="A101" s="718" t="str">
        <f t="shared" ca="1" si="10"/>
        <v>84</v>
      </c>
      <c r="B101" s="718" t="str">
        <f ca="1">OFFSET(ORÇAMENTO!C$15,ROW(B101)-ROW(B$15),0)</f>
        <v>S</v>
      </c>
      <c r="C101" s="718" t="str">
        <f ca="1">OFFSET(ORÇAMENTO!L$15,ROW(C101)-ROW(C$15),0)</f>
        <v/>
      </c>
      <c r="D101" s="117" t="str">
        <f ca="1">OFFSET(ORÇAMENTO!N$15,ROW(D101)-ROW(D$15),0)</f>
        <v>Serviço</v>
      </c>
      <c r="E101" s="118" t="str">
        <f ca="1">OFFSET(ORÇAMENTO!O$15,ROW(E101)-ROW(E$15),0)</f>
        <v>-</v>
      </c>
      <c r="F101" s="164" t="str">
        <f ca="1">OFFSET(ORÇAMENTO!R$15,ROW(F101)-ROW(F$15),0)</f>
        <v>(abra o arquivo 'Referência 09-2025.xlsm)</v>
      </c>
      <c r="G101" s="165" t="str">
        <f ca="1">IF($D101&lt;&gt;"Serviço","",OFFSET(ORÇAMENTO!S$15,ROW(G101)-ROW(G$15),0))</f>
        <v>-</v>
      </c>
      <c r="H101" s="123">
        <f ca="1">IF($D101&lt;&gt;"Serviço",0,IF(ACOMPANHAMENTO="BM",ROUND(OFFSET(ORÇAMENTO!AJ$15,ROW(H101)-ROW(H$15),0),15-13*ORÇAMENTO!$AF$7),SUMPRODUCT(($Q$1:$AA$1=1)*ROUND($Q101:$AA101,15-13*ORÇAMENTO!$AF$7))))</f>
        <v>246</v>
      </c>
      <c r="I101" s="469"/>
      <c r="J101" s="667" t="str">
        <f ca="1">IF(OR(B101&lt;&gt;"S",CÁLCULO.FrentesPreenchidas=0),"",IF(AND(ACOMPANHAMENTO="PLE",AUTOEVENTO="Manual",OR(H101&gt;0,ORÇAMENTO!AC101="QUANT."),OR(K101="",M101=0,N101="")),"►",IF(AND(ACOMPANHAMENTO="PLE",ORÇAMENTO!AC101="QUANT."),"►►",IF(AND(COUNTIF($P$11:$AA$11,"▼")=0,H101&gt;0,I101=""),"◄",""))))</f>
        <v/>
      </c>
      <c r="K101" s="668"/>
      <c r="L101" s="166" t="s">
        <v>765</v>
      </c>
      <c r="M101" s="167">
        <f ca="1">IF($D101&lt;&gt;"Serviço","",
          IF(AUTOEVENTO="manual",$A101,
                IF(ISERROR(MATCH($A101,$A$15:OFFSET($A101,-1,0),0)),MAX($M$15:OFFSET(M101,-1,0))+1,
                      INDEX($M$15:OFFSET(M101,-1,0),MATCH($A101,$A$15:OFFSET($A101,-1,0),0)))))</f>
        <v>10</v>
      </c>
      <c r="N101" s="168" t="str">
        <f ca="1">IF($D101&lt;&gt;"Serviço","",
         IF(AUTOEVENTO="Manual",
                IF($A101=0,"&lt;-- defina o número do agrupador",
                       OFFSET(EVENTOS!$D$15,$A101-$A$15,0)),
                OFFSET($F$15,$A101,0)))</f>
        <v>SERVIÇOS PRELIMINARES</v>
      </c>
      <c r="O101" s="169"/>
      <c r="Q101" s="169"/>
      <c r="R101" s="170"/>
      <c r="S101" s="170"/>
      <c r="T101" s="170"/>
      <c r="U101" s="170"/>
      <c r="V101" s="170"/>
      <c r="W101" s="170"/>
      <c r="X101" s="170"/>
      <c r="Y101" s="170"/>
      <c r="Z101" s="171"/>
      <c r="AB101" s="454">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0</v>
      </c>
      <c r="AC101" s="454">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0</v>
      </c>
      <c r="AD101" s="454">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0</v>
      </c>
      <c r="AE101" s="454">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4">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4">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4">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4">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4">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4">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2">
        <f ca="1">IF(OR($D101&lt;&gt;"Serviço",AND(AUTOEVENTO="Manual",$M101=$A$15)),0,
         IF(OFFSET(CRONOPLE!$F$15,$M101-$A$15,AM$13)=0,10^12,OFFSET(CRONOPLE!$F$15,$M101-$A$15,AM$13)))</f>
        <v>1000000000000</v>
      </c>
      <c r="AN101" s="172">
        <f ca="1">IF(OR($D101&lt;&gt;"Serviço",AND(AUTOEVENTO="Manual",$M101=$A$15)),0,
         IF(OFFSET(CRONOPLE!$F$15,$M101-$A$15,AN$13)=0,10^12,OFFSET(CRONOPLE!$F$15,$M101-$A$15,AN$13)))</f>
        <v>1000000000000</v>
      </c>
      <c r="AO101" s="172">
        <f ca="1">IF(OR($D101&lt;&gt;"Serviço",AND(AUTOEVENTO="Manual",$M101=$A$15)),0,
         IF(OFFSET(CRONOPLE!$F$15,$M101-$A$15,AO$13)=0,10^12,OFFSET(CRONOPLE!$F$15,$M101-$A$15,AO$13)))</f>
        <v>1000000000000</v>
      </c>
      <c r="AP101" s="172">
        <f ca="1">IF(OR($D101&lt;&gt;"Serviço",AND(AUTOEVENTO="Manual",$M101=$A$15)),0,
         IF(OFFSET(CRONOPLE!$F$15,$M101-$A$15,AP$13)=0,10^12,OFFSET(CRONOPLE!$F$15,$M101-$A$15,AP$13)))</f>
        <v>1000000000000</v>
      </c>
      <c r="AQ101" s="172">
        <f ca="1">IF(OR($D101&lt;&gt;"Serviço",AND(AUTOEVENTO="Manual",$M101=$A$15)),0,
         IF(OFFSET(CRONOPLE!$F$15,$M101-$A$15,AQ$13)=0,10^12,OFFSET(CRONOPLE!$F$15,$M101-$A$15,AQ$13)))</f>
        <v>1000000000000</v>
      </c>
      <c r="AR101" s="172">
        <f ca="1">IF(OR($D101&lt;&gt;"Serviço",AND(AUTOEVENTO="Manual",$M101=$A$15)),0,
         IF(OFFSET(CRONOPLE!$F$15,$M101-$A$15,AR$13)=0,10^12,OFFSET(CRONOPLE!$F$15,$M101-$A$15,AR$13)))</f>
        <v>1000000000000</v>
      </c>
      <c r="AS101" s="172">
        <f ca="1">IF(OR($D101&lt;&gt;"Serviço",AND(AUTOEVENTO="Manual",$M101=$A$15)),0,
         IF(OFFSET(CRONOPLE!$F$15,$M101-$A$15,AS$13)=0,10^12,OFFSET(CRONOPLE!$F$15,$M101-$A$15,AS$13)))</f>
        <v>1000000000000</v>
      </c>
      <c r="AT101" s="172">
        <f ca="1">IF(OR($D101&lt;&gt;"Serviço",AND(AUTOEVENTO="Manual",$M101=$A$15)),0,
         IF(OFFSET(CRONOPLE!$F$15,$M101-$A$15,AT$13)=0,10^12,OFFSET(CRONOPLE!$F$15,$M101-$A$15,AT$13)))</f>
        <v>1000000000000</v>
      </c>
      <c r="AU101" s="172">
        <f ca="1">IF(OR($D101&lt;&gt;"Serviço",AND(AUTOEVENTO="Manual",$M101=$A$15)),0,
         IF(OFFSET(CRONOPLE!$F$15,$M101-$A$15,AU$13)=0,10^12,OFFSET(CRONOPLE!$F$15,$M101-$A$15,AU$13)))</f>
        <v>1000000000000</v>
      </c>
      <c r="AV101" s="172">
        <f ca="1">IF(OR($D101&lt;&gt;"Serviço",AND(AUTOEVENTO="Manual",$M101=$A$15)),0,
         IF(OFFSET(CRONOPLE!$F$15,$M101-$A$15,AV$13)=0,10^12,OFFSET(CRONOPLE!$F$15,$M101-$A$15,AV$13)))</f>
        <v>1000000000000</v>
      </c>
      <c r="AX101" s="173">
        <f ca="1">IF(OR($D101&lt;&gt;"Serviço",AND(AUTOEVENTO="Manual",$M101=$A$15),$M101&gt;(ROW(PLE.lastrow)-ROW(PLE.firstrow))),0,
           IF(OFFSET(PLE!$G$15,$M101-$A$15,AX$13)="",10^12,OFFSET(PLE!$G$15,$M101-$A$15,AX$13)))</f>
        <v>1000000000000</v>
      </c>
      <c r="AY101" s="173">
        <f ca="1">IF(OR($D101&lt;&gt;"Serviço",AND(AUTOEVENTO="Manual",$M101=$A$15),$M101&gt;(ROW(PLE.lastrow)-ROW(PLE.firstrow))),0,
           IF(OFFSET(PLE!$G$15,$M101-$A$15,AY$13)="",10^12,OFFSET(PLE!$G$15,$M101-$A$15,AY$13)))</f>
        <v>1000000000000</v>
      </c>
      <c r="AZ101" s="173">
        <f ca="1">IF(OR($D101&lt;&gt;"Serviço",AND(AUTOEVENTO="Manual",$M101=$A$15),$M101&gt;(ROW(PLE.lastrow)-ROW(PLE.firstrow))),0,
           IF(OFFSET(PLE!$G$15,$M101-$A$15,AZ$13)="",10^12,OFFSET(PLE!$G$15,$M101-$A$15,AZ$13)))</f>
        <v>1000000000000</v>
      </c>
      <c r="BA101" s="173">
        <f ca="1">IF(OR($D101&lt;&gt;"Serviço",AND(AUTOEVENTO="Manual",$M101=$A$15),$M101&gt;(ROW(PLE.lastrow)-ROW(PLE.firstrow))),0,
           IF(OFFSET(PLE!$G$15,$M101-$A$15,BA$13)="",10^12,OFFSET(PLE!$G$15,$M101-$A$15,BA$13)))</f>
        <v>1000000000000</v>
      </c>
      <c r="BB101" s="173">
        <f ca="1">IF(OR($D101&lt;&gt;"Serviço",AND(AUTOEVENTO="Manual",$M101=$A$15),$M101&gt;(ROW(PLE.lastrow)-ROW(PLE.firstrow))),0,
           IF(OFFSET(PLE!$G$15,$M101-$A$15,BB$13)="",10^12,OFFSET(PLE!$G$15,$M101-$A$15,BB$13)))</f>
        <v>1000000000000</v>
      </c>
      <c r="BC101" s="173">
        <f ca="1">IF(OR($D101&lt;&gt;"Serviço",AND(AUTOEVENTO="Manual",$M101=$A$15),$M101&gt;(ROW(PLE.lastrow)-ROW(PLE.firstrow))),0,
           IF(OFFSET(PLE!$G$15,$M101-$A$15,BC$13)="",10^12,OFFSET(PLE!$G$15,$M101-$A$15,BC$13)))</f>
        <v>1000000000000</v>
      </c>
      <c r="BD101" s="173">
        <f ca="1">IF(OR($D101&lt;&gt;"Serviço",AND(AUTOEVENTO="Manual",$M101=$A$15),$M101&gt;(ROW(PLE.lastrow)-ROW(PLE.firstrow))),0,
           IF(OFFSET(PLE!$G$15,$M101-$A$15,BD$13)="",10^12,OFFSET(PLE!$G$15,$M101-$A$15,BD$13)))</f>
        <v>1000000000000</v>
      </c>
      <c r="BE101" s="173">
        <f ca="1">IF(OR($D101&lt;&gt;"Serviço",AND(AUTOEVENTO="Manual",$M101=$A$15),$M101&gt;(ROW(PLE.lastrow)-ROW(PLE.firstrow))),0,
           IF(OFFSET(PLE!$G$15,$M101-$A$15,BE$13)="",10^12,OFFSET(PLE!$G$15,$M101-$A$15,BE$13)))</f>
        <v>1000000000000</v>
      </c>
      <c r="BF101" s="173">
        <f ca="1">IF(OR($D101&lt;&gt;"Serviço",AND(AUTOEVENTO="Manual",$M101=$A$15),$M101&gt;(ROW(PLE.lastrow)-ROW(PLE.firstrow))),0,
           IF(OFFSET(PLE!$G$15,$M101-$A$15,BF$13)="",10^12,OFFSET(PLE!$G$15,$M101-$A$15,BF$13)))</f>
        <v>1000000000000</v>
      </c>
      <c r="BG101" s="173">
        <f ca="1">IF(OR($D101&lt;&gt;"Serviço",AND(AUTOEVENTO="Manual",$M101=$A$15),$M101&gt;(ROW(PLE.lastrow)-ROW(PLE.firstrow))),0,
           IF(OFFSET(PLE!$G$15,$M101-$A$15,BG$13)="",10^12,OFFSET(PLE!$G$15,$M101-$A$15,BG$13)))</f>
        <v>1000000000000</v>
      </c>
    </row>
    <row r="102" spans="1:59" s="720" customFormat="1" ht="25.5" x14ac:dyDescent="0.2">
      <c r="A102" s="718" t="str">
        <f t="shared" ca="1" si="10"/>
        <v>84</v>
      </c>
      <c r="B102" s="718" t="str">
        <f ca="1">OFFSET(ORÇAMENTO!C$15,ROW(B102)-ROW(B$15),0)</f>
        <v>S</v>
      </c>
      <c r="C102" s="718" t="str">
        <f ca="1">OFFSET(ORÇAMENTO!L$15,ROW(C102)-ROW(C$15),0)</f>
        <v/>
      </c>
      <c r="D102" s="117" t="str">
        <f ca="1">OFFSET(ORÇAMENTO!N$15,ROW(D102)-ROW(D$15),0)</f>
        <v>Serviço</v>
      </c>
      <c r="E102" s="118" t="str">
        <f ca="1">OFFSET(ORÇAMENTO!O$15,ROW(E102)-ROW(E$15),0)</f>
        <v>-</v>
      </c>
      <c r="F102" s="164" t="str">
        <f ca="1">OFFSET(ORÇAMENTO!R$15,ROW(F102)-ROW(F$15),0)</f>
        <v>(abra o arquivo 'Referência 09-2025.xlsm)</v>
      </c>
      <c r="G102" s="165" t="str">
        <f ca="1">IF($D102&lt;&gt;"Serviço","",OFFSET(ORÇAMENTO!S$15,ROW(G102)-ROW(G$15),0))</f>
        <v>-</v>
      </c>
      <c r="H102" s="123">
        <f ca="1">IF($D102&lt;&gt;"Serviço",0,IF(ACOMPANHAMENTO="BM",ROUND(OFFSET(ORÇAMENTO!AJ$15,ROW(H102)-ROW(H$15),0),15-13*ORÇAMENTO!$AF$7),SUMPRODUCT(($Q$1:$AA$1=1)*ROUND($Q102:$AA102,15-13*ORÇAMENTO!$AF$7))))</f>
        <v>600</v>
      </c>
      <c r="I102" s="469"/>
      <c r="J102" s="667" t="str">
        <f ca="1">IF(OR(B102&lt;&gt;"S",CÁLCULO.FrentesPreenchidas=0),"",IF(AND(ACOMPANHAMENTO="PLE",AUTOEVENTO="Manual",OR(H102&gt;0,ORÇAMENTO!AC102="QUANT."),OR(K102="",M102=0,N102="")),"►",IF(AND(ACOMPANHAMENTO="PLE",ORÇAMENTO!AC102="QUANT."),"►►",IF(AND(COUNTIF($P$11:$AA$11,"▼")=0,H102&gt;0,I102=""),"◄",""))))</f>
        <v/>
      </c>
      <c r="K102" s="668"/>
      <c r="L102" s="166" t="s">
        <v>765</v>
      </c>
      <c r="M102" s="167">
        <f ca="1">IF($D102&lt;&gt;"Serviço","",
          IF(AUTOEVENTO="manual",$A102,
                IF(ISERROR(MATCH($A102,$A$15:OFFSET($A102,-1,0),0)),MAX($M$15:OFFSET(M102,-1,0))+1,
                      INDEX($M$15:OFFSET(M102,-1,0),MATCH($A102,$A$15:OFFSET($A102,-1,0),0)))))</f>
        <v>10</v>
      </c>
      <c r="N102" s="168" t="str">
        <f ca="1">IF($D102&lt;&gt;"Serviço","",
         IF(AUTOEVENTO="Manual",
                IF($A102=0,"&lt;-- defina o número do agrupador",
                       OFFSET(EVENTOS!$D$15,$A102-$A$15,0)),
                OFFSET($F$15,$A102,0)))</f>
        <v>SERVIÇOS PRELIMINARES</v>
      </c>
      <c r="O102" s="169"/>
      <c r="Q102" s="169"/>
      <c r="R102" s="170"/>
      <c r="S102" s="170"/>
      <c r="T102" s="170"/>
      <c r="U102" s="170"/>
      <c r="V102" s="170"/>
      <c r="W102" s="170"/>
      <c r="X102" s="170"/>
      <c r="Y102" s="170"/>
      <c r="Z102" s="171"/>
      <c r="AB102" s="454">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0</v>
      </c>
      <c r="AC102" s="454">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4">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4">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4">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4">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4">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4">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4">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4">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2">
        <f ca="1">IF(OR($D102&lt;&gt;"Serviço",AND(AUTOEVENTO="Manual",$M102=$A$15)),0,
         IF(OFFSET(CRONOPLE!$F$15,$M102-$A$15,AM$13)=0,10^12,OFFSET(CRONOPLE!$F$15,$M102-$A$15,AM$13)))</f>
        <v>1000000000000</v>
      </c>
      <c r="AN102" s="172">
        <f ca="1">IF(OR($D102&lt;&gt;"Serviço",AND(AUTOEVENTO="Manual",$M102=$A$15)),0,
         IF(OFFSET(CRONOPLE!$F$15,$M102-$A$15,AN$13)=0,10^12,OFFSET(CRONOPLE!$F$15,$M102-$A$15,AN$13)))</f>
        <v>1000000000000</v>
      </c>
      <c r="AO102" s="172">
        <f ca="1">IF(OR($D102&lt;&gt;"Serviço",AND(AUTOEVENTO="Manual",$M102=$A$15)),0,
         IF(OFFSET(CRONOPLE!$F$15,$M102-$A$15,AO$13)=0,10^12,OFFSET(CRONOPLE!$F$15,$M102-$A$15,AO$13)))</f>
        <v>1000000000000</v>
      </c>
      <c r="AP102" s="172">
        <f ca="1">IF(OR($D102&lt;&gt;"Serviço",AND(AUTOEVENTO="Manual",$M102=$A$15)),0,
         IF(OFFSET(CRONOPLE!$F$15,$M102-$A$15,AP$13)=0,10^12,OFFSET(CRONOPLE!$F$15,$M102-$A$15,AP$13)))</f>
        <v>1000000000000</v>
      </c>
      <c r="AQ102" s="172">
        <f ca="1">IF(OR($D102&lt;&gt;"Serviço",AND(AUTOEVENTO="Manual",$M102=$A$15)),0,
         IF(OFFSET(CRONOPLE!$F$15,$M102-$A$15,AQ$13)=0,10^12,OFFSET(CRONOPLE!$F$15,$M102-$A$15,AQ$13)))</f>
        <v>1000000000000</v>
      </c>
      <c r="AR102" s="172">
        <f ca="1">IF(OR($D102&lt;&gt;"Serviço",AND(AUTOEVENTO="Manual",$M102=$A$15)),0,
         IF(OFFSET(CRONOPLE!$F$15,$M102-$A$15,AR$13)=0,10^12,OFFSET(CRONOPLE!$F$15,$M102-$A$15,AR$13)))</f>
        <v>1000000000000</v>
      </c>
      <c r="AS102" s="172">
        <f ca="1">IF(OR($D102&lt;&gt;"Serviço",AND(AUTOEVENTO="Manual",$M102=$A$15)),0,
         IF(OFFSET(CRONOPLE!$F$15,$M102-$A$15,AS$13)=0,10^12,OFFSET(CRONOPLE!$F$15,$M102-$A$15,AS$13)))</f>
        <v>1000000000000</v>
      </c>
      <c r="AT102" s="172">
        <f ca="1">IF(OR($D102&lt;&gt;"Serviço",AND(AUTOEVENTO="Manual",$M102=$A$15)),0,
         IF(OFFSET(CRONOPLE!$F$15,$M102-$A$15,AT$13)=0,10^12,OFFSET(CRONOPLE!$F$15,$M102-$A$15,AT$13)))</f>
        <v>1000000000000</v>
      </c>
      <c r="AU102" s="172">
        <f ca="1">IF(OR($D102&lt;&gt;"Serviço",AND(AUTOEVENTO="Manual",$M102=$A$15)),0,
         IF(OFFSET(CRONOPLE!$F$15,$M102-$A$15,AU$13)=0,10^12,OFFSET(CRONOPLE!$F$15,$M102-$A$15,AU$13)))</f>
        <v>1000000000000</v>
      </c>
      <c r="AV102" s="172">
        <f ca="1">IF(OR($D102&lt;&gt;"Serviço",AND(AUTOEVENTO="Manual",$M102=$A$15)),0,
         IF(OFFSET(CRONOPLE!$F$15,$M102-$A$15,AV$13)=0,10^12,OFFSET(CRONOPLE!$F$15,$M102-$A$15,AV$13)))</f>
        <v>1000000000000</v>
      </c>
      <c r="AX102" s="173">
        <f ca="1">IF(OR($D102&lt;&gt;"Serviço",AND(AUTOEVENTO="Manual",$M102=$A$15),$M102&gt;(ROW(PLE.lastrow)-ROW(PLE.firstrow))),0,
           IF(OFFSET(PLE!$G$15,$M102-$A$15,AX$13)="",10^12,OFFSET(PLE!$G$15,$M102-$A$15,AX$13)))</f>
        <v>1000000000000</v>
      </c>
      <c r="AY102" s="173">
        <f ca="1">IF(OR($D102&lt;&gt;"Serviço",AND(AUTOEVENTO="Manual",$M102=$A$15),$M102&gt;(ROW(PLE.lastrow)-ROW(PLE.firstrow))),0,
           IF(OFFSET(PLE!$G$15,$M102-$A$15,AY$13)="",10^12,OFFSET(PLE!$G$15,$M102-$A$15,AY$13)))</f>
        <v>1000000000000</v>
      </c>
      <c r="AZ102" s="173">
        <f ca="1">IF(OR($D102&lt;&gt;"Serviço",AND(AUTOEVENTO="Manual",$M102=$A$15),$M102&gt;(ROW(PLE.lastrow)-ROW(PLE.firstrow))),0,
           IF(OFFSET(PLE!$G$15,$M102-$A$15,AZ$13)="",10^12,OFFSET(PLE!$G$15,$M102-$A$15,AZ$13)))</f>
        <v>1000000000000</v>
      </c>
      <c r="BA102" s="173">
        <f ca="1">IF(OR($D102&lt;&gt;"Serviço",AND(AUTOEVENTO="Manual",$M102=$A$15),$M102&gt;(ROW(PLE.lastrow)-ROW(PLE.firstrow))),0,
           IF(OFFSET(PLE!$G$15,$M102-$A$15,BA$13)="",10^12,OFFSET(PLE!$G$15,$M102-$A$15,BA$13)))</f>
        <v>1000000000000</v>
      </c>
      <c r="BB102" s="173">
        <f ca="1">IF(OR($D102&lt;&gt;"Serviço",AND(AUTOEVENTO="Manual",$M102=$A$15),$M102&gt;(ROW(PLE.lastrow)-ROW(PLE.firstrow))),0,
           IF(OFFSET(PLE!$G$15,$M102-$A$15,BB$13)="",10^12,OFFSET(PLE!$G$15,$M102-$A$15,BB$13)))</f>
        <v>1000000000000</v>
      </c>
      <c r="BC102" s="173">
        <f ca="1">IF(OR($D102&lt;&gt;"Serviço",AND(AUTOEVENTO="Manual",$M102=$A$15),$M102&gt;(ROW(PLE.lastrow)-ROW(PLE.firstrow))),0,
           IF(OFFSET(PLE!$G$15,$M102-$A$15,BC$13)="",10^12,OFFSET(PLE!$G$15,$M102-$A$15,BC$13)))</f>
        <v>1000000000000</v>
      </c>
      <c r="BD102" s="173">
        <f ca="1">IF(OR($D102&lt;&gt;"Serviço",AND(AUTOEVENTO="Manual",$M102=$A$15),$M102&gt;(ROW(PLE.lastrow)-ROW(PLE.firstrow))),0,
           IF(OFFSET(PLE!$G$15,$M102-$A$15,BD$13)="",10^12,OFFSET(PLE!$G$15,$M102-$A$15,BD$13)))</f>
        <v>1000000000000</v>
      </c>
      <c r="BE102" s="173">
        <f ca="1">IF(OR($D102&lt;&gt;"Serviço",AND(AUTOEVENTO="Manual",$M102=$A$15),$M102&gt;(ROW(PLE.lastrow)-ROW(PLE.firstrow))),0,
           IF(OFFSET(PLE!$G$15,$M102-$A$15,BE$13)="",10^12,OFFSET(PLE!$G$15,$M102-$A$15,BE$13)))</f>
        <v>1000000000000</v>
      </c>
      <c r="BF102" s="173">
        <f ca="1">IF(OR($D102&lt;&gt;"Serviço",AND(AUTOEVENTO="Manual",$M102=$A$15),$M102&gt;(ROW(PLE.lastrow)-ROW(PLE.firstrow))),0,
           IF(OFFSET(PLE!$G$15,$M102-$A$15,BF$13)="",10^12,OFFSET(PLE!$G$15,$M102-$A$15,BF$13)))</f>
        <v>1000000000000</v>
      </c>
      <c r="BG102" s="173">
        <f ca="1">IF(OR($D102&lt;&gt;"Serviço",AND(AUTOEVENTO="Manual",$M102=$A$15),$M102&gt;(ROW(PLE.lastrow)-ROW(PLE.firstrow))),0,
           IF(OFFSET(PLE!$G$15,$M102-$A$15,BG$13)="",10^12,OFFSET(PLE!$G$15,$M102-$A$15,BG$13)))</f>
        <v>1000000000000</v>
      </c>
    </row>
    <row r="103" spans="1:59" s="720" customFormat="1" ht="25.5" x14ac:dyDescent="0.2">
      <c r="A103" s="718" t="str">
        <f t="shared" ca="1" si="10"/>
        <v>84</v>
      </c>
      <c r="B103" s="718" t="str">
        <f ca="1">OFFSET(ORÇAMENTO!C$15,ROW(B103)-ROW(B$15),0)</f>
        <v>S</v>
      </c>
      <c r="C103" s="718" t="str">
        <f ca="1">OFFSET(ORÇAMENTO!L$15,ROW(C103)-ROW(C$15),0)</f>
        <v/>
      </c>
      <c r="D103" s="117" t="str">
        <f ca="1">OFFSET(ORÇAMENTO!N$15,ROW(D103)-ROW(D$15),0)</f>
        <v>Serviço</v>
      </c>
      <c r="E103" s="118" t="str">
        <f ca="1">OFFSET(ORÇAMENTO!O$15,ROW(E103)-ROW(E$15),0)</f>
        <v>-</v>
      </c>
      <c r="F103" s="164" t="str">
        <f ca="1">OFFSET(ORÇAMENTO!R$15,ROW(F103)-ROW(F$15),0)</f>
        <v>(abra o arquivo 'Referência 09-2025.xlsm)</v>
      </c>
      <c r="G103" s="165" t="str">
        <f ca="1">IF($D103&lt;&gt;"Serviço","",OFFSET(ORÇAMENTO!S$15,ROW(G103)-ROW(G$15),0))</f>
        <v>-</v>
      </c>
      <c r="H103" s="123">
        <f ca="1">IF($D103&lt;&gt;"Serviço",0,IF(ACOMPANHAMENTO="BM",ROUND(OFFSET(ORÇAMENTO!AJ$15,ROW(H103)-ROW(H$15),0),15-13*ORÇAMENTO!$AF$7),SUMPRODUCT(($Q$1:$AA$1=1)*ROUND($Q103:$AA103,15-13*ORÇAMENTO!$AF$7))))</f>
        <v>150</v>
      </c>
      <c r="I103" s="469"/>
      <c r="J103" s="667" t="str">
        <f ca="1">IF(OR(B103&lt;&gt;"S",CÁLCULO.FrentesPreenchidas=0),"",IF(AND(ACOMPANHAMENTO="PLE",AUTOEVENTO="Manual",OR(H103&gt;0,ORÇAMENTO!AC103="QUANT."),OR(K103="",M103=0,N103="")),"►",IF(AND(ACOMPANHAMENTO="PLE",ORÇAMENTO!AC103="QUANT."),"►►",IF(AND(COUNTIF($P$11:$AA$11,"▼")=0,H103&gt;0,I103=""),"◄",""))))</f>
        <v/>
      </c>
      <c r="K103" s="668"/>
      <c r="L103" s="166" t="s">
        <v>765</v>
      </c>
      <c r="M103" s="167">
        <f ca="1">IF($D103&lt;&gt;"Serviço","",
          IF(AUTOEVENTO="manual",$A103,
                IF(ISERROR(MATCH($A103,$A$15:OFFSET($A103,-1,0),0)),MAX($M$15:OFFSET(M103,-1,0))+1,
                      INDEX($M$15:OFFSET(M103,-1,0),MATCH($A103,$A$15:OFFSET($A103,-1,0),0)))))</f>
        <v>10</v>
      </c>
      <c r="N103" s="168" t="str">
        <f ca="1">IF($D103&lt;&gt;"Serviço","",
         IF(AUTOEVENTO="Manual",
                IF($A103=0,"&lt;-- defina o número do agrupador",
                       OFFSET(EVENTOS!$D$15,$A103-$A$15,0)),
                OFFSET($F$15,$A103,0)))</f>
        <v>SERVIÇOS PRELIMINARES</v>
      </c>
      <c r="O103" s="169"/>
      <c r="Q103" s="169"/>
      <c r="R103" s="170"/>
      <c r="S103" s="170"/>
      <c r="T103" s="170"/>
      <c r="U103" s="170"/>
      <c r="V103" s="170"/>
      <c r="W103" s="170"/>
      <c r="X103" s="170"/>
      <c r="Y103" s="170"/>
      <c r="Z103" s="171"/>
      <c r="AB103" s="454">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0</v>
      </c>
      <c r="AC103" s="454">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0</v>
      </c>
      <c r="AD103" s="454">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0</v>
      </c>
      <c r="AE103" s="454">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4">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4">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4">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4">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4">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4">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2">
        <f ca="1">IF(OR($D103&lt;&gt;"Serviço",AND(AUTOEVENTO="Manual",$M103=$A$15)),0,
         IF(OFFSET(CRONOPLE!$F$15,$M103-$A$15,AM$13)=0,10^12,OFFSET(CRONOPLE!$F$15,$M103-$A$15,AM$13)))</f>
        <v>1000000000000</v>
      </c>
      <c r="AN103" s="172">
        <f ca="1">IF(OR($D103&lt;&gt;"Serviço",AND(AUTOEVENTO="Manual",$M103=$A$15)),0,
         IF(OFFSET(CRONOPLE!$F$15,$M103-$A$15,AN$13)=0,10^12,OFFSET(CRONOPLE!$F$15,$M103-$A$15,AN$13)))</f>
        <v>1000000000000</v>
      </c>
      <c r="AO103" s="172">
        <f ca="1">IF(OR($D103&lt;&gt;"Serviço",AND(AUTOEVENTO="Manual",$M103=$A$15)),0,
         IF(OFFSET(CRONOPLE!$F$15,$M103-$A$15,AO$13)=0,10^12,OFFSET(CRONOPLE!$F$15,$M103-$A$15,AO$13)))</f>
        <v>1000000000000</v>
      </c>
      <c r="AP103" s="172">
        <f ca="1">IF(OR($D103&lt;&gt;"Serviço",AND(AUTOEVENTO="Manual",$M103=$A$15)),0,
         IF(OFFSET(CRONOPLE!$F$15,$M103-$A$15,AP$13)=0,10^12,OFFSET(CRONOPLE!$F$15,$M103-$A$15,AP$13)))</f>
        <v>1000000000000</v>
      </c>
      <c r="AQ103" s="172">
        <f ca="1">IF(OR($D103&lt;&gt;"Serviço",AND(AUTOEVENTO="Manual",$M103=$A$15)),0,
         IF(OFFSET(CRONOPLE!$F$15,$M103-$A$15,AQ$13)=0,10^12,OFFSET(CRONOPLE!$F$15,$M103-$A$15,AQ$13)))</f>
        <v>1000000000000</v>
      </c>
      <c r="AR103" s="172">
        <f ca="1">IF(OR($D103&lt;&gt;"Serviço",AND(AUTOEVENTO="Manual",$M103=$A$15)),0,
         IF(OFFSET(CRONOPLE!$F$15,$M103-$A$15,AR$13)=0,10^12,OFFSET(CRONOPLE!$F$15,$M103-$A$15,AR$13)))</f>
        <v>1000000000000</v>
      </c>
      <c r="AS103" s="172">
        <f ca="1">IF(OR($D103&lt;&gt;"Serviço",AND(AUTOEVENTO="Manual",$M103=$A$15)),0,
         IF(OFFSET(CRONOPLE!$F$15,$M103-$A$15,AS$13)=0,10^12,OFFSET(CRONOPLE!$F$15,$M103-$A$15,AS$13)))</f>
        <v>1000000000000</v>
      </c>
      <c r="AT103" s="172">
        <f ca="1">IF(OR($D103&lt;&gt;"Serviço",AND(AUTOEVENTO="Manual",$M103=$A$15)),0,
         IF(OFFSET(CRONOPLE!$F$15,$M103-$A$15,AT$13)=0,10^12,OFFSET(CRONOPLE!$F$15,$M103-$A$15,AT$13)))</f>
        <v>1000000000000</v>
      </c>
      <c r="AU103" s="172">
        <f ca="1">IF(OR($D103&lt;&gt;"Serviço",AND(AUTOEVENTO="Manual",$M103=$A$15)),0,
         IF(OFFSET(CRONOPLE!$F$15,$M103-$A$15,AU$13)=0,10^12,OFFSET(CRONOPLE!$F$15,$M103-$A$15,AU$13)))</f>
        <v>1000000000000</v>
      </c>
      <c r="AV103" s="172">
        <f ca="1">IF(OR($D103&lt;&gt;"Serviço",AND(AUTOEVENTO="Manual",$M103=$A$15)),0,
         IF(OFFSET(CRONOPLE!$F$15,$M103-$A$15,AV$13)=0,10^12,OFFSET(CRONOPLE!$F$15,$M103-$A$15,AV$13)))</f>
        <v>1000000000000</v>
      </c>
      <c r="AX103" s="173">
        <f ca="1">IF(OR($D103&lt;&gt;"Serviço",AND(AUTOEVENTO="Manual",$M103=$A$15),$M103&gt;(ROW(PLE.lastrow)-ROW(PLE.firstrow))),0,
           IF(OFFSET(PLE!$G$15,$M103-$A$15,AX$13)="",10^12,OFFSET(PLE!$G$15,$M103-$A$15,AX$13)))</f>
        <v>1000000000000</v>
      </c>
      <c r="AY103" s="173">
        <f ca="1">IF(OR($D103&lt;&gt;"Serviço",AND(AUTOEVENTO="Manual",$M103=$A$15),$M103&gt;(ROW(PLE.lastrow)-ROW(PLE.firstrow))),0,
           IF(OFFSET(PLE!$G$15,$M103-$A$15,AY$13)="",10^12,OFFSET(PLE!$G$15,$M103-$A$15,AY$13)))</f>
        <v>1000000000000</v>
      </c>
      <c r="AZ103" s="173">
        <f ca="1">IF(OR($D103&lt;&gt;"Serviço",AND(AUTOEVENTO="Manual",$M103=$A$15),$M103&gt;(ROW(PLE.lastrow)-ROW(PLE.firstrow))),0,
           IF(OFFSET(PLE!$G$15,$M103-$A$15,AZ$13)="",10^12,OFFSET(PLE!$G$15,$M103-$A$15,AZ$13)))</f>
        <v>1000000000000</v>
      </c>
      <c r="BA103" s="173">
        <f ca="1">IF(OR($D103&lt;&gt;"Serviço",AND(AUTOEVENTO="Manual",$M103=$A$15),$M103&gt;(ROW(PLE.lastrow)-ROW(PLE.firstrow))),0,
           IF(OFFSET(PLE!$G$15,$M103-$A$15,BA$13)="",10^12,OFFSET(PLE!$G$15,$M103-$A$15,BA$13)))</f>
        <v>1000000000000</v>
      </c>
      <c r="BB103" s="173">
        <f ca="1">IF(OR($D103&lt;&gt;"Serviço",AND(AUTOEVENTO="Manual",$M103=$A$15),$M103&gt;(ROW(PLE.lastrow)-ROW(PLE.firstrow))),0,
           IF(OFFSET(PLE!$G$15,$M103-$A$15,BB$13)="",10^12,OFFSET(PLE!$G$15,$M103-$A$15,BB$13)))</f>
        <v>1000000000000</v>
      </c>
      <c r="BC103" s="173">
        <f ca="1">IF(OR($D103&lt;&gt;"Serviço",AND(AUTOEVENTO="Manual",$M103=$A$15),$M103&gt;(ROW(PLE.lastrow)-ROW(PLE.firstrow))),0,
           IF(OFFSET(PLE!$G$15,$M103-$A$15,BC$13)="",10^12,OFFSET(PLE!$G$15,$M103-$A$15,BC$13)))</f>
        <v>1000000000000</v>
      </c>
      <c r="BD103" s="173">
        <f ca="1">IF(OR($D103&lt;&gt;"Serviço",AND(AUTOEVENTO="Manual",$M103=$A$15),$M103&gt;(ROW(PLE.lastrow)-ROW(PLE.firstrow))),0,
           IF(OFFSET(PLE!$G$15,$M103-$A$15,BD$13)="",10^12,OFFSET(PLE!$G$15,$M103-$A$15,BD$13)))</f>
        <v>1000000000000</v>
      </c>
      <c r="BE103" s="173">
        <f ca="1">IF(OR($D103&lt;&gt;"Serviço",AND(AUTOEVENTO="Manual",$M103=$A$15),$M103&gt;(ROW(PLE.lastrow)-ROW(PLE.firstrow))),0,
           IF(OFFSET(PLE!$G$15,$M103-$A$15,BE$13)="",10^12,OFFSET(PLE!$G$15,$M103-$A$15,BE$13)))</f>
        <v>1000000000000</v>
      </c>
      <c r="BF103" s="173">
        <f ca="1">IF(OR($D103&lt;&gt;"Serviço",AND(AUTOEVENTO="Manual",$M103=$A$15),$M103&gt;(ROW(PLE.lastrow)-ROW(PLE.firstrow))),0,
           IF(OFFSET(PLE!$G$15,$M103-$A$15,BF$13)="",10^12,OFFSET(PLE!$G$15,$M103-$A$15,BF$13)))</f>
        <v>1000000000000</v>
      </c>
      <c r="BG103" s="173">
        <f ca="1">IF(OR($D103&lt;&gt;"Serviço",AND(AUTOEVENTO="Manual",$M103=$A$15),$M103&gt;(ROW(PLE.lastrow)-ROW(PLE.firstrow))),0,
           IF(OFFSET(PLE!$G$15,$M103-$A$15,BG$13)="",10^12,OFFSET(PLE!$G$15,$M103-$A$15,BG$13)))</f>
        <v>1000000000000</v>
      </c>
    </row>
    <row r="104" spans="1:59" s="720" customFormat="1" ht="12.75" x14ac:dyDescent="0.2">
      <c r="A104" s="718" t="str">
        <f t="shared" ca="1" si="10"/>
        <v>84</v>
      </c>
      <c r="B104" s="718" t="str">
        <f ca="1">OFFSET(ORÇAMENTO!C$15,ROW(B104)-ROW(B$15),0)</f>
        <v>S</v>
      </c>
      <c r="C104" s="718" t="str">
        <f ca="1">OFFSET(ORÇAMENTO!L$15,ROW(C104)-ROW(C$15),0)</f>
        <v/>
      </c>
      <c r="D104" s="117" t="str">
        <f ca="1">OFFSET(ORÇAMENTO!N$15,ROW(D104)-ROW(D$15),0)</f>
        <v>Serviço</v>
      </c>
      <c r="E104" s="118" t="str">
        <f ca="1">OFFSET(ORÇAMENTO!O$15,ROW(E104)-ROW(E$15),0)</f>
        <v>-</v>
      </c>
      <c r="F104" s="164" t="str">
        <f ca="1">OFFSET(ORÇAMENTO!R$15,ROW(F104)-ROW(F$15),0)</f>
        <v>(abra o arquivo 'Referência 09-2025.xlsm)</v>
      </c>
      <c r="G104" s="165" t="str">
        <f ca="1">IF($D104&lt;&gt;"Serviço","",OFFSET(ORÇAMENTO!S$15,ROW(G104)-ROW(G$15),0))</f>
        <v>-</v>
      </c>
      <c r="H104" s="123">
        <f ca="1">IF($D104&lt;&gt;"Serviço",0,IF(ACOMPANHAMENTO="BM",ROUND(OFFSET(ORÇAMENTO!AJ$15,ROW(H104)-ROW(H$15),0),15-13*ORÇAMENTO!$AF$7),SUMPRODUCT(($Q$1:$AA$1=1)*ROUND($Q104:$AA104,15-13*ORÇAMENTO!$AF$7))))</f>
        <v>15</v>
      </c>
      <c r="I104" s="469"/>
      <c r="J104" s="667" t="str">
        <f ca="1">IF(OR(B104&lt;&gt;"S",CÁLCULO.FrentesPreenchidas=0),"",IF(AND(ACOMPANHAMENTO="PLE",AUTOEVENTO="Manual",OR(H104&gt;0,ORÇAMENTO!AC104="QUANT."),OR(K104="",M104=0,N104="")),"►",IF(AND(ACOMPANHAMENTO="PLE",ORÇAMENTO!AC104="QUANT."),"►►",IF(AND(COUNTIF($P$11:$AA$11,"▼")=0,H104&gt;0,I104=""),"◄",""))))</f>
        <v/>
      </c>
      <c r="K104" s="668"/>
      <c r="L104" s="166" t="s">
        <v>765</v>
      </c>
      <c r="M104" s="167">
        <f ca="1">IF($D104&lt;&gt;"Serviço","",
          IF(AUTOEVENTO="manual",$A104,
                IF(ISERROR(MATCH($A104,$A$15:OFFSET($A104,-1,0),0)),MAX($M$15:OFFSET(M104,-1,0))+1,
                      INDEX($M$15:OFFSET(M104,-1,0),MATCH($A104,$A$15:OFFSET($A104,-1,0),0)))))</f>
        <v>10</v>
      </c>
      <c r="N104" s="168" t="str">
        <f ca="1">IF($D104&lt;&gt;"Serviço","",
         IF(AUTOEVENTO="Manual",
                IF($A104=0,"&lt;-- defina o número do agrupador",
                       OFFSET(EVENTOS!$D$15,$A104-$A$15,0)),
                OFFSET($F$15,$A104,0)))</f>
        <v>SERVIÇOS PRELIMINARES</v>
      </c>
      <c r="O104" s="169"/>
      <c r="Q104" s="169"/>
      <c r="R104" s="170"/>
      <c r="S104" s="170"/>
      <c r="T104" s="170"/>
      <c r="U104" s="170"/>
      <c r="V104" s="170"/>
      <c r="W104" s="170"/>
      <c r="X104" s="170"/>
      <c r="Y104" s="170"/>
      <c r="Z104" s="171"/>
      <c r="AB104" s="454">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0</v>
      </c>
      <c r="AC104" s="454">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0</v>
      </c>
      <c r="AD104" s="454">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0</v>
      </c>
      <c r="AE104" s="454">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4">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4">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4">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4">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4">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4">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2">
        <f ca="1">IF(OR($D104&lt;&gt;"Serviço",AND(AUTOEVENTO="Manual",$M104=$A$15)),0,
         IF(OFFSET(CRONOPLE!$F$15,$M104-$A$15,AM$13)=0,10^12,OFFSET(CRONOPLE!$F$15,$M104-$A$15,AM$13)))</f>
        <v>1000000000000</v>
      </c>
      <c r="AN104" s="172">
        <f ca="1">IF(OR($D104&lt;&gt;"Serviço",AND(AUTOEVENTO="Manual",$M104=$A$15)),0,
         IF(OFFSET(CRONOPLE!$F$15,$M104-$A$15,AN$13)=0,10^12,OFFSET(CRONOPLE!$F$15,$M104-$A$15,AN$13)))</f>
        <v>1000000000000</v>
      </c>
      <c r="AO104" s="172">
        <f ca="1">IF(OR($D104&lt;&gt;"Serviço",AND(AUTOEVENTO="Manual",$M104=$A$15)),0,
         IF(OFFSET(CRONOPLE!$F$15,$M104-$A$15,AO$13)=0,10^12,OFFSET(CRONOPLE!$F$15,$M104-$A$15,AO$13)))</f>
        <v>1000000000000</v>
      </c>
      <c r="AP104" s="172">
        <f ca="1">IF(OR($D104&lt;&gt;"Serviço",AND(AUTOEVENTO="Manual",$M104=$A$15)),0,
         IF(OFFSET(CRONOPLE!$F$15,$M104-$A$15,AP$13)=0,10^12,OFFSET(CRONOPLE!$F$15,$M104-$A$15,AP$13)))</f>
        <v>1000000000000</v>
      </c>
      <c r="AQ104" s="172">
        <f ca="1">IF(OR($D104&lt;&gt;"Serviço",AND(AUTOEVENTO="Manual",$M104=$A$15)),0,
         IF(OFFSET(CRONOPLE!$F$15,$M104-$A$15,AQ$13)=0,10^12,OFFSET(CRONOPLE!$F$15,$M104-$A$15,AQ$13)))</f>
        <v>1000000000000</v>
      </c>
      <c r="AR104" s="172">
        <f ca="1">IF(OR($D104&lt;&gt;"Serviço",AND(AUTOEVENTO="Manual",$M104=$A$15)),0,
         IF(OFFSET(CRONOPLE!$F$15,$M104-$A$15,AR$13)=0,10^12,OFFSET(CRONOPLE!$F$15,$M104-$A$15,AR$13)))</f>
        <v>1000000000000</v>
      </c>
      <c r="AS104" s="172">
        <f ca="1">IF(OR($D104&lt;&gt;"Serviço",AND(AUTOEVENTO="Manual",$M104=$A$15)),0,
         IF(OFFSET(CRONOPLE!$F$15,$M104-$A$15,AS$13)=0,10^12,OFFSET(CRONOPLE!$F$15,$M104-$A$15,AS$13)))</f>
        <v>1000000000000</v>
      </c>
      <c r="AT104" s="172">
        <f ca="1">IF(OR($D104&lt;&gt;"Serviço",AND(AUTOEVENTO="Manual",$M104=$A$15)),0,
         IF(OFFSET(CRONOPLE!$F$15,$M104-$A$15,AT$13)=0,10^12,OFFSET(CRONOPLE!$F$15,$M104-$A$15,AT$13)))</f>
        <v>1000000000000</v>
      </c>
      <c r="AU104" s="172">
        <f ca="1">IF(OR($D104&lt;&gt;"Serviço",AND(AUTOEVENTO="Manual",$M104=$A$15)),0,
         IF(OFFSET(CRONOPLE!$F$15,$M104-$A$15,AU$13)=0,10^12,OFFSET(CRONOPLE!$F$15,$M104-$A$15,AU$13)))</f>
        <v>1000000000000</v>
      </c>
      <c r="AV104" s="172">
        <f ca="1">IF(OR($D104&lt;&gt;"Serviço",AND(AUTOEVENTO="Manual",$M104=$A$15)),0,
         IF(OFFSET(CRONOPLE!$F$15,$M104-$A$15,AV$13)=0,10^12,OFFSET(CRONOPLE!$F$15,$M104-$A$15,AV$13)))</f>
        <v>1000000000000</v>
      </c>
      <c r="AX104" s="173">
        <f ca="1">IF(OR($D104&lt;&gt;"Serviço",AND(AUTOEVENTO="Manual",$M104=$A$15),$M104&gt;(ROW(PLE.lastrow)-ROW(PLE.firstrow))),0,
           IF(OFFSET(PLE!$G$15,$M104-$A$15,AX$13)="",10^12,OFFSET(PLE!$G$15,$M104-$A$15,AX$13)))</f>
        <v>1000000000000</v>
      </c>
      <c r="AY104" s="173">
        <f ca="1">IF(OR($D104&lt;&gt;"Serviço",AND(AUTOEVENTO="Manual",$M104=$A$15),$M104&gt;(ROW(PLE.lastrow)-ROW(PLE.firstrow))),0,
           IF(OFFSET(PLE!$G$15,$M104-$A$15,AY$13)="",10^12,OFFSET(PLE!$G$15,$M104-$A$15,AY$13)))</f>
        <v>1000000000000</v>
      </c>
      <c r="AZ104" s="173">
        <f ca="1">IF(OR($D104&lt;&gt;"Serviço",AND(AUTOEVENTO="Manual",$M104=$A$15),$M104&gt;(ROW(PLE.lastrow)-ROW(PLE.firstrow))),0,
           IF(OFFSET(PLE!$G$15,$M104-$A$15,AZ$13)="",10^12,OFFSET(PLE!$G$15,$M104-$A$15,AZ$13)))</f>
        <v>1000000000000</v>
      </c>
      <c r="BA104" s="173">
        <f ca="1">IF(OR($D104&lt;&gt;"Serviço",AND(AUTOEVENTO="Manual",$M104=$A$15),$M104&gt;(ROW(PLE.lastrow)-ROW(PLE.firstrow))),0,
           IF(OFFSET(PLE!$G$15,$M104-$A$15,BA$13)="",10^12,OFFSET(PLE!$G$15,$M104-$A$15,BA$13)))</f>
        <v>1000000000000</v>
      </c>
      <c r="BB104" s="173">
        <f ca="1">IF(OR($D104&lt;&gt;"Serviço",AND(AUTOEVENTO="Manual",$M104=$A$15),$M104&gt;(ROW(PLE.lastrow)-ROW(PLE.firstrow))),0,
           IF(OFFSET(PLE!$G$15,$M104-$A$15,BB$13)="",10^12,OFFSET(PLE!$G$15,$M104-$A$15,BB$13)))</f>
        <v>1000000000000</v>
      </c>
      <c r="BC104" s="173">
        <f ca="1">IF(OR($D104&lt;&gt;"Serviço",AND(AUTOEVENTO="Manual",$M104=$A$15),$M104&gt;(ROW(PLE.lastrow)-ROW(PLE.firstrow))),0,
           IF(OFFSET(PLE!$G$15,$M104-$A$15,BC$13)="",10^12,OFFSET(PLE!$G$15,$M104-$A$15,BC$13)))</f>
        <v>1000000000000</v>
      </c>
      <c r="BD104" s="173">
        <f ca="1">IF(OR($D104&lt;&gt;"Serviço",AND(AUTOEVENTO="Manual",$M104=$A$15),$M104&gt;(ROW(PLE.lastrow)-ROW(PLE.firstrow))),0,
           IF(OFFSET(PLE!$G$15,$M104-$A$15,BD$13)="",10^12,OFFSET(PLE!$G$15,$M104-$A$15,BD$13)))</f>
        <v>1000000000000</v>
      </c>
      <c r="BE104" s="173">
        <f ca="1">IF(OR($D104&lt;&gt;"Serviço",AND(AUTOEVENTO="Manual",$M104=$A$15),$M104&gt;(ROW(PLE.lastrow)-ROW(PLE.firstrow))),0,
           IF(OFFSET(PLE!$G$15,$M104-$A$15,BE$13)="",10^12,OFFSET(PLE!$G$15,$M104-$A$15,BE$13)))</f>
        <v>1000000000000</v>
      </c>
      <c r="BF104" s="173">
        <f ca="1">IF(OR($D104&lt;&gt;"Serviço",AND(AUTOEVENTO="Manual",$M104=$A$15),$M104&gt;(ROW(PLE.lastrow)-ROW(PLE.firstrow))),0,
           IF(OFFSET(PLE!$G$15,$M104-$A$15,BF$13)="",10^12,OFFSET(PLE!$G$15,$M104-$A$15,BF$13)))</f>
        <v>1000000000000</v>
      </c>
      <c r="BG104" s="173">
        <f ca="1">IF(OR($D104&lt;&gt;"Serviço",AND(AUTOEVENTO="Manual",$M104=$A$15),$M104&gt;(ROW(PLE.lastrow)-ROW(PLE.firstrow))),0,
           IF(OFFSET(PLE!$G$15,$M104-$A$15,BG$13)="",10^12,OFFSET(PLE!$G$15,$M104-$A$15,BG$13)))</f>
        <v>1000000000000</v>
      </c>
    </row>
    <row r="105" spans="1:59" s="720" customFormat="1" ht="25.5" x14ac:dyDescent="0.2">
      <c r="A105" s="718" t="str">
        <f t="shared" ca="1" si="10"/>
        <v>84</v>
      </c>
      <c r="B105" s="718" t="str">
        <f ca="1">OFFSET(ORÇAMENTO!C$15,ROW(B105)-ROW(B$15),0)</f>
        <v>S</v>
      </c>
      <c r="C105" s="718" t="str">
        <f ca="1">OFFSET(ORÇAMENTO!L$15,ROW(C105)-ROW(C$15),0)</f>
        <v/>
      </c>
      <c r="D105" s="117" t="str">
        <f ca="1">OFFSET(ORÇAMENTO!N$15,ROW(D105)-ROW(D$15),0)</f>
        <v>Serviço</v>
      </c>
      <c r="E105" s="118" t="str">
        <f ca="1">OFFSET(ORÇAMENTO!O$15,ROW(E105)-ROW(E$15),0)</f>
        <v>-</v>
      </c>
      <c r="F105" s="164" t="str">
        <f ca="1">OFFSET(ORÇAMENTO!R$15,ROW(F105)-ROW(F$15),0)</f>
        <v>(abra o arquivo 'Referência 09-2025.xlsm)</v>
      </c>
      <c r="G105" s="165" t="str">
        <f ca="1">IF($D105&lt;&gt;"Serviço","",OFFSET(ORÇAMENTO!S$15,ROW(G105)-ROW(G$15),0))</f>
        <v>-</v>
      </c>
      <c r="H105" s="123">
        <f ca="1">IF($D105&lt;&gt;"Serviço",0,IF(ACOMPANHAMENTO="BM",ROUND(OFFSET(ORÇAMENTO!AJ$15,ROW(H105)-ROW(H$15),0),15-13*ORÇAMENTO!$AF$7),SUMPRODUCT(($Q$1:$AA$1=1)*ROUND($Q105:$AA105,15-13*ORÇAMENTO!$AF$7))))</f>
        <v>150</v>
      </c>
      <c r="I105" s="469"/>
      <c r="J105" s="667" t="str">
        <f ca="1">IF(OR(B105&lt;&gt;"S",CÁLCULO.FrentesPreenchidas=0),"",IF(AND(ACOMPANHAMENTO="PLE",AUTOEVENTO="Manual",OR(H105&gt;0,ORÇAMENTO!AC105="QUANT."),OR(K105="",M105=0,N105="")),"►",IF(AND(ACOMPANHAMENTO="PLE",ORÇAMENTO!AC105="QUANT."),"►►",IF(AND(COUNTIF($P$11:$AA$11,"▼")=0,H105&gt;0,I105=""),"◄",""))))</f>
        <v/>
      </c>
      <c r="K105" s="668"/>
      <c r="L105" s="166" t="s">
        <v>765</v>
      </c>
      <c r="M105" s="167">
        <f ca="1">IF($D105&lt;&gt;"Serviço","",
          IF(AUTOEVENTO="manual",$A105,
                IF(ISERROR(MATCH($A105,$A$15:OFFSET($A105,-1,0),0)),MAX($M$15:OFFSET(M105,-1,0))+1,
                      INDEX($M$15:OFFSET(M105,-1,0),MATCH($A105,$A$15:OFFSET($A105,-1,0),0)))))</f>
        <v>10</v>
      </c>
      <c r="N105" s="168" t="str">
        <f ca="1">IF($D105&lt;&gt;"Serviço","",
         IF(AUTOEVENTO="Manual",
                IF($A105=0,"&lt;-- defina o número do agrupador",
                       OFFSET(EVENTOS!$D$15,$A105-$A$15,0)),
                OFFSET($F$15,$A105,0)))</f>
        <v>SERVIÇOS PRELIMINARES</v>
      </c>
      <c r="O105" s="169"/>
      <c r="Q105" s="169"/>
      <c r="R105" s="170"/>
      <c r="S105" s="170"/>
      <c r="T105" s="170"/>
      <c r="U105" s="170"/>
      <c r="V105" s="170"/>
      <c r="W105" s="170"/>
      <c r="X105" s="170"/>
      <c r="Y105" s="170"/>
      <c r="Z105" s="171"/>
      <c r="AB105" s="454">
        <f ca="1">IF(AND($D105="Serviço",AB$12&lt;&gt;0,$H105&gt;0,OR(AUTOEVENTO&lt;&gt;"manual",$M105&lt;&gt;$A$15)),
        IF(Import.TipoArredondamento&lt;&gt;"TransfereGOV",
              ROUND(OFFSET($P105,0,AB$13),15-13*ORÇAMENTO!$AF$7)/$H105*OFFSET(ORÇAMENTO!$X$15,ROW(AB105)-ROW(AB$15),0),
              ROUND(ROUND(OFFSET($P105,0,AB$13),15-13*ORÇAMENTO!$AF$7)*OFFSET(ORÇAMENTO!$W$15,ROW(AB105)-ROW(AB$15),0),15-13*ORÇAMENTO!$AF$11)),
         0)</f>
        <v>0</v>
      </c>
      <c r="AC105" s="454">
        <f ca="1">IF(AND($D105="Serviço",AC$12&lt;&gt;0,$H105&gt;0,OR(AUTOEVENTO&lt;&gt;"manual",$M105&lt;&gt;$A$15)),
        IF(Import.TipoArredondamento&lt;&gt;"TransfereGOV",
              ROUND(OFFSET($P105,0,AC$13),15-13*ORÇAMENTO!$AF$7)/$H105*OFFSET(ORÇAMENTO!$X$15,ROW(AC105)-ROW(AC$15),0),
              ROUND(ROUND(OFFSET($P105,0,AC$13),15-13*ORÇAMENTO!$AF$7)*OFFSET(ORÇAMENTO!$W$15,ROW(AC105)-ROW(AC$15),0),15-13*ORÇAMENTO!$AF$11)),
         0)</f>
        <v>0</v>
      </c>
      <c r="AD105" s="454">
        <f ca="1">IF(AND($D105="Serviço",AD$12&lt;&gt;0,$H105&gt;0,OR(AUTOEVENTO&lt;&gt;"manual",$M105&lt;&gt;$A$15)),
        IF(Import.TipoArredondamento&lt;&gt;"TransfereGOV",
              ROUND(OFFSET($P105,0,AD$13),15-13*ORÇAMENTO!$AF$7)/$H105*OFFSET(ORÇAMENTO!$X$15,ROW(AD105)-ROW(AD$15),0),
              ROUND(ROUND(OFFSET($P105,0,AD$13),15-13*ORÇAMENTO!$AF$7)*OFFSET(ORÇAMENTO!$W$15,ROW(AD105)-ROW(AD$15),0),15-13*ORÇAMENTO!$AF$11)),
         0)</f>
        <v>0</v>
      </c>
      <c r="AE105" s="454">
        <f ca="1">IF(AND($D105="Serviço",AE$12&lt;&gt;0,$H105&gt;0,OR(AUTOEVENTO&lt;&gt;"manual",$M105&lt;&gt;$A$15)),
        IF(Import.TipoArredondamento&lt;&gt;"TransfereGOV",
              ROUND(OFFSET($P105,0,AE$13),15-13*ORÇAMENTO!$AF$7)/$H105*OFFSET(ORÇAMENTO!$X$15,ROW(AE105)-ROW(AE$15),0),
              ROUND(ROUND(OFFSET($P105,0,AE$13),15-13*ORÇAMENTO!$AF$7)*OFFSET(ORÇAMENTO!$W$15,ROW(AE105)-ROW(AE$15),0),15-13*ORÇAMENTO!$AF$11)),
         0)</f>
        <v>0</v>
      </c>
      <c r="AF105" s="454">
        <f ca="1">IF(AND($D105="Serviço",AF$12&lt;&gt;0,$H105&gt;0,OR(AUTOEVENTO&lt;&gt;"manual",$M105&lt;&gt;$A$15)),
        IF(Import.TipoArredondamento&lt;&gt;"TransfereGOV",
              ROUND(OFFSET($P105,0,AF$13),15-13*ORÇAMENTO!$AF$7)/$H105*OFFSET(ORÇAMENTO!$X$15,ROW(AF105)-ROW(AF$15),0),
              ROUND(ROUND(OFFSET($P105,0,AF$13),15-13*ORÇAMENTO!$AF$7)*OFFSET(ORÇAMENTO!$W$15,ROW(AF105)-ROW(AF$15),0),15-13*ORÇAMENTO!$AF$11)),
         0)</f>
        <v>0</v>
      </c>
      <c r="AG105" s="454">
        <f ca="1">IF(AND($D105="Serviço",AG$12&lt;&gt;0,$H105&gt;0,OR(AUTOEVENTO&lt;&gt;"manual",$M105&lt;&gt;$A$15)),
        IF(Import.TipoArredondamento&lt;&gt;"TransfereGOV",
              ROUND(OFFSET($P105,0,AG$13),15-13*ORÇAMENTO!$AF$7)/$H105*OFFSET(ORÇAMENTO!$X$15,ROW(AG105)-ROW(AG$15),0),
              ROUND(ROUND(OFFSET($P105,0,AG$13),15-13*ORÇAMENTO!$AF$7)*OFFSET(ORÇAMENTO!$W$15,ROW(AG105)-ROW(AG$15),0),15-13*ORÇAMENTO!$AF$11)),
         0)</f>
        <v>0</v>
      </c>
      <c r="AH105" s="454">
        <f ca="1">IF(AND($D105="Serviço",AH$12&lt;&gt;0,$H105&gt;0,OR(AUTOEVENTO&lt;&gt;"manual",$M105&lt;&gt;$A$15)),
        IF(Import.TipoArredondamento&lt;&gt;"TransfereGOV",
              ROUND(OFFSET($P105,0,AH$13),15-13*ORÇAMENTO!$AF$7)/$H105*OFFSET(ORÇAMENTO!$X$15,ROW(AH105)-ROW(AH$15),0),
              ROUND(ROUND(OFFSET($P105,0,AH$13),15-13*ORÇAMENTO!$AF$7)*OFFSET(ORÇAMENTO!$W$15,ROW(AH105)-ROW(AH$15),0),15-13*ORÇAMENTO!$AF$11)),
         0)</f>
        <v>0</v>
      </c>
      <c r="AI105" s="454">
        <f ca="1">IF(AND($D105="Serviço",AI$12&lt;&gt;0,$H105&gt;0,OR(AUTOEVENTO&lt;&gt;"manual",$M105&lt;&gt;$A$15)),
        IF(Import.TipoArredondamento&lt;&gt;"TransfereGOV",
              ROUND(OFFSET($P105,0,AI$13),15-13*ORÇAMENTO!$AF$7)/$H105*OFFSET(ORÇAMENTO!$X$15,ROW(AI105)-ROW(AI$15),0),
              ROUND(ROUND(OFFSET($P105,0,AI$13),15-13*ORÇAMENTO!$AF$7)*OFFSET(ORÇAMENTO!$W$15,ROW(AI105)-ROW(AI$15),0),15-13*ORÇAMENTO!$AF$11)),
         0)</f>
        <v>0</v>
      </c>
      <c r="AJ105" s="454">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4">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M105" s="172">
        <f ca="1">IF(OR($D105&lt;&gt;"Serviço",AND(AUTOEVENTO="Manual",$M105=$A$15)),0,
         IF(OFFSET(CRONOPLE!$F$15,$M105-$A$15,AM$13)=0,10^12,OFFSET(CRONOPLE!$F$15,$M105-$A$15,AM$13)))</f>
        <v>1000000000000</v>
      </c>
      <c r="AN105" s="172">
        <f ca="1">IF(OR($D105&lt;&gt;"Serviço",AND(AUTOEVENTO="Manual",$M105=$A$15)),0,
         IF(OFFSET(CRONOPLE!$F$15,$M105-$A$15,AN$13)=0,10^12,OFFSET(CRONOPLE!$F$15,$M105-$A$15,AN$13)))</f>
        <v>1000000000000</v>
      </c>
      <c r="AO105" s="172">
        <f ca="1">IF(OR($D105&lt;&gt;"Serviço",AND(AUTOEVENTO="Manual",$M105=$A$15)),0,
         IF(OFFSET(CRONOPLE!$F$15,$M105-$A$15,AO$13)=0,10^12,OFFSET(CRONOPLE!$F$15,$M105-$A$15,AO$13)))</f>
        <v>1000000000000</v>
      </c>
      <c r="AP105" s="172">
        <f ca="1">IF(OR($D105&lt;&gt;"Serviço",AND(AUTOEVENTO="Manual",$M105=$A$15)),0,
         IF(OFFSET(CRONOPLE!$F$15,$M105-$A$15,AP$13)=0,10^12,OFFSET(CRONOPLE!$F$15,$M105-$A$15,AP$13)))</f>
        <v>1000000000000</v>
      </c>
      <c r="AQ105" s="172">
        <f ca="1">IF(OR($D105&lt;&gt;"Serviço",AND(AUTOEVENTO="Manual",$M105=$A$15)),0,
         IF(OFFSET(CRONOPLE!$F$15,$M105-$A$15,AQ$13)=0,10^12,OFFSET(CRONOPLE!$F$15,$M105-$A$15,AQ$13)))</f>
        <v>1000000000000</v>
      </c>
      <c r="AR105" s="172">
        <f ca="1">IF(OR($D105&lt;&gt;"Serviço",AND(AUTOEVENTO="Manual",$M105=$A$15)),0,
         IF(OFFSET(CRONOPLE!$F$15,$M105-$A$15,AR$13)=0,10^12,OFFSET(CRONOPLE!$F$15,$M105-$A$15,AR$13)))</f>
        <v>1000000000000</v>
      </c>
      <c r="AS105" s="172">
        <f ca="1">IF(OR($D105&lt;&gt;"Serviço",AND(AUTOEVENTO="Manual",$M105=$A$15)),0,
         IF(OFFSET(CRONOPLE!$F$15,$M105-$A$15,AS$13)=0,10^12,OFFSET(CRONOPLE!$F$15,$M105-$A$15,AS$13)))</f>
        <v>1000000000000</v>
      </c>
      <c r="AT105" s="172">
        <f ca="1">IF(OR($D105&lt;&gt;"Serviço",AND(AUTOEVENTO="Manual",$M105=$A$15)),0,
         IF(OFFSET(CRONOPLE!$F$15,$M105-$A$15,AT$13)=0,10^12,OFFSET(CRONOPLE!$F$15,$M105-$A$15,AT$13)))</f>
        <v>1000000000000</v>
      </c>
      <c r="AU105" s="172">
        <f ca="1">IF(OR($D105&lt;&gt;"Serviço",AND(AUTOEVENTO="Manual",$M105=$A$15)),0,
         IF(OFFSET(CRONOPLE!$F$15,$M105-$A$15,AU$13)=0,10^12,OFFSET(CRONOPLE!$F$15,$M105-$A$15,AU$13)))</f>
        <v>1000000000000</v>
      </c>
      <c r="AV105" s="172">
        <f ca="1">IF(OR($D105&lt;&gt;"Serviço",AND(AUTOEVENTO="Manual",$M105=$A$15)),0,
         IF(OFFSET(CRONOPLE!$F$15,$M105-$A$15,AV$13)=0,10^12,OFFSET(CRONOPLE!$F$15,$M105-$A$15,AV$13)))</f>
        <v>1000000000000</v>
      </c>
      <c r="AX105" s="173">
        <f ca="1">IF(OR($D105&lt;&gt;"Serviço",AND(AUTOEVENTO="Manual",$M105=$A$15),$M105&gt;(ROW(PLE.lastrow)-ROW(PLE.firstrow))),0,
           IF(OFFSET(PLE!$G$15,$M105-$A$15,AX$13)="",10^12,OFFSET(PLE!$G$15,$M105-$A$15,AX$13)))</f>
        <v>1000000000000</v>
      </c>
      <c r="AY105" s="173">
        <f ca="1">IF(OR($D105&lt;&gt;"Serviço",AND(AUTOEVENTO="Manual",$M105=$A$15),$M105&gt;(ROW(PLE.lastrow)-ROW(PLE.firstrow))),0,
           IF(OFFSET(PLE!$G$15,$M105-$A$15,AY$13)="",10^12,OFFSET(PLE!$G$15,$M105-$A$15,AY$13)))</f>
        <v>1000000000000</v>
      </c>
      <c r="AZ105" s="173">
        <f ca="1">IF(OR($D105&lt;&gt;"Serviço",AND(AUTOEVENTO="Manual",$M105=$A$15),$M105&gt;(ROW(PLE.lastrow)-ROW(PLE.firstrow))),0,
           IF(OFFSET(PLE!$G$15,$M105-$A$15,AZ$13)="",10^12,OFFSET(PLE!$G$15,$M105-$A$15,AZ$13)))</f>
        <v>1000000000000</v>
      </c>
      <c r="BA105" s="173">
        <f ca="1">IF(OR($D105&lt;&gt;"Serviço",AND(AUTOEVENTO="Manual",$M105=$A$15),$M105&gt;(ROW(PLE.lastrow)-ROW(PLE.firstrow))),0,
           IF(OFFSET(PLE!$G$15,$M105-$A$15,BA$13)="",10^12,OFFSET(PLE!$G$15,$M105-$A$15,BA$13)))</f>
        <v>1000000000000</v>
      </c>
      <c r="BB105" s="173">
        <f ca="1">IF(OR($D105&lt;&gt;"Serviço",AND(AUTOEVENTO="Manual",$M105=$A$15),$M105&gt;(ROW(PLE.lastrow)-ROW(PLE.firstrow))),0,
           IF(OFFSET(PLE!$G$15,$M105-$A$15,BB$13)="",10^12,OFFSET(PLE!$G$15,$M105-$A$15,BB$13)))</f>
        <v>1000000000000</v>
      </c>
      <c r="BC105" s="173">
        <f ca="1">IF(OR($D105&lt;&gt;"Serviço",AND(AUTOEVENTO="Manual",$M105=$A$15),$M105&gt;(ROW(PLE.lastrow)-ROW(PLE.firstrow))),0,
           IF(OFFSET(PLE!$G$15,$M105-$A$15,BC$13)="",10^12,OFFSET(PLE!$G$15,$M105-$A$15,BC$13)))</f>
        <v>1000000000000</v>
      </c>
      <c r="BD105" s="173">
        <f ca="1">IF(OR($D105&lt;&gt;"Serviço",AND(AUTOEVENTO="Manual",$M105=$A$15),$M105&gt;(ROW(PLE.lastrow)-ROW(PLE.firstrow))),0,
           IF(OFFSET(PLE!$G$15,$M105-$A$15,BD$13)="",10^12,OFFSET(PLE!$G$15,$M105-$A$15,BD$13)))</f>
        <v>1000000000000</v>
      </c>
      <c r="BE105" s="173">
        <f ca="1">IF(OR($D105&lt;&gt;"Serviço",AND(AUTOEVENTO="Manual",$M105=$A$15),$M105&gt;(ROW(PLE.lastrow)-ROW(PLE.firstrow))),0,
           IF(OFFSET(PLE!$G$15,$M105-$A$15,BE$13)="",10^12,OFFSET(PLE!$G$15,$M105-$A$15,BE$13)))</f>
        <v>1000000000000</v>
      </c>
      <c r="BF105" s="173">
        <f ca="1">IF(OR($D105&lt;&gt;"Serviço",AND(AUTOEVENTO="Manual",$M105=$A$15),$M105&gt;(ROW(PLE.lastrow)-ROW(PLE.firstrow))),0,
           IF(OFFSET(PLE!$G$15,$M105-$A$15,BF$13)="",10^12,OFFSET(PLE!$G$15,$M105-$A$15,BF$13)))</f>
        <v>1000000000000</v>
      </c>
      <c r="BG105" s="173">
        <f ca="1">IF(OR($D105&lt;&gt;"Serviço",AND(AUTOEVENTO="Manual",$M105=$A$15),$M105&gt;(ROW(PLE.lastrow)-ROW(PLE.firstrow))),0,
           IF(OFFSET(PLE!$G$15,$M105-$A$15,BG$13)="",10^12,OFFSET(PLE!$G$15,$M105-$A$15,BG$13)))</f>
        <v>1000000000000</v>
      </c>
    </row>
    <row r="106" spans="1:59" s="720" customFormat="1" ht="38.25" x14ac:dyDescent="0.2">
      <c r="A106" s="718" t="str">
        <f t="shared" ca="1" si="10"/>
        <v>84</v>
      </c>
      <c r="B106" s="718" t="str">
        <f ca="1">OFFSET(ORÇAMENTO!C$15,ROW(B106)-ROW(B$15),0)</f>
        <v>S</v>
      </c>
      <c r="C106" s="718" t="str">
        <f ca="1">OFFSET(ORÇAMENTO!L$15,ROW(C106)-ROW(C$15),0)</f>
        <v/>
      </c>
      <c r="D106" s="117" t="str">
        <f ca="1">OFFSET(ORÇAMENTO!N$15,ROW(D106)-ROW(D$15),0)</f>
        <v>Serviço</v>
      </c>
      <c r="E106" s="118" t="str">
        <f ca="1">OFFSET(ORÇAMENTO!O$15,ROW(E106)-ROW(E$15),0)</f>
        <v>-</v>
      </c>
      <c r="F106" s="164" t="str">
        <f ca="1">OFFSET(ORÇAMENTO!R$15,ROW(F106)-ROW(F$15),0)</f>
        <v>(abra o arquivo 'Referência 09-2025.xlsm)</v>
      </c>
      <c r="G106" s="165" t="str">
        <f ca="1">IF($D106&lt;&gt;"Serviço","",OFFSET(ORÇAMENTO!S$15,ROW(G106)-ROW(G$15),0))</f>
        <v>-</v>
      </c>
      <c r="H106" s="123">
        <f ca="1">IF($D106&lt;&gt;"Serviço",0,IF(ACOMPANHAMENTO="BM",ROUND(OFFSET(ORÇAMENTO!AJ$15,ROW(H106)-ROW(H$15),0),15-13*ORÇAMENTO!$AF$7),SUMPRODUCT(($Q$1:$AA$1=1)*ROUND($Q106:$AA106,15-13*ORÇAMENTO!$AF$7))))</f>
        <v>100</v>
      </c>
      <c r="I106" s="469"/>
      <c r="J106" s="667" t="str">
        <f ca="1">IF(OR(B106&lt;&gt;"S",CÁLCULO.FrentesPreenchidas=0),"",IF(AND(ACOMPANHAMENTO="PLE",AUTOEVENTO="Manual",OR(H106&gt;0,ORÇAMENTO!AC106="QUANT."),OR(K106="",M106=0,N106="")),"►",IF(AND(ACOMPANHAMENTO="PLE",ORÇAMENTO!AC106="QUANT."),"►►",IF(AND(COUNTIF($P$11:$AA$11,"▼")=0,H106&gt;0,I106=""),"◄",""))))</f>
        <v/>
      </c>
      <c r="K106" s="668"/>
      <c r="L106" s="166" t="s">
        <v>765</v>
      </c>
      <c r="M106" s="167">
        <f ca="1">IF($D106&lt;&gt;"Serviço","",
          IF(AUTOEVENTO="manual",$A106,
                IF(ISERROR(MATCH($A106,$A$15:OFFSET($A106,-1,0),0)),MAX($M$15:OFFSET(M106,-1,0))+1,
                      INDEX($M$15:OFFSET(M106,-1,0),MATCH($A106,$A$15:OFFSET($A106,-1,0),0)))))</f>
        <v>10</v>
      </c>
      <c r="N106" s="168" t="str">
        <f ca="1">IF($D106&lt;&gt;"Serviço","",
         IF(AUTOEVENTO="Manual",
                IF($A106=0,"&lt;-- defina o número do agrupador",
                       OFFSET(EVENTOS!$D$15,$A106-$A$15,0)),
                OFFSET($F$15,$A106,0)))</f>
        <v>SERVIÇOS PRELIMINARES</v>
      </c>
      <c r="O106" s="169"/>
      <c r="Q106" s="169"/>
      <c r="R106" s="170"/>
      <c r="S106" s="170"/>
      <c r="T106" s="170"/>
      <c r="U106" s="170"/>
      <c r="V106" s="170"/>
      <c r="W106" s="170"/>
      <c r="X106" s="170"/>
      <c r="Y106" s="170"/>
      <c r="Z106" s="171"/>
      <c r="AB106" s="454">
        <f ca="1">IF(AND($D106="Serviço",AB$12&lt;&gt;0,$H106&gt;0,OR(AUTOEVENTO&lt;&gt;"manual",$M106&lt;&gt;$A$15)),
        IF(Import.TipoArredondamento&lt;&gt;"TransfereGOV",
              ROUND(OFFSET($P106,0,AB$13),15-13*ORÇAMENTO!$AF$7)/$H106*OFFSET(ORÇAMENTO!$X$15,ROW(AB106)-ROW(AB$15),0),
              ROUND(ROUND(OFFSET($P106,0,AB$13),15-13*ORÇAMENTO!$AF$7)*OFFSET(ORÇAMENTO!$W$15,ROW(AB106)-ROW(AB$15),0),15-13*ORÇAMENTO!$AF$11)),
         0)</f>
        <v>0</v>
      </c>
      <c r="AC106" s="454">
        <f ca="1">IF(AND($D106="Serviço",AC$12&lt;&gt;0,$H106&gt;0,OR(AUTOEVENTO&lt;&gt;"manual",$M106&lt;&gt;$A$15)),
        IF(Import.TipoArredondamento&lt;&gt;"TransfereGOV",
              ROUND(OFFSET($P106,0,AC$13),15-13*ORÇAMENTO!$AF$7)/$H106*OFFSET(ORÇAMENTO!$X$15,ROW(AC106)-ROW(AC$15),0),
              ROUND(ROUND(OFFSET($P106,0,AC$13),15-13*ORÇAMENTO!$AF$7)*OFFSET(ORÇAMENTO!$W$15,ROW(AC106)-ROW(AC$15),0),15-13*ORÇAMENTO!$AF$11)),
         0)</f>
        <v>0</v>
      </c>
      <c r="AD106" s="454">
        <f ca="1">IF(AND($D106="Serviço",AD$12&lt;&gt;0,$H106&gt;0,OR(AUTOEVENTO&lt;&gt;"manual",$M106&lt;&gt;$A$15)),
        IF(Import.TipoArredondamento&lt;&gt;"TransfereGOV",
              ROUND(OFFSET($P106,0,AD$13),15-13*ORÇAMENTO!$AF$7)/$H106*OFFSET(ORÇAMENTO!$X$15,ROW(AD106)-ROW(AD$15),0),
              ROUND(ROUND(OFFSET($P106,0,AD$13),15-13*ORÇAMENTO!$AF$7)*OFFSET(ORÇAMENTO!$W$15,ROW(AD106)-ROW(AD$15),0),15-13*ORÇAMENTO!$AF$11)),
         0)</f>
        <v>0</v>
      </c>
      <c r="AE106" s="454">
        <f ca="1">IF(AND($D106="Serviço",AE$12&lt;&gt;0,$H106&gt;0,OR(AUTOEVENTO&lt;&gt;"manual",$M106&lt;&gt;$A$15)),
        IF(Import.TipoArredondamento&lt;&gt;"TransfereGOV",
              ROUND(OFFSET($P106,0,AE$13),15-13*ORÇAMENTO!$AF$7)/$H106*OFFSET(ORÇAMENTO!$X$15,ROW(AE106)-ROW(AE$15),0),
              ROUND(ROUND(OFFSET($P106,0,AE$13),15-13*ORÇAMENTO!$AF$7)*OFFSET(ORÇAMENTO!$W$15,ROW(AE106)-ROW(AE$15),0),15-13*ORÇAMENTO!$AF$11)),
         0)</f>
        <v>0</v>
      </c>
      <c r="AF106" s="454">
        <f ca="1">IF(AND($D106="Serviço",AF$12&lt;&gt;0,$H106&gt;0,OR(AUTOEVENTO&lt;&gt;"manual",$M106&lt;&gt;$A$15)),
        IF(Import.TipoArredondamento&lt;&gt;"TransfereGOV",
              ROUND(OFFSET($P106,0,AF$13),15-13*ORÇAMENTO!$AF$7)/$H106*OFFSET(ORÇAMENTO!$X$15,ROW(AF106)-ROW(AF$15),0),
              ROUND(ROUND(OFFSET($P106,0,AF$13),15-13*ORÇAMENTO!$AF$7)*OFFSET(ORÇAMENTO!$W$15,ROW(AF106)-ROW(AF$15),0),15-13*ORÇAMENTO!$AF$11)),
         0)</f>
        <v>0</v>
      </c>
      <c r="AG106" s="454">
        <f ca="1">IF(AND($D106="Serviço",AG$12&lt;&gt;0,$H106&gt;0,OR(AUTOEVENTO&lt;&gt;"manual",$M106&lt;&gt;$A$15)),
        IF(Import.TipoArredondamento&lt;&gt;"TransfereGOV",
              ROUND(OFFSET($P106,0,AG$13),15-13*ORÇAMENTO!$AF$7)/$H106*OFFSET(ORÇAMENTO!$X$15,ROW(AG106)-ROW(AG$15),0),
              ROUND(ROUND(OFFSET($P106,0,AG$13),15-13*ORÇAMENTO!$AF$7)*OFFSET(ORÇAMENTO!$W$15,ROW(AG106)-ROW(AG$15),0),15-13*ORÇAMENTO!$AF$11)),
         0)</f>
        <v>0</v>
      </c>
      <c r="AH106" s="454">
        <f ca="1">IF(AND($D106="Serviço",AH$12&lt;&gt;0,$H106&gt;0,OR(AUTOEVENTO&lt;&gt;"manual",$M106&lt;&gt;$A$15)),
        IF(Import.TipoArredondamento&lt;&gt;"TransfereGOV",
              ROUND(OFFSET($P106,0,AH$13),15-13*ORÇAMENTO!$AF$7)/$H106*OFFSET(ORÇAMENTO!$X$15,ROW(AH106)-ROW(AH$15),0),
              ROUND(ROUND(OFFSET($P106,0,AH$13),15-13*ORÇAMENTO!$AF$7)*OFFSET(ORÇAMENTO!$W$15,ROW(AH106)-ROW(AH$15),0),15-13*ORÇAMENTO!$AF$11)),
         0)</f>
        <v>0</v>
      </c>
      <c r="AI106" s="454">
        <f ca="1">IF(AND($D106="Serviço",AI$12&lt;&gt;0,$H106&gt;0,OR(AUTOEVENTO&lt;&gt;"manual",$M106&lt;&gt;$A$15)),
        IF(Import.TipoArredondamento&lt;&gt;"TransfereGOV",
              ROUND(OFFSET($P106,0,AI$13),15-13*ORÇAMENTO!$AF$7)/$H106*OFFSET(ORÇAMENTO!$X$15,ROW(AI106)-ROW(AI$15),0),
              ROUND(ROUND(OFFSET($P106,0,AI$13),15-13*ORÇAMENTO!$AF$7)*OFFSET(ORÇAMENTO!$W$15,ROW(AI106)-ROW(AI$15),0),15-13*ORÇAMENTO!$AF$11)),
         0)</f>
        <v>0</v>
      </c>
      <c r="AJ106" s="454">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4">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M106" s="172">
        <f ca="1">IF(OR($D106&lt;&gt;"Serviço",AND(AUTOEVENTO="Manual",$M106=$A$15)),0,
         IF(OFFSET(CRONOPLE!$F$15,$M106-$A$15,AM$13)=0,10^12,OFFSET(CRONOPLE!$F$15,$M106-$A$15,AM$13)))</f>
        <v>1000000000000</v>
      </c>
      <c r="AN106" s="172">
        <f ca="1">IF(OR($D106&lt;&gt;"Serviço",AND(AUTOEVENTO="Manual",$M106=$A$15)),0,
         IF(OFFSET(CRONOPLE!$F$15,$M106-$A$15,AN$13)=0,10^12,OFFSET(CRONOPLE!$F$15,$M106-$A$15,AN$13)))</f>
        <v>1000000000000</v>
      </c>
      <c r="AO106" s="172">
        <f ca="1">IF(OR($D106&lt;&gt;"Serviço",AND(AUTOEVENTO="Manual",$M106=$A$15)),0,
         IF(OFFSET(CRONOPLE!$F$15,$M106-$A$15,AO$13)=0,10^12,OFFSET(CRONOPLE!$F$15,$M106-$A$15,AO$13)))</f>
        <v>1000000000000</v>
      </c>
      <c r="AP106" s="172">
        <f ca="1">IF(OR($D106&lt;&gt;"Serviço",AND(AUTOEVENTO="Manual",$M106=$A$15)),0,
         IF(OFFSET(CRONOPLE!$F$15,$M106-$A$15,AP$13)=0,10^12,OFFSET(CRONOPLE!$F$15,$M106-$A$15,AP$13)))</f>
        <v>1000000000000</v>
      </c>
      <c r="AQ106" s="172">
        <f ca="1">IF(OR($D106&lt;&gt;"Serviço",AND(AUTOEVENTO="Manual",$M106=$A$15)),0,
         IF(OFFSET(CRONOPLE!$F$15,$M106-$A$15,AQ$13)=0,10^12,OFFSET(CRONOPLE!$F$15,$M106-$A$15,AQ$13)))</f>
        <v>1000000000000</v>
      </c>
      <c r="AR106" s="172">
        <f ca="1">IF(OR($D106&lt;&gt;"Serviço",AND(AUTOEVENTO="Manual",$M106=$A$15)),0,
         IF(OFFSET(CRONOPLE!$F$15,$M106-$A$15,AR$13)=0,10^12,OFFSET(CRONOPLE!$F$15,$M106-$A$15,AR$13)))</f>
        <v>1000000000000</v>
      </c>
      <c r="AS106" s="172">
        <f ca="1">IF(OR($D106&lt;&gt;"Serviço",AND(AUTOEVENTO="Manual",$M106=$A$15)),0,
         IF(OFFSET(CRONOPLE!$F$15,$M106-$A$15,AS$13)=0,10^12,OFFSET(CRONOPLE!$F$15,$M106-$A$15,AS$13)))</f>
        <v>1000000000000</v>
      </c>
      <c r="AT106" s="172">
        <f ca="1">IF(OR($D106&lt;&gt;"Serviço",AND(AUTOEVENTO="Manual",$M106=$A$15)),0,
         IF(OFFSET(CRONOPLE!$F$15,$M106-$A$15,AT$13)=0,10^12,OFFSET(CRONOPLE!$F$15,$M106-$A$15,AT$13)))</f>
        <v>1000000000000</v>
      </c>
      <c r="AU106" s="172">
        <f ca="1">IF(OR($D106&lt;&gt;"Serviço",AND(AUTOEVENTO="Manual",$M106=$A$15)),0,
         IF(OFFSET(CRONOPLE!$F$15,$M106-$A$15,AU$13)=0,10^12,OFFSET(CRONOPLE!$F$15,$M106-$A$15,AU$13)))</f>
        <v>1000000000000</v>
      </c>
      <c r="AV106" s="172">
        <f ca="1">IF(OR($D106&lt;&gt;"Serviço",AND(AUTOEVENTO="Manual",$M106=$A$15)),0,
         IF(OFFSET(CRONOPLE!$F$15,$M106-$A$15,AV$13)=0,10^12,OFFSET(CRONOPLE!$F$15,$M106-$A$15,AV$13)))</f>
        <v>1000000000000</v>
      </c>
      <c r="AX106" s="173">
        <f ca="1">IF(OR($D106&lt;&gt;"Serviço",AND(AUTOEVENTO="Manual",$M106=$A$15),$M106&gt;(ROW(PLE.lastrow)-ROW(PLE.firstrow))),0,
           IF(OFFSET(PLE!$G$15,$M106-$A$15,AX$13)="",10^12,OFFSET(PLE!$G$15,$M106-$A$15,AX$13)))</f>
        <v>1000000000000</v>
      </c>
      <c r="AY106" s="173">
        <f ca="1">IF(OR($D106&lt;&gt;"Serviço",AND(AUTOEVENTO="Manual",$M106=$A$15),$M106&gt;(ROW(PLE.lastrow)-ROW(PLE.firstrow))),0,
           IF(OFFSET(PLE!$G$15,$M106-$A$15,AY$13)="",10^12,OFFSET(PLE!$G$15,$M106-$A$15,AY$13)))</f>
        <v>1000000000000</v>
      </c>
      <c r="AZ106" s="173">
        <f ca="1">IF(OR($D106&lt;&gt;"Serviço",AND(AUTOEVENTO="Manual",$M106=$A$15),$M106&gt;(ROW(PLE.lastrow)-ROW(PLE.firstrow))),0,
           IF(OFFSET(PLE!$G$15,$M106-$A$15,AZ$13)="",10^12,OFFSET(PLE!$G$15,$M106-$A$15,AZ$13)))</f>
        <v>1000000000000</v>
      </c>
      <c r="BA106" s="173">
        <f ca="1">IF(OR($D106&lt;&gt;"Serviço",AND(AUTOEVENTO="Manual",$M106=$A$15),$M106&gt;(ROW(PLE.lastrow)-ROW(PLE.firstrow))),0,
           IF(OFFSET(PLE!$G$15,$M106-$A$15,BA$13)="",10^12,OFFSET(PLE!$G$15,$M106-$A$15,BA$13)))</f>
        <v>1000000000000</v>
      </c>
      <c r="BB106" s="173">
        <f ca="1">IF(OR($D106&lt;&gt;"Serviço",AND(AUTOEVENTO="Manual",$M106=$A$15),$M106&gt;(ROW(PLE.lastrow)-ROW(PLE.firstrow))),0,
           IF(OFFSET(PLE!$G$15,$M106-$A$15,BB$13)="",10^12,OFFSET(PLE!$G$15,$M106-$A$15,BB$13)))</f>
        <v>1000000000000</v>
      </c>
      <c r="BC106" s="173">
        <f ca="1">IF(OR($D106&lt;&gt;"Serviço",AND(AUTOEVENTO="Manual",$M106=$A$15),$M106&gt;(ROW(PLE.lastrow)-ROW(PLE.firstrow))),0,
           IF(OFFSET(PLE!$G$15,$M106-$A$15,BC$13)="",10^12,OFFSET(PLE!$G$15,$M106-$A$15,BC$13)))</f>
        <v>1000000000000</v>
      </c>
      <c r="BD106" s="173">
        <f ca="1">IF(OR($D106&lt;&gt;"Serviço",AND(AUTOEVENTO="Manual",$M106=$A$15),$M106&gt;(ROW(PLE.lastrow)-ROW(PLE.firstrow))),0,
           IF(OFFSET(PLE!$G$15,$M106-$A$15,BD$13)="",10^12,OFFSET(PLE!$G$15,$M106-$A$15,BD$13)))</f>
        <v>1000000000000</v>
      </c>
      <c r="BE106" s="173">
        <f ca="1">IF(OR($D106&lt;&gt;"Serviço",AND(AUTOEVENTO="Manual",$M106=$A$15),$M106&gt;(ROW(PLE.lastrow)-ROW(PLE.firstrow))),0,
           IF(OFFSET(PLE!$G$15,$M106-$A$15,BE$13)="",10^12,OFFSET(PLE!$G$15,$M106-$A$15,BE$13)))</f>
        <v>1000000000000</v>
      </c>
      <c r="BF106" s="173">
        <f ca="1">IF(OR($D106&lt;&gt;"Serviço",AND(AUTOEVENTO="Manual",$M106=$A$15),$M106&gt;(ROW(PLE.lastrow)-ROW(PLE.firstrow))),0,
           IF(OFFSET(PLE!$G$15,$M106-$A$15,BF$13)="",10^12,OFFSET(PLE!$G$15,$M106-$A$15,BF$13)))</f>
        <v>1000000000000</v>
      </c>
      <c r="BG106" s="173">
        <f ca="1">IF(OR($D106&lt;&gt;"Serviço",AND(AUTOEVENTO="Manual",$M106=$A$15),$M106&gt;(ROW(PLE.lastrow)-ROW(PLE.firstrow))),0,
           IF(OFFSET(PLE!$G$15,$M106-$A$15,BG$13)="",10^12,OFFSET(PLE!$G$15,$M106-$A$15,BG$13)))</f>
        <v>1000000000000</v>
      </c>
    </row>
    <row r="107" spans="1:59" s="720" customFormat="1" ht="12.75" x14ac:dyDescent="0.2">
      <c r="A107" s="718" t="str">
        <f t="shared" ca="1" si="10"/>
        <v>84</v>
      </c>
      <c r="B107" s="718" t="str">
        <f ca="1">OFFSET(ORÇAMENTO!C$15,ROW(B107)-ROW(B$15),0)</f>
        <v>S</v>
      </c>
      <c r="C107" s="718" t="str">
        <f ca="1">OFFSET(ORÇAMENTO!L$15,ROW(C107)-ROW(C$15),0)</f>
        <v/>
      </c>
      <c r="D107" s="117" t="str">
        <f ca="1">OFFSET(ORÇAMENTO!N$15,ROW(D107)-ROW(D$15),0)</f>
        <v>Serviço</v>
      </c>
      <c r="E107" s="118" t="str">
        <f ca="1">OFFSET(ORÇAMENTO!O$15,ROW(E107)-ROW(E$15),0)</f>
        <v>-</v>
      </c>
      <c r="F107" s="164" t="str">
        <f ca="1">OFFSET(ORÇAMENTO!R$15,ROW(F107)-ROW(F$15),0)</f>
        <v>(abra o arquivo 'Referência 09-2025.xlsm)</v>
      </c>
      <c r="G107" s="165" t="str">
        <f ca="1">IF($D107&lt;&gt;"Serviço","",OFFSET(ORÇAMENTO!S$15,ROW(G107)-ROW(G$15),0))</f>
        <v>-</v>
      </c>
      <c r="H107" s="123">
        <f ca="1">IF($D107&lt;&gt;"Serviço",0,IF(ACOMPANHAMENTO="BM",ROUND(OFFSET(ORÇAMENTO!AJ$15,ROW(H107)-ROW(H$15),0),15-13*ORÇAMENTO!$AF$7),SUMPRODUCT(($Q$1:$AA$1=1)*ROUND($Q107:$AA107,15-13*ORÇAMENTO!$AF$7))))</f>
        <v>300</v>
      </c>
      <c r="I107" s="469"/>
      <c r="J107" s="667" t="str">
        <f ca="1">IF(OR(B107&lt;&gt;"S",CÁLCULO.FrentesPreenchidas=0),"",IF(AND(ACOMPANHAMENTO="PLE",AUTOEVENTO="Manual",OR(H107&gt;0,ORÇAMENTO!AC107="QUANT."),OR(K107="",M107=0,N107="")),"►",IF(AND(ACOMPANHAMENTO="PLE",ORÇAMENTO!AC107="QUANT."),"►►",IF(AND(COUNTIF($P$11:$AA$11,"▼")=0,H107&gt;0,I107=""),"◄",""))))</f>
        <v/>
      </c>
      <c r="K107" s="668"/>
      <c r="L107" s="166" t="s">
        <v>765</v>
      </c>
      <c r="M107" s="167">
        <f ca="1">IF($D107&lt;&gt;"Serviço","",
          IF(AUTOEVENTO="manual",$A107,
                IF(ISERROR(MATCH($A107,$A$15:OFFSET($A107,-1,0),0)),MAX($M$15:OFFSET(M107,-1,0))+1,
                      INDEX($M$15:OFFSET(M107,-1,0),MATCH($A107,$A$15:OFFSET($A107,-1,0),0)))))</f>
        <v>10</v>
      </c>
      <c r="N107" s="168" t="str">
        <f ca="1">IF($D107&lt;&gt;"Serviço","",
         IF(AUTOEVENTO="Manual",
                IF($A107=0,"&lt;-- defina o número do agrupador",
                       OFFSET(EVENTOS!$D$15,$A107-$A$15,0)),
                OFFSET($F$15,$A107,0)))</f>
        <v>SERVIÇOS PRELIMINARES</v>
      </c>
      <c r="O107" s="169"/>
      <c r="Q107" s="169"/>
      <c r="R107" s="170"/>
      <c r="S107" s="170"/>
      <c r="T107" s="170"/>
      <c r="U107" s="170"/>
      <c r="V107" s="170"/>
      <c r="W107" s="170"/>
      <c r="X107" s="170"/>
      <c r="Y107" s="170"/>
      <c r="Z107" s="171"/>
      <c r="AB107" s="454">
        <f ca="1">IF(AND($D107="Serviço",AB$12&lt;&gt;0,$H107&gt;0,OR(AUTOEVENTO&lt;&gt;"manual",$M107&lt;&gt;$A$15)),
        IF(Import.TipoArredondamento&lt;&gt;"TransfereGOV",
              ROUND(OFFSET($P107,0,AB$13),15-13*ORÇAMENTO!$AF$7)/$H107*OFFSET(ORÇAMENTO!$X$15,ROW(AB107)-ROW(AB$15),0),
              ROUND(ROUND(OFFSET($P107,0,AB$13),15-13*ORÇAMENTO!$AF$7)*OFFSET(ORÇAMENTO!$W$15,ROW(AB107)-ROW(AB$15),0),15-13*ORÇAMENTO!$AF$11)),
         0)</f>
        <v>0</v>
      </c>
      <c r="AC107" s="454">
        <f ca="1">IF(AND($D107="Serviço",AC$12&lt;&gt;0,$H107&gt;0,OR(AUTOEVENTO&lt;&gt;"manual",$M107&lt;&gt;$A$15)),
        IF(Import.TipoArredondamento&lt;&gt;"TransfereGOV",
              ROUND(OFFSET($P107,0,AC$13),15-13*ORÇAMENTO!$AF$7)/$H107*OFFSET(ORÇAMENTO!$X$15,ROW(AC107)-ROW(AC$15),0),
              ROUND(ROUND(OFFSET($P107,0,AC$13),15-13*ORÇAMENTO!$AF$7)*OFFSET(ORÇAMENTO!$W$15,ROW(AC107)-ROW(AC$15),0),15-13*ORÇAMENTO!$AF$11)),
         0)</f>
        <v>0</v>
      </c>
      <c r="AD107" s="454">
        <f ca="1">IF(AND($D107="Serviço",AD$12&lt;&gt;0,$H107&gt;0,OR(AUTOEVENTO&lt;&gt;"manual",$M107&lt;&gt;$A$15)),
        IF(Import.TipoArredondamento&lt;&gt;"TransfereGOV",
              ROUND(OFFSET($P107,0,AD$13),15-13*ORÇAMENTO!$AF$7)/$H107*OFFSET(ORÇAMENTO!$X$15,ROW(AD107)-ROW(AD$15),0),
              ROUND(ROUND(OFFSET($P107,0,AD$13),15-13*ORÇAMENTO!$AF$7)*OFFSET(ORÇAMENTO!$W$15,ROW(AD107)-ROW(AD$15),0),15-13*ORÇAMENTO!$AF$11)),
         0)</f>
        <v>0</v>
      </c>
      <c r="AE107" s="454">
        <f ca="1">IF(AND($D107="Serviço",AE$12&lt;&gt;0,$H107&gt;0,OR(AUTOEVENTO&lt;&gt;"manual",$M107&lt;&gt;$A$15)),
        IF(Import.TipoArredondamento&lt;&gt;"TransfereGOV",
              ROUND(OFFSET($P107,0,AE$13),15-13*ORÇAMENTO!$AF$7)/$H107*OFFSET(ORÇAMENTO!$X$15,ROW(AE107)-ROW(AE$15),0),
              ROUND(ROUND(OFFSET($P107,0,AE$13),15-13*ORÇAMENTO!$AF$7)*OFFSET(ORÇAMENTO!$W$15,ROW(AE107)-ROW(AE$15),0),15-13*ORÇAMENTO!$AF$11)),
         0)</f>
        <v>0</v>
      </c>
      <c r="AF107" s="454">
        <f ca="1">IF(AND($D107="Serviço",AF$12&lt;&gt;0,$H107&gt;0,OR(AUTOEVENTO&lt;&gt;"manual",$M107&lt;&gt;$A$15)),
        IF(Import.TipoArredondamento&lt;&gt;"TransfereGOV",
              ROUND(OFFSET($P107,0,AF$13),15-13*ORÇAMENTO!$AF$7)/$H107*OFFSET(ORÇAMENTO!$X$15,ROW(AF107)-ROW(AF$15),0),
              ROUND(ROUND(OFFSET($P107,0,AF$13),15-13*ORÇAMENTO!$AF$7)*OFFSET(ORÇAMENTO!$W$15,ROW(AF107)-ROW(AF$15),0),15-13*ORÇAMENTO!$AF$11)),
         0)</f>
        <v>0</v>
      </c>
      <c r="AG107" s="454">
        <f ca="1">IF(AND($D107="Serviço",AG$12&lt;&gt;0,$H107&gt;0,OR(AUTOEVENTO&lt;&gt;"manual",$M107&lt;&gt;$A$15)),
        IF(Import.TipoArredondamento&lt;&gt;"TransfereGOV",
              ROUND(OFFSET($P107,0,AG$13),15-13*ORÇAMENTO!$AF$7)/$H107*OFFSET(ORÇAMENTO!$X$15,ROW(AG107)-ROW(AG$15),0),
              ROUND(ROUND(OFFSET($P107,0,AG$13),15-13*ORÇAMENTO!$AF$7)*OFFSET(ORÇAMENTO!$W$15,ROW(AG107)-ROW(AG$15),0),15-13*ORÇAMENTO!$AF$11)),
         0)</f>
        <v>0</v>
      </c>
      <c r="AH107" s="454">
        <f ca="1">IF(AND($D107="Serviço",AH$12&lt;&gt;0,$H107&gt;0,OR(AUTOEVENTO&lt;&gt;"manual",$M107&lt;&gt;$A$15)),
        IF(Import.TipoArredondamento&lt;&gt;"TransfereGOV",
              ROUND(OFFSET($P107,0,AH$13),15-13*ORÇAMENTO!$AF$7)/$H107*OFFSET(ORÇAMENTO!$X$15,ROW(AH107)-ROW(AH$15),0),
              ROUND(ROUND(OFFSET($P107,0,AH$13),15-13*ORÇAMENTO!$AF$7)*OFFSET(ORÇAMENTO!$W$15,ROW(AH107)-ROW(AH$15),0),15-13*ORÇAMENTO!$AF$11)),
         0)</f>
        <v>0</v>
      </c>
      <c r="AI107" s="454">
        <f ca="1">IF(AND($D107="Serviço",AI$12&lt;&gt;0,$H107&gt;0,OR(AUTOEVENTO&lt;&gt;"manual",$M107&lt;&gt;$A$15)),
        IF(Import.TipoArredondamento&lt;&gt;"TransfereGOV",
              ROUND(OFFSET($P107,0,AI$13),15-13*ORÇAMENTO!$AF$7)/$H107*OFFSET(ORÇAMENTO!$X$15,ROW(AI107)-ROW(AI$15),0),
              ROUND(ROUND(OFFSET($P107,0,AI$13),15-13*ORÇAMENTO!$AF$7)*OFFSET(ORÇAMENTO!$W$15,ROW(AI107)-ROW(AI$15),0),15-13*ORÇAMENTO!$AF$11)),
         0)</f>
        <v>0</v>
      </c>
      <c r="AJ107" s="454">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4">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M107" s="172">
        <f ca="1">IF(OR($D107&lt;&gt;"Serviço",AND(AUTOEVENTO="Manual",$M107=$A$15)),0,
         IF(OFFSET(CRONOPLE!$F$15,$M107-$A$15,AM$13)=0,10^12,OFFSET(CRONOPLE!$F$15,$M107-$A$15,AM$13)))</f>
        <v>1000000000000</v>
      </c>
      <c r="AN107" s="172">
        <f ca="1">IF(OR($D107&lt;&gt;"Serviço",AND(AUTOEVENTO="Manual",$M107=$A$15)),0,
         IF(OFFSET(CRONOPLE!$F$15,$M107-$A$15,AN$13)=0,10^12,OFFSET(CRONOPLE!$F$15,$M107-$A$15,AN$13)))</f>
        <v>1000000000000</v>
      </c>
      <c r="AO107" s="172">
        <f ca="1">IF(OR($D107&lt;&gt;"Serviço",AND(AUTOEVENTO="Manual",$M107=$A$15)),0,
         IF(OFFSET(CRONOPLE!$F$15,$M107-$A$15,AO$13)=0,10^12,OFFSET(CRONOPLE!$F$15,$M107-$A$15,AO$13)))</f>
        <v>1000000000000</v>
      </c>
      <c r="AP107" s="172">
        <f ca="1">IF(OR($D107&lt;&gt;"Serviço",AND(AUTOEVENTO="Manual",$M107=$A$15)),0,
         IF(OFFSET(CRONOPLE!$F$15,$M107-$A$15,AP$13)=0,10^12,OFFSET(CRONOPLE!$F$15,$M107-$A$15,AP$13)))</f>
        <v>1000000000000</v>
      </c>
      <c r="AQ107" s="172">
        <f ca="1">IF(OR($D107&lt;&gt;"Serviço",AND(AUTOEVENTO="Manual",$M107=$A$15)),0,
         IF(OFFSET(CRONOPLE!$F$15,$M107-$A$15,AQ$13)=0,10^12,OFFSET(CRONOPLE!$F$15,$M107-$A$15,AQ$13)))</f>
        <v>1000000000000</v>
      </c>
      <c r="AR107" s="172">
        <f ca="1">IF(OR($D107&lt;&gt;"Serviço",AND(AUTOEVENTO="Manual",$M107=$A$15)),0,
         IF(OFFSET(CRONOPLE!$F$15,$M107-$A$15,AR$13)=0,10^12,OFFSET(CRONOPLE!$F$15,$M107-$A$15,AR$13)))</f>
        <v>1000000000000</v>
      </c>
      <c r="AS107" s="172">
        <f ca="1">IF(OR($D107&lt;&gt;"Serviço",AND(AUTOEVENTO="Manual",$M107=$A$15)),0,
         IF(OFFSET(CRONOPLE!$F$15,$M107-$A$15,AS$13)=0,10^12,OFFSET(CRONOPLE!$F$15,$M107-$A$15,AS$13)))</f>
        <v>1000000000000</v>
      </c>
      <c r="AT107" s="172">
        <f ca="1">IF(OR($D107&lt;&gt;"Serviço",AND(AUTOEVENTO="Manual",$M107=$A$15)),0,
         IF(OFFSET(CRONOPLE!$F$15,$M107-$A$15,AT$13)=0,10^12,OFFSET(CRONOPLE!$F$15,$M107-$A$15,AT$13)))</f>
        <v>1000000000000</v>
      </c>
      <c r="AU107" s="172">
        <f ca="1">IF(OR($D107&lt;&gt;"Serviço",AND(AUTOEVENTO="Manual",$M107=$A$15)),0,
         IF(OFFSET(CRONOPLE!$F$15,$M107-$A$15,AU$13)=0,10^12,OFFSET(CRONOPLE!$F$15,$M107-$A$15,AU$13)))</f>
        <v>1000000000000</v>
      </c>
      <c r="AV107" s="172">
        <f ca="1">IF(OR($D107&lt;&gt;"Serviço",AND(AUTOEVENTO="Manual",$M107=$A$15)),0,
         IF(OFFSET(CRONOPLE!$F$15,$M107-$A$15,AV$13)=0,10^12,OFFSET(CRONOPLE!$F$15,$M107-$A$15,AV$13)))</f>
        <v>1000000000000</v>
      </c>
      <c r="AX107" s="173">
        <f ca="1">IF(OR($D107&lt;&gt;"Serviço",AND(AUTOEVENTO="Manual",$M107=$A$15),$M107&gt;(ROW(PLE.lastrow)-ROW(PLE.firstrow))),0,
           IF(OFFSET(PLE!$G$15,$M107-$A$15,AX$13)="",10^12,OFFSET(PLE!$G$15,$M107-$A$15,AX$13)))</f>
        <v>1000000000000</v>
      </c>
      <c r="AY107" s="173">
        <f ca="1">IF(OR($D107&lt;&gt;"Serviço",AND(AUTOEVENTO="Manual",$M107=$A$15),$M107&gt;(ROW(PLE.lastrow)-ROW(PLE.firstrow))),0,
           IF(OFFSET(PLE!$G$15,$M107-$A$15,AY$13)="",10^12,OFFSET(PLE!$G$15,$M107-$A$15,AY$13)))</f>
        <v>1000000000000</v>
      </c>
      <c r="AZ107" s="173">
        <f ca="1">IF(OR($D107&lt;&gt;"Serviço",AND(AUTOEVENTO="Manual",$M107=$A$15),$M107&gt;(ROW(PLE.lastrow)-ROW(PLE.firstrow))),0,
           IF(OFFSET(PLE!$G$15,$M107-$A$15,AZ$13)="",10^12,OFFSET(PLE!$G$15,$M107-$A$15,AZ$13)))</f>
        <v>1000000000000</v>
      </c>
      <c r="BA107" s="173">
        <f ca="1">IF(OR($D107&lt;&gt;"Serviço",AND(AUTOEVENTO="Manual",$M107=$A$15),$M107&gt;(ROW(PLE.lastrow)-ROW(PLE.firstrow))),0,
           IF(OFFSET(PLE!$G$15,$M107-$A$15,BA$13)="",10^12,OFFSET(PLE!$G$15,$M107-$A$15,BA$13)))</f>
        <v>1000000000000</v>
      </c>
      <c r="BB107" s="173">
        <f ca="1">IF(OR($D107&lt;&gt;"Serviço",AND(AUTOEVENTO="Manual",$M107=$A$15),$M107&gt;(ROW(PLE.lastrow)-ROW(PLE.firstrow))),0,
           IF(OFFSET(PLE!$G$15,$M107-$A$15,BB$13)="",10^12,OFFSET(PLE!$G$15,$M107-$A$15,BB$13)))</f>
        <v>1000000000000</v>
      </c>
      <c r="BC107" s="173">
        <f ca="1">IF(OR($D107&lt;&gt;"Serviço",AND(AUTOEVENTO="Manual",$M107=$A$15),$M107&gt;(ROW(PLE.lastrow)-ROW(PLE.firstrow))),0,
           IF(OFFSET(PLE!$G$15,$M107-$A$15,BC$13)="",10^12,OFFSET(PLE!$G$15,$M107-$A$15,BC$13)))</f>
        <v>1000000000000</v>
      </c>
      <c r="BD107" s="173">
        <f ca="1">IF(OR($D107&lt;&gt;"Serviço",AND(AUTOEVENTO="Manual",$M107=$A$15),$M107&gt;(ROW(PLE.lastrow)-ROW(PLE.firstrow))),0,
           IF(OFFSET(PLE!$G$15,$M107-$A$15,BD$13)="",10^12,OFFSET(PLE!$G$15,$M107-$A$15,BD$13)))</f>
        <v>1000000000000</v>
      </c>
      <c r="BE107" s="173">
        <f ca="1">IF(OR($D107&lt;&gt;"Serviço",AND(AUTOEVENTO="Manual",$M107=$A$15),$M107&gt;(ROW(PLE.lastrow)-ROW(PLE.firstrow))),0,
           IF(OFFSET(PLE!$G$15,$M107-$A$15,BE$13)="",10^12,OFFSET(PLE!$G$15,$M107-$A$15,BE$13)))</f>
        <v>1000000000000</v>
      </c>
      <c r="BF107" s="173">
        <f ca="1">IF(OR($D107&lt;&gt;"Serviço",AND(AUTOEVENTO="Manual",$M107=$A$15),$M107&gt;(ROW(PLE.lastrow)-ROW(PLE.firstrow))),0,
           IF(OFFSET(PLE!$G$15,$M107-$A$15,BF$13)="",10^12,OFFSET(PLE!$G$15,$M107-$A$15,BF$13)))</f>
        <v>1000000000000</v>
      </c>
      <c r="BG107" s="173">
        <f ca="1">IF(OR($D107&lt;&gt;"Serviço",AND(AUTOEVENTO="Manual",$M107=$A$15),$M107&gt;(ROW(PLE.lastrow)-ROW(PLE.firstrow))),0,
           IF(OFFSET(PLE!$G$15,$M107-$A$15,BG$13)="",10^12,OFFSET(PLE!$G$15,$M107-$A$15,BG$13)))</f>
        <v>1000000000000</v>
      </c>
    </row>
    <row r="108" spans="1:59" s="720" customFormat="1" ht="25.5" x14ac:dyDescent="0.2">
      <c r="A108" s="718" t="str">
        <f t="shared" ca="1" si="10"/>
        <v>84</v>
      </c>
      <c r="B108" s="718" t="str">
        <f ca="1">OFFSET(ORÇAMENTO!C$15,ROW(B108)-ROW(B$15),0)</f>
        <v>S</v>
      </c>
      <c r="C108" s="718" t="str">
        <f ca="1">OFFSET(ORÇAMENTO!L$15,ROW(C108)-ROW(C$15),0)</f>
        <v/>
      </c>
      <c r="D108" s="117" t="str">
        <f ca="1">OFFSET(ORÇAMENTO!N$15,ROW(D108)-ROW(D$15),0)</f>
        <v>Serviço</v>
      </c>
      <c r="E108" s="118" t="str">
        <f ca="1">OFFSET(ORÇAMENTO!O$15,ROW(E108)-ROW(E$15),0)</f>
        <v>-</v>
      </c>
      <c r="F108" s="164" t="str">
        <f ca="1">OFFSET(ORÇAMENTO!R$15,ROW(F108)-ROW(F$15),0)</f>
        <v>(abra o arquivo 'Referência 09-2025.xlsm)</v>
      </c>
      <c r="G108" s="165" t="str">
        <f ca="1">IF($D108&lt;&gt;"Serviço","",OFFSET(ORÇAMENTO!S$15,ROW(G108)-ROW(G$15),0))</f>
        <v>-</v>
      </c>
      <c r="H108" s="123">
        <f ca="1">IF($D108&lt;&gt;"Serviço",0,IF(ACOMPANHAMENTO="BM",ROUND(OFFSET(ORÇAMENTO!AJ$15,ROW(H108)-ROW(H$15),0),15-13*ORÇAMENTO!$AF$7),SUMPRODUCT(($Q$1:$AA$1=1)*ROUND($Q108:$AA108,15-13*ORÇAMENTO!$AF$7))))</f>
        <v>100</v>
      </c>
      <c r="I108" s="469"/>
      <c r="J108" s="667" t="str">
        <f ca="1">IF(OR(B108&lt;&gt;"S",CÁLCULO.FrentesPreenchidas=0),"",IF(AND(ACOMPANHAMENTO="PLE",AUTOEVENTO="Manual",OR(H108&gt;0,ORÇAMENTO!AC108="QUANT."),OR(K108="",M108=0,N108="")),"►",IF(AND(ACOMPANHAMENTO="PLE",ORÇAMENTO!AC108="QUANT."),"►►",IF(AND(COUNTIF($P$11:$AA$11,"▼")=0,H108&gt;0,I108=""),"◄",""))))</f>
        <v/>
      </c>
      <c r="K108" s="668"/>
      <c r="L108" s="166" t="s">
        <v>765</v>
      </c>
      <c r="M108" s="167">
        <f ca="1">IF($D108&lt;&gt;"Serviço","",
          IF(AUTOEVENTO="manual",$A108,
                IF(ISERROR(MATCH($A108,$A$15:OFFSET($A108,-1,0),0)),MAX($M$15:OFFSET(M108,-1,0))+1,
                      INDEX($M$15:OFFSET(M108,-1,0),MATCH($A108,$A$15:OFFSET($A108,-1,0),0)))))</f>
        <v>10</v>
      </c>
      <c r="N108" s="168" t="str">
        <f ca="1">IF($D108&lt;&gt;"Serviço","",
         IF(AUTOEVENTO="Manual",
                IF($A108=0,"&lt;-- defina o número do agrupador",
                       OFFSET(EVENTOS!$D$15,$A108-$A$15,0)),
                OFFSET($F$15,$A108,0)))</f>
        <v>SERVIÇOS PRELIMINARES</v>
      </c>
      <c r="O108" s="169"/>
      <c r="Q108" s="169"/>
      <c r="R108" s="170"/>
      <c r="S108" s="170"/>
      <c r="T108" s="170"/>
      <c r="U108" s="170"/>
      <c r="V108" s="170"/>
      <c r="W108" s="170"/>
      <c r="X108" s="170"/>
      <c r="Y108" s="170"/>
      <c r="Z108" s="171"/>
      <c r="AB108" s="454">
        <f ca="1">IF(AND($D108="Serviço",AB$12&lt;&gt;0,$H108&gt;0,OR(AUTOEVENTO&lt;&gt;"manual",$M108&lt;&gt;$A$15)),
        IF(Import.TipoArredondamento&lt;&gt;"TransfereGOV",
              ROUND(OFFSET($P108,0,AB$13),15-13*ORÇAMENTO!$AF$7)/$H108*OFFSET(ORÇAMENTO!$X$15,ROW(AB108)-ROW(AB$15),0),
              ROUND(ROUND(OFFSET($P108,0,AB$13),15-13*ORÇAMENTO!$AF$7)*OFFSET(ORÇAMENTO!$W$15,ROW(AB108)-ROW(AB$15),0),15-13*ORÇAMENTO!$AF$11)),
         0)</f>
        <v>0</v>
      </c>
      <c r="AC108" s="454">
        <f ca="1">IF(AND($D108="Serviço",AC$12&lt;&gt;0,$H108&gt;0,OR(AUTOEVENTO&lt;&gt;"manual",$M108&lt;&gt;$A$15)),
        IF(Import.TipoArredondamento&lt;&gt;"TransfereGOV",
              ROUND(OFFSET($P108,0,AC$13),15-13*ORÇAMENTO!$AF$7)/$H108*OFFSET(ORÇAMENTO!$X$15,ROW(AC108)-ROW(AC$15),0),
              ROUND(ROUND(OFFSET($P108,0,AC$13),15-13*ORÇAMENTO!$AF$7)*OFFSET(ORÇAMENTO!$W$15,ROW(AC108)-ROW(AC$15),0),15-13*ORÇAMENTO!$AF$11)),
         0)</f>
        <v>0</v>
      </c>
      <c r="AD108" s="454">
        <f ca="1">IF(AND($D108="Serviço",AD$12&lt;&gt;0,$H108&gt;0,OR(AUTOEVENTO&lt;&gt;"manual",$M108&lt;&gt;$A$15)),
        IF(Import.TipoArredondamento&lt;&gt;"TransfereGOV",
              ROUND(OFFSET($P108,0,AD$13),15-13*ORÇAMENTO!$AF$7)/$H108*OFFSET(ORÇAMENTO!$X$15,ROW(AD108)-ROW(AD$15),0),
              ROUND(ROUND(OFFSET($P108,0,AD$13),15-13*ORÇAMENTO!$AF$7)*OFFSET(ORÇAMENTO!$W$15,ROW(AD108)-ROW(AD$15),0),15-13*ORÇAMENTO!$AF$11)),
         0)</f>
        <v>0</v>
      </c>
      <c r="AE108" s="454">
        <f ca="1">IF(AND($D108="Serviço",AE$12&lt;&gt;0,$H108&gt;0,OR(AUTOEVENTO&lt;&gt;"manual",$M108&lt;&gt;$A$15)),
        IF(Import.TipoArredondamento&lt;&gt;"TransfereGOV",
              ROUND(OFFSET($P108,0,AE$13),15-13*ORÇAMENTO!$AF$7)/$H108*OFFSET(ORÇAMENTO!$X$15,ROW(AE108)-ROW(AE$15),0),
              ROUND(ROUND(OFFSET($P108,0,AE$13),15-13*ORÇAMENTO!$AF$7)*OFFSET(ORÇAMENTO!$W$15,ROW(AE108)-ROW(AE$15),0),15-13*ORÇAMENTO!$AF$11)),
         0)</f>
        <v>0</v>
      </c>
      <c r="AF108" s="454">
        <f ca="1">IF(AND($D108="Serviço",AF$12&lt;&gt;0,$H108&gt;0,OR(AUTOEVENTO&lt;&gt;"manual",$M108&lt;&gt;$A$15)),
        IF(Import.TipoArredondamento&lt;&gt;"TransfereGOV",
              ROUND(OFFSET($P108,0,AF$13),15-13*ORÇAMENTO!$AF$7)/$H108*OFFSET(ORÇAMENTO!$X$15,ROW(AF108)-ROW(AF$15),0),
              ROUND(ROUND(OFFSET($P108,0,AF$13),15-13*ORÇAMENTO!$AF$7)*OFFSET(ORÇAMENTO!$W$15,ROW(AF108)-ROW(AF$15),0),15-13*ORÇAMENTO!$AF$11)),
         0)</f>
        <v>0</v>
      </c>
      <c r="AG108" s="454">
        <f ca="1">IF(AND($D108="Serviço",AG$12&lt;&gt;0,$H108&gt;0,OR(AUTOEVENTO&lt;&gt;"manual",$M108&lt;&gt;$A$15)),
        IF(Import.TipoArredondamento&lt;&gt;"TransfereGOV",
              ROUND(OFFSET($P108,0,AG$13),15-13*ORÇAMENTO!$AF$7)/$H108*OFFSET(ORÇAMENTO!$X$15,ROW(AG108)-ROW(AG$15),0),
              ROUND(ROUND(OFFSET($P108,0,AG$13),15-13*ORÇAMENTO!$AF$7)*OFFSET(ORÇAMENTO!$W$15,ROW(AG108)-ROW(AG$15),0),15-13*ORÇAMENTO!$AF$11)),
         0)</f>
        <v>0</v>
      </c>
      <c r="AH108" s="454">
        <f ca="1">IF(AND($D108="Serviço",AH$12&lt;&gt;0,$H108&gt;0,OR(AUTOEVENTO&lt;&gt;"manual",$M108&lt;&gt;$A$15)),
        IF(Import.TipoArredondamento&lt;&gt;"TransfereGOV",
              ROUND(OFFSET($P108,0,AH$13),15-13*ORÇAMENTO!$AF$7)/$H108*OFFSET(ORÇAMENTO!$X$15,ROW(AH108)-ROW(AH$15),0),
              ROUND(ROUND(OFFSET($P108,0,AH$13),15-13*ORÇAMENTO!$AF$7)*OFFSET(ORÇAMENTO!$W$15,ROW(AH108)-ROW(AH$15),0),15-13*ORÇAMENTO!$AF$11)),
         0)</f>
        <v>0</v>
      </c>
      <c r="AI108" s="454">
        <f ca="1">IF(AND($D108="Serviço",AI$12&lt;&gt;0,$H108&gt;0,OR(AUTOEVENTO&lt;&gt;"manual",$M108&lt;&gt;$A$15)),
        IF(Import.TipoArredondamento&lt;&gt;"TransfereGOV",
              ROUND(OFFSET($P108,0,AI$13),15-13*ORÇAMENTO!$AF$7)/$H108*OFFSET(ORÇAMENTO!$X$15,ROW(AI108)-ROW(AI$15),0),
              ROUND(ROUND(OFFSET($P108,0,AI$13),15-13*ORÇAMENTO!$AF$7)*OFFSET(ORÇAMENTO!$W$15,ROW(AI108)-ROW(AI$15),0),15-13*ORÇAMENTO!$AF$11)),
         0)</f>
        <v>0</v>
      </c>
      <c r="AJ108" s="454">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4">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M108" s="172">
        <f ca="1">IF(OR($D108&lt;&gt;"Serviço",AND(AUTOEVENTO="Manual",$M108=$A$15)),0,
         IF(OFFSET(CRONOPLE!$F$15,$M108-$A$15,AM$13)=0,10^12,OFFSET(CRONOPLE!$F$15,$M108-$A$15,AM$13)))</f>
        <v>1000000000000</v>
      </c>
      <c r="AN108" s="172">
        <f ca="1">IF(OR($D108&lt;&gt;"Serviço",AND(AUTOEVENTO="Manual",$M108=$A$15)),0,
         IF(OFFSET(CRONOPLE!$F$15,$M108-$A$15,AN$13)=0,10^12,OFFSET(CRONOPLE!$F$15,$M108-$A$15,AN$13)))</f>
        <v>1000000000000</v>
      </c>
      <c r="AO108" s="172">
        <f ca="1">IF(OR($D108&lt;&gt;"Serviço",AND(AUTOEVENTO="Manual",$M108=$A$15)),0,
         IF(OFFSET(CRONOPLE!$F$15,$M108-$A$15,AO$13)=0,10^12,OFFSET(CRONOPLE!$F$15,$M108-$A$15,AO$13)))</f>
        <v>1000000000000</v>
      </c>
      <c r="AP108" s="172">
        <f ca="1">IF(OR($D108&lt;&gt;"Serviço",AND(AUTOEVENTO="Manual",$M108=$A$15)),0,
         IF(OFFSET(CRONOPLE!$F$15,$M108-$A$15,AP$13)=0,10^12,OFFSET(CRONOPLE!$F$15,$M108-$A$15,AP$13)))</f>
        <v>1000000000000</v>
      </c>
      <c r="AQ108" s="172">
        <f ca="1">IF(OR($D108&lt;&gt;"Serviço",AND(AUTOEVENTO="Manual",$M108=$A$15)),0,
         IF(OFFSET(CRONOPLE!$F$15,$M108-$A$15,AQ$13)=0,10^12,OFFSET(CRONOPLE!$F$15,$M108-$A$15,AQ$13)))</f>
        <v>1000000000000</v>
      </c>
      <c r="AR108" s="172">
        <f ca="1">IF(OR($D108&lt;&gt;"Serviço",AND(AUTOEVENTO="Manual",$M108=$A$15)),0,
         IF(OFFSET(CRONOPLE!$F$15,$M108-$A$15,AR$13)=0,10^12,OFFSET(CRONOPLE!$F$15,$M108-$A$15,AR$13)))</f>
        <v>1000000000000</v>
      </c>
      <c r="AS108" s="172">
        <f ca="1">IF(OR($D108&lt;&gt;"Serviço",AND(AUTOEVENTO="Manual",$M108=$A$15)),0,
         IF(OFFSET(CRONOPLE!$F$15,$M108-$A$15,AS$13)=0,10^12,OFFSET(CRONOPLE!$F$15,$M108-$A$15,AS$13)))</f>
        <v>1000000000000</v>
      </c>
      <c r="AT108" s="172">
        <f ca="1">IF(OR($D108&lt;&gt;"Serviço",AND(AUTOEVENTO="Manual",$M108=$A$15)),0,
         IF(OFFSET(CRONOPLE!$F$15,$M108-$A$15,AT$13)=0,10^12,OFFSET(CRONOPLE!$F$15,$M108-$A$15,AT$13)))</f>
        <v>1000000000000</v>
      </c>
      <c r="AU108" s="172">
        <f ca="1">IF(OR($D108&lt;&gt;"Serviço",AND(AUTOEVENTO="Manual",$M108=$A$15)),0,
         IF(OFFSET(CRONOPLE!$F$15,$M108-$A$15,AU$13)=0,10^12,OFFSET(CRONOPLE!$F$15,$M108-$A$15,AU$13)))</f>
        <v>1000000000000</v>
      </c>
      <c r="AV108" s="172">
        <f ca="1">IF(OR($D108&lt;&gt;"Serviço",AND(AUTOEVENTO="Manual",$M108=$A$15)),0,
         IF(OFFSET(CRONOPLE!$F$15,$M108-$A$15,AV$13)=0,10^12,OFFSET(CRONOPLE!$F$15,$M108-$A$15,AV$13)))</f>
        <v>1000000000000</v>
      </c>
      <c r="AX108" s="173">
        <f ca="1">IF(OR($D108&lt;&gt;"Serviço",AND(AUTOEVENTO="Manual",$M108=$A$15),$M108&gt;(ROW(PLE.lastrow)-ROW(PLE.firstrow))),0,
           IF(OFFSET(PLE!$G$15,$M108-$A$15,AX$13)="",10^12,OFFSET(PLE!$G$15,$M108-$A$15,AX$13)))</f>
        <v>1000000000000</v>
      </c>
      <c r="AY108" s="173">
        <f ca="1">IF(OR($D108&lt;&gt;"Serviço",AND(AUTOEVENTO="Manual",$M108=$A$15),$M108&gt;(ROW(PLE.lastrow)-ROW(PLE.firstrow))),0,
           IF(OFFSET(PLE!$G$15,$M108-$A$15,AY$13)="",10^12,OFFSET(PLE!$G$15,$M108-$A$15,AY$13)))</f>
        <v>1000000000000</v>
      </c>
      <c r="AZ108" s="173">
        <f ca="1">IF(OR($D108&lt;&gt;"Serviço",AND(AUTOEVENTO="Manual",$M108=$A$15),$M108&gt;(ROW(PLE.lastrow)-ROW(PLE.firstrow))),0,
           IF(OFFSET(PLE!$G$15,$M108-$A$15,AZ$13)="",10^12,OFFSET(PLE!$G$15,$M108-$A$15,AZ$13)))</f>
        <v>1000000000000</v>
      </c>
      <c r="BA108" s="173">
        <f ca="1">IF(OR($D108&lt;&gt;"Serviço",AND(AUTOEVENTO="Manual",$M108=$A$15),$M108&gt;(ROW(PLE.lastrow)-ROW(PLE.firstrow))),0,
           IF(OFFSET(PLE!$G$15,$M108-$A$15,BA$13)="",10^12,OFFSET(PLE!$G$15,$M108-$A$15,BA$13)))</f>
        <v>1000000000000</v>
      </c>
      <c r="BB108" s="173">
        <f ca="1">IF(OR($D108&lt;&gt;"Serviço",AND(AUTOEVENTO="Manual",$M108=$A$15),$M108&gt;(ROW(PLE.lastrow)-ROW(PLE.firstrow))),0,
           IF(OFFSET(PLE!$G$15,$M108-$A$15,BB$13)="",10^12,OFFSET(PLE!$G$15,$M108-$A$15,BB$13)))</f>
        <v>1000000000000</v>
      </c>
      <c r="BC108" s="173">
        <f ca="1">IF(OR($D108&lt;&gt;"Serviço",AND(AUTOEVENTO="Manual",$M108=$A$15),$M108&gt;(ROW(PLE.lastrow)-ROW(PLE.firstrow))),0,
           IF(OFFSET(PLE!$G$15,$M108-$A$15,BC$13)="",10^12,OFFSET(PLE!$G$15,$M108-$A$15,BC$13)))</f>
        <v>1000000000000</v>
      </c>
      <c r="BD108" s="173">
        <f ca="1">IF(OR($D108&lt;&gt;"Serviço",AND(AUTOEVENTO="Manual",$M108=$A$15),$M108&gt;(ROW(PLE.lastrow)-ROW(PLE.firstrow))),0,
           IF(OFFSET(PLE!$G$15,$M108-$A$15,BD$13)="",10^12,OFFSET(PLE!$G$15,$M108-$A$15,BD$13)))</f>
        <v>1000000000000</v>
      </c>
      <c r="BE108" s="173">
        <f ca="1">IF(OR($D108&lt;&gt;"Serviço",AND(AUTOEVENTO="Manual",$M108=$A$15),$M108&gt;(ROW(PLE.lastrow)-ROW(PLE.firstrow))),0,
           IF(OFFSET(PLE!$G$15,$M108-$A$15,BE$13)="",10^12,OFFSET(PLE!$G$15,$M108-$A$15,BE$13)))</f>
        <v>1000000000000</v>
      </c>
      <c r="BF108" s="173">
        <f ca="1">IF(OR($D108&lt;&gt;"Serviço",AND(AUTOEVENTO="Manual",$M108=$A$15),$M108&gt;(ROW(PLE.lastrow)-ROW(PLE.firstrow))),0,
           IF(OFFSET(PLE!$G$15,$M108-$A$15,BF$13)="",10^12,OFFSET(PLE!$G$15,$M108-$A$15,BF$13)))</f>
        <v>1000000000000</v>
      </c>
      <c r="BG108" s="173">
        <f ca="1">IF(OR($D108&lt;&gt;"Serviço",AND(AUTOEVENTO="Manual",$M108=$A$15),$M108&gt;(ROW(PLE.lastrow)-ROW(PLE.firstrow))),0,
           IF(OFFSET(PLE!$G$15,$M108-$A$15,BG$13)="",10^12,OFFSET(PLE!$G$15,$M108-$A$15,BG$13)))</f>
        <v>1000000000000</v>
      </c>
    </row>
    <row r="109" spans="1:59" s="675" customFormat="1" ht="12.75" x14ac:dyDescent="0.2">
      <c r="A109" s="671" t="str">
        <f t="shared" ca="1" si="10"/>
        <v>94.</v>
      </c>
      <c r="B109" s="671">
        <f ca="1">OFFSET(ORÇAMENTO!C$15,ROW(B109)-ROW(B$15),0)</f>
        <v>2</v>
      </c>
      <c r="C109" s="671" t="str">
        <f ca="1">OFFSET(ORÇAMENTO!L$15,ROW(C109)-ROW(C$15),0)</f>
        <v>F</v>
      </c>
      <c r="D109" s="117" t="str">
        <f ca="1">OFFSET(ORÇAMENTO!N$15,ROW(D109)-ROW(D$15),0)</f>
        <v>Nível 2</v>
      </c>
      <c r="E109" s="118" t="str">
        <f ca="1">OFFSET(ORÇAMENTO!O$15,ROW(E109)-ROW(E$15),0)</f>
        <v>1.13.</v>
      </c>
      <c r="F109" s="164" t="str">
        <f ca="1">OFFSET(ORÇAMENTO!R$15,ROW(F109)-ROW(F$15),0)</f>
        <v>REDE EMISSÁRIO DE ESGOTO</v>
      </c>
      <c r="G109" s="165" t="str">
        <f ca="1">IF($D109&lt;&gt;"Serviço","",OFFSET(ORÇAMENTO!S$15,ROW(G109)-ROW(G$15),0))</f>
        <v/>
      </c>
      <c r="H109" s="123">
        <f ca="1">IF($D109&lt;&gt;"Serviço",0,IF(ACOMPANHAMENTO="BM",ROUND(OFFSET(ORÇAMENTO!AJ$15,ROW(H109)-ROW(H$15),0),15-13*ORÇAMENTO!$AF$7),SUMPRODUCT(($Q$1:$AA$1=1)*ROUND($Q109:$AA109,15-13*ORÇAMENTO!$AF$7))))</f>
        <v>0</v>
      </c>
      <c r="I109" s="469"/>
      <c r="J109" s="667" t="str">
        <f ca="1">IF(OR(B109&lt;&gt;"S",CÁLCULO.FrentesPreenchidas=0),"",IF(AND(ACOMPANHAMENTO="PLE",AUTOEVENTO="Manual",OR(H109&gt;0,ORÇAMENTO!AC109="QUANT."),OR(K109="",M109=0,N109="")),"►",IF(AND(ACOMPANHAMENTO="PLE",ORÇAMENTO!AC109="QUANT."),"►►",IF(AND(COUNTIF($P$11:$AA$11,"▼")=0,H109&gt;0,I109=""),"◄",""))))</f>
        <v/>
      </c>
      <c r="K109" s="668"/>
      <c r="L109" s="166" t="s">
        <v>765</v>
      </c>
      <c r="M109" s="167" t="str">
        <f ca="1">IF($D109&lt;&gt;"Serviço","",
          IF(AUTOEVENTO="manual",$A109,
                IF(ISERROR(MATCH($A109,$A$15:OFFSET($A109,-1,0),0)),MAX($M$15:OFFSET(M109,-1,0))+1,
                      INDEX($M$15:OFFSET(M109,-1,0),MATCH($A109,$A$15:OFFSET($A109,-1,0),0)))))</f>
        <v/>
      </c>
      <c r="N109" s="168" t="str">
        <f ca="1">IF($D109&lt;&gt;"Serviço","",
         IF(AUTOEVENTO="Manual",
                IF($A109=0,"&lt;-- defina o número do agrupador",
                       OFFSET(EVENTOS!$D$15,$A109-$A$15,0)),
                OFFSET($F$15,$A109,0)))</f>
        <v/>
      </c>
      <c r="O109" s="169"/>
      <c r="Q109" s="169"/>
      <c r="R109" s="170"/>
      <c r="S109" s="170"/>
      <c r="T109" s="170"/>
      <c r="U109" s="170"/>
      <c r="V109" s="170"/>
      <c r="W109" s="170"/>
      <c r="X109" s="170"/>
      <c r="Y109" s="170"/>
      <c r="Z109" s="171"/>
      <c r="AB109" s="454">
        <f ca="1">IF(AND($D109="Serviço",AB$12&lt;&gt;0,$H109&gt;0,OR(AUTOEVENTO&lt;&gt;"manual",$M109&lt;&gt;$A$15)),
        IF(Import.TipoArredondamento&lt;&gt;"TransfereGOV",
              ROUND(OFFSET($P109,0,AB$13),15-13*ORÇAMENTO!$AF$7)/$H109*OFFSET(ORÇAMENTO!$X$15,ROW(AB109)-ROW(AB$15),0),
              ROUND(ROUND(OFFSET($P109,0,AB$13),15-13*ORÇAMENTO!$AF$7)*OFFSET(ORÇAMENTO!$W$15,ROW(AB109)-ROW(AB$15),0),15-13*ORÇAMENTO!$AF$11)),
         0)</f>
        <v>0</v>
      </c>
      <c r="AC109" s="454">
        <f ca="1">IF(AND($D109="Serviço",AC$12&lt;&gt;0,$H109&gt;0,OR(AUTOEVENTO&lt;&gt;"manual",$M109&lt;&gt;$A$15)),
        IF(Import.TipoArredondamento&lt;&gt;"TransfereGOV",
              ROUND(OFFSET($P109,0,AC$13),15-13*ORÇAMENTO!$AF$7)/$H109*OFFSET(ORÇAMENTO!$X$15,ROW(AC109)-ROW(AC$15),0),
              ROUND(ROUND(OFFSET($P109,0,AC$13),15-13*ORÇAMENTO!$AF$7)*OFFSET(ORÇAMENTO!$W$15,ROW(AC109)-ROW(AC$15),0),15-13*ORÇAMENTO!$AF$11)),
         0)</f>
        <v>0</v>
      </c>
      <c r="AD109" s="454">
        <f ca="1">IF(AND($D109="Serviço",AD$12&lt;&gt;0,$H109&gt;0,OR(AUTOEVENTO&lt;&gt;"manual",$M109&lt;&gt;$A$15)),
        IF(Import.TipoArredondamento&lt;&gt;"TransfereGOV",
              ROUND(OFFSET($P109,0,AD$13),15-13*ORÇAMENTO!$AF$7)/$H109*OFFSET(ORÇAMENTO!$X$15,ROW(AD109)-ROW(AD$15),0),
              ROUND(ROUND(OFFSET($P109,0,AD$13),15-13*ORÇAMENTO!$AF$7)*OFFSET(ORÇAMENTO!$W$15,ROW(AD109)-ROW(AD$15),0),15-13*ORÇAMENTO!$AF$11)),
         0)</f>
        <v>0</v>
      </c>
      <c r="AE109" s="454">
        <f ca="1">IF(AND($D109="Serviço",AE$12&lt;&gt;0,$H109&gt;0,OR(AUTOEVENTO&lt;&gt;"manual",$M109&lt;&gt;$A$15)),
        IF(Import.TipoArredondamento&lt;&gt;"TransfereGOV",
              ROUND(OFFSET($P109,0,AE$13),15-13*ORÇAMENTO!$AF$7)/$H109*OFFSET(ORÇAMENTO!$X$15,ROW(AE109)-ROW(AE$15),0),
              ROUND(ROUND(OFFSET($P109,0,AE$13),15-13*ORÇAMENTO!$AF$7)*OFFSET(ORÇAMENTO!$W$15,ROW(AE109)-ROW(AE$15),0),15-13*ORÇAMENTO!$AF$11)),
         0)</f>
        <v>0</v>
      </c>
      <c r="AF109" s="454">
        <f ca="1">IF(AND($D109="Serviço",AF$12&lt;&gt;0,$H109&gt;0,OR(AUTOEVENTO&lt;&gt;"manual",$M109&lt;&gt;$A$15)),
        IF(Import.TipoArredondamento&lt;&gt;"TransfereGOV",
              ROUND(OFFSET($P109,0,AF$13),15-13*ORÇAMENTO!$AF$7)/$H109*OFFSET(ORÇAMENTO!$X$15,ROW(AF109)-ROW(AF$15),0),
              ROUND(ROUND(OFFSET($P109,0,AF$13),15-13*ORÇAMENTO!$AF$7)*OFFSET(ORÇAMENTO!$W$15,ROW(AF109)-ROW(AF$15),0),15-13*ORÇAMENTO!$AF$11)),
         0)</f>
        <v>0</v>
      </c>
      <c r="AG109" s="454">
        <f ca="1">IF(AND($D109="Serviço",AG$12&lt;&gt;0,$H109&gt;0,OR(AUTOEVENTO&lt;&gt;"manual",$M109&lt;&gt;$A$15)),
        IF(Import.TipoArredondamento&lt;&gt;"TransfereGOV",
              ROUND(OFFSET($P109,0,AG$13),15-13*ORÇAMENTO!$AF$7)/$H109*OFFSET(ORÇAMENTO!$X$15,ROW(AG109)-ROW(AG$15),0),
              ROUND(ROUND(OFFSET($P109,0,AG$13),15-13*ORÇAMENTO!$AF$7)*OFFSET(ORÇAMENTO!$W$15,ROW(AG109)-ROW(AG$15),0),15-13*ORÇAMENTO!$AF$11)),
         0)</f>
        <v>0</v>
      </c>
      <c r="AH109" s="454">
        <f ca="1">IF(AND($D109="Serviço",AH$12&lt;&gt;0,$H109&gt;0,OR(AUTOEVENTO&lt;&gt;"manual",$M109&lt;&gt;$A$15)),
        IF(Import.TipoArredondamento&lt;&gt;"TransfereGOV",
              ROUND(OFFSET($P109,0,AH$13),15-13*ORÇAMENTO!$AF$7)/$H109*OFFSET(ORÇAMENTO!$X$15,ROW(AH109)-ROW(AH$15),0),
              ROUND(ROUND(OFFSET($P109,0,AH$13),15-13*ORÇAMENTO!$AF$7)*OFFSET(ORÇAMENTO!$W$15,ROW(AH109)-ROW(AH$15),0),15-13*ORÇAMENTO!$AF$11)),
         0)</f>
        <v>0</v>
      </c>
      <c r="AI109" s="454">
        <f ca="1">IF(AND($D109="Serviço",AI$12&lt;&gt;0,$H109&gt;0,OR(AUTOEVENTO&lt;&gt;"manual",$M109&lt;&gt;$A$15)),
        IF(Import.TipoArredondamento&lt;&gt;"TransfereGOV",
              ROUND(OFFSET($P109,0,AI$13),15-13*ORÇAMENTO!$AF$7)/$H109*OFFSET(ORÇAMENTO!$X$15,ROW(AI109)-ROW(AI$15),0),
              ROUND(ROUND(OFFSET($P109,0,AI$13),15-13*ORÇAMENTO!$AF$7)*OFFSET(ORÇAMENTO!$W$15,ROW(AI109)-ROW(AI$15),0),15-13*ORÇAMENTO!$AF$11)),
         0)</f>
        <v>0</v>
      </c>
      <c r="AJ109" s="454">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4">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M109" s="172">
        <f ca="1">IF(OR($D109&lt;&gt;"Serviço",AND(AUTOEVENTO="Manual",$M109=$A$15)),0,
         IF(OFFSET(CRONOPLE!$F$15,$M109-$A$15,AM$13)=0,10^12,OFFSET(CRONOPLE!$F$15,$M109-$A$15,AM$13)))</f>
        <v>0</v>
      </c>
      <c r="AN109" s="172">
        <f ca="1">IF(OR($D109&lt;&gt;"Serviço",AND(AUTOEVENTO="Manual",$M109=$A$15)),0,
         IF(OFFSET(CRONOPLE!$F$15,$M109-$A$15,AN$13)=0,10^12,OFFSET(CRONOPLE!$F$15,$M109-$A$15,AN$13)))</f>
        <v>0</v>
      </c>
      <c r="AO109" s="172">
        <f ca="1">IF(OR($D109&lt;&gt;"Serviço",AND(AUTOEVENTO="Manual",$M109=$A$15)),0,
         IF(OFFSET(CRONOPLE!$F$15,$M109-$A$15,AO$13)=0,10^12,OFFSET(CRONOPLE!$F$15,$M109-$A$15,AO$13)))</f>
        <v>0</v>
      </c>
      <c r="AP109" s="172">
        <f ca="1">IF(OR($D109&lt;&gt;"Serviço",AND(AUTOEVENTO="Manual",$M109=$A$15)),0,
         IF(OFFSET(CRONOPLE!$F$15,$M109-$A$15,AP$13)=0,10^12,OFFSET(CRONOPLE!$F$15,$M109-$A$15,AP$13)))</f>
        <v>0</v>
      </c>
      <c r="AQ109" s="172">
        <f ca="1">IF(OR($D109&lt;&gt;"Serviço",AND(AUTOEVENTO="Manual",$M109=$A$15)),0,
         IF(OFFSET(CRONOPLE!$F$15,$M109-$A$15,AQ$13)=0,10^12,OFFSET(CRONOPLE!$F$15,$M109-$A$15,AQ$13)))</f>
        <v>0</v>
      </c>
      <c r="AR109" s="172">
        <f ca="1">IF(OR($D109&lt;&gt;"Serviço",AND(AUTOEVENTO="Manual",$M109=$A$15)),0,
         IF(OFFSET(CRONOPLE!$F$15,$M109-$A$15,AR$13)=0,10^12,OFFSET(CRONOPLE!$F$15,$M109-$A$15,AR$13)))</f>
        <v>0</v>
      </c>
      <c r="AS109" s="172">
        <f ca="1">IF(OR($D109&lt;&gt;"Serviço",AND(AUTOEVENTO="Manual",$M109=$A$15)),0,
         IF(OFFSET(CRONOPLE!$F$15,$M109-$A$15,AS$13)=0,10^12,OFFSET(CRONOPLE!$F$15,$M109-$A$15,AS$13)))</f>
        <v>0</v>
      </c>
      <c r="AT109" s="172">
        <f ca="1">IF(OR($D109&lt;&gt;"Serviço",AND(AUTOEVENTO="Manual",$M109=$A$15)),0,
         IF(OFFSET(CRONOPLE!$F$15,$M109-$A$15,AT$13)=0,10^12,OFFSET(CRONOPLE!$F$15,$M109-$A$15,AT$13)))</f>
        <v>0</v>
      </c>
      <c r="AU109" s="172">
        <f ca="1">IF(OR($D109&lt;&gt;"Serviço",AND(AUTOEVENTO="Manual",$M109=$A$15)),0,
         IF(OFFSET(CRONOPLE!$F$15,$M109-$A$15,AU$13)=0,10^12,OFFSET(CRONOPLE!$F$15,$M109-$A$15,AU$13)))</f>
        <v>0</v>
      </c>
      <c r="AV109" s="172">
        <f ca="1">IF(OR($D109&lt;&gt;"Serviço",AND(AUTOEVENTO="Manual",$M109=$A$15)),0,
         IF(OFFSET(CRONOPLE!$F$15,$M109-$A$15,AV$13)=0,10^12,OFFSET(CRONOPLE!$F$15,$M109-$A$15,AV$13)))</f>
        <v>0</v>
      </c>
      <c r="AX109" s="173">
        <f ca="1">IF(OR($D109&lt;&gt;"Serviço",AND(AUTOEVENTO="Manual",$M109=$A$15),$M109&gt;(ROW(PLE.lastrow)-ROW(PLE.firstrow))),0,
           IF(OFFSET(PLE!$G$15,$M109-$A$15,AX$13)="",10^12,OFFSET(PLE!$G$15,$M109-$A$15,AX$13)))</f>
        <v>0</v>
      </c>
      <c r="AY109" s="173">
        <f ca="1">IF(OR($D109&lt;&gt;"Serviço",AND(AUTOEVENTO="Manual",$M109=$A$15),$M109&gt;(ROW(PLE.lastrow)-ROW(PLE.firstrow))),0,
           IF(OFFSET(PLE!$G$15,$M109-$A$15,AY$13)="",10^12,OFFSET(PLE!$G$15,$M109-$A$15,AY$13)))</f>
        <v>0</v>
      </c>
      <c r="AZ109" s="173">
        <f ca="1">IF(OR($D109&lt;&gt;"Serviço",AND(AUTOEVENTO="Manual",$M109=$A$15),$M109&gt;(ROW(PLE.lastrow)-ROW(PLE.firstrow))),0,
           IF(OFFSET(PLE!$G$15,$M109-$A$15,AZ$13)="",10^12,OFFSET(PLE!$G$15,$M109-$A$15,AZ$13)))</f>
        <v>0</v>
      </c>
      <c r="BA109" s="173">
        <f ca="1">IF(OR($D109&lt;&gt;"Serviço",AND(AUTOEVENTO="Manual",$M109=$A$15),$M109&gt;(ROW(PLE.lastrow)-ROW(PLE.firstrow))),0,
           IF(OFFSET(PLE!$G$15,$M109-$A$15,BA$13)="",10^12,OFFSET(PLE!$G$15,$M109-$A$15,BA$13)))</f>
        <v>0</v>
      </c>
      <c r="BB109" s="173">
        <f ca="1">IF(OR($D109&lt;&gt;"Serviço",AND(AUTOEVENTO="Manual",$M109=$A$15),$M109&gt;(ROW(PLE.lastrow)-ROW(PLE.firstrow))),0,
           IF(OFFSET(PLE!$G$15,$M109-$A$15,BB$13)="",10^12,OFFSET(PLE!$G$15,$M109-$A$15,BB$13)))</f>
        <v>0</v>
      </c>
      <c r="BC109" s="173">
        <f ca="1">IF(OR($D109&lt;&gt;"Serviço",AND(AUTOEVENTO="Manual",$M109=$A$15),$M109&gt;(ROW(PLE.lastrow)-ROW(PLE.firstrow))),0,
           IF(OFFSET(PLE!$G$15,$M109-$A$15,BC$13)="",10^12,OFFSET(PLE!$G$15,$M109-$A$15,BC$13)))</f>
        <v>0</v>
      </c>
      <c r="BD109" s="173">
        <f ca="1">IF(OR($D109&lt;&gt;"Serviço",AND(AUTOEVENTO="Manual",$M109=$A$15),$M109&gt;(ROW(PLE.lastrow)-ROW(PLE.firstrow))),0,
           IF(OFFSET(PLE!$G$15,$M109-$A$15,BD$13)="",10^12,OFFSET(PLE!$G$15,$M109-$A$15,BD$13)))</f>
        <v>0</v>
      </c>
      <c r="BE109" s="173">
        <f ca="1">IF(OR($D109&lt;&gt;"Serviço",AND(AUTOEVENTO="Manual",$M109=$A$15),$M109&gt;(ROW(PLE.lastrow)-ROW(PLE.firstrow))),0,
           IF(OFFSET(PLE!$G$15,$M109-$A$15,BE$13)="",10^12,OFFSET(PLE!$G$15,$M109-$A$15,BE$13)))</f>
        <v>0</v>
      </c>
      <c r="BF109" s="173">
        <f ca="1">IF(OR($D109&lt;&gt;"Serviço",AND(AUTOEVENTO="Manual",$M109=$A$15),$M109&gt;(ROW(PLE.lastrow)-ROW(PLE.firstrow))),0,
           IF(OFFSET(PLE!$G$15,$M109-$A$15,BF$13)="",10^12,OFFSET(PLE!$G$15,$M109-$A$15,BF$13)))</f>
        <v>0</v>
      </c>
      <c r="BG109" s="173">
        <f ca="1">IF(OR($D109&lt;&gt;"Serviço",AND(AUTOEVENTO="Manual",$M109=$A$15),$M109&gt;(ROW(PLE.lastrow)-ROW(PLE.firstrow))),0,
           IF(OFFSET(PLE!$G$15,$M109-$A$15,BG$13)="",10^12,OFFSET(PLE!$G$15,$M109-$A$15,BG$13)))</f>
        <v>0</v>
      </c>
    </row>
    <row r="110" spans="1:59" s="675" customFormat="1" ht="12.75" x14ac:dyDescent="0.2">
      <c r="A110" s="671" t="str">
        <f t="shared" ca="1" si="10"/>
        <v>95.</v>
      </c>
      <c r="B110" s="671">
        <f ca="1">OFFSET(ORÇAMENTO!C$15,ROW(B110)-ROW(B$15),0)</f>
        <v>2</v>
      </c>
      <c r="C110" s="671" t="str">
        <f ca="1">OFFSET(ORÇAMENTO!L$15,ROW(C110)-ROW(C$15),0)</f>
        <v>F</v>
      </c>
      <c r="D110" s="117" t="str">
        <f ca="1">OFFSET(ORÇAMENTO!N$15,ROW(D110)-ROW(D$15),0)</f>
        <v>Nível 2</v>
      </c>
      <c r="E110" s="118" t="str">
        <f ca="1">OFFSET(ORÇAMENTO!O$15,ROW(E110)-ROW(E$15),0)</f>
        <v>1.14.</v>
      </c>
      <c r="F110" s="164" t="str">
        <f ca="1">OFFSET(ORÇAMENTO!R$15,ROW(F110)-ROW(F$15),0)</f>
        <v>MOVIMENTO DE TERRA</v>
      </c>
      <c r="G110" s="165" t="str">
        <f ca="1">IF($D110&lt;&gt;"Serviço","",OFFSET(ORÇAMENTO!S$15,ROW(G110)-ROW(G$15),0))</f>
        <v/>
      </c>
      <c r="H110" s="123">
        <f ca="1">IF($D110&lt;&gt;"Serviço",0,IF(ACOMPANHAMENTO="BM",ROUND(OFFSET(ORÇAMENTO!AJ$15,ROW(H110)-ROW(H$15),0),15-13*ORÇAMENTO!$AF$7),SUMPRODUCT(($Q$1:$AA$1=1)*ROUND($Q110:$AA110,15-13*ORÇAMENTO!$AF$7))))</f>
        <v>0</v>
      </c>
      <c r="I110" s="469"/>
      <c r="J110" s="667" t="str">
        <f ca="1">IF(OR(B110&lt;&gt;"S",CÁLCULO.FrentesPreenchidas=0),"",IF(AND(ACOMPANHAMENTO="PLE",AUTOEVENTO="Manual",OR(H110&gt;0,ORÇAMENTO!AC110="QUANT."),OR(K110="",M110=0,N110="")),"►",IF(AND(ACOMPANHAMENTO="PLE",ORÇAMENTO!AC110="QUANT."),"►►",IF(AND(COUNTIF($P$11:$AA$11,"▼")=0,H110&gt;0,I110=""),"◄",""))))</f>
        <v/>
      </c>
      <c r="K110" s="668"/>
      <c r="L110" s="166" t="s">
        <v>765</v>
      </c>
      <c r="M110" s="167" t="str">
        <f ca="1">IF($D110&lt;&gt;"Serviço","",
          IF(AUTOEVENTO="manual",$A110,
                IF(ISERROR(MATCH($A110,$A$15:OFFSET($A110,-1,0),0)),MAX($M$15:OFFSET(M110,-1,0))+1,
                      INDEX($M$15:OFFSET(M110,-1,0),MATCH($A110,$A$15:OFFSET($A110,-1,0),0)))))</f>
        <v/>
      </c>
      <c r="N110" s="168" t="str">
        <f ca="1">IF($D110&lt;&gt;"Serviço","",
         IF(AUTOEVENTO="Manual",
                IF($A110=0,"&lt;-- defina o número do agrupador",
                       OFFSET(EVENTOS!$D$15,$A110-$A$15,0)),
                OFFSET($F$15,$A110,0)))</f>
        <v/>
      </c>
      <c r="O110" s="169"/>
      <c r="Q110" s="169"/>
      <c r="R110" s="170"/>
      <c r="S110" s="170"/>
      <c r="T110" s="170"/>
      <c r="U110" s="170"/>
      <c r="V110" s="170"/>
      <c r="W110" s="170"/>
      <c r="X110" s="170"/>
      <c r="Y110" s="170"/>
      <c r="Z110" s="171"/>
      <c r="AB110" s="454">
        <f ca="1">IF(AND($D110="Serviço",AB$12&lt;&gt;0,$H110&gt;0,OR(AUTOEVENTO&lt;&gt;"manual",$M110&lt;&gt;$A$15)),
        IF(Import.TipoArredondamento&lt;&gt;"TransfereGOV",
              ROUND(OFFSET($P110,0,AB$13),15-13*ORÇAMENTO!$AF$7)/$H110*OFFSET(ORÇAMENTO!$X$15,ROW(AB110)-ROW(AB$15),0),
              ROUND(ROUND(OFFSET($P110,0,AB$13),15-13*ORÇAMENTO!$AF$7)*OFFSET(ORÇAMENTO!$W$15,ROW(AB110)-ROW(AB$15),0),15-13*ORÇAMENTO!$AF$11)),
         0)</f>
        <v>0</v>
      </c>
      <c r="AC110" s="454">
        <f ca="1">IF(AND($D110="Serviço",AC$12&lt;&gt;0,$H110&gt;0,OR(AUTOEVENTO&lt;&gt;"manual",$M110&lt;&gt;$A$15)),
        IF(Import.TipoArredondamento&lt;&gt;"TransfereGOV",
              ROUND(OFFSET($P110,0,AC$13),15-13*ORÇAMENTO!$AF$7)/$H110*OFFSET(ORÇAMENTO!$X$15,ROW(AC110)-ROW(AC$15),0),
              ROUND(ROUND(OFFSET($P110,0,AC$13),15-13*ORÇAMENTO!$AF$7)*OFFSET(ORÇAMENTO!$W$15,ROW(AC110)-ROW(AC$15),0),15-13*ORÇAMENTO!$AF$11)),
         0)</f>
        <v>0</v>
      </c>
      <c r="AD110" s="454">
        <f ca="1">IF(AND($D110="Serviço",AD$12&lt;&gt;0,$H110&gt;0,OR(AUTOEVENTO&lt;&gt;"manual",$M110&lt;&gt;$A$15)),
        IF(Import.TipoArredondamento&lt;&gt;"TransfereGOV",
              ROUND(OFFSET($P110,0,AD$13),15-13*ORÇAMENTO!$AF$7)/$H110*OFFSET(ORÇAMENTO!$X$15,ROW(AD110)-ROW(AD$15),0),
              ROUND(ROUND(OFFSET($P110,0,AD$13),15-13*ORÇAMENTO!$AF$7)*OFFSET(ORÇAMENTO!$W$15,ROW(AD110)-ROW(AD$15),0),15-13*ORÇAMENTO!$AF$11)),
         0)</f>
        <v>0</v>
      </c>
      <c r="AE110" s="454">
        <f ca="1">IF(AND($D110="Serviço",AE$12&lt;&gt;0,$H110&gt;0,OR(AUTOEVENTO&lt;&gt;"manual",$M110&lt;&gt;$A$15)),
        IF(Import.TipoArredondamento&lt;&gt;"TransfereGOV",
              ROUND(OFFSET($P110,0,AE$13),15-13*ORÇAMENTO!$AF$7)/$H110*OFFSET(ORÇAMENTO!$X$15,ROW(AE110)-ROW(AE$15),0),
              ROUND(ROUND(OFFSET($P110,0,AE$13),15-13*ORÇAMENTO!$AF$7)*OFFSET(ORÇAMENTO!$W$15,ROW(AE110)-ROW(AE$15),0),15-13*ORÇAMENTO!$AF$11)),
         0)</f>
        <v>0</v>
      </c>
      <c r="AF110" s="454">
        <f ca="1">IF(AND($D110="Serviço",AF$12&lt;&gt;0,$H110&gt;0,OR(AUTOEVENTO&lt;&gt;"manual",$M110&lt;&gt;$A$15)),
        IF(Import.TipoArredondamento&lt;&gt;"TransfereGOV",
              ROUND(OFFSET($P110,0,AF$13),15-13*ORÇAMENTO!$AF$7)/$H110*OFFSET(ORÇAMENTO!$X$15,ROW(AF110)-ROW(AF$15),0),
              ROUND(ROUND(OFFSET($P110,0,AF$13),15-13*ORÇAMENTO!$AF$7)*OFFSET(ORÇAMENTO!$W$15,ROW(AF110)-ROW(AF$15),0),15-13*ORÇAMENTO!$AF$11)),
         0)</f>
        <v>0</v>
      </c>
      <c r="AG110" s="454">
        <f ca="1">IF(AND($D110="Serviço",AG$12&lt;&gt;0,$H110&gt;0,OR(AUTOEVENTO&lt;&gt;"manual",$M110&lt;&gt;$A$15)),
        IF(Import.TipoArredondamento&lt;&gt;"TransfereGOV",
              ROUND(OFFSET($P110,0,AG$13),15-13*ORÇAMENTO!$AF$7)/$H110*OFFSET(ORÇAMENTO!$X$15,ROW(AG110)-ROW(AG$15),0),
              ROUND(ROUND(OFFSET($P110,0,AG$13),15-13*ORÇAMENTO!$AF$7)*OFFSET(ORÇAMENTO!$W$15,ROW(AG110)-ROW(AG$15),0),15-13*ORÇAMENTO!$AF$11)),
         0)</f>
        <v>0</v>
      </c>
      <c r="AH110" s="454">
        <f ca="1">IF(AND($D110="Serviço",AH$12&lt;&gt;0,$H110&gt;0,OR(AUTOEVENTO&lt;&gt;"manual",$M110&lt;&gt;$A$15)),
        IF(Import.TipoArredondamento&lt;&gt;"TransfereGOV",
              ROUND(OFFSET($P110,0,AH$13),15-13*ORÇAMENTO!$AF$7)/$H110*OFFSET(ORÇAMENTO!$X$15,ROW(AH110)-ROW(AH$15),0),
              ROUND(ROUND(OFFSET($P110,0,AH$13),15-13*ORÇAMENTO!$AF$7)*OFFSET(ORÇAMENTO!$W$15,ROW(AH110)-ROW(AH$15),0),15-13*ORÇAMENTO!$AF$11)),
         0)</f>
        <v>0</v>
      </c>
      <c r="AI110" s="454">
        <f ca="1">IF(AND($D110="Serviço",AI$12&lt;&gt;0,$H110&gt;0,OR(AUTOEVENTO&lt;&gt;"manual",$M110&lt;&gt;$A$15)),
        IF(Import.TipoArredondamento&lt;&gt;"TransfereGOV",
              ROUND(OFFSET($P110,0,AI$13),15-13*ORÇAMENTO!$AF$7)/$H110*OFFSET(ORÇAMENTO!$X$15,ROW(AI110)-ROW(AI$15),0),
              ROUND(ROUND(OFFSET($P110,0,AI$13),15-13*ORÇAMENTO!$AF$7)*OFFSET(ORÇAMENTO!$W$15,ROW(AI110)-ROW(AI$15),0),15-13*ORÇAMENTO!$AF$11)),
         0)</f>
        <v>0</v>
      </c>
      <c r="AJ110" s="454">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4">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M110" s="172">
        <f ca="1">IF(OR($D110&lt;&gt;"Serviço",AND(AUTOEVENTO="Manual",$M110=$A$15)),0,
         IF(OFFSET(CRONOPLE!$F$15,$M110-$A$15,AM$13)=0,10^12,OFFSET(CRONOPLE!$F$15,$M110-$A$15,AM$13)))</f>
        <v>0</v>
      </c>
      <c r="AN110" s="172">
        <f ca="1">IF(OR($D110&lt;&gt;"Serviço",AND(AUTOEVENTO="Manual",$M110=$A$15)),0,
         IF(OFFSET(CRONOPLE!$F$15,$M110-$A$15,AN$13)=0,10^12,OFFSET(CRONOPLE!$F$15,$M110-$A$15,AN$13)))</f>
        <v>0</v>
      </c>
      <c r="AO110" s="172">
        <f ca="1">IF(OR($D110&lt;&gt;"Serviço",AND(AUTOEVENTO="Manual",$M110=$A$15)),0,
         IF(OFFSET(CRONOPLE!$F$15,$M110-$A$15,AO$13)=0,10^12,OFFSET(CRONOPLE!$F$15,$M110-$A$15,AO$13)))</f>
        <v>0</v>
      </c>
      <c r="AP110" s="172">
        <f ca="1">IF(OR($D110&lt;&gt;"Serviço",AND(AUTOEVENTO="Manual",$M110=$A$15)),0,
         IF(OFFSET(CRONOPLE!$F$15,$M110-$A$15,AP$13)=0,10^12,OFFSET(CRONOPLE!$F$15,$M110-$A$15,AP$13)))</f>
        <v>0</v>
      </c>
      <c r="AQ110" s="172">
        <f ca="1">IF(OR($D110&lt;&gt;"Serviço",AND(AUTOEVENTO="Manual",$M110=$A$15)),0,
         IF(OFFSET(CRONOPLE!$F$15,$M110-$A$15,AQ$13)=0,10^12,OFFSET(CRONOPLE!$F$15,$M110-$A$15,AQ$13)))</f>
        <v>0</v>
      </c>
      <c r="AR110" s="172">
        <f ca="1">IF(OR($D110&lt;&gt;"Serviço",AND(AUTOEVENTO="Manual",$M110=$A$15)),0,
         IF(OFFSET(CRONOPLE!$F$15,$M110-$A$15,AR$13)=0,10^12,OFFSET(CRONOPLE!$F$15,$M110-$A$15,AR$13)))</f>
        <v>0</v>
      </c>
      <c r="AS110" s="172">
        <f ca="1">IF(OR($D110&lt;&gt;"Serviço",AND(AUTOEVENTO="Manual",$M110=$A$15)),0,
         IF(OFFSET(CRONOPLE!$F$15,$M110-$A$15,AS$13)=0,10^12,OFFSET(CRONOPLE!$F$15,$M110-$A$15,AS$13)))</f>
        <v>0</v>
      </c>
      <c r="AT110" s="172">
        <f ca="1">IF(OR($D110&lt;&gt;"Serviço",AND(AUTOEVENTO="Manual",$M110=$A$15)),0,
         IF(OFFSET(CRONOPLE!$F$15,$M110-$A$15,AT$13)=0,10^12,OFFSET(CRONOPLE!$F$15,$M110-$A$15,AT$13)))</f>
        <v>0</v>
      </c>
      <c r="AU110" s="172">
        <f ca="1">IF(OR($D110&lt;&gt;"Serviço",AND(AUTOEVENTO="Manual",$M110=$A$15)),0,
         IF(OFFSET(CRONOPLE!$F$15,$M110-$A$15,AU$13)=0,10^12,OFFSET(CRONOPLE!$F$15,$M110-$A$15,AU$13)))</f>
        <v>0</v>
      </c>
      <c r="AV110" s="172">
        <f ca="1">IF(OR($D110&lt;&gt;"Serviço",AND(AUTOEVENTO="Manual",$M110=$A$15)),0,
         IF(OFFSET(CRONOPLE!$F$15,$M110-$A$15,AV$13)=0,10^12,OFFSET(CRONOPLE!$F$15,$M110-$A$15,AV$13)))</f>
        <v>0</v>
      </c>
      <c r="AX110" s="173">
        <f ca="1">IF(OR($D110&lt;&gt;"Serviço",AND(AUTOEVENTO="Manual",$M110=$A$15),$M110&gt;(ROW(PLE.lastrow)-ROW(PLE.firstrow))),0,
           IF(OFFSET(PLE!$G$15,$M110-$A$15,AX$13)="",10^12,OFFSET(PLE!$G$15,$M110-$A$15,AX$13)))</f>
        <v>0</v>
      </c>
      <c r="AY110" s="173">
        <f ca="1">IF(OR($D110&lt;&gt;"Serviço",AND(AUTOEVENTO="Manual",$M110=$A$15),$M110&gt;(ROW(PLE.lastrow)-ROW(PLE.firstrow))),0,
           IF(OFFSET(PLE!$G$15,$M110-$A$15,AY$13)="",10^12,OFFSET(PLE!$G$15,$M110-$A$15,AY$13)))</f>
        <v>0</v>
      </c>
      <c r="AZ110" s="173">
        <f ca="1">IF(OR($D110&lt;&gt;"Serviço",AND(AUTOEVENTO="Manual",$M110=$A$15),$M110&gt;(ROW(PLE.lastrow)-ROW(PLE.firstrow))),0,
           IF(OFFSET(PLE!$G$15,$M110-$A$15,AZ$13)="",10^12,OFFSET(PLE!$G$15,$M110-$A$15,AZ$13)))</f>
        <v>0</v>
      </c>
      <c r="BA110" s="173">
        <f ca="1">IF(OR($D110&lt;&gt;"Serviço",AND(AUTOEVENTO="Manual",$M110=$A$15),$M110&gt;(ROW(PLE.lastrow)-ROW(PLE.firstrow))),0,
           IF(OFFSET(PLE!$G$15,$M110-$A$15,BA$13)="",10^12,OFFSET(PLE!$G$15,$M110-$A$15,BA$13)))</f>
        <v>0</v>
      </c>
      <c r="BB110" s="173">
        <f ca="1">IF(OR($D110&lt;&gt;"Serviço",AND(AUTOEVENTO="Manual",$M110=$A$15),$M110&gt;(ROW(PLE.lastrow)-ROW(PLE.firstrow))),0,
           IF(OFFSET(PLE!$G$15,$M110-$A$15,BB$13)="",10^12,OFFSET(PLE!$G$15,$M110-$A$15,BB$13)))</f>
        <v>0</v>
      </c>
      <c r="BC110" s="173">
        <f ca="1">IF(OR($D110&lt;&gt;"Serviço",AND(AUTOEVENTO="Manual",$M110=$A$15),$M110&gt;(ROW(PLE.lastrow)-ROW(PLE.firstrow))),0,
           IF(OFFSET(PLE!$G$15,$M110-$A$15,BC$13)="",10^12,OFFSET(PLE!$G$15,$M110-$A$15,BC$13)))</f>
        <v>0</v>
      </c>
      <c r="BD110" s="173">
        <f ca="1">IF(OR($D110&lt;&gt;"Serviço",AND(AUTOEVENTO="Manual",$M110=$A$15),$M110&gt;(ROW(PLE.lastrow)-ROW(PLE.firstrow))),0,
           IF(OFFSET(PLE!$G$15,$M110-$A$15,BD$13)="",10^12,OFFSET(PLE!$G$15,$M110-$A$15,BD$13)))</f>
        <v>0</v>
      </c>
      <c r="BE110" s="173">
        <f ca="1">IF(OR($D110&lt;&gt;"Serviço",AND(AUTOEVENTO="Manual",$M110=$A$15),$M110&gt;(ROW(PLE.lastrow)-ROW(PLE.firstrow))),0,
           IF(OFFSET(PLE!$G$15,$M110-$A$15,BE$13)="",10^12,OFFSET(PLE!$G$15,$M110-$A$15,BE$13)))</f>
        <v>0</v>
      </c>
      <c r="BF110" s="173">
        <f ca="1">IF(OR($D110&lt;&gt;"Serviço",AND(AUTOEVENTO="Manual",$M110=$A$15),$M110&gt;(ROW(PLE.lastrow)-ROW(PLE.firstrow))),0,
           IF(OFFSET(PLE!$G$15,$M110-$A$15,BF$13)="",10^12,OFFSET(PLE!$G$15,$M110-$A$15,BF$13)))</f>
        <v>0</v>
      </c>
      <c r="BG110" s="173">
        <f ca="1">IF(OR($D110&lt;&gt;"Serviço",AND(AUTOEVENTO="Manual",$M110=$A$15),$M110&gt;(ROW(PLE.lastrow)-ROW(PLE.firstrow))),0,
           IF(OFFSET(PLE!$G$15,$M110-$A$15,BG$13)="",10^12,OFFSET(PLE!$G$15,$M110-$A$15,BG$13)))</f>
        <v>0</v>
      </c>
    </row>
    <row r="111" spans="1:59" s="720" customFormat="1" ht="51" x14ac:dyDescent="0.2">
      <c r="A111" s="718" t="str">
        <f t="shared" ca="1" si="10"/>
        <v>95</v>
      </c>
      <c r="B111" s="718" t="str">
        <f ca="1">OFFSET(ORÇAMENTO!C$15,ROW(B111)-ROW(B$15),0)</f>
        <v>S</v>
      </c>
      <c r="C111" s="718" t="str">
        <f ca="1">OFFSET(ORÇAMENTO!L$15,ROW(C111)-ROW(C$15),0)</f>
        <v/>
      </c>
      <c r="D111" s="117" t="str">
        <f ca="1">OFFSET(ORÇAMENTO!N$15,ROW(D111)-ROW(D$15),0)</f>
        <v>Serviço</v>
      </c>
      <c r="E111" s="118" t="str">
        <f ca="1">OFFSET(ORÇAMENTO!O$15,ROW(E111)-ROW(E$15),0)</f>
        <v>-</v>
      </c>
      <c r="F111" s="164" t="str">
        <f ca="1">OFFSET(ORÇAMENTO!R$15,ROW(F111)-ROW(F$15),0)</f>
        <v>(abra o arquivo 'Referência 09-2025.xlsm)</v>
      </c>
      <c r="G111" s="165" t="str">
        <f ca="1">IF($D111&lt;&gt;"Serviço","",OFFSET(ORÇAMENTO!S$15,ROW(G111)-ROW(G$15),0))</f>
        <v>-</v>
      </c>
      <c r="H111" s="123">
        <f ca="1">IF($D111&lt;&gt;"Serviço",0,IF(ACOMPANHAMENTO="BM",ROUND(OFFSET(ORÇAMENTO!AJ$15,ROW(H111)-ROW(H$15),0),15-13*ORÇAMENTO!$AF$7),SUMPRODUCT(($Q$1:$AA$1=1)*ROUND($Q111:$AA111,15-13*ORÇAMENTO!$AF$7))))</f>
        <v>2</v>
      </c>
      <c r="I111" s="469" t="s">
        <v>1180</v>
      </c>
      <c r="J111" s="667" t="str">
        <f ca="1">IF(OR(B111&lt;&gt;"S",CÁLCULO.FrentesPreenchidas=0),"",IF(AND(ACOMPANHAMENTO="PLE",AUTOEVENTO="Manual",OR(H111&gt;0,ORÇAMENTO!AC111="QUANT."),OR(K111="",M111=0,N111="")),"►",IF(AND(ACOMPANHAMENTO="PLE",ORÇAMENTO!AC111="QUANT."),"►►",IF(AND(COUNTIF($P$11:$AA$11,"▼")=0,H111&gt;0,I111=""),"◄",""))))</f>
        <v/>
      </c>
      <c r="K111" s="668"/>
      <c r="L111" s="166" t="s">
        <v>765</v>
      </c>
      <c r="M111" s="167">
        <f ca="1">IF($D111&lt;&gt;"Serviço","",
          IF(AUTOEVENTO="manual",$A111,
                IF(ISERROR(MATCH($A111,$A$15:OFFSET($A111,-1,0),0)),MAX($M$15:OFFSET(M111,-1,0))+1,
                      INDEX($M$15:OFFSET(M111,-1,0),MATCH($A111,$A$15:OFFSET($A111,-1,0),0)))))</f>
        <v>11</v>
      </c>
      <c r="N111" s="168" t="str">
        <f ca="1">IF($D111&lt;&gt;"Serviço","",
         IF(AUTOEVENTO="Manual",
                IF($A111=0,"&lt;-- defina o número do agrupador",
                       OFFSET(EVENTOS!$D$15,$A111-$A$15,0)),
                OFFSET($F$15,$A111,0)))</f>
        <v>MOVIMENTO DE TERRA</v>
      </c>
      <c r="O111" s="169"/>
      <c r="Q111" s="169"/>
      <c r="R111" s="170"/>
      <c r="S111" s="170"/>
      <c r="T111" s="170"/>
      <c r="U111" s="170"/>
      <c r="V111" s="170"/>
      <c r="W111" s="170"/>
      <c r="X111" s="170"/>
      <c r="Y111" s="170"/>
      <c r="Z111" s="171"/>
      <c r="AB111" s="454">
        <f ca="1">IF(AND($D111="Serviço",AB$12&lt;&gt;0,$H111&gt;0,OR(AUTOEVENTO&lt;&gt;"manual",$M111&lt;&gt;$A$15)),
        IF(Import.TipoArredondamento&lt;&gt;"TransfereGOV",
              ROUND(OFFSET($P111,0,AB$13),15-13*ORÇAMENTO!$AF$7)/$H111*OFFSET(ORÇAMENTO!$X$15,ROW(AB111)-ROW(AB$15),0),
              ROUND(ROUND(OFFSET($P111,0,AB$13),15-13*ORÇAMENTO!$AF$7)*OFFSET(ORÇAMENTO!$W$15,ROW(AB111)-ROW(AB$15),0),15-13*ORÇAMENTO!$AF$11)),
         0)</f>
        <v>0</v>
      </c>
      <c r="AC111" s="454">
        <f ca="1">IF(AND($D111="Serviço",AC$12&lt;&gt;0,$H111&gt;0,OR(AUTOEVENTO&lt;&gt;"manual",$M111&lt;&gt;$A$15)),
        IF(Import.TipoArredondamento&lt;&gt;"TransfereGOV",
              ROUND(OFFSET($P111,0,AC$13),15-13*ORÇAMENTO!$AF$7)/$H111*OFFSET(ORÇAMENTO!$X$15,ROW(AC111)-ROW(AC$15),0),
              ROUND(ROUND(OFFSET($P111,0,AC$13),15-13*ORÇAMENTO!$AF$7)*OFFSET(ORÇAMENTO!$W$15,ROW(AC111)-ROW(AC$15),0),15-13*ORÇAMENTO!$AF$11)),
         0)</f>
        <v>0</v>
      </c>
      <c r="AD111" s="454">
        <f ca="1">IF(AND($D111="Serviço",AD$12&lt;&gt;0,$H111&gt;0,OR(AUTOEVENTO&lt;&gt;"manual",$M111&lt;&gt;$A$15)),
        IF(Import.TipoArredondamento&lt;&gt;"TransfereGOV",
              ROUND(OFFSET($P111,0,AD$13),15-13*ORÇAMENTO!$AF$7)/$H111*OFFSET(ORÇAMENTO!$X$15,ROW(AD111)-ROW(AD$15),0),
              ROUND(ROUND(OFFSET($P111,0,AD$13),15-13*ORÇAMENTO!$AF$7)*OFFSET(ORÇAMENTO!$W$15,ROW(AD111)-ROW(AD$15),0),15-13*ORÇAMENTO!$AF$11)),
         0)</f>
        <v>0</v>
      </c>
      <c r="AE111" s="454">
        <f ca="1">IF(AND($D111="Serviço",AE$12&lt;&gt;0,$H111&gt;0,OR(AUTOEVENTO&lt;&gt;"manual",$M111&lt;&gt;$A$15)),
        IF(Import.TipoArredondamento&lt;&gt;"TransfereGOV",
              ROUND(OFFSET($P111,0,AE$13),15-13*ORÇAMENTO!$AF$7)/$H111*OFFSET(ORÇAMENTO!$X$15,ROW(AE111)-ROW(AE$15),0),
              ROUND(ROUND(OFFSET($P111,0,AE$13),15-13*ORÇAMENTO!$AF$7)*OFFSET(ORÇAMENTO!$W$15,ROW(AE111)-ROW(AE$15),0),15-13*ORÇAMENTO!$AF$11)),
         0)</f>
        <v>0</v>
      </c>
      <c r="AF111" s="454">
        <f ca="1">IF(AND($D111="Serviço",AF$12&lt;&gt;0,$H111&gt;0,OR(AUTOEVENTO&lt;&gt;"manual",$M111&lt;&gt;$A$15)),
        IF(Import.TipoArredondamento&lt;&gt;"TransfereGOV",
              ROUND(OFFSET($P111,0,AF$13),15-13*ORÇAMENTO!$AF$7)/$H111*OFFSET(ORÇAMENTO!$X$15,ROW(AF111)-ROW(AF$15),0),
              ROUND(ROUND(OFFSET($P111,0,AF$13),15-13*ORÇAMENTO!$AF$7)*OFFSET(ORÇAMENTO!$W$15,ROW(AF111)-ROW(AF$15),0),15-13*ORÇAMENTO!$AF$11)),
         0)</f>
        <v>0</v>
      </c>
      <c r="AG111" s="454">
        <f ca="1">IF(AND($D111="Serviço",AG$12&lt;&gt;0,$H111&gt;0,OR(AUTOEVENTO&lt;&gt;"manual",$M111&lt;&gt;$A$15)),
        IF(Import.TipoArredondamento&lt;&gt;"TransfereGOV",
              ROUND(OFFSET($P111,0,AG$13),15-13*ORÇAMENTO!$AF$7)/$H111*OFFSET(ORÇAMENTO!$X$15,ROW(AG111)-ROW(AG$15),0),
              ROUND(ROUND(OFFSET($P111,0,AG$13),15-13*ORÇAMENTO!$AF$7)*OFFSET(ORÇAMENTO!$W$15,ROW(AG111)-ROW(AG$15),0),15-13*ORÇAMENTO!$AF$11)),
         0)</f>
        <v>0</v>
      </c>
      <c r="AH111" s="454">
        <f ca="1">IF(AND($D111="Serviço",AH$12&lt;&gt;0,$H111&gt;0,OR(AUTOEVENTO&lt;&gt;"manual",$M111&lt;&gt;$A$15)),
        IF(Import.TipoArredondamento&lt;&gt;"TransfereGOV",
              ROUND(OFFSET($P111,0,AH$13),15-13*ORÇAMENTO!$AF$7)/$H111*OFFSET(ORÇAMENTO!$X$15,ROW(AH111)-ROW(AH$15),0),
              ROUND(ROUND(OFFSET($P111,0,AH$13),15-13*ORÇAMENTO!$AF$7)*OFFSET(ORÇAMENTO!$W$15,ROW(AH111)-ROW(AH$15),0),15-13*ORÇAMENTO!$AF$11)),
         0)</f>
        <v>0</v>
      </c>
      <c r="AI111" s="454">
        <f ca="1">IF(AND($D111="Serviço",AI$12&lt;&gt;0,$H111&gt;0,OR(AUTOEVENTO&lt;&gt;"manual",$M111&lt;&gt;$A$15)),
        IF(Import.TipoArredondamento&lt;&gt;"TransfereGOV",
              ROUND(OFFSET($P111,0,AI$13),15-13*ORÇAMENTO!$AF$7)/$H111*OFFSET(ORÇAMENTO!$X$15,ROW(AI111)-ROW(AI$15),0),
              ROUND(ROUND(OFFSET($P111,0,AI$13),15-13*ORÇAMENTO!$AF$7)*OFFSET(ORÇAMENTO!$W$15,ROW(AI111)-ROW(AI$15),0),15-13*ORÇAMENTO!$AF$11)),
         0)</f>
        <v>0</v>
      </c>
      <c r="AJ111" s="454">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4">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M111" s="172">
        <f ca="1">IF(OR($D111&lt;&gt;"Serviço",AND(AUTOEVENTO="Manual",$M111=$A$15)),0,
         IF(OFFSET(CRONOPLE!$F$15,$M111-$A$15,AM$13)=0,10^12,OFFSET(CRONOPLE!$F$15,$M111-$A$15,AM$13)))</f>
        <v>1000000000000</v>
      </c>
      <c r="AN111" s="172">
        <f ca="1">IF(OR($D111&lt;&gt;"Serviço",AND(AUTOEVENTO="Manual",$M111=$A$15)),0,
         IF(OFFSET(CRONOPLE!$F$15,$M111-$A$15,AN$13)=0,10^12,OFFSET(CRONOPLE!$F$15,$M111-$A$15,AN$13)))</f>
        <v>1000000000000</v>
      </c>
      <c r="AO111" s="172">
        <f ca="1">IF(OR($D111&lt;&gt;"Serviço",AND(AUTOEVENTO="Manual",$M111=$A$15)),0,
         IF(OFFSET(CRONOPLE!$F$15,$M111-$A$15,AO$13)=0,10^12,OFFSET(CRONOPLE!$F$15,$M111-$A$15,AO$13)))</f>
        <v>1000000000000</v>
      </c>
      <c r="AP111" s="172">
        <f ca="1">IF(OR($D111&lt;&gt;"Serviço",AND(AUTOEVENTO="Manual",$M111=$A$15)),0,
         IF(OFFSET(CRONOPLE!$F$15,$M111-$A$15,AP$13)=0,10^12,OFFSET(CRONOPLE!$F$15,$M111-$A$15,AP$13)))</f>
        <v>1000000000000</v>
      </c>
      <c r="AQ111" s="172">
        <f ca="1">IF(OR($D111&lt;&gt;"Serviço",AND(AUTOEVENTO="Manual",$M111=$A$15)),0,
         IF(OFFSET(CRONOPLE!$F$15,$M111-$A$15,AQ$13)=0,10^12,OFFSET(CRONOPLE!$F$15,$M111-$A$15,AQ$13)))</f>
        <v>1000000000000</v>
      </c>
      <c r="AR111" s="172">
        <f ca="1">IF(OR($D111&lt;&gt;"Serviço",AND(AUTOEVENTO="Manual",$M111=$A$15)),0,
         IF(OFFSET(CRONOPLE!$F$15,$M111-$A$15,AR$13)=0,10^12,OFFSET(CRONOPLE!$F$15,$M111-$A$15,AR$13)))</f>
        <v>1000000000000</v>
      </c>
      <c r="AS111" s="172">
        <f ca="1">IF(OR($D111&lt;&gt;"Serviço",AND(AUTOEVENTO="Manual",$M111=$A$15)),0,
         IF(OFFSET(CRONOPLE!$F$15,$M111-$A$15,AS$13)=0,10^12,OFFSET(CRONOPLE!$F$15,$M111-$A$15,AS$13)))</f>
        <v>1000000000000</v>
      </c>
      <c r="AT111" s="172">
        <f ca="1">IF(OR($D111&lt;&gt;"Serviço",AND(AUTOEVENTO="Manual",$M111=$A$15)),0,
         IF(OFFSET(CRONOPLE!$F$15,$M111-$A$15,AT$13)=0,10^12,OFFSET(CRONOPLE!$F$15,$M111-$A$15,AT$13)))</f>
        <v>1000000000000</v>
      </c>
      <c r="AU111" s="172">
        <f ca="1">IF(OR($D111&lt;&gt;"Serviço",AND(AUTOEVENTO="Manual",$M111=$A$15)),0,
         IF(OFFSET(CRONOPLE!$F$15,$M111-$A$15,AU$13)=0,10^12,OFFSET(CRONOPLE!$F$15,$M111-$A$15,AU$13)))</f>
        <v>1000000000000</v>
      </c>
      <c r="AV111" s="172">
        <f ca="1">IF(OR($D111&lt;&gt;"Serviço",AND(AUTOEVENTO="Manual",$M111=$A$15)),0,
         IF(OFFSET(CRONOPLE!$F$15,$M111-$A$15,AV$13)=0,10^12,OFFSET(CRONOPLE!$F$15,$M111-$A$15,AV$13)))</f>
        <v>1000000000000</v>
      </c>
      <c r="AX111" s="173">
        <f ca="1">IF(OR($D111&lt;&gt;"Serviço",AND(AUTOEVENTO="Manual",$M111=$A$15),$M111&gt;(ROW(PLE.lastrow)-ROW(PLE.firstrow))),0,
           IF(OFFSET(PLE!$G$15,$M111-$A$15,AX$13)="",10^12,OFFSET(PLE!$G$15,$M111-$A$15,AX$13)))</f>
        <v>1000000000000</v>
      </c>
      <c r="AY111" s="173">
        <f ca="1">IF(OR($D111&lt;&gt;"Serviço",AND(AUTOEVENTO="Manual",$M111=$A$15),$M111&gt;(ROW(PLE.lastrow)-ROW(PLE.firstrow))),0,
           IF(OFFSET(PLE!$G$15,$M111-$A$15,AY$13)="",10^12,OFFSET(PLE!$G$15,$M111-$A$15,AY$13)))</f>
        <v>1000000000000</v>
      </c>
      <c r="AZ111" s="173">
        <f ca="1">IF(OR($D111&lt;&gt;"Serviço",AND(AUTOEVENTO="Manual",$M111=$A$15),$M111&gt;(ROW(PLE.lastrow)-ROW(PLE.firstrow))),0,
           IF(OFFSET(PLE!$G$15,$M111-$A$15,AZ$13)="",10^12,OFFSET(PLE!$G$15,$M111-$A$15,AZ$13)))</f>
        <v>1000000000000</v>
      </c>
      <c r="BA111" s="173">
        <f ca="1">IF(OR($D111&lt;&gt;"Serviço",AND(AUTOEVENTO="Manual",$M111=$A$15),$M111&gt;(ROW(PLE.lastrow)-ROW(PLE.firstrow))),0,
           IF(OFFSET(PLE!$G$15,$M111-$A$15,BA$13)="",10^12,OFFSET(PLE!$G$15,$M111-$A$15,BA$13)))</f>
        <v>1000000000000</v>
      </c>
      <c r="BB111" s="173">
        <f ca="1">IF(OR($D111&lt;&gt;"Serviço",AND(AUTOEVENTO="Manual",$M111=$A$15),$M111&gt;(ROW(PLE.lastrow)-ROW(PLE.firstrow))),0,
           IF(OFFSET(PLE!$G$15,$M111-$A$15,BB$13)="",10^12,OFFSET(PLE!$G$15,$M111-$A$15,BB$13)))</f>
        <v>1000000000000</v>
      </c>
      <c r="BC111" s="173">
        <f ca="1">IF(OR($D111&lt;&gt;"Serviço",AND(AUTOEVENTO="Manual",$M111=$A$15),$M111&gt;(ROW(PLE.lastrow)-ROW(PLE.firstrow))),0,
           IF(OFFSET(PLE!$G$15,$M111-$A$15,BC$13)="",10^12,OFFSET(PLE!$G$15,$M111-$A$15,BC$13)))</f>
        <v>1000000000000</v>
      </c>
      <c r="BD111" s="173">
        <f ca="1">IF(OR($D111&lt;&gt;"Serviço",AND(AUTOEVENTO="Manual",$M111=$A$15),$M111&gt;(ROW(PLE.lastrow)-ROW(PLE.firstrow))),0,
           IF(OFFSET(PLE!$G$15,$M111-$A$15,BD$13)="",10^12,OFFSET(PLE!$G$15,$M111-$A$15,BD$13)))</f>
        <v>1000000000000</v>
      </c>
      <c r="BE111" s="173">
        <f ca="1">IF(OR($D111&lt;&gt;"Serviço",AND(AUTOEVENTO="Manual",$M111=$A$15),$M111&gt;(ROW(PLE.lastrow)-ROW(PLE.firstrow))),0,
           IF(OFFSET(PLE!$G$15,$M111-$A$15,BE$13)="",10^12,OFFSET(PLE!$G$15,$M111-$A$15,BE$13)))</f>
        <v>1000000000000</v>
      </c>
      <c r="BF111" s="173">
        <f ca="1">IF(OR($D111&lt;&gt;"Serviço",AND(AUTOEVENTO="Manual",$M111=$A$15),$M111&gt;(ROW(PLE.lastrow)-ROW(PLE.firstrow))),0,
           IF(OFFSET(PLE!$G$15,$M111-$A$15,BF$13)="",10^12,OFFSET(PLE!$G$15,$M111-$A$15,BF$13)))</f>
        <v>1000000000000</v>
      </c>
      <c r="BG111" s="173">
        <f ca="1">IF(OR($D111&lt;&gt;"Serviço",AND(AUTOEVENTO="Manual",$M111=$A$15),$M111&gt;(ROW(PLE.lastrow)-ROW(PLE.firstrow))),0,
           IF(OFFSET(PLE!$G$15,$M111-$A$15,BG$13)="",10^12,OFFSET(PLE!$G$15,$M111-$A$15,BG$13)))</f>
        <v>1000000000000</v>
      </c>
    </row>
    <row r="112" spans="1:59" s="720" customFormat="1" ht="51" x14ac:dyDescent="0.2">
      <c r="A112" s="718" t="str">
        <f t="shared" ca="1" si="10"/>
        <v>95</v>
      </c>
      <c r="B112" s="718" t="str">
        <f ca="1">OFFSET(ORÇAMENTO!C$15,ROW(B112)-ROW(B$15),0)</f>
        <v>S</v>
      </c>
      <c r="C112" s="718" t="str">
        <f ca="1">OFFSET(ORÇAMENTO!L$15,ROW(C112)-ROW(C$15),0)</f>
        <v/>
      </c>
      <c r="D112" s="117" t="str">
        <f ca="1">OFFSET(ORÇAMENTO!N$15,ROW(D112)-ROW(D$15),0)</f>
        <v>Serviço</v>
      </c>
      <c r="E112" s="118" t="str">
        <f ca="1">OFFSET(ORÇAMENTO!O$15,ROW(E112)-ROW(E$15),0)</f>
        <v>-</v>
      </c>
      <c r="F112" s="164" t="str">
        <f ca="1">OFFSET(ORÇAMENTO!R$15,ROW(F112)-ROW(F$15),0)</f>
        <v>(abra o arquivo 'Referência 09-2025.xlsm)</v>
      </c>
      <c r="G112" s="165" t="str">
        <f ca="1">IF($D112&lt;&gt;"Serviço","",OFFSET(ORÇAMENTO!S$15,ROW(G112)-ROW(G$15),0))</f>
        <v>-</v>
      </c>
      <c r="H112" s="123">
        <f ca="1">IF($D112&lt;&gt;"Serviço",0,IF(ACOMPANHAMENTO="BM",ROUND(OFFSET(ORÇAMENTO!AJ$15,ROW(H112)-ROW(H$15),0),15-13*ORÇAMENTO!$AF$7),SUMPRODUCT(($Q$1:$AA$1=1)*ROUND($Q112:$AA112,15-13*ORÇAMENTO!$AF$7))))</f>
        <v>70</v>
      </c>
      <c r="I112" s="469" t="s">
        <v>1179</v>
      </c>
      <c r="J112" s="667" t="str">
        <f ca="1">IF(OR(B112&lt;&gt;"S",CÁLCULO.FrentesPreenchidas=0),"",IF(AND(ACOMPANHAMENTO="PLE",AUTOEVENTO="Manual",OR(H112&gt;0,ORÇAMENTO!AC112="QUANT."),OR(K112="",M112=0,N112="")),"►",IF(AND(ACOMPANHAMENTO="PLE",ORÇAMENTO!AC112="QUANT."),"►►",IF(AND(COUNTIF($P$11:$AA$11,"▼")=0,H112&gt;0,I112=""),"◄",""))))</f>
        <v/>
      </c>
      <c r="K112" s="668"/>
      <c r="L112" s="166" t="s">
        <v>765</v>
      </c>
      <c r="M112" s="167">
        <f ca="1">IF($D112&lt;&gt;"Serviço","",
          IF(AUTOEVENTO="manual",$A112,
                IF(ISERROR(MATCH($A112,$A$15:OFFSET($A112,-1,0),0)),MAX($M$15:OFFSET(M112,-1,0))+1,
                      INDEX($M$15:OFFSET(M112,-1,0),MATCH($A112,$A$15:OFFSET($A112,-1,0),0)))))</f>
        <v>11</v>
      </c>
      <c r="N112" s="168" t="str">
        <f ca="1">IF($D112&lt;&gt;"Serviço","",
         IF(AUTOEVENTO="Manual",
                IF($A112=0,"&lt;-- defina o número do agrupador",
                       OFFSET(EVENTOS!$D$15,$A112-$A$15,0)),
                OFFSET($F$15,$A112,0)))</f>
        <v>MOVIMENTO DE TERRA</v>
      </c>
      <c r="O112" s="169"/>
      <c r="Q112" s="169"/>
      <c r="R112" s="170"/>
      <c r="S112" s="170"/>
      <c r="T112" s="170"/>
      <c r="U112" s="170"/>
      <c r="V112" s="170"/>
      <c r="W112" s="170"/>
      <c r="X112" s="170"/>
      <c r="Y112" s="170"/>
      <c r="Z112" s="171"/>
      <c r="AB112" s="454">
        <f ca="1">IF(AND($D112="Serviço",AB$12&lt;&gt;0,$H112&gt;0,OR(AUTOEVENTO&lt;&gt;"manual",$M112&lt;&gt;$A$15)),
        IF(Import.TipoArredondamento&lt;&gt;"TransfereGOV",
              ROUND(OFFSET($P112,0,AB$13),15-13*ORÇAMENTO!$AF$7)/$H112*OFFSET(ORÇAMENTO!$X$15,ROW(AB112)-ROW(AB$15),0),
              ROUND(ROUND(OFFSET($P112,0,AB$13),15-13*ORÇAMENTO!$AF$7)*OFFSET(ORÇAMENTO!$W$15,ROW(AB112)-ROW(AB$15),0),15-13*ORÇAMENTO!$AF$11)),
         0)</f>
        <v>0</v>
      </c>
      <c r="AC112" s="454">
        <f ca="1">IF(AND($D112="Serviço",AC$12&lt;&gt;0,$H112&gt;0,OR(AUTOEVENTO&lt;&gt;"manual",$M112&lt;&gt;$A$15)),
        IF(Import.TipoArredondamento&lt;&gt;"TransfereGOV",
              ROUND(OFFSET($P112,0,AC$13),15-13*ORÇAMENTO!$AF$7)/$H112*OFFSET(ORÇAMENTO!$X$15,ROW(AC112)-ROW(AC$15),0),
              ROUND(ROUND(OFFSET($P112,0,AC$13),15-13*ORÇAMENTO!$AF$7)*OFFSET(ORÇAMENTO!$W$15,ROW(AC112)-ROW(AC$15),0),15-13*ORÇAMENTO!$AF$11)),
         0)</f>
        <v>0</v>
      </c>
      <c r="AD112" s="454">
        <f ca="1">IF(AND($D112="Serviço",AD$12&lt;&gt;0,$H112&gt;0,OR(AUTOEVENTO&lt;&gt;"manual",$M112&lt;&gt;$A$15)),
        IF(Import.TipoArredondamento&lt;&gt;"TransfereGOV",
              ROUND(OFFSET($P112,0,AD$13),15-13*ORÇAMENTO!$AF$7)/$H112*OFFSET(ORÇAMENTO!$X$15,ROW(AD112)-ROW(AD$15),0),
              ROUND(ROUND(OFFSET($P112,0,AD$13),15-13*ORÇAMENTO!$AF$7)*OFFSET(ORÇAMENTO!$W$15,ROW(AD112)-ROW(AD$15),0),15-13*ORÇAMENTO!$AF$11)),
         0)</f>
        <v>0</v>
      </c>
      <c r="AE112" s="454">
        <f ca="1">IF(AND($D112="Serviço",AE$12&lt;&gt;0,$H112&gt;0,OR(AUTOEVENTO&lt;&gt;"manual",$M112&lt;&gt;$A$15)),
        IF(Import.TipoArredondamento&lt;&gt;"TransfereGOV",
              ROUND(OFFSET($P112,0,AE$13),15-13*ORÇAMENTO!$AF$7)/$H112*OFFSET(ORÇAMENTO!$X$15,ROW(AE112)-ROW(AE$15),0),
              ROUND(ROUND(OFFSET($P112,0,AE$13),15-13*ORÇAMENTO!$AF$7)*OFFSET(ORÇAMENTO!$W$15,ROW(AE112)-ROW(AE$15),0),15-13*ORÇAMENTO!$AF$11)),
         0)</f>
        <v>0</v>
      </c>
      <c r="AF112" s="454">
        <f ca="1">IF(AND($D112="Serviço",AF$12&lt;&gt;0,$H112&gt;0,OR(AUTOEVENTO&lt;&gt;"manual",$M112&lt;&gt;$A$15)),
        IF(Import.TipoArredondamento&lt;&gt;"TransfereGOV",
              ROUND(OFFSET($P112,0,AF$13),15-13*ORÇAMENTO!$AF$7)/$H112*OFFSET(ORÇAMENTO!$X$15,ROW(AF112)-ROW(AF$15),0),
              ROUND(ROUND(OFFSET($P112,0,AF$13),15-13*ORÇAMENTO!$AF$7)*OFFSET(ORÇAMENTO!$W$15,ROW(AF112)-ROW(AF$15),0),15-13*ORÇAMENTO!$AF$11)),
         0)</f>
        <v>0</v>
      </c>
      <c r="AG112" s="454">
        <f ca="1">IF(AND($D112="Serviço",AG$12&lt;&gt;0,$H112&gt;0,OR(AUTOEVENTO&lt;&gt;"manual",$M112&lt;&gt;$A$15)),
        IF(Import.TipoArredondamento&lt;&gt;"TransfereGOV",
              ROUND(OFFSET($P112,0,AG$13),15-13*ORÇAMENTO!$AF$7)/$H112*OFFSET(ORÇAMENTO!$X$15,ROW(AG112)-ROW(AG$15),0),
              ROUND(ROUND(OFFSET($P112,0,AG$13),15-13*ORÇAMENTO!$AF$7)*OFFSET(ORÇAMENTO!$W$15,ROW(AG112)-ROW(AG$15),0),15-13*ORÇAMENTO!$AF$11)),
         0)</f>
        <v>0</v>
      </c>
      <c r="AH112" s="454">
        <f ca="1">IF(AND($D112="Serviço",AH$12&lt;&gt;0,$H112&gt;0,OR(AUTOEVENTO&lt;&gt;"manual",$M112&lt;&gt;$A$15)),
        IF(Import.TipoArredondamento&lt;&gt;"TransfereGOV",
              ROUND(OFFSET($P112,0,AH$13),15-13*ORÇAMENTO!$AF$7)/$H112*OFFSET(ORÇAMENTO!$X$15,ROW(AH112)-ROW(AH$15),0),
              ROUND(ROUND(OFFSET($P112,0,AH$13),15-13*ORÇAMENTO!$AF$7)*OFFSET(ORÇAMENTO!$W$15,ROW(AH112)-ROW(AH$15),0),15-13*ORÇAMENTO!$AF$11)),
         0)</f>
        <v>0</v>
      </c>
      <c r="AI112" s="454">
        <f ca="1">IF(AND($D112="Serviço",AI$12&lt;&gt;0,$H112&gt;0,OR(AUTOEVENTO&lt;&gt;"manual",$M112&lt;&gt;$A$15)),
        IF(Import.TipoArredondamento&lt;&gt;"TransfereGOV",
              ROUND(OFFSET($P112,0,AI$13),15-13*ORÇAMENTO!$AF$7)/$H112*OFFSET(ORÇAMENTO!$X$15,ROW(AI112)-ROW(AI$15),0),
              ROUND(ROUND(OFFSET($P112,0,AI$13),15-13*ORÇAMENTO!$AF$7)*OFFSET(ORÇAMENTO!$W$15,ROW(AI112)-ROW(AI$15),0),15-13*ORÇAMENTO!$AF$11)),
         0)</f>
        <v>0</v>
      </c>
      <c r="AJ112" s="454">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4">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M112" s="172">
        <f ca="1">IF(OR($D112&lt;&gt;"Serviço",AND(AUTOEVENTO="Manual",$M112=$A$15)),0,
         IF(OFFSET(CRONOPLE!$F$15,$M112-$A$15,AM$13)=0,10^12,OFFSET(CRONOPLE!$F$15,$M112-$A$15,AM$13)))</f>
        <v>1000000000000</v>
      </c>
      <c r="AN112" s="172">
        <f ca="1">IF(OR($D112&lt;&gt;"Serviço",AND(AUTOEVENTO="Manual",$M112=$A$15)),0,
         IF(OFFSET(CRONOPLE!$F$15,$M112-$A$15,AN$13)=0,10^12,OFFSET(CRONOPLE!$F$15,$M112-$A$15,AN$13)))</f>
        <v>1000000000000</v>
      </c>
      <c r="AO112" s="172">
        <f ca="1">IF(OR($D112&lt;&gt;"Serviço",AND(AUTOEVENTO="Manual",$M112=$A$15)),0,
         IF(OFFSET(CRONOPLE!$F$15,$M112-$A$15,AO$13)=0,10^12,OFFSET(CRONOPLE!$F$15,$M112-$A$15,AO$13)))</f>
        <v>1000000000000</v>
      </c>
      <c r="AP112" s="172">
        <f ca="1">IF(OR($D112&lt;&gt;"Serviço",AND(AUTOEVENTO="Manual",$M112=$A$15)),0,
         IF(OFFSET(CRONOPLE!$F$15,$M112-$A$15,AP$13)=0,10^12,OFFSET(CRONOPLE!$F$15,$M112-$A$15,AP$13)))</f>
        <v>1000000000000</v>
      </c>
      <c r="AQ112" s="172">
        <f ca="1">IF(OR($D112&lt;&gt;"Serviço",AND(AUTOEVENTO="Manual",$M112=$A$15)),0,
         IF(OFFSET(CRONOPLE!$F$15,$M112-$A$15,AQ$13)=0,10^12,OFFSET(CRONOPLE!$F$15,$M112-$A$15,AQ$13)))</f>
        <v>1000000000000</v>
      </c>
      <c r="AR112" s="172">
        <f ca="1">IF(OR($D112&lt;&gt;"Serviço",AND(AUTOEVENTO="Manual",$M112=$A$15)),0,
         IF(OFFSET(CRONOPLE!$F$15,$M112-$A$15,AR$13)=0,10^12,OFFSET(CRONOPLE!$F$15,$M112-$A$15,AR$13)))</f>
        <v>1000000000000</v>
      </c>
      <c r="AS112" s="172">
        <f ca="1">IF(OR($D112&lt;&gt;"Serviço",AND(AUTOEVENTO="Manual",$M112=$A$15)),0,
         IF(OFFSET(CRONOPLE!$F$15,$M112-$A$15,AS$13)=0,10^12,OFFSET(CRONOPLE!$F$15,$M112-$A$15,AS$13)))</f>
        <v>1000000000000</v>
      </c>
      <c r="AT112" s="172">
        <f ca="1">IF(OR($D112&lt;&gt;"Serviço",AND(AUTOEVENTO="Manual",$M112=$A$15)),0,
         IF(OFFSET(CRONOPLE!$F$15,$M112-$A$15,AT$13)=0,10^12,OFFSET(CRONOPLE!$F$15,$M112-$A$15,AT$13)))</f>
        <v>1000000000000</v>
      </c>
      <c r="AU112" s="172">
        <f ca="1">IF(OR($D112&lt;&gt;"Serviço",AND(AUTOEVENTO="Manual",$M112=$A$15)),0,
         IF(OFFSET(CRONOPLE!$F$15,$M112-$A$15,AU$13)=0,10^12,OFFSET(CRONOPLE!$F$15,$M112-$A$15,AU$13)))</f>
        <v>1000000000000</v>
      </c>
      <c r="AV112" s="172">
        <f ca="1">IF(OR($D112&lt;&gt;"Serviço",AND(AUTOEVENTO="Manual",$M112=$A$15)),0,
         IF(OFFSET(CRONOPLE!$F$15,$M112-$A$15,AV$13)=0,10^12,OFFSET(CRONOPLE!$F$15,$M112-$A$15,AV$13)))</f>
        <v>1000000000000</v>
      </c>
      <c r="AX112" s="173">
        <f ca="1">IF(OR($D112&lt;&gt;"Serviço",AND(AUTOEVENTO="Manual",$M112=$A$15),$M112&gt;(ROW(PLE.lastrow)-ROW(PLE.firstrow))),0,
           IF(OFFSET(PLE!$G$15,$M112-$A$15,AX$13)="",10^12,OFFSET(PLE!$G$15,$M112-$A$15,AX$13)))</f>
        <v>1000000000000</v>
      </c>
      <c r="AY112" s="173">
        <f ca="1">IF(OR($D112&lt;&gt;"Serviço",AND(AUTOEVENTO="Manual",$M112=$A$15),$M112&gt;(ROW(PLE.lastrow)-ROW(PLE.firstrow))),0,
           IF(OFFSET(PLE!$G$15,$M112-$A$15,AY$13)="",10^12,OFFSET(PLE!$G$15,$M112-$A$15,AY$13)))</f>
        <v>1000000000000</v>
      </c>
      <c r="AZ112" s="173">
        <f ca="1">IF(OR($D112&lt;&gt;"Serviço",AND(AUTOEVENTO="Manual",$M112=$A$15),$M112&gt;(ROW(PLE.lastrow)-ROW(PLE.firstrow))),0,
           IF(OFFSET(PLE!$G$15,$M112-$A$15,AZ$13)="",10^12,OFFSET(PLE!$G$15,$M112-$A$15,AZ$13)))</f>
        <v>1000000000000</v>
      </c>
      <c r="BA112" s="173">
        <f ca="1">IF(OR($D112&lt;&gt;"Serviço",AND(AUTOEVENTO="Manual",$M112=$A$15),$M112&gt;(ROW(PLE.lastrow)-ROW(PLE.firstrow))),0,
           IF(OFFSET(PLE!$G$15,$M112-$A$15,BA$13)="",10^12,OFFSET(PLE!$G$15,$M112-$A$15,BA$13)))</f>
        <v>1000000000000</v>
      </c>
      <c r="BB112" s="173">
        <f ca="1">IF(OR($D112&lt;&gt;"Serviço",AND(AUTOEVENTO="Manual",$M112=$A$15),$M112&gt;(ROW(PLE.lastrow)-ROW(PLE.firstrow))),0,
           IF(OFFSET(PLE!$G$15,$M112-$A$15,BB$13)="",10^12,OFFSET(PLE!$G$15,$M112-$A$15,BB$13)))</f>
        <v>1000000000000</v>
      </c>
      <c r="BC112" s="173">
        <f ca="1">IF(OR($D112&lt;&gt;"Serviço",AND(AUTOEVENTO="Manual",$M112=$A$15),$M112&gt;(ROW(PLE.lastrow)-ROW(PLE.firstrow))),0,
           IF(OFFSET(PLE!$G$15,$M112-$A$15,BC$13)="",10^12,OFFSET(PLE!$G$15,$M112-$A$15,BC$13)))</f>
        <v>1000000000000</v>
      </c>
      <c r="BD112" s="173">
        <f ca="1">IF(OR($D112&lt;&gt;"Serviço",AND(AUTOEVENTO="Manual",$M112=$A$15),$M112&gt;(ROW(PLE.lastrow)-ROW(PLE.firstrow))),0,
           IF(OFFSET(PLE!$G$15,$M112-$A$15,BD$13)="",10^12,OFFSET(PLE!$G$15,$M112-$A$15,BD$13)))</f>
        <v>1000000000000</v>
      </c>
      <c r="BE112" s="173">
        <f ca="1">IF(OR($D112&lt;&gt;"Serviço",AND(AUTOEVENTO="Manual",$M112=$A$15),$M112&gt;(ROW(PLE.lastrow)-ROW(PLE.firstrow))),0,
           IF(OFFSET(PLE!$G$15,$M112-$A$15,BE$13)="",10^12,OFFSET(PLE!$G$15,$M112-$A$15,BE$13)))</f>
        <v>1000000000000</v>
      </c>
      <c r="BF112" s="173">
        <f ca="1">IF(OR($D112&lt;&gt;"Serviço",AND(AUTOEVENTO="Manual",$M112=$A$15),$M112&gt;(ROW(PLE.lastrow)-ROW(PLE.firstrow))),0,
           IF(OFFSET(PLE!$G$15,$M112-$A$15,BF$13)="",10^12,OFFSET(PLE!$G$15,$M112-$A$15,BF$13)))</f>
        <v>1000000000000</v>
      </c>
      <c r="BG112" s="173">
        <f ca="1">IF(OR($D112&lt;&gt;"Serviço",AND(AUTOEVENTO="Manual",$M112=$A$15),$M112&gt;(ROW(PLE.lastrow)-ROW(PLE.firstrow))),0,
           IF(OFFSET(PLE!$G$15,$M112-$A$15,BG$13)="",10^12,OFFSET(PLE!$G$15,$M112-$A$15,BG$13)))</f>
        <v>1000000000000</v>
      </c>
    </row>
    <row r="113" spans="1:59" s="675" customFormat="1" ht="25.5" x14ac:dyDescent="0.2">
      <c r="A113" s="671" t="str">
        <f t="shared" ca="1" si="10"/>
        <v>95</v>
      </c>
      <c r="B113" s="671" t="str">
        <f ca="1">OFFSET(ORÇAMENTO!C$15,ROW(B113)-ROW(B$15),0)</f>
        <v>S</v>
      </c>
      <c r="C113" s="671" t="str">
        <f ca="1">OFFSET(ORÇAMENTO!L$15,ROW(C113)-ROW(C$15),0)</f>
        <v/>
      </c>
      <c r="D113" s="117" t="str">
        <f ca="1">OFFSET(ORÇAMENTO!N$15,ROW(D113)-ROW(D$15),0)</f>
        <v>Serviço</v>
      </c>
      <c r="E113" s="118" t="str">
        <f ca="1">OFFSET(ORÇAMENTO!O$15,ROW(E113)-ROW(E$15),0)</f>
        <v>-</v>
      </c>
      <c r="F113" s="164" t="str">
        <f ca="1">OFFSET(ORÇAMENTO!R$15,ROW(F113)-ROW(F$15),0)</f>
        <v>(abra o arquivo 'Referência 09-2025.xlsm)</v>
      </c>
      <c r="G113" s="165" t="str">
        <f ca="1">IF($D113&lt;&gt;"Serviço","",OFFSET(ORÇAMENTO!S$15,ROW(G113)-ROW(G$15),0))</f>
        <v>-</v>
      </c>
      <c r="H113" s="123">
        <f ca="1">IF($D113&lt;&gt;"Serviço",0,IF(ACOMPANHAMENTO="BM",ROUND(OFFSET(ORÇAMENTO!AJ$15,ROW(H113)-ROW(H$15),0),15-13*ORÇAMENTO!$AF$7),SUMPRODUCT(($Q$1:$AA$1=1)*ROUND($Q113:$AA113,15-13*ORÇAMENTO!$AF$7))))</f>
        <v>2116.46</v>
      </c>
      <c r="I113" s="469" t="s">
        <v>1147</v>
      </c>
      <c r="J113" s="667" t="str">
        <f ca="1">IF(OR(B113&lt;&gt;"S",CÁLCULO.FrentesPreenchidas=0),"",IF(AND(ACOMPANHAMENTO="PLE",AUTOEVENTO="Manual",OR(H113&gt;0,ORÇAMENTO!AC113="QUANT."),OR(K113="",M113=0,N113="")),"►",IF(AND(ACOMPANHAMENTO="PLE",ORÇAMENTO!AC113="QUANT."),"►►",IF(AND(COUNTIF($P$11:$AA$11,"▼")=0,H113&gt;0,I113=""),"◄",""))))</f>
        <v/>
      </c>
      <c r="K113" s="668"/>
      <c r="L113" s="166" t="s">
        <v>765</v>
      </c>
      <c r="M113" s="167">
        <f ca="1">IF($D113&lt;&gt;"Serviço","",
          IF(AUTOEVENTO="manual",$A113,
                IF(ISERROR(MATCH($A113,$A$15:OFFSET($A113,-1,0),0)),MAX($M$15:OFFSET(M113,-1,0))+1,
                      INDEX($M$15:OFFSET(M113,-1,0),MATCH($A113,$A$15:OFFSET($A113,-1,0),0)))))</f>
        <v>11</v>
      </c>
      <c r="N113" s="168" t="str">
        <f ca="1">IF($D113&lt;&gt;"Serviço","",
         IF(AUTOEVENTO="Manual",
                IF($A113=0,"&lt;-- defina o número do agrupador",
                       OFFSET(EVENTOS!$D$15,$A113-$A$15,0)),
                OFFSET($F$15,$A113,0)))</f>
        <v>MOVIMENTO DE TERRA</v>
      </c>
      <c r="O113" s="169"/>
      <c r="Q113" s="169"/>
      <c r="R113" s="170"/>
      <c r="S113" s="170"/>
      <c r="T113" s="170"/>
      <c r="U113" s="170"/>
      <c r="V113" s="170"/>
      <c r="W113" s="170"/>
      <c r="X113" s="170"/>
      <c r="Y113" s="170"/>
      <c r="Z113" s="171"/>
      <c r="AB113" s="454">
        <f ca="1">IF(AND($D113="Serviço",AB$12&lt;&gt;0,$H113&gt;0,OR(AUTOEVENTO&lt;&gt;"manual",$M113&lt;&gt;$A$15)),
        IF(Import.TipoArredondamento&lt;&gt;"TransfereGOV",
              ROUND(OFFSET($P113,0,AB$13),15-13*ORÇAMENTO!$AF$7)/$H113*OFFSET(ORÇAMENTO!$X$15,ROW(AB113)-ROW(AB$15),0),
              ROUND(ROUND(OFFSET($P113,0,AB$13),15-13*ORÇAMENTO!$AF$7)*OFFSET(ORÇAMENTO!$W$15,ROW(AB113)-ROW(AB$15),0),15-13*ORÇAMENTO!$AF$11)),
         0)</f>
        <v>0</v>
      </c>
      <c r="AC113" s="454">
        <f ca="1">IF(AND($D113="Serviço",AC$12&lt;&gt;0,$H113&gt;0,OR(AUTOEVENTO&lt;&gt;"manual",$M113&lt;&gt;$A$15)),
        IF(Import.TipoArredondamento&lt;&gt;"TransfereGOV",
              ROUND(OFFSET($P113,0,AC$13),15-13*ORÇAMENTO!$AF$7)/$H113*OFFSET(ORÇAMENTO!$X$15,ROW(AC113)-ROW(AC$15),0),
              ROUND(ROUND(OFFSET($P113,0,AC$13),15-13*ORÇAMENTO!$AF$7)*OFFSET(ORÇAMENTO!$W$15,ROW(AC113)-ROW(AC$15),0),15-13*ORÇAMENTO!$AF$11)),
         0)</f>
        <v>0</v>
      </c>
      <c r="AD113" s="454">
        <f ca="1">IF(AND($D113="Serviço",AD$12&lt;&gt;0,$H113&gt;0,OR(AUTOEVENTO&lt;&gt;"manual",$M113&lt;&gt;$A$15)),
        IF(Import.TipoArredondamento&lt;&gt;"TransfereGOV",
              ROUND(OFFSET($P113,0,AD$13),15-13*ORÇAMENTO!$AF$7)/$H113*OFFSET(ORÇAMENTO!$X$15,ROW(AD113)-ROW(AD$15),0),
              ROUND(ROUND(OFFSET($P113,0,AD$13),15-13*ORÇAMENTO!$AF$7)*OFFSET(ORÇAMENTO!$W$15,ROW(AD113)-ROW(AD$15),0),15-13*ORÇAMENTO!$AF$11)),
         0)</f>
        <v>0</v>
      </c>
      <c r="AE113" s="454">
        <f ca="1">IF(AND($D113="Serviço",AE$12&lt;&gt;0,$H113&gt;0,OR(AUTOEVENTO&lt;&gt;"manual",$M113&lt;&gt;$A$15)),
        IF(Import.TipoArredondamento&lt;&gt;"TransfereGOV",
              ROUND(OFFSET($P113,0,AE$13),15-13*ORÇAMENTO!$AF$7)/$H113*OFFSET(ORÇAMENTO!$X$15,ROW(AE113)-ROW(AE$15),0),
              ROUND(ROUND(OFFSET($P113,0,AE$13),15-13*ORÇAMENTO!$AF$7)*OFFSET(ORÇAMENTO!$W$15,ROW(AE113)-ROW(AE$15),0),15-13*ORÇAMENTO!$AF$11)),
         0)</f>
        <v>0</v>
      </c>
      <c r="AF113" s="454">
        <f ca="1">IF(AND($D113="Serviço",AF$12&lt;&gt;0,$H113&gt;0,OR(AUTOEVENTO&lt;&gt;"manual",$M113&lt;&gt;$A$15)),
        IF(Import.TipoArredondamento&lt;&gt;"TransfereGOV",
              ROUND(OFFSET($P113,0,AF$13),15-13*ORÇAMENTO!$AF$7)/$H113*OFFSET(ORÇAMENTO!$X$15,ROW(AF113)-ROW(AF$15),0),
              ROUND(ROUND(OFFSET($P113,0,AF$13),15-13*ORÇAMENTO!$AF$7)*OFFSET(ORÇAMENTO!$W$15,ROW(AF113)-ROW(AF$15),0),15-13*ORÇAMENTO!$AF$11)),
         0)</f>
        <v>0</v>
      </c>
      <c r="AG113" s="454">
        <f ca="1">IF(AND($D113="Serviço",AG$12&lt;&gt;0,$H113&gt;0,OR(AUTOEVENTO&lt;&gt;"manual",$M113&lt;&gt;$A$15)),
        IF(Import.TipoArredondamento&lt;&gt;"TransfereGOV",
              ROUND(OFFSET($P113,0,AG$13),15-13*ORÇAMENTO!$AF$7)/$H113*OFFSET(ORÇAMENTO!$X$15,ROW(AG113)-ROW(AG$15),0),
              ROUND(ROUND(OFFSET($P113,0,AG$13),15-13*ORÇAMENTO!$AF$7)*OFFSET(ORÇAMENTO!$W$15,ROW(AG113)-ROW(AG$15),0),15-13*ORÇAMENTO!$AF$11)),
         0)</f>
        <v>0</v>
      </c>
      <c r="AH113" s="454">
        <f ca="1">IF(AND($D113="Serviço",AH$12&lt;&gt;0,$H113&gt;0,OR(AUTOEVENTO&lt;&gt;"manual",$M113&lt;&gt;$A$15)),
        IF(Import.TipoArredondamento&lt;&gt;"TransfereGOV",
              ROUND(OFFSET($P113,0,AH$13),15-13*ORÇAMENTO!$AF$7)/$H113*OFFSET(ORÇAMENTO!$X$15,ROW(AH113)-ROW(AH$15),0),
              ROUND(ROUND(OFFSET($P113,0,AH$13),15-13*ORÇAMENTO!$AF$7)*OFFSET(ORÇAMENTO!$W$15,ROW(AH113)-ROW(AH$15),0),15-13*ORÇAMENTO!$AF$11)),
         0)</f>
        <v>0</v>
      </c>
      <c r="AI113" s="454">
        <f ca="1">IF(AND($D113="Serviço",AI$12&lt;&gt;0,$H113&gt;0,OR(AUTOEVENTO&lt;&gt;"manual",$M113&lt;&gt;$A$15)),
        IF(Import.TipoArredondamento&lt;&gt;"TransfereGOV",
              ROUND(OFFSET($P113,0,AI$13),15-13*ORÇAMENTO!$AF$7)/$H113*OFFSET(ORÇAMENTO!$X$15,ROW(AI113)-ROW(AI$15),0),
              ROUND(ROUND(OFFSET($P113,0,AI$13),15-13*ORÇAMENTO!$AF$7)*OFFSET(ORÇAMENTO!$W$15,ROW(AI113)-ROW(AI$15),0),15-13*ORÇAMENTO!$AF$11)),
         0)</f>
        <v>0</v>
      </c>
      <c r="AJ113" s="454">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4">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M113" s="172">
        <f ca="1">IF(OR($D113&lt;&gt;"Serviço",AND(AUTOEVENTO="Manual",$M113=$A$15)),0,
         IF(OFFSET(CRONOPLE!$F$15,$M113-$A$15,AM$13)=0,10^12,OFFSET(CRONOPLE!$F$15,$M113-$A$15,AM$13)))</f>
        <v>1000000000000</v>
      </c>
      <c r="AN113" s="172">
        <f ca="1">IF(OR($D113&lt;&gt;"Serviço",AND(AUTOEVENTO="Manual",$M113=$A$15)),0,
         IF(OFFSET(CRONOPLE!$F$15,$M113-$A$15,AN$13)=0,10^12,OFFSET(CRONOPLE!$F$15,$M113-$A$15,AN$13)))</f>
        <v>1000000000000</v>
      </c>
      <c r="AO113" s="172">
        <f ca="1">IF(OR($D113&lt;&gt;"Serviço",AND(AUTOEVENTO="Manual",$M113=$A$15)),0,
         IF(OFFSET(CRONOPLE!$F$15,$M113-$A$15,AO$13)=0,10^12,OFFSET(CRONOPLE!$F$15,$M113-$A$15,AO$13)))</f>
        <v>1000000000000</v>
      </c>
      <c r="AP113" s="172">
        <f ca="1">IF(OR($D113&lt;&gt;"Serviço",AND(AUTOEVENTO="Manual",$M113=$A$15)),0,
         IF(OFFSET(CRONOPLE!$F$15,$M113-$A$15,AP$13)=0,10^12,OFFSET(CRONOPLE!$F$15,$M113-$A$15,AP$13)))</f>
        <v>1000000000000</v>
      </c>
      <c r="AQ113" s="172">
        <f ca="1">IF(OR($D113&lt;&gt;"Serviço",AND(AUTOEVENTO="Manual",$M113=$A$15)),0,
         IF(OFFSET(CRONOPLE!$F$15,$M113-$A$15,AQ$13)=0,10^12,OFFSET(CRONOPLE!$F$15,$M113-$A$15,AQ$13)))</f>
        <v>1000000000000</v>
      </c>
      <c r="AR113" s="172">
        <f ca="1">IF(OR($D113&lt;&gt;"Serviço",AND(AUTOEVENTO="Manual",$M113=$A$15)),0,
         IF(OFFSET(CRONOPLE!$F$15,$M113-$A$15,AR$13)=0,10^12,OFFSET(CRONOPLE!$F$15,$M113-$A$15,AR$13)))</f>
        <v>1000000000000</v>
      </c>
      <c r="AS113" s="172">
        <f ca="1">IF(OR($D113&lt;&gt;"Serviço",AND(AUTOEVENTO="Manual",$M113=$A$15)),0,
         IF(OFFSET(CRONOPLE!$F$15,$M113-$A$15,AS$13)=0,10^12,OFFSET(CRONOPLE!$F$15,$M113-$A$15,AS$13)))</f>
        <v>1000000000000</v>
      </c>
      <c r="AT113" s="172">
        <f ca="1">IF(OR($D113&lt;&gt;"Serviço",AND(AUTOEVENTO="Manual",$M113=$A$15)),0,
         IF(OFFSET(CRONOPLE!$F$15,$M113-$A$15,AT$13)=0,10^12,OFFSET(CRONOPLE!$F$15,$M113-$A$15,AT$13)))</f>
        <v>1000000000000</v>
      </c>
      <c r="AU113" s="172">
        <f ca="1">IF(OR($D113&lt;&gt;"Serviço",AND(AUTOEVENTO="Manual",$M113=$A$15)),0,
         IF(OFFSET(CRONOPLE!$F$15,$M113-$A$15,AU$13)=0,10^12,OFFSET(CRONOPLE!$F$15,$M113-$A$15,AU$13)))</f>
        <v>1000000000000</v>
      </c>
      <c r="AV113" s="172">
        <f ca="1">IF(OR($D113&lt;&gt;"Serviço",AND(AUTOEVENTO="Manual",$M113=$A$15)),0,
         IF(OFFSET(CRONOPLE!$F$15,$M113-$A$15,AV$13)=0,10^12,OFFSET(CRONOPLE!$F$15,$M113-$A$15,AV$13)))</f>
        <v>1000000000000</v>
      </c>
      <c r="AX113" s="173">
        <f ca="1">IF(OR($D113&lt;&gt;"Serviço",AND(AUTOEVENTO="Manual",$M113=$A$15),$M113&gt;(ROW(PLE.lastrow)-ROW(PLE.firstrow))),0,
           IF(OFFSET(PLE!$G$15,$M113-$A$15,AX$13)="",10^12,OFFSET(PLE!$G$15,$M113-$A$15,AX$13)))</f>
        <v>1000000000000</v>
      </c>
      <c r="AY113" s="173">
        <f ca="1">IF(OR($D113&lt;&gt;"Serviço",AND(AUTOEVENTO="Manual",$M113=$A$15),$M113&gt;(ROW(PLE.lastrow)-ROW(PLE.firstrow))),0,
           IF(OFFSET(PLE!$G$15,$M113-$A$15,AY$13)="",10^12,OFFSET(PLE!$G$15,$M113-$A$15,AY$13)))</f>
        <v>1000000000000</v>
      </c>
      <c r="AZ113" s="173">
        <f ca="1">IF(OR($D113&lt;&gt;"Serviço",AND(AUTOEVENTO="Manual",$M113=$A$15),$M113&gt;(ROW(PLE.lastrow)-ROW(PLE.firstrow))),0,
           IF(OFFSET(PLE!$G$15,$M113-$A$15,AZ$13)="",10^12,OFFSET(PLE!$G$15,$M113-$A$15,AZ$13)))</f>
        <v>1000000000000</v>
      </c>
      <c r="BA113" s="173">
        <f ca="1">IF(OR($D113&lt;&gt;"Serviço",AND(AUTOEVENTO="Manual",$M113=$A$15),$M113&gt;(ROW(PLE.lastrow)-ROW(PLE.firstrow))),0,
           IF(OFFSET(PLE!$G$15,$M113-$A$15,BA$13)="",10^12,OFFSET(PLE!$G$15,$M113-$A$15,BA$13)))</f>
        <v>1000000000000</v>
      </c>
      <c r="BB113" s="173">
        <f ca="1">IF(OR($D113&lt;&gt;"Serviço",AND(AUTOEVENTO="Manual",$M113=$A$15),$M113&gt;(ROW(PLE.lastrow)-ROW(PLE.firstrow))),0,
           IF(OFFSET(PLE!$G$15,$M113-$A$15,BB$13)="",10^12,OFFSET(PLE!$G$15,$M113-$A$15,BB$13)))</f>
        <v>1000000000000</v>
      </c>
      <c r="BC113" s="173">
        <f ca="1">IF(OR($D113&lt;&gt;"Serviço",AND(AUTOEVENTO="Manual",$M113=$A$15),$M113&gt;(ROW(PLE.lastrow)-ROW(PLE.firstrow))),0,
           IF(OFFSET(PLE!$G$15,$M113-$A$15,BC$13)="",10^12,OFFSET(PLE!$G$15,$M113-$A$15,BC$13)))</f>
        <v>1000000000000</v>
      </c>
      <c r="BD113" s="173">
        <f ca="1">IF(OR($D113&lt;&gt;"Serviço",AND(AUTOEVENTO="Manual",$M113=$A$15),$M113&gt;(ROW(PLE.lastrow)-ROW(PLE.firstrow))),0,
           IF(OFFSET(PLE!$G$15,$M113-$A$15,BD$13)="",10^12,OFFSET(PLE!$G$15,$M113-$A$15,BD$13)))</f>
        <v>1000000000000</v>
      </c>
      <c r="BE113" s="173">
        <f ca="1">IF(OR($D113&lt;&gt;"Serviço",AND(AUTOEVENTO="Manual",$M113=$A$15),$M113&gt;(ROW(PLE.lastrow)-ROW(PLE.firstrow))),0,
           IF(OFFSET(PLE!$G$15,$M113-$A$15,BE$13)="",10^12,OFFSET(PLE!$G$15,$M113-$A$15,BE$13)))</f>
        <v>1000000000000</v>
      </c>
      <c r="BF113" s="173">
        <f ca="1">IF(OR($D113&lt;&gt;"Serviço",AND(AUTOEVENTO="Manual",$M113=$A$15),$M113&gt;(ROW(PLE.lastrow)-ROW(PLE.firstrow))),0,
           IF(OFFSET(PLE!$G$15,$M113-$A$15,BF$13)="",10^12,OFFSET(PLE!$G$15,$M113-$A$15,BF$13)))</f>
        <v>1000000000000</v>
      </c>
      <c r="BG113" s="173">
        <f ca="1">IF(OR($D113&lt;&gt;"Serviço",AND(AUTOEVENTO="Manual",$M113=$A$15),$M113&gt;(ROW(PLE.lastrow)-ROW(PLE.firstrow))),0,
           IF(OFFSET(PLE!$G$15,$M113-$A$15,BG$13)="",10^12,OFFSET(PLE!$G$15,$M113-$A$15,BG$13)))</f>
        <v>1000000000000</v>
      </c>
    </row>
    <row r="114" spans="1:59" s="675" customFormat="1" ht="25.5" x14ac:dyDescent="0.2">
      <c r="A114" s="671" t="str">
        <f t="shared" ca="1" si="10"/>
        <v>95</v>
      </c>
      <c r="B114" s="671" t="str">
        <f ca="1">OFFSET(ORÇAMENTO!C$15,ROW(B114)-ROW(B$15),0)</f>
        <v>S</v>
      </c>
      <c r="C114" s="671" t="str">
        <f ca="1">OFFSET(ORÇAMENTO!L$15,ROW(C114)-ROW(C$15),0)</f>
        <v/>
      </c>
      <c r="D114" s="117" t="str">
        <f ca="1">OFFSET(ORÇAMENTO!N$15,ROW(D114)-ROW(D$15),0)</f>
        <v>Serviço</v>
      </c>
      <c r="E114" s="118" t="str">
        <f ca="1">OFFSET(ORÇAMENTO!O$15,ROW(E114)-ROW(E$15),0)</f>
        <v>-</v>
      </c>
      <c r="F114" s="164" t="str">
        <f ca="1">OFFSET(ORÇAMENTO!R$15,ROW(F114)-ROW(F$15),0)</f>
        <v>(abra o arquivo 'Referência 09-2025.xlsm)</v>
      </c>
      <c r="G114" s="165" t="str">
        <f ca="1">IF($D114&lt;&gt;"Serviço","",OFFSET(ORÇAMENTO!S$15,ROW(G114)-ROW(G$15),0))</f>
        <v>-</v>
      </c>
      <c r="H114" s="123">
        <f ca="1">IF($D114&lt;&gt;"Serviço",0,IF(ACOMPANHAMENTO="BM",ROUND(OFFSET(ORÇAMENTO!AJ$15,ROW(H114)-ROW(H$15),0),15-13*ORÇAMENTO!$AF$7),SUMPRODUCT(($Q$1:$AA$1=1)*ROUND($Q114:$AA114,15-13*ORÇAMENTO!$AF$7))))</f>
        <v>3511.35</v>
      </c>
      <c r="I114" s="469" t="s">
        <v>1147</v>
      </c>
      <c r="J114" s="667" t="str">
        <f ca="1">IF(OR(B114&lt;&gt;"S",CÁLCULO.FrentesPreenchidas=0),"",IF(AND(ACOMPANHAMENTO="PLE",AUTOEVENTO="Manual",OR(H114&gt;0,ORÇAMENTO!AC114="QUANT."),OR(K114="",M114=0,N114="")),"►",IF(AND(ACOMPANHAMENTO="PLE",ORÇAMENTO!AC114="QUANT."),"►►",IF(AND(COUNTIF($P$11:$AA$11,"▼")=0,H114&gt;0,I114=""),"◄",""))))</f>
        <v/>
      </c>
      <c r="K114" s="668"/>
      <c r="L114" s="166" t="s">
        <v>765</v>
      </c>
      <c r="M114" s="167">
        <f ca="1">IF($D114&lt;&gt;"Serviço","",
          IF(AUTOEVENTO="manual",$A114,
                IF(ISERROR(MATCH($A114,$A$15:OFFSET($A114,-1,0),0)),MAX($M$15:OFFSET(M114,-1,0))+1,
                      INDEX($M$15:OFFSET(M114,-1,0),MATCH($A114,$A$15:OFFSET($A114,-1,0),0)))))</f>
        <v>11</v>
      </c>
      <c r="N114" s="168" t="str">
        <f ca="1">IF($D114&lt;&gt;"Serviço","",
         IF(AUTOEVENTO="Manual",
                IF($A114=0,"&lt;-- defina o número do agrupador",
                       OFFSET(EVENTOS!$D$15,$A114-$A$15,0)),
                OFFSET($F$15,$A114,0)))</f>
        <v>MOVIMENTO DE TERRA</v>
      </c>
      <c r="O114" s="169"/>
      <c r="Q114" s="169"/>
      <c r="R114" s="170"/>
      <c r="S114" s="170"/>
      <c r="T114" s="170"/>
      <c r="U114" s="170"/>
      <c r="V114" s="170"/>
      <c r="W114" s="170"/>
      <c r="X114" s="170"/>
      <c r="Y114" s="170"/>
      <c r="Z114" s="171"/>
      <c r="AB114" s="454">
        <f ca="1">IF(AND($D114="Serviço",AB$12&lt;&gt;0,$H114&gt;0,OR(AUTOEVENTO&lt;&gt;"manual",$M114&lt;&gt;$A$15)),
        IF(Import.TipoArredondamento&lt;&gt;"TransfereGOV",
              ROUND(OFFSET($P114,0,AB$13),15-13*ORÇAMENTO!$AF$7)/$H114*OFFSET(ORÇAMENTO!$X$15,ROW(AB114)-ROW(AB$15),0),
              ROUND(ROUND(OFFSET($P114,0,AB$13),15-13*ORÇAMENTO!$AF$7)*OFFSET(ORÇAMENTO!$W$15,ROW(AB114)-ROW(AB$15),0),15-13*ORÇAMENTO!$AF$11)),
         0)</f>
        <v>0</v>
      </c>
      <c r="AC114" s="454">
        <f ca="1">IF(AND($D114="Serviço",AC$12&lt;&gt;0,$H114&gt;0,OR(AUTOEVENTO&lt;&gt;"manual",$M114&lt;&gt;$A$15)),
        IF(Import.TipoArredondamento&lt;&gt;"TransfereGOV",
              ROUND(OFFSET($P114,0,AC$13),15-13*ORÇAMENTO!$AF$7)/$H114*OFFSET(ORÇAMENTO!$X$15,ROW(AC114)-ROW(AC$15),0),
              ROUND(ROUND(OFFSET($P114,0,AC$13),15-13*ORÇAMENTO!$AF$7)*OFFSET(ORÇAMENTO!$W$15,ROW(AC114)-ROW(AC$15),0),15-13*ORÇAMENTO!$AF$11)),
         0)</f>
        <v>0</v>
      </c>
      <c r="AD114" s="454">
        <f ca="1">IF(AND($D114="Serviço",AD$12&lt;&gt;0,$H114&gt;0,OR(AUTOEVENTO&lt;&gt;"manual",$M114&lt;&gt;$A$15)),
        IF(Import.TipoArredondamento&lt;&gt;"TransfereGOV",
              ROUND(OFFSET($P114,0,AD$13),15-13*ORÇAMENTO!$AF$7)/$H114*OFFSET(ORÇAMENTO!$X$15,ROW(AD114)-ROW(AD$15),0),
              ROUND(ROUND(OFFSET($P114,0,AD$13),15-13*ORÇAMENTO!$AF$7)*OFFSET(ORÇAMENTO!$W$15,ROW(AD114)-ROW(AD$15),0),15-13*ORÇAMENTO!$AF$11)),
         0)</f>
        <v>0</v>
      </c>
      <c r="AE114" s="454">
        <f ca="1">IF(AND($D114="Serviço",AE$12&lt;&gt;0,$H114&gt;0,OR(AUTOEVENTO&lt;&gt;"manual",$M114&lt;&gt;$A$15)),
        IF(Import.TipoArredondamento&lt;&gt;"TransfereGOV",
              ROUND(OFFSET($P114,0,AE$13),15-13*ORÇAMENTO!$AF$7)/$H114*OFFSET(ORÇAMENTO!$X$15,ROW(AE114)-ROW(AE$15),0),
              ROUND(ROUND(OFFSET($P114,0,AE$13),15-13*ORÇAMENTO!$AF$7)*OFFSET(ORÇAMENTO!$W$15,ROW(AE114)-ROW(AE$15),0),15-13*ORÇAMENTO!$AF$11)),
         0)</f>
        <v>0</v>
      </c>
      <c r="AF114" s="454">
        <f ca="1">IF(AND($D114="Serviço",AF$12&lt;&gt;0,$H114&gt;0,OR(AUTOEVENTO&lt;&gt;"manual",$M114&lt;&gt;$A$15)),
        IF(Import.TipoArredondamento&lt;&gt;"TransfereGOV",
              ROUND(OFFSET($P114,0,AF$13),15-13*ORÇAMENTO!$AF$7)/$H114*OFFSET(ORÇAMENTO!$X$15,ROW(AF114)-ROW(AF$15),0),
              ROUND(ROUND(OFFSET($P114,0,AF$13),15-13*ORÇAMENTO!$AF$7)*OFFSET(ORÇAMENTO!$W$15,ROW(AF114)-ROW(AF$15),0),15-13*ORÇAMENTO!$AF$11)),
         0)</f>
        <v>0</v>
      </c>
      <c r="AG114" s="454">
        <f ca="1">IF(AND($D114="Serviço",AG$12&lt;&gt;0,$H114&gt;0,OR(AUTOEVENTO&lt;&gt;"manual",$M114&lt;&gt;$A$15)),
        IF(Import.TipoArredondamento&lt;&gt;"TransfereGOV",
              ROUND(OFFSET($P114,0,AG$13),15-13*ORÇAMENTO!$AF$7)/$H114*OFFSET(ORÇAMENTO!$X$15,ROW(AG114)-ROW(AG$15),0),
              ROUND(ROUND(OFFSET($P114,0,AG$13),15-13*ORÇAMENTO!$AF$7)*OFFSET(ORÇAMENTO!$W$15,ROW(AG114)-ROW(AG$15),0),15-13*ORÇAMENTO!$AF$11)),
         0)</f>
        <v>0</v>
      </c>
      <c r="AH114" s="454">
        <f ca="1">IF(AND($D114="Serviço",AH$12&lt;&gt;0,$H114&gt;0,OR(AUTOEVENTO&lt;&gt;"manual",$M114&lt;&gt;$A$15)),
        IF(Import.TipoArredondamento&lt;&gt;"TransfereGOV",
              ROUND(OFFSET($P114,0,AH$13),15-13*ORÇAMENTO!$AF$7)/$H114*OFFSET(ORÇAMENTO!$X$15,ROW(AH114)-ROW(AH$15),0),
              ROUND(ROUND(OFFSET($P114,0,AH$13),15-13*ORÇAMENTO!$AF$7)*OFFSET(ORÇAMENTO!$W$15,ROW(AH114)-ROW(AH$15),0),15-13*ORÇAMENTO!$AF$11)),
         0)</f>
        <v>0</v>
      </c>
      <c r="AI114" s="454">
        <f ca="1">IF(AND($D114="Serviço",AI$12&lt;&gt;0,$H114&gt;0,OR(AUTOEVENTO&lt;&gt;"manual",$M114&lt;&gt;$A$15)),
        IF(Import.TipoArredondamento&lt;&gt;"TransfereGOV",
              ROUND(OFFSET($P114,0,AI$13),15-13*ORÇAMENTO!$AF$7)/$H114*OFFSET(ORÇAMENTO!$X$15,ROW(AI114)-ROW(AI$15),0),
              ROUND(ROUND(OFFSET($P114,0,AI$13),15-13*ORÇAMENTO!$AF$7)*OFFSET(ORÇAMENTO!$W$15,ROW(AI114)-ROW(AI$15),0),15-13*ORÇAMENTO!$AF$11)),
         0)</f>
        <v>0</v>
      </c>
      <c r="AJ114" s="454">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4">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M114" s="172">
        <f ca="1">IF(OR($D114&lt;&gt;"Serviço",AND(AUTOEVENTO="Manual",$M114=$A$15)),0,
         IF(OFFSET(CRONOPLE!$F$15,$M114-$A$15,AM$13)=0,10^12,OFFSET(CRONOPLE!$F$15,$M114-$A$15,AM$13)))</f>
        <v>1000000000000</v>
      </c>
      <c r="AN114" s="172">
        <f ca="1">IF(OR($D114&lt;&gt;"Serviço",AND(AUTOEVENTO="Manual",$M114=$A$15)),0,
         IF(OFFSET(CRONOPLE!$F$15,$M114-$A$15,AN$13)=0,10^12,OFFSET(CRONOPLE!$F$15,$M114-$A$15,AN$13)))</f>
        <v>1000000000000</v>
      </c>
      <c r="AO114" s="172">
        <f ca="1">IF(OR($D114&lt;&gt;"Serviço",AND(AUTOEVENTO="Manual",$M114=$A$15)),0,
         IF(OFFSET(CRONOPLE!$F$15,$M114-$A$15,AO$13)=0,10^12,OFFSET(CRONOPLE!$F$15,$M114-$A$15,AO$13)))</f>
        <v>1000000000000</v>
      </c>
      <c r="AP114" s="172">
        <f ca="1">IF(OR($D114&lt;&gt;"Serviço",AND(AUTOEVENTO="Manual",$M114=$A$15)),0,
         IF(OFFSET(CRONOPLE!$F$15,$M114-$A$15,AP$13)=0,10^12,OFFSET(CRONOPLE!$F$15,$M114-$A$15,AP$13)))</f>
        <v>1000000000000</v>
      </c>
      <c r="AQ114" s="172">
        <f ca="1">IF(OR($D114&lt;&gt;"Serviço",AND(AUTOEVENTO="Manual",$M114=$A$15)),0,
         IF(OFFSET(CRONOPLE!$F$15,$M114-$A$15,AQ$13)=0,10^12,OFFSET(CRONOPLE!$F$15,$M114-$A$15,AQ$13)))</f>
        <v>1000000000000</v>
      </c>
      <c r="AR114" s="172">
        <f ca="1">IF(OR($D114&lt;&gt;"Serviço",AND(AUTOEVENTO="Manual",$M114=$A$15)),0,
         IF(OFFSET(CRONOPLE!$F$15,$M114-$A$15,AR$13)=0,10^12,OFFSET(CRONOPLE!$F$15,$M114-$A$15,AR$13)))</f>
        <v>1000000000000</v>
      </c>
      <c r="AS114" s="172">
        <f ca="1">IF(OR($D114&lt;&gt;"Serviço",AND(AUTOEVENTO="Manual",$M114=$A$15)),0,
         IF(OFFSET(CRONOPLE!$F$15,$M114-$A$15,AS$13)=0,10^12,OFFSET(CRONOPLE!$F$15,$M114-$A$15,AS$13)))</f>
        <v>1000000000000</v>
      </c>
      <c r="AT114" s="172">
        <f ca="1">IF(OR($D114&lt;&gt;"Serviço",AND(AUTOEVENTO="Manual",$M114=$A$15)),0,
         IF(OFFSET(CRONOPLE!$F$15,$M114-$A$15,AT$13)=0,10^12,OFFSET(CRONOPLE!$F$15,$M114-$A$15,AT$13)))</f>
        <v>1000000000000</v>
      </c>
      <c r="AU114" s="172">
        <f ca="1">IF(OR($D114&lt;&gt;"Serviço",AND(AUTOEVENTO="Manual",$M114=$A$15)),0,
         IF(OFFSET(CRONOPLE!$F$15,$M114-$A$15,AU$13)=0,10^12,OFFSET(CRONOPLE!$F$15,$M114-$A$15,AU$13)))</f>
        <v>1000000000000</v>
      </c>
      <c r="AV114" s="172">
        <f ca="1">IF(OR($D114&lt;&gt;"Serviço",AND(AUTOEVENTO="Manual",$M114=$A$15)),0,
         IF(OFFSET(CRONOPLE!$F$15,$M114-$A$15,AV$13)=0,10^12,OFFSET(CRONOPLE!$F$15,$M114-$A$15,AV$13)))</f>
        <v>1000000000000</v>
      </c>
      <c r="AX114" s="173">
        <f ca="1">IF(OR($D114&lt;&gt;"Serviço",AND(AUTOEVENTO="Manual",$M114=$A$15),$M114&gt;(ROW(PLE.lastrow)-ROW(PLE.firstrow))),0,
           IF(OFFSET(PLE!$G$15,$M114-$A$15,AX$13)="",10^12,OFFSET(PLE!$G$15,$M114-$A$15,AX$13)))</f>
        <v>1000000000000</v>
      </c>
      <c r="AY114" s="173">
        <f ca="1">IF(OR($D114&lt;&gt;"Serviço",AND(AUTOEVENTO="Manual",$M114=$A$15),$M114&gt;(ROW(PLE.lastrow)-ROW(PLE.firstrow))),0,
           IF(OFFSET(PLE!$G$15,$M114-$A$15,AY$13)="",10^12,OFFSET(PLE!$G$15,$M114-$A$15,AY$13)))</f>
        <v>1000000000000</v>
      </c>
      <c r="AZ114" s="173">
        <f ca="1">IF(OR($D114&lt;&gt;"Serviço",AND(AUTOEVENTO="Manual",$M114=$A$15),$M114&gt;(ROW(PLE.lastrow)-ROW(PLE.firstrow))),0,
           IF(OFFSET(PLE!$G$15,$M114-$A$15,AZ$13)="",10^12,OFFSET(PLE!$G$15,$M114-$A$15,AZ$13)))</f>
        <v>1000000000000</v>
      </c>
      <c r="BA114" s="173">
        <f ca="1">IF(OR($D114&lt;&gt;"Serviço",AND(AUTOEVENTO="Manual",$M114=$A$15),$M114&gt;(ROW(PLE.lastrow)-ROW(PLE.firstrow))),0,
           IF(OFFSET(PLE!$G$15,$M114-$A$15,BA$13)="",10^12,OFFSET(PLE!$G$15,$M114-$A$15,BA$13)))</f>
        <v>1000000000000</v>
      </c>
      <c r="BB114" s="173">
        <f ca="1">IF(OR($D114&lt;&gt;"Serviço",AND(AUTOEVENTO="Manual",$M114=$A$15),$M114&gt;(ROW(PLE.lastrow)-ROW(PLE.firstrow))),0,
           IF(OFFSET(PLE!$G$15,$M114-$A$15,BB$13)="",10^12,OFFSET(PLE!$G$15,$M114-$A$15,BB$13)))</f>
        <v>1000000000000</v>
      </c>
      <c r="BC114" s="173">
        <f ca="1">IF(OR($D114&lt;&gt;"Serviço",AND(AUTOEVENTO="Manual",$M114=$A$15),$M114&gt;(ROW(PLE.lastrow)-ROW(PLE.firstrow))),0,
           IF(OFFSET(PLE!$G$15,$M114-$A$15,BC$13)="",10^12,OFFSET(PLE!$G$15,$M114-$A$15,BC$13)))</f>
        <v>1000000000000</v>
      </c>
      <c r="BD114" s="173">
        <f ca="1">IF(OR($D114&lt;&gt;"Serviço",AND(AUTOEVENTO="Manual",$M114=$A$15),$M114&gt;(ROW(PLE.lastrow)-ROW(PLE.firstrow))),0,
           IF(OFFSET(PLE!$G$15,$M114-$A$15,BD$13)="",10^12,OFFSET(PLE!$G$15,$M114-$A$15,BD$13)))</f>
        <v>1000000000000</v>
      </c>
      <c r="BE114" s="173">
        <f ca="1">IF(OR($D114&lt;&gt;"Serviço",AND(AUTOEVENTO="Manual",$M114=$A$15),$M114&gt;(ROW(PLE.lastrow)-ROW(PLE.firstrow))),0,
           IF(OFFSET(PLE!$G$15,$M114-$A$15,BE$13)="",10^12,OFFSET(PLE!$G$15,$M114-$A$15,BE$13)))</f>
        <v>1000000000000</v>
      </c>
      <c r="BF114" s="173">
        <f ca="1">IF(OR($D114&lt;&gt;"Serviço",AND(AUTOEVENTO="Manual",$M114=$A$15),$M114&gt;(ROW(PLE.lastrow)-ROW(PLE.firstrow))),0,
           IF(OFFSET(PLE!$G$15,$M114-$A$15,BF$13)="",10^12,OFFSET(PLE!$G$15,$M114-$A$15,BF$13)))</f>
        <v>1000000000000</v>
      </c>
      <c r="BG114" s="173">
        <f ca="1">IF(OR($D114&lt;&gt;"Serviço",AND(AUTOEVENTO="Manual",$M114=$A$15),$M114&gt;(ROW(PLE.lastrow)-ROW(PLE.firstrow))),0,
           IF(OFFSET(PLE!$G$15,$M114-$A$15,BG$13)="",10^12,OFFSET(PLE!$G$15,$M114-$A$15,BG$13)))</f>
        <v>1000000000000</v>
      </c>
    </row>
    <row r="115" spans="1:59" s="675" customFormat="1" ht="25.5" x14ac:dyDescent="0.2">
      <c r="A115" s="671" t="str">
        <f t="shared" ca="1" si="10"/>
        <v>95</v>
      </c>
      <c r="B115" s="671" t="str">
        <f ca="1">OFFSET(ORÇAMENTO!C$15,ROW(B115)-ROW(B$15),0)</f>
        <v>S</v>
      </c>
      <c r="C115" s="671" t="str">
        <f ca="1">OFFSET(ORÇAMENTO!L$15,ROW(C115)-ROW(C$15),0)</f>
        <v/>
      </c>
      <c r="D115" s="117" t="str">
        <f ca="1">OFFSET(ORÇAMENTO!N$15,ROW(D115)-ROW(D$15),0)</f>
        <v>Serviço</v>
      </c>
      <c r="E115" s="118" t="str">
        <f ca="1">OFFSET(ORÇAMENTO!O$15,ROW(E115)-ROW(E$15),0)</f>
        <v>-</v>
      </c>
      <c r="F115" s="164" t="str">
        <f ca="1">OFFSET(ORÇAMENTO!R$15,ROW(F115)-ROW(F$15),0)</f>
        <v>(abra o arquivo 'Referência 09-2025.xlsm)</v>
      </c>
      <c r="G115" s="165" t="str">
        <f ca="1">IF($D115&lt;&gt;"Serviço","",OFFSET(ORÇAMENTO!S$15,ROW(G115)-ROW(G$15),0))</f>
        <v>-</v>
      </c>
      <c r="H115" s="123">
        <f ca="1">IF($D115&lt;&gt;"Serviço",0,IF(ACOMPANHAMENTO="BM",ROUND(OFFSET(ORÇAMENTO!AJ$15,ROW(H115)-ROW(H$15),0),15-13*ORÇAMENTO!$AF$7),SUMPRODUCT(($Q$1:$AA$1=1)*ROUND($Q115:$AA115,15-13*ORÇAMENTO!$AF$7))))</f>
        <v>2126.5300000000002</v>
      </c>
      <c r="I115" s="469" t="s">
        <v>1147</v>
      </c>
      <c r="J115" s="667" t="str">
        <f ca="1">IF(OR(B115&lt;&gt;"S",CÁLCULO.FrentesPreenchidas=0),"",IF(AND(ACOMPANHAMENTO="PLE",AUTOEVENTO="Manual",OR(H115&gt;0,ORÇAMENTO!AC115="QUANT."),OR(K115="",M115=0,N115="")),"►",IF(AND(ACOMPANHAMENTO="PLE",ORÇAMENTO!AC115="QUANT."),"►►",IF(AND(COUNTIF($P$11:$AA$11,"▼")=0,H115&gt;0,I115=""),"◄",""))))</f>
        <v/>
      </c>
      <c r="K115" s="668"/>
      <c r="L115" s="166" t="s">
        <v>765</v>
      </c>
      <c r="M115" s="167">
        <f ca="1">IF($D115&lt;&gt;"Serviço","",
          IF(AUTOEVENTO="manual",$A115,
                IF(ISERROR(MATCH($A115,$A$15:OFFSET($A115,-1,0),0)),MAX($M$15:OFFSET(M115,-1,0))+1,
                      INDEX($M$15:OFFSET(M115,-1,0),MATCH($A115,$A$15:OFFSET($A115,-1,0),0)))))</f>
        <v>11</v>
      </c>
      <c r="N115" s="168" t="str">
        <f ca="1">IF($D115&lt;&gt;"Serviço","",
         IF(AUTOEVENTO="Manual",
                IF($A115=0,"&lt;-- defina o número do agrupador",
                       OFFSET(EVENTOS!$D$15,$A115-$A$15,0)),
                OFFSET($F$15,$A115,0)))</f>
        <v>MOVIMENTO DE TERRA</v>
      </c>
      <c r="O115" s="169"/>
      <c r="Q115" s="169"/>
      <c r="R115" s="170"/>
      <c r="S115" s="170"/>
      <c r="T115" s="170"/>
      <c r="U115" s="170"/>
      <c r="V115" s="170"/>
      <c r="W115" s="170"/>
      <c r="X115" s="170"/>
      <c r="Y115" s="170"/>
      <c r="Z115" s="171"/>
      <c r="AB115" s="454">
        <f ca="1">IF(AND($D115="Serviço",AB$12&lt;&gt;0,$H115&gt;0,OR(AUTOEVENTO&lt;&gt;"manual",$M115&lt;&gt;$A$15)),
        IF(Import.TipoArredondamento&lt;&gt;"TransfereGOV",
              ROUND(OFFSET($P115,0,AB$13),15-13*ORÇAMENTO!$AF$7)/$H115*OFFSET(ORÇAMENTO!$X$15,ROW(AB115)-ROW(AB$15),0),
              ROUND(ROUND(OFFSET($P115,0,AB$13),15-13*ORÇAMENTO!$AF$7)*OFFSET(ORÇAMENTO!$W$15,ROW(AB115)-ROW(AB$15),0),15-13*ORÇAMENTO!$AF$11)),
         0)</f>
        <v>0</v>
      </c>
      <c r="AC115" s="454">
        <f ca="1">IF(AND($D115="Serviço",AC$12&lt;&gt;0,$H115&gt;0,OR(AUTOEVENTO&lt;&gt;"manual",$M115&lt;&gt;$A$15)),
        IF(Import.TipoArredondamento&lt;&gt;"TransfereGOV",
              ROUND(OFFSET($P115,0,AC$13),15-13*ORÇAMENTO!$AF$7)/$H115*OFFSET(ORÇAMENTO!$X$15,ROW(AC115)-ROW(AC$15),0),
              ROUND(ROUND(OFFSET($P115,0,AC$13),15-13*ORÇAMENTO!$AF$7)*OFFSET(ORÇAMENTO!$W$15,ROW(AC115)-ROW(AC$15),0),15-13*ORÇAMENTO!$AF$11)),
         0)</f>
        <v>0</v>
      </c>
      <c r="AD115" s="454">
        <f ca="1">IF(AND($D115="Serviço",AD$12&lt;&gt;0,$H115&gt;0,OR(AUTOEVENTO&lt;&gt;"manual",$M115&lt;&gt;$A$15)),
        IF(Import.TipoArredondamento&lt;&gt;"TransfereGOV",
              ROUND(OFFSET($P115,0,AD$13),15-13*ORÇAMENTO!$AF$7)/$H115*OFFSET(ORÇAMENTO!$X$15,ROW(AD115)-ROW(AD$15),0),
              ROUND(ROUND(OFFSET($P115,0,AD$13),15-13*ORÇAMENTO!$AF$7)*OFFSET(ORÇAMENTO!$W$15,ROW(AD115)-ROW(AD$15),0),15-13*ORÇAMENTO!$AF$11)),
         0)</f>
        <v>0</v>
      </c>
      <c r="AE115" s="454">
        <f ca="1">IF(AND($D115="Serviço",AE$12&lt;&gt;0,$H115&gt;0,OR(AUTOEVENTO&lt;&gt;"manual",$M115&lt;&gt;$A$15)),
        IF(Import.TipoArredondamento&lt;&gt;"TransfereGOV",
              ROUND(OFFSET($P115,0,AE$13),15-13*ORÇAMENTO!$AF$7)/$H115*OFFSET(ORÇAMENTO!$X$15,ROW(AE115)-ROW(AE$15),0),
              ROUND(ROUND(OFFSET($P115,0,AE$13),15-13*ORÇAMENTO!$AF$7)*OFFSET(ORÇAMENTO!$W$15,ROW(AE115)-ROW(AE$15),0),15-13*ORÇAMENTO!$AF$11)),
         0)</f>
        <v>0</v>
      </c>
      <c r="AF115" s="454">
        <f ca="1">IF(AND($D115="Serviço",AF$12&lt;&gt;0,$H115&gt;0,OR(AUTOEVENTO&lt;&gt;"manual",$M115&lt;&gt;$A$15)),
        IF(Import.TipoArredondamento&lt;&gt;"TransfereGOV",
              ROUND(OFFSET($P115,0,AF$13),15-13*ORÇAMENTO!$AF$7)/$H115*OFFSET(ORÇAMENTO!$X$15,ROW(AF115)-ROW(AF$15),0),
              ROUND(ROUND(OFFSET($P115,0,AF$13),15-13*ORÇAMENTO!$AF$7)*OFFSET(ORÇAMENTO!$W$15,ROW(AF115)-ROW(AF$15),0),15-13*ORÇAMENTO!$AF$11)),
         0)</f>
        <v>0</v>
      </c>
      <c r="AG115" s="454">
        <f ca="1">IF(AND($D115="Serviço",AG$12&lt;&gt;0,$H115&gt;0,OR(AUTOEVENTO&lt;&gt;"manual",$M115&lt;&gt;$A$15)),
        IF(Import.TipoArredondamento&lt;&gt;"TransfereGOV",
              ROUND(OFFSET($P115,0,AG$13),15-13*ORÇAMENTO!$AF$7)/$H115*OFFSET(ORÇAMENTO!$X$15,ROW(AG115)-ROW(AG$15),0),
              ROUND(ROUND(OFFSET($P115,0,AG$13),15-13*ORÇAMENTO!$AF$7)*OFFSET(ORÇAMENTO!$W$15,ROW(AG115)-ROW(AG$15),0),15-13*ORÇAMENTO!$AF$11)),
         0)</f>
        <v>0</v>
      </c>
      <c r="AH115" s="454">
        <f ca="1">IF(AND($D115="Serviço",AH$12&lt;&gt;0,$H115&gt;0,OR(AUTOEVENTO&lt;&gt;"manual",$M115&lt;&gt;$A$15)),
        IF(Import.TipoArredondamento&lt;&gt;"TransfereGOV",
              ROUND(OFFSET($P115,0,AH$13),15-13*ORÇAMENTO!$AF$7)/$H115*OFFSET(ORÇAMENTO!$X$15,ROW(AH115)-ROW(AH$15),0),
              ROUND(ROUND(OFFSET($P115,0,AH$13),15-13*ORÇAMENTO!$AF$7)*OFFSET(ORÇAMENTO!$W$15,ROW(AH115)-ROW(AH$15),0),15-13*ORÇAMENTO!$AF$11)),
         0)</f>
        <v>0</v>
      </c>
      <c r="AI115" s="454">
        <f ca="1">IF(AND($D115="Serviço",AI$12&lt;&gt;0,$H115&gt;0,OR(AUTOEVENTO&lt;&gt;"manual",$M115&lt;&gt;$A$15)),
        IF(Import.TipoArredondamento&lt;&gt;"TransfereGOV",
              ROUND(OFFSET($P115,0,AI$13),15-13*ORÇAMENTO!$AF$7)/$H115*OFFSET(ORÇAMENTO!$X$15,ROW(AI115)-ROW(AI$15),0),
              ROUND(ROUND(OFFSET($P115,0,AI$13),15-13*ORÇAMENTO!$AF$7)*OFFSET(ORÇAMENTO!$W$15,ROW(AI115)-ROW(AI$15),0),15-13*ORÇAMENTO!$AF$11)),
         0)</f>
        <v>0</v>
      </c>
      <c r="AJ115" s="454">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4">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M115" s="172">
        <f ca="1">IF(OR($D115&lt;&gt;"Serviço",AND(AUTOEVENTO="Manual",$M115=$A$15)),0,
         IF(OFFSET(CRONOPLE!$F$15,$M115-$A$15,AM$13)=0,10^12,OFFSET(CRONOPLE!$F$15,$M115-$A$15,AM$13)))</f>
        <v>1000000000000</v>
      </c>
      <c r="AN115" s="172">
        <f ca="1">IF(OR($D115&lt;&gt;"Serviço",AND(AUTOEVENTO="Manual",$M115=$A$15)),0,
         IF(OFFSET(CRONOPLE!$F$15,$M115-$A$15,AN$13)=0,10^12,OFFSET(CRONOPLE!$F$15,$M115-$A$15,AN$13)))</f>
        <v>1000000000000</v>
      </c>
      <c r="AO115" s="172">
        <f ca="1">IF(OR($D115&lt;&gt;"Serviço",AND(AUTOEVENTO="Manual",$M115=$A$15)),0,
         IF(OFFSET(CRONOPLE!$F$15,$M115-$A$15,AO$13)=0,10^12,OFFSET(CRONOPLE!$F$15,$M115-$A$15,AO$13)))</f>
        <v>1000000000000</v>
      </c>
      <c r="AP115" s="172">
        <f ca="1">IF(OR($D115&lt;&gt;"Serviço",AND(AUTOEVENTO="Manual",$M115=$A$15)),0,
         IF(OFFSET(CRONOPLE!$F$15,$M115-$A$15,AP$13)=0,10^12,OFFSET(CRONOPLE!$F$15,$M115-$A$15,AP$13)))</f>
        <v>1000000000000</v>
      </c>
      <c r="AQ115" s="172">
        <f ca="1">IF(OR($D115&lt;&gt;"Serviço",AND(AUTOEVENTO="Manual",$M115=$A$15)),0,
         IF(OFFSET(CRONOPLE!$F$15,$M115-$A$15,AQ$13)=0,10^12,OFFSET(CRONOPLE!$F$15,$M115-$A$15,AQ$13)))</f>
        <v>1000000000000</v>
      </c>
      <c r="AR115" s="172">
        <f ca="1">IF(OR($D115&lt;&gt;"Serviço",AND(AUTOEVENTO="Manual",$M115=$A$15)),0,
         IF(OFFSET(CRONOPLE!$F$15,$M115-$A$15,AR$13)=0,10^12,OFFSET(CRONOPLE!$F$15,$M115-$A$15,AR$13)))</f>
        <v>1000000000000</v>
      </c>
      <c r="AS115" s="172">
        <f ca="1">IF(OR($D115&lt;&gt;"Serviço",AND(AUTOEVENTO="Manual",$M115=$A$15)),0,
         IF(OFFSET(CRONOPLE!$F$15,$M115-$A$15,AS$13)=0,10^12,OFFSET(CRONOPLE!$F$15,$M115-$A$15,AS$13)))</f>
        <v>1000000000000</v>
      </c>
      <c r="AT115" s="172">
        <f ca="1">IF(OR($D115&lt;&gt;"Serviço",AND(AUTOEVENTO="Manual",$M115=$A$15)),0,
         IF(OFFSET(CRONOPLE!$F$15,$M115-$A$15,AT$13)=0,10^12,OFFSET(CRONOPLE!$F$15,$M115-$A$15,AT$13)))</f>
        <v>1000000000000</v>
      </c>
      <c r="AU115" s="172">
        <f ca="1">IF(OR($D115&lt;&gt;"Serviço",AND(AUTOEVENTO="Manual",$M115=$A$15)),0,
         IF(OFFSET(CRONOPLE!$F$15,$M115-$A$15,AU$13)=0,10^12,OFFSET(CRONOPLE!$F$15,$M115-$A$15,AU$13)))</f>
        <v>1000000000000</v>
      </c>
      <c r="AV115" s="172">
        <f ca="1">IF(OR($D115&lt;&gt;"Serviço",AND(AUTOEVENTO="Manual",$M115=$A$15)),0,
         IF(OFFSET(CRONOPLE!$F$15,$M115-$A$15,AV$13)=0,10^12,OFFSET(CRONOPLE!$F$15,$M115-$A$15,AV$13)))</f>
        <v>1000000000000</v>
      </c>
      <c r="AX115" s="173">
        <f ca="1">IF(OR($D115&lt;&gt;"Serviço",AND(AUTOEVENTO="Manual",$M115=$A$15),$M115&gt;(ROW(PLE.lastrow)-ROW(PLE.firstrow))),0,
           IF(OFFSET(PLE!$G$15,$M115-$A$15,AX$13)="",10^12,OFFSET(PLE!$G$15,$M115-$A$15,AX$13)))</f>
        <v>1000000000000</v>
      </c>
      <c r="AY115" s="173">
        <f ca="1">IF(OR($D115&lt;&gt;"Serviço",AND(AUTOEVENTO="Manual",$M115=$A$15),$M115&gt;(ROW(PLE.lastrow)-ROW(PLE.firstrow))),0,
           IF(OFFSET(PLE!$G$15,$M115-$A$15,AY$13)="",10^12,OFFSET(PLE!$G$15,$M115-$A$15,AY$13)))</f>
        <v>1000000000000</v>
      </c>
      <c r="AZ115" s="173">
        <f ca="1">IF(OR($D115&lt;&gt;"Serviço",AND(AUTOEVENTO="Manual",$M115=$A$15),$M115&gt;(ROW(PLE.lastrow)-ROW(PLE.firstrow))),0,
           IF(OFFSET(PLE!$G$15,$M115-$A$15,AZ$13)="",10^12,OFFSET(PLE!$G$15,$M115-$A$15,AZ$13)))</f>
        <v>1000000000000</v>
      </c>
      <c r="BA115" s="173">
        <f ca="1">IF(OR($D115&lt;&gt;"Serviço",AND(AUTOEVENTO="Manual",$M115=$A$15),$M115&gt;(ROW(PLE.lastrow)-ROW(PLE.firstrow))),0,
           IF(OFFSET(PLE!$G$15,$M115-$A$15,BA$13)="",10^12,OFFSET(PLE!$G$15,$M115-$A$15,BA$13)))</f>
        <v>1000000000000</v>
      </c>
      <c r="BB115" s="173">
        <f ca="1">IF(OR($D115&lt;&gt;"Serviço",AND(AUTOEVENTO="Manual",$M115=$A$15),$M115&gt;(ROW(PLE.lastrow)-ROW(PLE.firstrow))),0,
           IF(OFFSET(PLE!$G$15,$M115-$A$15,BB$13)="",10^12,OFFSET(PLE!$G$15,$M115-$A$15,BB$13)))</f>
        <v>1000000000000</v>
      </c>
      <c r="BC115" s="173">
        <f ca="1">IF(OR($D115&lt;&gt;"Serviço",AND(AUTOEVENTO="Manual",$M115=$A$15),$M115&gt;(ROW(PLE.lastrow)-ROW(PLE.firstrow))),0,
           IF(OFFSET(PLE!$G$15,$M115-$A$15,BC$13)="",10^12,OFFSET(PLE!$G$15,$M115-$A$15,BC$13)))</f>
        <v>1000000000000</v>
      </c>
      <c r="BD115" s="173">
        <f ca="1">IF(OR($D115&lt;&gt;"Serviço",AND(AUTOEVENTO="Manual",$M115=$A$15),$M115&gt;(ROW(PLE.lastrow)-ROW(PLE.firstrow))),0,
           IF(OFFSET(PLE!$G$15,$M115-$A$15,BD$13)="",10^12,OFFSET(PLE!$G$15,$M115-$A$15,BD$13)))</f>
        <v>1000000000000</v>
      </c>
      <c r="BE115" s="173">
        <f ca="1">IF(OR($D115&lt;&gt;"Serviço",AND(AUTOEVENTO="Manual",$M115=$A$15),$M115&gt;(ROW(PLE.lastrow)-ROW(PLE.firstrow))),0,
           IF(OFFSET(PLE!$G$15,$M115-$A$15,BE$13)="",10^12,OFFSET(PLE!$G$15,$M115-$A$15,BE$13)))</f>
        <v>1000000000000</v>
      </c>
      <c r="BF115" s="173">
        <f ca="1">IF(OR($D115&lt;&gt;"Serviço",AND(AUTOEVENTO="Manual",$M115=$A$15),$M115&gt;(ROW(PLE.lastrow)-ROW(PLE.firstrow))),0,
           IF(OFFSET(PLE!$G$15,$M115-$A$15,BF$13)="",10^12,OFFSET(PLE!$G$15,$M115-$A$15,BF$13)))</f>
        <v>1000000000000</v>
      </c>
      <c r="BG115" s="173">
        <f ca="1">IF(OR($D115&lt;&gt;"Serviço",AND(AUTOEVENTO="Manual",$M115=$A$15),$M115&gt;(ROW(PLE.lastrow)-ROW(PLE.firstrow))),0,
           IF(OFFSET(PLE!$G$15,$M115-$A$15,BG$13)="",10^12,OFFSET(PLE!$G$15,$M115-$A$15,BG$13)))</f>
        <v>1000000000000</v>
      </c>
    </row>
    <row r="116" spans="1:59" s="675" customFormat="1" ht="25.5" x14ac:dyDescent="0.2">
      <c r="A116" s="671" t="str">
        <f t="shared" ca="1" si="10"/>
        <v>95</v>
      </c>
      <c r="B116" s="671" t="str">
        <f ca="1">OFFSET(ORÇAMENTO!C$15,ROW(B116)-ROW(B$15),0)</f>
        <v>S</v>
      </c>
      <c r="C116" s="671" t="str">
        <f ca="1">OFFSET(ORÇAMENTO!L$15,ROW(C116)-ROW(C$15),0)</f>
        <v/>
      </c>
      <c r="D116" s="117" t="str">
        <f ca="1">OFFSET(ORÇAMENTO!N$15,ROW(D116)-ROW(D$15),0)</f>
        <v>Serviço</v>
      </c>
      <c r="E116" s="118" t="str">
        <f ca="1">OFFSET(ORÇAMENTO!O$15,ROW(E116)-ROW(E$15),0)</f>
        <v>-</v>
      </c>
      <c r="F116" s="164" t="str">
        <f ca="1">OFFSET(ORÇAMENTO!R$15,ROW(F116)-ROW(F$15),0)</f>
        <v>(abra o arquivo 'Referência 09-2025.xlsm)</v>
      </c>
      <c r="G116" s="165" t="str">
        <f ca="1">IF($D116&lt;&gt;"Serviço","",OFFSET(ORÇAMENTO!S$15,ROW(G116)-ROW(G$15),0))</f>
        <v>-</v>
      </c>
      <c r="H116" s="123">
        <f ca="1">IF($D116&lt;&gt;"Serviço",0,IF(ACOMPANHAMENTO="BM",ROUND(OFFSET(ORÇAMENTO!AJ$15,ROW(H116)-ROW(H$15),0),15-13*ORÇAMENTO!$AF$7),SUMPRODUCT(($Q$1:$AA$1=1)*ROUND($Q116:$AA116,15-13*ORÇAMENTO!$AF$7))))</f>
        <v>1</v>
      </c>
      <c r="I116" s="469" t="s">
        <v>1147</v>
      </c>
      <c r="J116" s="667" t="str">
        <f ca="1">IF(OR(B116&lt;&gt;"S",CÁLCULO.FrentesPreenchidas=0),"",IF(AND(ACOMPANHAMENTO="PLE",AUTOEVENTO="Manual",OR(H116&gt;0,ORÇAMENTO!AC116="QUANT."),OR(K116="",M116=0,N116="")),"►",IF(AND(ACOMPANHAMENTO="PLE",ORÇAMENTO!AC116="QUANT."),"►►",IF(AND(COUNTIF($P$11:$AA$11,"▼")=0,H116&gt;0,I116=""),"◄",""))))</f>
        <v/>
      </c>
      <c r="K116" s="668"/>
      <c r="L116" s="166" t="s">
        <v>765</v>
      </c>
      <c r="M116" s="167">
        <f ca="1">IF($D116&lt;&gt;"Serviço","",
          IF(AUTOEVENTO="manual",$A116,
                IF(ISERROR(MATCH($A116,$A$15:OFFSET($A116,-1,0),0)),MAX($M$15:OFFSET(M116,-1,0))+1,
                      INDEX($M$15:OFFSET(M116,-1,0),MATCH($A116,$A$15:OFFSET($A116,-1,0),0)))))</f>
        <v>11</v>
      </c>
      <c r="N116" s="168" t="str">
        <f ca="1">IF($D116&lt;&gt;"Serviço","",
         IF(AUTOEVENTO="Manual",
                IF($A116=0,"&lt;-- defina o número do agrupador",
                       OFFSET(EVENTOS!$D$15,$A116-$A$15,0)),
                OFFSET($F$15,$A116,0)))</f>
        <v>MOVIMENTO DE TERRA</v>
      </c>
      <c r="O116" s="169"/>
      <c r="Q116" s="169"/>
      <c r="R116" s="170"/>
      <c r="S116" s="170"/>
      <c r="T116" s="170"/>
      <c r="U116" s="170"/>
      <c r="V116" s="170"/>
      <c r="W116" s="170"/>
      <c r="X116" s="170"/>
      <c r="Y116" s="170"/>
      <c r="Z116" s="171"/>
      <c r="AB116" s="454">
        <f ca="1">IF(AND($D116="Serviço",AB$12&lt;&gt;0,$H116&gt;0,OR(AUTOEVENTO&lt;&gt;"manual",$M116&lt;&gt;$A$15)),
        IF(Import.TipoArredondamento&lt;&gt;"TransfereGOV",
              ROUND(OFFSET($P116,0,AB$13),15-13*ORÇAMENTO!$AF$7)/$H116*OFFSET(ORÇAMENTO!$X$15,ROW(AB116)-ROW(AB$15),0),
              ROUND(ROUND(OFFSET($P116,0,AB$13),15-13*ORÇAMENTO!$AF$7)*OFFSET(ORÇAMENTO!$W$15,ROW(AB116)-ROW(AB$15),0),15-13*ORÇAMENTO!$AF$11)),
         0)</f>
        <v>0</v>
      </c>
      <c r="AC116" s="454">
        <f ca="1">IF(AND($D116="Serviço",AC$12&lt;&gt;0,$H116&gt;0,OR(AUTOEVENTO&lt;&gt;"manual",$M116&lt;&gt;$A$15)),
        IF(Import.TipoArredondamento&lt;&gt;"TransfereGOV",
              ROUND(OFFSET($P116,0,AC$13),15-13*ORÇAMENTO!$AF$7)/$H116*OFFSET(ORÇAMENTO!$X$15,ROW(AC116)-ROW(AC$15),0),
              ROUND(ROUND(OFFSET($P116,0,AC$13),15-13*ORÇAMENTO!$AF$7)*OFFSET(ORÇAMENTO!$W$15,ROW(AC116)-ROW(AC$15),0),15-13*ORÇAMENTO!$AF$11)),
         0)</f>
        <v>0</v>
      </c>
      <c r="AD116" s="454">
        <f ca="1">IF(AND($D116="Serviço",AD$12&lt;&gt;0,$H116&gt;0,OR(AUTOEVENTO&lt;&gt;"manual",$M116&lt;&gt;$A$15)),
        IF(Import.TipoArredondamento&lt;&gt;"TransfereGOV",
              ROUND(OFFSET($P116,0,AD$13),15-13*ORÇAMENTO!$AF$7)/$H116*OFFSET(ORÇAMENTO!$X$15,ROW(AD116)-ROW(AD$15),0),
              ROUND(ROUND(OFFSET($P116,0,AD$13),15-13*ORÇAMENTO!$AF$7)*OFFSET(ORÇAMENTO!$W$15,ROW(AD116)-ROW(AD$15),0),15-13*ORÇAMENTO!$AF$11)),
         0)</f>
        <v>0</v>
      </c>
      <c r="AE116" s="454">
        <f ca="1">IF(AND($D116="Serviço",AE$12&lt;&gt;0,$H116&gt;0,OR(AUTOEVENTO&lt;&gt;"manual",$M116&lt;&gt;$A$15)),
        IF(Import.TipoArredondamento&lt;&gt;"TransfereGOV",
              ROUND(OFFSET($P116,0,AE$13),15-13*ORÇAMENTO!$AF$7)/$H116*OFFSET(ORÇAMENTO!$X$15,ROW(AE116)-ROW(AE$15),0),
              ROUND(ROUND(OFFSET($P116,0,AE$13),15-13*ORÇAMENTO!$AF$7)*OFFSET(ORÇAMENTO!$W$15,ROW(AE116)-ROW(AE$15),0),15-13*ORÇAMENTO!$AF$11)),
         0)</f>
        <v>0</v>
      </c>
      <c r="AF116" s="454">
        <f ca="1">IF(AND($D116="Serviço",AF$12&lt;&gt;0,$H116&gt;0,OR(AUTOEVENTO&lt;&gt;"manual",$M116&lt;&gt;$A$15)),
        IF(Import.TipoArredondamento&lt;&gt;"TransfereGOV",
              ROUND(OFFSET($P116,0,AF$13),15-13*ORÇAMENTO!$AF$7)/$H116*OFFSET(ORÇAMENTO!$X$15,ROW(AF116)-ROW(AF$15),0),
              ROUND(ROUND(OFFSET($P116,0,AF$13),15-13*ORÇAMENTO!$AF$7)*OFFSET(ORÇAMENTO!$W$15,ROW(AF116)-ROW(AF$15),0),15-13*ORÇAMENTO!$AF$11)),
         0)</f>
        <v>0</v>
      </c>
      <c r="AG116" s="454">
        <f ca="1">IF(AND($D116="Serviço",AG$12&lt;&gt;0,$H116&gt;0,OR(AUTOEVENTO&lt;&gt;"manual",$M116&lt;&gt;$A$15)),
        IF(Import.TipoArredondamento&lt;&gt;"TransfereGOV",
              ROUND(OFFSET($P116,0,AG$13),15-13*ORÇAMENTO!$AF$7)/$H116*OFFSET(ORÇAMENTO!$X$15,ROW(AG116)-ROW(AG$15),0),
              ROUND(ROUND(OFFSET($P116,0,AG$13),15-13*ORÇAMENTO!$AF$7)*OFFSET(ORÇAMENTO!$W$15,ROW(AG116)-ROW(AG$15),0),15-13*ORÇAMENTO!$AF$11)),
         0)</f>
        <v>0</v>
      </c>
      <c r="AH116" s="454">
        <f ca="1">IF(AND($D116="Serviço",AH$12&lt;&gt;0,$H116&gt;0,OR(AUTOEVENTO&lt;&gt;"manual",$M116&lt;&gt;$A$15)),
        IF(Import.TipoArredondamento&lt;&gt;"TransfereGOV",
              ROUND(OFFSET($P116,0,AH$13),15-13*ORÇAMENTO!$AF$7)/$H116*OFFSET(ORÇAMENTO!$X$15,ROW(AH116)-ROW(AH$15),0),
              ROUND(ROUND(OFFSET($P116,0,AH$13),15-13*ORÇAMENTO!$AF$7)*OFFSET(ORÇAMENTO!$W$15,ROW(AH116)-ROW(AH$15),0),15-13*ORÇAMENTO!$AF$11)),
         0)</f>
        <v>0</v>
      </c>
      <c r="AI116" s="454">
        <f ca="1">IF(AND($D116="Serviço",AI$12&lt;&gt;0,$H116&gt;0,OR(AUTOEVENTO&lt;&gt;"manual",$M116&lt;&gt;$A$15)),
        IF(Import.TipoArredondamento&lt;&gt;"TransfereGOV",
              ROUND(OFFSET($P116,0,AI$13),15-13*ORÇAMENTO!$AF$7)/$H116*OFFSET(ORÇAMENTO!$X$15,ROW(AI116)-ROW(AI$15),0),
              ROUND(ROUND(OFFSET($P116,0,AI$13),15-13*ORÇAMENTO!$AF$7)*OFFSET(ORÇAMENTO!$W$15,ROW(AI116)-ROW(AI$15),0),15-13*ORÇAMENTO!$AF$11)),
         0)</f>
        <v>0</v>
      </c>
      <c r="AJ116" s="454">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4">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M116" s="172">
        <f ca="1">IF(OR($D116&lt;&gt;"Serviço",AND(AUTOEVENTO="Manual",$M116=$A$15)),0,
         IF(OFFSET(CRONOPLE!$F$15,$M116-$A$15,AM$13)=0,10^12,OFFSET(CRONOPLE!$F$15,$M116-$A$15,AM$13)))</f>
        <v>1000000000000</v>
      </c>
      <c r="AN116" s="172">
        <f ca="1">IF(OR($D116&lt;&gt;"Serviço",AND(AUTOEVENTO="Manual",$M116=$A$15)),0,
         IF(OFFSET(CRONOPLE!$F$15,$M116-$A$15,AN$13)=0,10^12,OFFSET(CRONOPLE!$F$15,$M116-$A$15,AN$13)))</f>
        <v>1000000000000</v>
      </c>
      <c r="AO116" s="172">
        <f ca="1">IF(OR($D116&lt;&gt;"Serviço",AND(AUTOEVENTO="Manual",$M116=$A$15)),0,
         IF(OFFSET(CRONOPLE!$F$15,$M116-$A$15,AO$13)=0,10^12,OFFSET(CRONOPLE!$F$15,$M116-$A$15,AO$13)))</f>
        <v>1000000000000</v>
      </c>
      <c r="AP116" s="172">
        <f ca="1">IF(OR($D116&lt;&gt;"Serviço",AND(AUTOEVENTO="Manual",$M116=$A$15)),0,
         IF(OFFSET(CRONOPLE!$F$15,$M116-$A$15,AP$13)=0,10^12,OFFSET(CRONOPLE!$F$15,$M116-$A$15,AP$13)))</f>
        <v>1000000000000</v>
      </c>
      <c r="AQ116" s="172">
        <f ca="1">IF(OR($D116&lt;&gt;"Serviço",AND(AUTOEVENTO="Manual",$M116=$A$15)),0,
         IF(OFFSET(CRONOPLE!$F$15,$M116-$A$15,AQ$13)=0,10^12,OFFSET(CRONOPLE!$F$15,$M116-$A$15,AQ$13)))</f>
        <v>1000000000000</v>
      </c>
      <c r="AR116" s="172">
        <f ca="1">IF(OR($D116&lt;&gt;"Serviço",AND(AUTOEVENTO="Manual",$M116=$A$15)),0,
         IF(OFFSET(CRONOPLE!$F$15,$M116-$A$15,AR$13)=0,10^12,OFFSET(CRONOPLE!$F$15,$M116-$A$15,AR$13)))</f>
        <v>1000000000000</v>
      </c>
      <c r="AS116" s="172">
        <f ca="1">IF(OR($D116&lt;&gt;"Serviço",AND(AUTOEVENTO="Manual",$M116=$A$15)),0,
         IF(OFFSET(CRONOPLE!$F$15,$M116-$A$15,AS$13)=0,10^12,OFFSET(CRONOPLE!$F$15,$M116-$A$15,AS$13)))</f>
        <v>1000000000000</v>
      </c>
      <c r="AT116" s="172">
        <f ca="1">IF(OR($D116&lt;&gt;"Serviço",AND(AUTOEVENTO="Manual",$M116=$A$15)),0,
         IF(OFFSET(CRONOPLE!$F$15,$M116-$A$15,AT$13)=0,10^12,OFFSET(CRONOPLE!$F$15,$M116-$A$15,AT$13)))</f>
        <v>1000000000000</v>
      </c>
      <c r="AU116" s="172">
        <f ca="1">IF(OR($D116&lt;&gt;"Serviço",AND(AUTOEVENTO="Manual",$M116=$A$15)),0,
         IF(OFFSET(CRONOPLE!$F$15,$M116-$A$15,AU$13)=0,10^12,OFFSET(CRONOPLE!$F$15,$M116-$A$15,AU$13)))</f>
        <v>1000000000000</v>
      </c>
      <c r="AV116" s="172">
        <f ca="1">IF(OR($D116&lt;&gt;"Serviço",AND(AUTOEVENTO="Manual",$M116=$A$15)),0,
         IF(OFFSET(CRONOPLE!$F$15,$M116-$A$15,AV$13)=0,10^12,OFFSET(CRONOPLE!$F$15,$M116-$A$15,AV$13)))</f>
        <v>1000000000000</v>
      </c>
      <c r="AX116" s="173">
        <f ca="1">IF(OR($D116&lt;&gt;"Serviço",AND(AUTOEVENTO="Manual",$M116=$A$15),$M116&gt;(ROW(PLE.lastrow)-ROW(PLE.firstrow))),0,
           IF(OFFSET(PLE!$G$15,$M116-$A$15,AX$13)="",10^12,OFFSET(PLE!$G$15,$M116-$A$15,AX$13)))</f>
        <v>1000000000000</v>
      </c>
      <c r="AY116" s="173">
        <f ca="1">IF(OR($D116&lt;&gt;"Serviço",AND(AUTOEVENTO="Manual",$M116=$A$15),$M116&gt;(ROW(PLE.lastrow)-ROW(PLE.firstrow))),0,
           IF(OFFSET(PLE!$G$15,$M116-$A$15,AY$13)="",10^12,OFFSET(PLE!$G$15,$M116-$A$15,AY$13)))</f>
        <v>1000000000000</v>
      </c>
      <c r="AZ116" s="173">
        <f ca="1">IF(OR($D116&lt;&gt;"Serviço",AND(AUTOEVENTO="Manual",$M116=$A$15),$M116&gt;(ROW(PLE.lastrow)-ROW(PLE.firstrow))),0,
           IF(OFFSET(PLE!$G$15,$M116-$A$15,AZ$13)="",10^12,OFFSET(PLE!$G$15,$M116-$A$15,AZ$13)))</f>
        <v>1000000000000</v>
      </c>
      <c r="BA116" s="173">
        <f ca="1">IF(OR($D116&lt;&gt;"Serviço",AND(AUTOEVENTO="Manual",$M116=$A$15),$M116&gt;(ROW(PLE.lastrow)-ROW(PLE.firstrow))),0,
           IF(OFFSET(PLE!$G$15,$M116-$A$15,BA$13)="",10^12,OFFSET(PLE!$G$15,$M116-$A$15,BA$13)))</f>
        <v>1000000000000</v>
      </c>
      <c r="BB116" s="173">
        <f ca="1">IF(OR($D116&lt;&gt;"Serviço",AND(AUTOEVENTO="Manual",$M116=$A$15),$M116&gt;(ROW(PLE.lastrow)-ROW(PLE.firstrow))),0,
           IF(OFFSET(PLE!$G$15,$M116-$A$15,BB$13)="",10^12,OFFSET(PLE!$G$15,$M116-$A$15,BB$13)))</f>
        <v>1000000000000</v>
      </c>
      <c r="BC116" s="173">
        <f ca="1">IF(OR($D116&lt;&gt;"Serviço",AND(AUTOEVENTO="Manual",$M116=$A$15),$M116&gt;(ROW(PLE.lastrow)-ROW(PLE.firstrow))),0,
           IF(OFFSET(PLE!$G$15,$M116-$A$15,BC$13)="",10^12,OFFSET(PLE!$G$15,$M116-$A$15,BC$13)))</f>
        <v>1000000000000</v>
      </c>
      <c r="BD116" s="173">
        <f ca="1">IF(OR($D116&lt;&gt;"Serviço",AND(AUTOEVENTO="Manual",$M116=$A$15),$M116&gt;(ROW(PLE.lastrow)-ROW(PLE.firstrow))),0,
           IF(OFFSET(PLE!$G$15,$M116-$A$15,BD$13)="",10^12,OFFSET(PLE!$G$15,$M116-$A$15,BD$13)))</f>
        <v>1000000000000</v>
      </c>
      <c r="BE116" s="173">
        <f ca="1">IF(OR($D116&lt;&gt;"Serviço",AND(AUTOEVENTO="Manual",$M116=$A$15),$M116&gt;(ROW(PLE.lastrow)-ROW(PLE.firstrow))),0,
           IF(OFFSET(PLE!$G$15,$M116-$A$15,BE$13)="",10^12,OFFSET(PLE!$G$15,$M116-$A$15,BE$13)))</f>
        <v>1000000000000</v>
      </c>
      <c r="BF116" s="173">
        <f ca="1">IF(OR($D116&lt;&gt;"Serviço",AND(AUTOEVENTO="Manual",$M116=$A$15),$M116&gt;(ROW(PLE.lastrow)-ROW(PLE.firstrow))),0,
           IF(OFFSET(PLE!$G$15,$M116-$A$15,BF$13)="",10^12,OFFSET(PLE!$G$15,$M116-$A$15,BF$13)))</f>
        <v>1000000000000</v>
      </c>
      <c r="BG116" s="173">
        <f ca="1">IF(OR($D116&lt;&gt;"Serviço",AND(AUTOEVENTO="Manual",$M116=$A$15),$M116&gt;(ROW(PLE.lastrow)-ROW(PLE.firstrow))),0,
           IF(OFFSET(PLE!$G$15,$M116-$A$15,BG$13)="",10^12,OFFSET(PLE!$G$15,$M116-$A$15,BG$13)))</f>
        <v>1000000000000</v>
      </c>
    </row>
    <row r="117" spans="1:59" s="675" customFormat="1" ht="12.75" x14ac:dyDescent="0.2">
      <c r="A117" s="671" t="str">
        <f t="shared" ca="1" si="10"/>
        <v>95</v>
      </c>
      <c r="B117" s="671" t="str">
        <f ca="1">OFFSET(ORÇAMENTO!C$15,ROW(B117)-ROW(B$15),0)</f>
        <v>S</v>
      </c>
      <c r="C117" s="671" t="str">
        <f ca="1">OFFSET(ORÇAMENTO!L$15,ROW(C117)-ROW(C$15),0)</f>
        <v/>
      </c>
      <c r="D117" s="117" t="str">
        <f ca="1">OFFSET(ORÇAMENTO!N$15,ROW(D117)-ROW(D$15),0)</f>
        <v>Serviço</v>
      </c>
      <c r="E117" s="118" t="str">
        <f ca="1">OFFSET(ORÇAMENTO!O$15,ROW(E117)-ROW(E$15),0)</f>
        <v>-</v>
      </c>
      <c r="F117" s="164" t="str">
        <f ca="1">OFFSET(ORÇAMENTO!R$15,ROW(F117)-ROW(F$15),0)</f>
        <v>(abra o arquivo 'Referência 09-2025.xlsm)</v>
      </c>
      <c r="G117" s="165" t="str">
        <f ca="1">IF($D117&lt;&gt;"Serviço","",OFFSET(ORÇAMENTO!S$15,ROW(G117)-ROW(G$15),0))</f>
        <v>-</v>
      </c>
      <c r="H117" s="123">
        <f ca="1">IF($D117&lt;&gt;"Serviço",0,IF(ACOMPANHAMENTO="BM",ROUND(OFFSET(ORÇAMENTO!AJ$15,ROW(H117)-ROW(H$15),0),15-13*ORÇAMENTO!$AF$7),SUMPRODUCT(($Q$1:$AA$1=1)*ROUND($Q117:$AA117,15-13*ORÇAMENTO!$AF$7))))</f>
        <v>2890</v>
      </c>
      <c r="I117" s="469" t="s">
        <v>1148</v>
      </c>
      <c r="J117" s="667" t="str">
        <f ca="1">IF(OR(B117&lt;&gt;"S",CÁLCULO.FrentesPreenchidas=0),"",IF(AND(ACOMPANHAMENTO="PLE",AUTOEVENTO="Manual",OR(H117&gt;0,ORÇAMENTO!AC117="QUANT."),OR(K117="",M117=0,N117="")),"►",IF(AND(ACOMPANHAMENTO="PLE",ORÇAMENTO!AC117="QUANT."),"►►",IF(AND(COUNTIF($P$11:$AA$11,"▼")=0,H117&gt;0,I117=""),"◄",""))))</f>
        <v/>
      </c>
      <c r="K117" s="668"/>
      <c r="L117" s="166" t="s">
        <v>765</v>
      </c>
      <c r="M117" s="167">
        <f ca="1">IF($D117&lt;&gt;"Serviço","",
          IF(AUTOEVENTO="manual",$A117,
                IF(ISERROR(MATCH($A117,$A$15:OFFSET($A117,-1,0),0)),MAX($M$15:OFFSET(M117,-1,0))+1,
                      INDEX($M$15:OFFSET(M117,-1,0),MATCH($A117,$A$15:OFFSET($A117,-1,0),0)))))</f>
        <v>11</v>
      </c>
      <c r="N117" s="168" t="str">
        <f ca="1">IF($D117&lt;&gt;"Serviço","",
         IF(AUTOEVENTO="Manual",
                IF($A117=0,"&lt;-- defina o número do agrupador",
                       OFFSET(EVENTOS!$D$15,$A117-$A$15,0)),
                OFFSET($F$15,$A117,0)))</f>
        <v>MOVIMENTO DE TERRA</v>
      </c>
      <c r="O117" s="169"/>
      <c r="Q117" s="169"/>
      <c r="R117" s="170"/>
      <c r="S117" s="170"/>
      <c r="T117" s="170"/>
      <c r="U117" s="170"/>
      <c r="V117" s="170"/>
      <c r="W117" s="170"/>
      <c r="X117" s="170"/>
      <c r="Y117" s="170"/>
      <c r="Z117" s="171"/>
      <c r="AB117" s="454">
        <f ca="1">IF(AND($D117="Serviço",AB$12&lt;&gt;0,$H117&gt;0,OR(AUTOEVENTO&lt;&gt;"manual",$M117&lt;&gt;$A$15)),
        IF(Import.TipoArredondamento&lt;&gt;"TransfereGOV",
              ROUND(OFFSET($P117,0,AB$13),15-13*ORÇAMENTO!$AF$7)/$H117*OFFSET(ORÇAMENTO!$X$15,ROW(AB117)-ROW(AB$15),0),
              ROUND(ROUND(OFFSET($P117,0,AB$13),15-13*ORÇAMENTO!$AF$7)*OFFSET(ORÇAMENTO!$W$15,ROW(AB117)-ROW(AB$15),0),15-13*ORÇAMENTO!$AF$11)),
         0)</f>
        <v>0</v>
      </c>
      <c r="AC117" s="454">
        <f ca="1">IF(AND($D117="Serviço",AC$12&lt;&gt;0,$H117&gt;0,OR(AUTOEVENTO&lt;&gt;"manual",$M117&lt;&gt;$A$15)),
        IF(Import.TipoArredondamento&lt;&gt;"TransfereGOV",
              ROUND(OFFSET($P117,0,AC$13),15-13*ORÇAMENTO!$AF$7)/$H117*OFFSET(ORÇAMENTO!$X$15,ROW(AC117)-ROW(AC$15),0),
              ROUND(ROUND(OFFSET($P117,0,AC$13),15-13*ORÇAMENTO!$AF$7)*OFFSET(ORÇAMENTO!$W$15,ROW(AC117)-ROW(AC$15),0),15-13*ORÇAMENTO!$AF$11)),
         0)</f>
        <v>0</v>
      </c>
      <c r="AD117" s="454">
        <f ca="1">IF(AND($D117="Serviço",AD$12&lt;&gt;0,$H117&gt;0,OR(AUTOEVENTO&lt;&gt;"manual",$M117&lt;&gt;$A$15)),
        IF(Import.TipoArredondamento&lt;&gt;"TransfereGOV",
              ROUND(OFFSET($P117,0,AD$13),15-13*ORÇAMENTO!$AF$7)/$H117*OFFSET(ORÇAMENTO!$X$15,ROW(AD117)-ROW(AD$15),0),
              ROUND(ROUND(OFFSET($P117,0,AD$13),15-13*ORÇAMENTO!$AF$7)*OFFSET(ORÇAMENTO!$W$15,ROW(AD117)-ROW(AD$15),0),15-13*ORÇAMENTO!$AF$11)),
         0)</f>
        <v>0</v>
      </c>
      <c r="AE117" s="454">
        <f ca="1">IF(AND($D117="Serviço",AE$12&lt;&gt;0,$H117&gt;0,OR(AUTOEVENTO&lt;&gt;"manual",$M117&lt;&gt;$A$15)),
        IF(Import.TipoArredondamento&lt;&gt;"TransfereGOV",
              ROUND(OFFSET($P117,0,AE$13),15-13*ORÇAMENTO!$AF$7)/$H117*OFFSET(ORÇAMENTO!$X$15,ROW(AE117)-ROW(AE$15),0),
              ROUND(ROUND(OFFSET($P117,0,AE$13),15-13*ORÇAMENTO!$AF$7)*OFFSET(ORÇAMENTO!$W$15,ROW(AE117)-ROW(AE$15),0),15-13*ORÇAMENTO!$AF$11)),
         0)</f>
        <v>0</v>
      </c>
      <c r="AF117" s="454">
        <f ca="1">IF(AND($D117="Serviço",AF$12&lt;&gt;0,$H117&gt;0,OR(AUTOEVENTO&lt;&gt;"manual",$M117&lt;&gt;$A$15)),
        IF(Import.TipoArredondamento&lt;&gt;"TransfereGOV",
              ROUND(OFFSET($P117,0,AF$13),15-13*ORÇAMENTO!$AF$7)/$H117*OFFSET(ORÇAMENTO!$X$15,ROW(AF117)-ROW(AF$15),0),
              ROUND(ROUND(OFFSET($P117,0,AF$13),15-13*ORÇAMENTO!$AF$7)*OFFSET(ORÇAMENTO!$W$15,ROW(AF117)-ROW(AF$15),0),15-13*ORÇAMENTO!$AF$11)),
         0)</f>
        <v>0</v>
      </c>
      <c r="AG117" s="454">
        <f ca="1">IF(AND($D117="Serviço",AG$12&lt;&gt;0,$H117&gt;0,OR(AUTOEVENTO&lt;&gt;"manual",$M117&lt;&gt;$A$15)),
        IF(Import.TipoArredondamento&lt;&gt;"TransfereGOV",
              ROUND(OFFSET($P117,0,AG$13),15-13*ORÇAMENTO!$AF$7)/$H117*OFFSET(ORÇAMENTO!$X$15,ROW(AG117)-ROW(AG$15),0),
              ROUND(ROUND(OFFSET($P117,0,AG$13),15-13*ORÇAMENTO!$AF$7)*OFFSET(ORÇAMENTO!$W$15,ROW(AG117)-ROW(AG$15),0),15-13*ORÇAMENTO!$AF$11)),
         0)</f>
        <v>0</v>
      </c>
      <c r="AH117" s="454">
        <f ca="1">IF(AND($D117="Serviço",AH$12&lt;&gt;0,$H117&gt;0,OR(AUTOEVENTO&lt;&gt;"manual",$M117&lt;&gt;$A$15)),
        IF(Import.TipoArredondamento&lt;&gt;"TransfereGOV",
              ROUND(OFFSET($P117,0,AH$13),15-13*ORÇAMENTO!$AF$7)/$H117*OFFSET(ORÇAMENTO!$X$15,ROW(AH117)-ROW(AH$15),0),
              ROUND(ROUND(OFFSET($P117,0,AH$13),15-13*ORÇAMENTO!$AF$7)*OFFSET(ORÇAMENTO!$W$15,ROW(AH117)-ROW(AH$15),0),15-13*ORÇAMENTO!$AF$11)),
         0)</f>
        <v>0</v>
      </c>
      <c r="AI117" s="454">
        <f ca="1">IF(AND($D117="Serviço",AI$12&lt;&gt;0,$H117&gt;0,OR(AUTOEVENTO&lt;&gt;"manual",$M117&lt;&gt;$A$15)),
        IF(Import.TipoArredondamento&lt;&gt;"TransfereGOV",
              ROUND(OFFSET($P117,0,AI$13),15-13*ORÇAMENTO!$AF$7)/$H117*OFFSET(ORÇAMENTO!$X$15,ROW(AI117)-ROW(AI$15),0),
              ROUND(ROUND(OFFSET($P117,0,AI$13),15-13*ORÇAMENTO!$AF$7)*OFFSET(ORÇAMENTO!$W$15,ROW(AI117)-ROW(AI$15),0),15-13*ORÇAMENTO!$AF$11)),
         0)</f>
        <v>0</v>
      </c>
      <c r="AJ117" s="454">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4">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M117" s="172">
        <f ca="1">IF(OR($D117&lt;&gt;"Serviço",AND(AUTOEVENTO="Manual",$M117=$A$15)),0,
         IF(OFFSET(CRONOPLE!$F$15,$M117-$A$15,AM$13)=0,10^12,OFFSET(CRONOPLE!$F$15,$M117-$A$15,AM$13)))</f>
        <v>1000000000000</v>
      </c>
      <c r="AN117" s="172">
        <f ca="1">IF(OR($D117&lt;&gt;"Serviço",AND(AUTOEVENTO="Manual",$M117=$A$15)),0,
         IF(OFFSET(CRONOPLE!$F$15,$M117-$A$15,AN$13)=0,10^12,OFFSET(CRONOPLE!$F$15,$M117-$A$15,AN$13)))</f>
        <v>1000000000000</v>
      </c>
      <c r="AO117" s="172">
        <f ca="1">IF(OR($D117&lt;&gt;"Serviço",AND(AUTOEVENTO="Manual",$M117=$A$15)),0,
         IF(OFFSET(CRONOPLE!$F$15,$M117-$A$15,AO$13)=0,10^12,OFFSET(CRONOPLE!$F$15,$M117-$A$15,AO$13)))</f>
        <v>1000000000000</v>
      </c>
      <c r="AP117" s="172">
        <f ca="1">IF(OR($D117&lt;&gt;"Serviço",AND(AUTOEVENTO="Manual",$M117=$A$15)),0,
         IF(OFFSET(CRONOPLE!$F$15,$M117-$A$15,AP$13)=0,10^12,OFFSET(CRONOPLE!$F$15,$M117-$A$15,AP$13)))</f>
        <v>1000000000000</v>
      </c>
      <c r="AQ117" s="172">
        <f ca="1">IF(OR($D117&lt;&gt;"Serviço",AND(AUTOEVENTO="Manual",$M117=$A$15)),0,
         IF(OFFSET(CRONOPLE!$F$15,$M117-$A$15,AQ$13)=0,10^12,OFFSET(CRONOPLE!$F$15,$M117-$A$15,AQ$13)))</f>
        <v>1000000000000</v>
      </c>
      <c r="AR117" s="172">
        <f ca="1">IF(OR($D117&lt;&gt;"Serviço",AND(AUTOEVENTO="Manual",$M117=$A$15)),0,
         IF(OFFSET(CRONOPLE!$F$15,$M117-$A$15,AR$13)=0,10^12,OFFSET(CRONOPLE!$F$15,$M117-$A$15,AR$13)))</f>
        <v>1000000000000</v>
      </c>
      <c r="AS117" s="172">
        <f ca="1">IF(OR($D117&lt;&gt;"Serviço",AND(AUTOEVENTO="Manual",$M117=$A$15)),0,
         IF(OFFSET(CRONOPLE!$F$15,$M117-$A$15,AS$13)=0,10^12,OFFSET(CRONOPLE!$F$15,$M117-$A$15,AS$13)))</f>
        <v>1000000000000</v>
      </c>
      <c r="AT117" s="172">
        <f ca="1">IF(OR($D117&lt;&gt;"Serviço",AND(AUTOEVENTO="Manual",$M117=$A$15)),0,
         IF(OFFSET(CRONOPLE!$F$15,$M117-$A$15,AT$13)=0,10^12,OFFSET(CRONOPLE!$F$15,$M117-$A$15,AT$13)))</f>
        <v>1000000000000</v>
      </c>
      <c r="AU117" s="172">
        <f ca="1">IF(OR($D117&lt;&gt;"Serviço",AND(AUTOEVENTO="Manual",$M117=$A$15)),0,
         IF(OFFSET(CRONOPLE!$F$15,$M117-$A$15,AU$13)=0,10^12,OFFSET(CRONOPLE!$F$15,$M117-$A$15,AU$13)))</f>
        <v>1000000000000</v>
      </c>
      <c r="AV117" s="172">
        <f ca="1">IF(OR($D117&lt;&gt;"Serviço",AND(AUTOEVENTO="Manual",$M117=$A$15)),0,
         IF(OFFSET(CRONOPLE!$F$15,$M117-$A$15,AV$13)=0,10^12,OFFSET(CRONOPLE!$F$15,$M117-$A$15,AV$13)))</f>
        <v>1000000000000</v>
      </c>
      <c r="AX117" s="173">
        <f ca="1">IF(OR($D117&lt;&gt;"Serviço",AND(AUTOEVENTO="Manual",$M117=$A$15),$M117&gt;(ROW(PLE.lastrow)-ROW(PLE.firstrow))),0,
           IF(OFFSET(PLE!$G$15,$M117-$A$15,AX$13)="",10^12,OFFSET(PLE!$G$15,$M117-$A$15,AX$13)))</f>
        <v>1000000000000</v>
      </c>
      <c r="AY117" s="173">
        <f ca="1">IF(OR($D117&lt;&gt;"Serviço",AND(AUTOEVENTO="Manual",$M117=$A$15),$M117&gt;(ROW(PLE.lastrow)-ROW(PLE.firstrow))),0,
           IF(OFFSET(PLE!$G$15,$M117-$A$15,AY$13)="",10^12,OFFSET(PLE!$G$15,$M117-$A$15,AY$13)))</f>
        <v>1000000000000</v>
      </c>
      <c r="AZ117" s="173">
        <f ca="1">IF(OR($D117&lt;&gt;"Serviço",AND(AUTOEVENTO="Manual",$M117=$A$15),$M117&gt;(ROW(PLE.lastrow)-ROW(PLE.firstrow))),0,
           IF(OFFSET(PLE!$G$15,$M117-$A$15,AZ$13)="",10^12,OFFSET(PLE!$G$15,$M117-$A$15,AZ$13)))</f>
        <v>1000000000000</v>
      </c>
      <c r="BA117" s="173">
        <f ca="1">IF(OR($D117&lt;&gt;"Serviço",AND(AUTOEVENTO="Manual",$M117=$A$15),$M117&gt;(ROW(PLE.lastrow)-ROW(PLE.firstrow))),0,
           IF(OFFSET(PLE!$G$15,$M117-$A$15,BA$13)="",10^12,OFFSET(PLE!$G$15,$M117-$A$15,BA$13)))</f>
        <v>1000000000000</v>
      </c>
      <c r="BB117" s="173">
        <f ca="1">IF(OR($D117&lt;&gt;"Serviço",AND(AUTOEVENTO="Manual",$M117=$A$15),$M117&gt;(ROW(PLE.lastrow)-ROW(PLE.firstrow))),0,
           IF(OFFSET(PLE!$G$15,$M117-$A$15,BB$13)="",10^12,OFFSET(PLE!$G$15,$M117-$A$15,BB$13)))</f>
        <v>1000000000000</v>
      </c>
      <c r="BC117" s="173">
        <f ca="1">IF(OR($D117&lt;&gt;"Serviço",AND(AUTOEVENTO="Manual",$M117=$A$15),$M117&gt;(ROW(PLE.lastrow)-ROW(PLE.firstrow))),0,
           IF(OFFSET(PLE!$G$15,$M117-$A$15,BC$13)="",10^12,OFFSET(PLE!$G$15,$M117-$A$15,BC$13)))</f>
        <v>1000000000000</v>
      </c>
      <c r="BD117" s="173">
        <f ca="1">IF(OR($D117&lt;&gt;"Serviço",AND(AUTOEVENTO="Manual",$M117=$A$15),$M117&gt;(ROW(PLE.lastrow)-ROW(PLE.firstrow))),0,
           IF(OFFSET(PLE!$G$15,$M117-$A$15,BD$13)="",10^12,OFFSET(PLE!$G$15,$M117-$A$15,BD$13)))</f>
        <v>1000000000000</v>
      </c>
      <c r="BE117" s="173">
        <f ca="1">IF(OR($D117&lt;&gt;"Serviço",AND(AUTOEVENTO="Manual",$M117=$A$15),$M117&gt;(ROW(PLE.lastrow)-ROW(PLE.firstrow))),0,
           IF(OFFSET(PLE!$G$15,$M117-$A$15,BE$13)="",10^12,OFFSET(PLE!$G$15,$M117-$A$15,BE$13)))</f>
        <v>1000000000000</v>
      </c>
      <c r="BF117" s="173">
        <f ca="1">IF(OR($D117&lt;&gt;"Serviço",AND(AUTOEVENTO="Manual",$M117=$A$15),$M117&gt;(ROW(PLE.lastrow)-ROW(PLE.firstrow))),0,
           IF(OFFSET(PLE!$G$15,$M117-$A$15,BF$13)="",10^12,OFFSET(PLE!$G$15,$M117-$A$15,BF$13)))</f>
        <v>1000000000000</v>
      </c>
      <c r="BG117" s="173">
        <f ca="1">IF(OR($D117&lt;&gt;"Serviço",AND(AUTOEVENTO="Manual",$M117=$A$15),$M117&gt;(ROW(PLE.lastrow)-ROW(PLE.firstrow))),0,
           IF(OFFSET(PLE!$G$15,$M117-$A$15,BG$13)="",10^12,OFFSET(PLE!$G$15,$M117-$A$15,BG$13)))</f>
        <v>1000000000000</v>
      </c>
    </row>
    <row r="118" spans="1:59" s="675" customFormat="1" ht="25.5" x14ac:dyDescent="0.2">
      <c r="A118" s="671" t="str">
        <f t="shared" ca="1" si="10"/>
        <v>95</v>
      </c>
      <c r="B118" s="671" t="str">
        <f ca="1">OFFSET(ORÇAMENTO!C$15,ROW(B118)-ROW(B$15),0)</f>
        <v>S</v>
      </c>
      <c r="C118" s="671" t="str">
        <f ca="1">OFFSET(ORÇAMENTO!L$15,ROW(C118)-ROW(C$15),0)</f>
        <v/>
      </c>
      <c r="D118" s="117" t="str">
        <f ca="1">OFFSET(ORÇAMENTO!N$15,ROW(D118)-ROW(D$15),0)</f>
        <v>Serviço</v>
      </c>
      <c r="E118" s="118" t="str">
        <f ca="1">OFFSET(ORÇAMENTO!O$15,ROW(E118)-ROW(E$15),0)</f>
        <v>-</v>
      </c>
      <c r="F118" s="164" t="str">
        <f ca="1">OFFSET(ORÇAMENTO!R$15,ROW(F118)-ROW(F$15),0)</f>
        <v>(abra o arquivo 'Referência 09-2025.xlsm)</v>
      </c>
      <c r="G118" s="165" t="str">
        <f ca="1">IF($D118&lt;&gt;"Serviço","",OFFSET(ORÇAMENTO!S$15,ROW(G118)-ROW(G$15),0))</f>
        <v>-</v>
      </c>
      <c r="H118" s="123">
        <f ca="1">IF($D118&lt;&gt;"Serviço",0,IF(ACOMPANHAMENTO="BM",ROUND(OFFSET(ORÇAMENTO!AJ$15,ROW(H118)-ROW(H$15),0),15-13*ORÇAMENTO!$AF$7),SUMPRODUCT(($Q$1:$AA$1=1)*ROUND($Q118:$AA118,15-13*ORÇAMENTO!$AF$7))))</f>
        <v>2427.4</v>
      </c>
      <c r="I118" s="469" t="s">
        <v>1147</v>
      </c>
      <c r="J118" s="667" t="str">
        <f ca="1">IF(OR(B118&lt;&gt;"S",CÁLCULO.FrentesPreenchidas=0),"",IF(AND(ACOMPANHAMENTO="PLE",AUTOEVENTO="Manual",OR(H118&gt;0,ORÇAMENTO!AC118="QUANT."),OR(K118="",M118=0,N118="")),"►",IF(AND(ACOMPANHAMENTO="PLE",ORÇAMENTO!AC118="QUANT."),"►►",IF(AND(COUNTIF($P$11:$AA$11,"▼")=0,H118&gt;0,I118=""),"◄",""))))</f>
        <v/>
      </c>
      <c r="K118" s="668"/>
      <c r="L118" s="166" t="s">
        <v>765</v>
      </c>
      <c r="M118" s="167">
        <f ca="1">IF($D118&lt;&gt;"Serviço","",
          IF(AUTOEVENTO="manual",$A118,
                IF(ISERROR(MATCH($A118,$A$15:OFFSET($A118,-1,0),0)),MAX($M$15:OFFSET(M118,-1,0))+1,
                      INDEX($M$15:OFFSET(M118,-1,0),MATCH($A118,$A$15:OFFSET($A118,-1,0),0)))))</f>
        <v>11</v>
      </c>
      <c r="N118" s="168" t="str">
        <f ca="1">IF($D118&lt;&gt;"Serviço","",
         IF(AUTOEVENTO="Manual",
                IF($A118=0,"&lt;-- defina o número do agrupador",
                       OFFSET(EVENTOS!$D$15,$A118-$A$15,0)),
                OFFSET($F$15,$A118,0)))</f>
        <v>MOVIMENTO DE TERRA</v>
      </c>
      <c r="O118" s="169"/>
      <c r="Q118" s="169"/>
      <c r="R118" s="170"/>
      <c r="S118" s="170"/>
      <c r="T118" s="170"/>
      <c r="U118" s="170"/>
      <c r="V118" s="170"/>
      <c r="W118" s="170"/>
      <c r="X118" s="170"/>
      <c r="Y118" s="170"/>
      <c r="Z118" s="171"/>
      <c r="AB118" s="454">
        <f ca="1">IF(AND($D118="Serviço",AB$12&lt;&gt;0,$H118&gt;0,OR(AUTOEVENTO&lt;&gt;"manual",$M118&lt;&gt;$A$15)),
        IF(Import.TipoArredondamento&lt;&gt;"TransfereGOV",
              ROUND(OFFSET($P118,0,AB$13),15-13*ORÇAMENTO!$AF$7)/$H118*OFFSET(ORÇAMENTO!$X$15,ROW(AB118)-ROW(AB$15),0),
              ROUND(ROUND(OFFSET($P118,0,AB$13),15-13*ORÇAMENTO!$AF$7)*OFFSET(ORÇAMENTO!$W$15,ROW(AB118)-ROW(AB$15),0),15-13*ORÇAMENTO!$AF$11)),
         0)</f>
        <v>0</v>
      </c>
      <c r="AC118" s="454">
        <f ca="1">IF(AND($D118="Serviço",AC$12&lt;&gt;0,$H118&gt;0,OR(AUTOEVENTO&lt;&gt;"manual",$M118&lt;&gt;$A$15)),
        IF(Import.TipoArredondamento&lt;&gt;"TransfereGOV",
              ROUND(OFFSET($P118,0,AC$13),15-13*ORÇAMENTO!$AF$7)/$H118*OFFSET(ORÇAMENTO!$X$15,ROW(AC118)-ROW(AC$15),0),
              ROUND(ROUND(OFFSET($P118,0,AC$13),15-13*ORÇAMENTO!$AF$7)*OFFSET(ORÇAMENTO!$W$15,ROW(AC118)-ROW(AC$15),0),15-13*ORÇAMENTO!$AF$11)),
         0)</f>
        <v>0</v>
      </c>
      <c r="AD118" s="454">
        <f ca="1">IF(AND($D118="Serviço",AD$12&lt;&gt;0,$H118&gt;0,OR(AUTOEVENTO&lt;&gt;"manual",$M118&lt;&gt;$A$15)),
        IF(Import.TipoArredondamento&lt;&gt;"TransfereGOV",
              ROUND(OFFSET($P118,0,AD$13),15-13*ORÇAMENTO!$AF$7)/$H118*OFFSET(ORÇAMENTO!$X$15,ROW(AD118)-ROW(AD$15),0),
              ROUND(ROUND(OFFSET($P118,0,AD$13),15-13*ORÇAMENTO!$AF$7)*OFFSET(ORÇAMENTO!$W$15,ROW(AD118)-ROW(AD$15),0),15-13*ORÇAMENTO!$AF$11)),
         0)</f>
        <v>0</v>
      </c>
      <c r="AE118" s="454">
        <f ca="1">IF(AND($D118="Serviço",AE$12&lt;&gt;0,$H118&gt;0,OR(AUTOEVENTO&lt;&gt;"manual",$M118&lt;&gt;$A$15)),
        IF(Import.TipoArredondamento&lt;&gt;"TransfereGOV",
              ROUND(OFFSET($P118,0,AE$13),15-13*ORÇAMENTO!$AF$7)/$H118*OFFSET(ORÇAMENTO!$X$15,ROW(AE118)-ROW(AE$15),0),
              ROUND(ROUND(OFFSET($P118,0,AE$13),15-13*ORÇAMENTO!$AF$7)*OFFSET(ORÇAMENTO!$W$15,ROW(AE118)-ROW(AE$15),0),15-13*ORÇAMENTO!$AF$11)),
         0)</f>
        <v>0</v>
      </c>
      <c r="AF118" s="454">
        <f ca="1">IF(AND($D118="Serviço",AF$12&lt;&gt;0,$H118&gt;0,OR(AUTOEVENTO&lt;&gt;"manual",$M118&lt;&gt;$A$15)),
        IF(Import.TipoArredondamento&lt;&gt;"TransfereGOV",
              ROUND(OFFSET($P118,0,AF$13),15-13*ORÇAMENTO!$AF$7)/$H118*OFFSET(ORÇAMENTO!$X$15,ROW(AF118)-ROW(AF$15),0),
              ROUND(ROUND(OFFSET($P118,0,AF$13),15-13*ORÇAMENTO!$AF$7)*OFFSET(ORÇAMENTO!$W$15,ROW(AF118)-ROW(AF$15),0),15-13*ORÇAMENTO!$AF$11)),
         0)</f>
        <v>0</v>
      </c>
      <c r="AG118" s="454">
        <f ca="1">IF(AND($D118="Serviço",AG$12&lt;&gt;0,$H118&gt;0,OR(AUTOEVENTO&lt;&gt;"manual",$M118&lt;&gt;$A$15)),
        IF(Import.TipoArredondamento&lt;&gt;"TransfereGOV",
              ROUND(OFFSET($P118,0,AG$13),15-13*ORÇAMENTO!$AF$7)/$H118*OFFSET(ORÇAMENTO!$X$15,ROW(AG118)-ROW(AG$15),0),
              ROUND(ROUND(OFFSET($P118,0,AG$13),15-13*ORÇAMENTO!$AF$7)*OFFSET(ORÇAMENTO!$W$15,ROW(AG118)-ROW(AG$15),0),15-13*ORÇAMENTO!$AF$11)),
         0)</f>
        <v>0</v>
      </c>
      <c r="AH118" s="454">
        <f ca="1">IF(AND($D118="Serviço",AH$12&lt;&gt;0,$H118&gt;0,OR(AUTOEVENTO&lt;&gt;"manual",$M118&lt;&gt;$A$15)),
        IF(Import.TipoArredondamento&lt;&gt;"TransfereGOV",
              ROUND(OFFSET($P118,0,AH$13),15-13*ORÇAMENTO!$AF$7)/$H118*OFFSET(ORÇAMENTO!$X$15,ROW(AH118)-ROW(AH$15),0),
              ROUND(ROUND(OFFSET($P118,0,AH$13),15-13*ORÇAMENTO!$AF$7)*OFFSET(ORÇAMENTO!$W$15,ROW(AH118)-ROW(AH$15),0),15-13*ORÇAMENTO!$AF$11)),
         0)</f>
        <v>0</v>
      </c>
      <c r="AI118" s="454">
        <f ca="1">IF(AND($D118="Serviço",AI$12&lt;&gt;0,$H118&gt;0,OR(AUTOEVENTO&lt;&gt;"manual",$M118&lt;&gt;$A$15)),
        IF(Import.TipoArredondamento&lt;&gt;"TransfereGOV",
              ROUND(OFFSET($P118,0,AI$13),15-13*ORÇAMENTO!$AF$7)/$H118*OFFSET(ORÇAMENTO!$X$15,ROW(AI118)-ROW(AI$15),0),
              ROUND(ROUND(OFFSET($P118,0,AI$13),15-13*ORÇAMENTO!$AF$7)*OFFSET(ORÇAMENTO!$W$15,ROW(AI118)-ROW(AI$15),0),15-13*ORÇAMENTO!$AF$11)),
         0)</f>
        <v>0</v>
      </c>
      <c r="AJ118" s="454">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4">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M118" s="172">
        <f ca="1">IF(OR($D118&lt;&gt;"Serviço",AND(AUTOEVENTO="Manual",$M118=$A$15)),0,
         IF(OFFSET(CRONOPLE!$F$15,$M118-$A$15,AM$13)=0,10^12,OFFSET(CRONOPLE!$F$15,$M118-$A$15,AM$13)))</f>
        <v>1000000000000</v>
      </c>
      <c r="AN118" s="172">
        <f ca="1">IF(OR($D118&lt;&gt;"Serviço",AND(AUTOEVENTO="Manual",$M118=$A$15)),0,
         IF(OFFSET(CRONOPLE!$F$15,$M118-$A$15,AN$13)=0,10^12,OFFSET(CRONOPLE!$F$15,$M118-$A$15,AN$13)))</f>
        <v>1000000000000</v>
      </c>
      <c r="AO118" s="172">
        <f ca="1">IF(OR($D118&lt;&gt;"Serviço",AND(AUTOEVENTO="Manual",$M118=$A$15)),0,
         IF(OFFSET(CRONOPLE!$F$15,$M118-$A$15,AO$13)=0,10^12,OFFSET(CRONOPLE!$F$15,$M118-$A$15,AO$13)))</f>
        <v>1000000000000</v>
      </c>
      <c r="AP118" s="172">
        <f ca="1">IF(OR($D118&lt;&gt;"Serviço",AND(AUTOEVENTO="Manual",$M118=$A$15)),0,
         IF(OFFSET(CRONOPLE!$F$15,$M118-$A$15,AP$13)=0,10^12,OFFSET(CRONOPLE!$F$15,$M118-$A$15,AP$13)))</f>
        <v>1000000000000</v>
      </c>
      <c r="AQ118" s="172">
        <f ca="1">IF(OR($D118&lt;&gt;"Serviço",AND(AUTOEVENTO="Manual",$M118=$A$15)),0,
         IF(OFFSET(CRONOPLE!$F$15,$M118-$A$15,AQ$13)=0,10^12,OFFSET(CRONOPLE!$F$15,$M118-$A$15,AQ$13)))</f>
        <v>1000000000000</v>
      </c>
      <c r="AR118" s="172">
        <f ca="1">IF(OR($D118&lt;&gt;"Serviço",AND(AUTOEVENTO="Manual",$M118=$A$15)),0,
         IF(OFFSET(CRONOPLE!$F$15,$M118-$A$15,AR$13)=0,10^12,OFFSET(CRONOPLE!$F$15,$M118-$A$15,AR$13)))</f>
        <v>1000000000000</v>
      </c>
      <c r="AS118" s="172">
        <f ca="1">IF(OR($D118&lt;&gt;"Serviço",AND(AUTOEVENTO="Manual",$M118=$A$15)),0,
         IF(OFFSET(CRONOPLE!$F$15,$M118-$A$15,AS$13)=0,10^12,OFFSET(CRONOPLE!$F$15,$M118-$A$15,AS$13)))</f>
        <v>1000000000000</v>
      </c>
      <c r="AT118" s="172">
        <f ca="1">IF(OR($D118&lt;&gt;"Serviço",AND(AUTOEVENTO="Manual",$M118=$A$15)),0,
         IF(OFFSET(CRONOPLE!$F$15,$M118-$A$15,AT$13)=0,10^12,OFFSET(CRONOPLE!$F$15,$M118-$A$15,AT$13)))</f>
        <v>1000000000000</v>
      </c>
      <c r="AU118" s="172">
        <f ca="1">IF(OR($D118&lt;&gt;"Serviço",AND(AUTOEVENTO="Manual",$M118=$A$15)),0,
         IF(OFFSET(CRONOPLE!$F$15,$M118-$A$15,AU$13)=0,10^12,OFFSET(CRONOPLE!$F$15,$M118-$A$15,AU$13)))</f>
        <v>1000000000000</v>
      </c>
      <c r="AV118" s="172">
        <f ca="1">IF(OR($D118&lt;&gt;"Serviço",AND(AUTOEVENTO="Manual",$M118=$A$15)),0,
         IF(OFFSET(CRONOPLE!$F$15,$M118-$A$15,AV$13)=0,10^12,OFFSET(CRONOPLE!$F$15,$M118-$A$15,AV$13)))</f>
        <v>1000000000000</v>
      </c>
      <c r="AX118" s="173">
        <f ca="1">IF(OR($D118&lt;&gt;"Serviço",AND(AUTOEVENTO="Manual",$M118=$A$15),$M118&gt;(ROW(PLE.lastrow)-ROW(PLE.firstrow))),0,
           IF(OFFSET(PLE!$G$15,$M118-$A$15,AX$13)="",10^12,OFFSET(PLE!$G$15,$M118-$A$15,AX$13)))</f>
        <v>1000000000000</v>
      </c>
      <c r="AY118" s="173">
        <f ca="1">IF(OR($D118&lt;&gt;"Serviço",AND(AUTOEVENTO="Manual",$M118=$A$15),$M118&gt;(ROW(PLE.lastrow)-ROW(PLE.firstrow))),0,
           IF(OFFSET(PLE!$G$15,$M118-$A$15,AY$13)="",10^12,OFFSET(PLE!$G$15,$M118-$A$15,AY$13)))</f>
        <v>1000000000000</v>
      </c>
      <c r="AZ118" s="173">
        <f ca="1">IF(OR($D118&lt;&gt;"Serviço",AND(AUTOEVENTO="Manual",$M118=$A$15),$M118&gt;(ROW(PLE.lastrow)-ROW(PLE.firstrow))),0,
           IF(OFFSET(PLE!$G$15,$M118-$A$15,AZ$13)="",10^12,OFFSET(PLE!$G$15,$M118-$A$15,AZ$13)))</f>
        <v>1000000000000</v>
      </c>
      <c r="BA118" s="173">
        <f ca="1">IF(OR($D118&lt;&gt;"Serviço",AND(AUTOEVENTO="Manual",$M118=$A$15),$M118&gt;(ROW(PLE.lastrow)-ROW(PLE.firstrow))),0,
           IF(OFFSET(PLE!$G$15,$M118-$A$15,BA$13)="",10^12,OFFSET(PLE!$G$15,$M118-$A$15,BA$13)))</f>
        <v>1000000000000</v>
      </c>
      <c r="BB118" s="173">
        <f ca="1">IF(OR($D118&lt;&gt;"Serviço",AND(AUTOEVENTO="Manual",$M118=$A$15),$M118&gt;(ROW(PLE.lastrow)-ROW(PLE.firstrow))),0,
           IF(OFFSET(PLE!$G$15,$M118-$A$15,BB$13)="",10^12,OFFSET(PLE!$G$15,$M118-$A$15,BB$13)))</f>
        <v>1000000000000</v>
      </c>
      <c r="BC118" s="173">
        <f ca="1">IF(OR($D118&lt;&gt;"Serviço",AND(AUTOEVENTO="Manual",$M118=$A$15),$M118&gt;(ROW(PLE.lastrow)-ROW(PLE.firstrow))),0,
           IF(OFFSET(PLE!$G$15,$M118-$A$15,BC$13)="",10^12,OFFSET(PLE!$G$15,$M118-$A$15,BC$13)))</f>
        <v>1000000000000</v>
      </c>
      <c r="BD118" s="173">
        <f ca="1">IF(OR($D118&lt;&gt;"Serviço",AND(AUTOEVENTO="Manual",$M118=$A$15),$M118&gt;(ROW(PLE.lastrow)-ROW(PLE.firstrow))),0,
           IF(OFFSET(PLE!$G$15,$M118-$A$15,BD$13)="",10^12,OFFSET(PLE!$G$15,$M118-$A$15,BD$13)))</f>
        <v>1000000000000</v>
      </c>
      <c r="BE118" s="173">
        <f ca="1">IF(OR($D118&lt;&gt;"Serviço",AND(AUTOEVENTO="Manual",$M118=$A$15),$M118&gt;(ROW(PLE.lastrow)-ROW(PLE.firstrow))),0,
           IF(OFFSET(PLE!$G$15,$M118-$A$15,BE$13)="",10^12,OFFSET(PLE!$G$15,$M118-$A$15,BE$13)))</f>
        <v>1000000000000</v>
      </c>
      <c r="BF118" s="173">
        <f ca="1">IF(OR($D118&lt;&gt;"Serviço",AND(AUTOEVENTO="Manual",$M118=$A$15),$M118&gt;(ROW(PLE.lastrow)-ROW(PLE.firstrow))),0,
           IF(OFFSET(PLE!$G$15,$M118-$A$15,BF$13)="",10^12,OFFSET(PLE!$G$15,$M118-$A$15,BF$13)))</f>
        <v>1000000000000</v>
      </c>
      <c r="BG118" s="173">
        <f ca="1">IF(OR($D118&lt;&gt;"Serviço",AND(AUTOEVENTO="Manual",$M118=$A$15),$M118&gt;(ROW(PLE.lastrow)-ROW(PLE.firstrow))),0,
           IF(OFFSET(PLE!$G$15,$M118-$A$15,BG$13)="",10^12,OFFSET(PLE!$G$15,$M118-$A$15,BG$13)))</f>
        <v>1000000000000</v>
      </c>
    </row>
    <row r="119" spans="1:59" s="675" customFormat="1" ht="25.5" x14ac:dyDescent="0.2">
      <c r="A119" s="671" t="str">
        <f t="shared" ca="1" si="10"/>
        <v>95</v>
      </c>
      <c r="B119" s="671" t="str">
        <f ca="1">OFFSET(ORÇAMENTO!C$15,ROW(B119)-ROW(B$15),0)</f>
        <v>S</v>
      </c>
      <c r="C119" s="671" t="str">
        <f ca="1">OFFSET(ORÇAMENTO!L$15,ROW(C119)-ROW(C$15),0)</f>
        <v/>
      </c>
      <c r="D119" s="117" t="str">
        <f ca="1">OFFSET(ORÇAMENTO!N$15,ROW(D119)-ROW(D$15),0)</f>
        <v>Serviço</v>
      </c>
      <c r="E119" s="118" t="str">
        <f ca="1">OFFSET(ORÇAMENTO!O$15,ROW(E119)-ROW(E$15),0)</f>
        <v>-</v>
      </c>
      <c r="F119" s="164" t="str">
        <f ca="1">OFFSET(ORÇAMENTO!R$15,ROW(F119)-ROW(F$15),0)</f>
        <v>(abra o arquivo 'Referência 09-2025.xlsm)</v>
      </c>
      <c r="G119" s="165" t="str">
        <f ca="1">IF($D119&lt;&gt;"Serviço","",OFFSET(ORÇAMENTO!S$15,ROW(G119)-ROW(G$15),0))</f>
        <v>-</v>
      </c>
      <c r="H119" s="123">
        <f ca="1">IF($D119&lt;&gt;"Serviço",0,IF(ACOMPANHAMENTO="BM",ROUND(OFFSET(ORÇAMENTO!AJ$15,ROW(H119)-ROW(H$15),0),15-13*ORÇAMENTO!$AF$7),SUMPRODUCT(($Q$1:$AA$1=1)*ROUND($Q119:$AA119,15-13*ORÇAMENTO!$AF$7))))</f>
        <v>160.47999999999999</v>
      </c>
      <c r="I119" s="469" t="s">
        <v>1147</v>
      </c>
      <c r="J119" s="667" t="str">
        <f ca="1">IF(OR(B119&lt;&gt;"S",CÁLCULO.FrentesPreenchidas=0),"",IF(AND(ACOMPANHAMENTO="PLE",AUTOEVENTO="Manual",OR(H119&gt;0,ORÇAMENTO!AC119="QUANT."),OR(K119="",M119=0,N119="")),"►",IF(AND(ACOMPANHAMENTO="PLE",ORÇAMENTO!AC119="QUANT."),"►►",IF(AND(COUNTIF($P$11:$AA$11,"▼")=0,H119&gt;0,I119=""),"◄",""))))</f>
        <v/>
      </c>
      <c r="K119" s="668"/>
      <c r="L119" s="166" t="s">
        <v>765</v>
      </c>
      <c r="M119" s="167">
        <f ca="1">IF($D119&lt;&gt;"Serviço","",
          IF(AUTOEVENTO="manual",$A119,
                IF(ISERROR(MATCH($A119,$A$15:OFFSET($A119,-1,0),0)),MAX($M$15:OFFSET(M119,-1,0))+1,
                      INDEX($M$15:OFFSET(M119,-1,0),MATCH($A119,$A$15:OFFSET($A119,-1,0),0)))))</f>
        <v>11</v>
      </c>
      <c r="N119" s="168" t="str">
        <f ca="1">IF($D119&lt;&gt;"Serviço","",
         IF(AUTOEVENTO="Manual",
                IF($A119=0,"&lt;-- defina o número do agrupador",
                       OFFSET(EVENTOS!$D$15,$A119-$A$15,0)),
                OFFSET($F$15,$A119,0)))</f>
        <v>MOVIMENTO DE TERRA</v>
      </c>
      <c r="O119" s="169"/>
      <c r="Q119" s="169"/>
      <c r="R119" s="170"/>
      <c r="S119" s="170"/>
      <c r="T119" s="170"/>
      <c r="U119" s="170"/>
      <c r="V119" s="170"/>
      <c r="W119" s="170"/>
      <c r="X119" s="170"/>
      <c r="Y119" s="170"/>
      <c r="Z119" s="171"/>
      <c r="AB119" s="454">
        <f ca="1">IF(AND($D119="Serviço",AB$12&lt;&gt;0,$H119&gt;0,OR(AUTOEVENTO&lt;&gt;"manual",$M119&lt;&gt;$A$15)),
        IF(Import.TipoArredondamento&lt;&gt;"TransfereGOV",
              ROUND(OFFSET($P119,0,AB$13),15-13*ORÇAMENTO!$AF$7)/$H119*OFFSET(ORÇAMENTO!$X$15,ROW(AB119)-ROW(AB$15),0),
              ROUND(ROUND(OFFSET($P119,0,AB$13),15-13*ORÇAMENTO!$AF$7)*OFFSET(ORÇAMENTO!$W$15,ROW(AB119)-ROW(AB$15),0),15-13*ORÇAMENTO!$AF$11)),
         0)</f>
        <v>0</v>
      </c>
      <c r="AC119" s="454">
        <f ca="1">IF(AND($D119="Serviço",AC$12&lt;&gt;0,$H119&gt;0,OR(AUTOEVENTO&lt;&gt;"manual",$M119&lt;&gt;$A$15)),
        IF(Import.TipoArredondamento&lt;&gt;"TransfereGOV",
              ROUND(OFFSET($P119,0,AC$13),15-13*ORÇAMENTO!$AF$7)/$H119*OFFSET(ORÇAMENTO!$X$15,ROW(AC119)-ROW(AC$15),0),
              ROUND(ROUND(OFFSET($P119,0,AC$13),15-13*ORÇAMENTO!$AF$7)*OFFSET(ORÇAMENTO!$W$15,ROW(AC119)-ROW(AC$15),0),15-13*ORÇAMENTO!$AF$11)),
         0)</f>
        <v>0</v>
      </c>
      <c r="AD119" s="454">
        <f ca="1">IF(AND($D119="Serviço",AD$12&lt;&gt;0,$H119&gt;0,OR(AUTOEVENTO&lt;&gt;"manual",$M119&lt;&gt;$A$15)),
        IF(Import.TipoArredondamento&lt;&gt;"TransfereGOV",
              ROUND(OFFSET($P119,0,AD$13),15-13*ORÇAMENTO!$AF$7)/$H119*OFFSET(ORÇAMENTO!$X$15,ROW(AD119)-ROW(AD$15),0),
              ROUND(ROUND(OFFSET($P119,0,AD$13),15-13*ORÇAMENTO!$AF$7)*OFFSET(ORÇAMENTO!$W$15,ROW(AD119)-ROW(AD$15),0),15-13*ORÇAMENTO!$AF$11)),
         0)</f>
        <v>0</v>
      </c>
      <c r="AE119" s="454">
        <f ca="1">IF(AND($D119="Serviço",AE$12&lt;&gt;0,$H119&gt;0,OR(AUTOEVENTO&lt;&gt;"manual",$M119&lt;&gt;$A$15)),
        IF(Import.TipoArredondamento&lt;&gt;"TransfereGOV",
              ROUND(OFFSET($P119,0,AE$13),15-13*ORÇAMENTO!$AF$7)/$H119*OFFSET(ORÇAMENTO!$X$15,ROW(AE119)-ROW(AE$15),0),
              ROUND(ROUND(OFFSET($P119,0,AE$13),15-13*ORÇAMENTO!$AF$7)*OFFSET(ORÇAMENTO!$W$15,ROW(AE119)-ROW(AE$15),0),15-13*ORÇAMENTO!$AF$11)),
         0)</f>
        <v>0</v>
      </c>
      <c r="AF119" s="454">
        <f ca="1">IF(AND($D119="Serviço",AF$12&lt;&gt;0,$H119&gt;0,OR(AUTOEVENTO&lt;&gt;"manual",$M119&lt;&gt;$A$15)),
        IF(Import.TipoArredondamento&lt;&gt;"TransfereGOV",
              ROUND(OFFSET($P119,0,AF$13),15-13*ORÇAMENTO!$AF$7)/$H119*OFFSET(ORÇAMENTO!$X$15,ROW(AF119)-ROW(AF$15),0),
              ROUND(ROUND(OFFSET($P119,0,AF$13),15-13*ORÇAMENTO!$AF$7)*OFFSET(ORÇAMENTO!$W$15,ROW(AF119)-ROW(AF$15),0),15-13*ORÇAMENTO!$AF$11)),
         0)</f>
        <v>0</v>
      </c>
      <c r="AG119" s="454">
        <f ca="1">IF(AND($D119="Serviço",AG$12&lt;&gt;0,$H119&gt;0,OR(AUTOEVENTO&lt;&gt;"manual",$M119&lt;&gt;$A$15)),
        IF(Import.TipoArredondamento&lt;&gt;"TransfereGOV",
              ROUND(OFFSET($P119,0,AG$13),15-13*ORÇAMENTO!$AF$7)/$H119*OFFSET(ORÇAMENTO!$X$15,ROW(AG119)-ROW(AG$15),0),
              ROUND(ROUND(OFFSET($P119,0,AG$13),15-13*ORÇAMENTO!$AF$7)*OFFSET(ORÇAMENTO!$W$15,ROW(AG119)-ROW(AG$15),0),15-13*ORÇAMENTO!$AF$11)),
         0)</f>
        <v>0</v>
      </c>
      <c r="AH119" s="454">
        <f ca="1">IF(AND($D119="Serviço",AH$12&lt;&gt;0,$H119&gt;0,OR(AUTOEVENTO&lt;&gt;"manual",$M119&lt;&gt;$A$15)),
        IF(Import.TipoArredondamento&lt;&gt;"TransfereGOV",
              ROUND(OFFSET($P119,0,AH$13),15-13*ORÇAMENTO!$AF$7)/$H119*OFFSET(ORÇAMENTO!$X$15,ROW(AH119)-ROW(AH$15),0),
              ROUND(ROUND(OFFSET($P119,0,AH$13),15-13*ORÇAMENTO!$AF$7)*OFFSET(ORÇAMENTO!$W$15,ROW(AH119)-ROW(AH$15),0),15-13*ORÇAMENTO!$AF$11)),
         0)</f>
        <v>0</v>
      </c>
      <c r="AI119" s="454">
        <f ca="1">IF(AND($D119="Serviço",AI$12&lt;&gt;0,$H119&gt;0,OR(AUTOEVENTO&lt;&gt;"manual",$M119&lt;&gt;$A$15)),
        IF(Import.TipoArredondamento&lt;&gt;"TransfereGOV",
              ROUND(OFFSET($P119,0,AI$13),15-13*ORÇAMENTO!$AF$7)/$H119*OFFSET(ORÇAMENTO!$X$15,ROW(AI119)-ROW(AI$15),0),
              ROUND(ROUND(OFFSET($P119,0,AI$13),15-13*ORÇAMENTO!$AF$7)*OFFSET(ORÇAMENTO!$W$15,ROW(AI119)-ROW(AI$15),0),15-13*ORÇAMENTO!$AF$11)),
         0)</f>
        <v>0</v>
      </c>
      <c r="AJ119" s="454">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4">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M119" s="172">
        <f ca="1">IF(OR($D119&lt;&gt;"Serviço",AND(AUTOEVENTO="Manual",$M119=$A$15)),0,
         IF(OFFSET(CRONOPLE!$F$15,$M119-$A$15,AM$13)=0,10^12,OFFSET(CRONOPLE!$F$15,$M119-$A$15,AM$13)))</f>
        <v>1000000000000</v>
      </c>
      <c r="AN119" s="172">
        <f ca="1">IF(OR($D119&lt;&gt;"Serviço",AND(AUTOEVENTO="Manual",$M119=$A$15)),0,
         IF(OFFSET(CRONOPLE!$F$15,$M119-$A$15,AN$13)=0,10^12,OFFSET(CRONOPLE!$F$15,$M119-$A$15,AN$13)))</f>
        <v>1000000000000</v>
      </c>
      <c r="AO119" s="172">
        <f ca="1">IF(OR($D119&lt;&gt;"Serviço",AND(AUTOEVENTO="Manual",$M119=$A$15)),0,
         IF(OFFSET(CRONOPLE!$F$15,$M119-$A$15,AO$13)=0,10^12,OFFSET(CRONOPLE!$F$15,$M119-$A$15,AO$13)))</f>
        <v>1000000000000</v>
      </c>
      <c r="AP119" s="172">
        <f ca="1">IF(OR($D119&lt;&gt;"Serviço",AND(AUTOEVENTO="Manual",$M119=$A$15)),0,
         IF(OFFSET(CRONOPLE!$F$15,$M119-$A$15,AP$13)=0,10^12,OFFSET(CRONOPLE!$F$15,$M119-$A$15,AP$13)))</f>
        <v>1000000000000</v>
      </c>
      <c r="AQ119" s="172">
        <f ca="1">IF(OR($D119&lt;&gt;"Serviço",AND(AUTOEVENTO="Manual",$M119=$A$15)),0,
         IF(OFFSET(CRONOPLE!$F$15,$M119-$A$15,AQ$13)=0,10^12,OFFSET(CRONOPLE!$F$15,$M119-$A$15,AQ$13)))</f>
        <v>1000000000000</v>
      </c>
      <c r="AR119" s="172">
        <f ca="1">IF(OR($D119&lt;&gt;"Serviço",AND(AUTOEVENTO="Manual",$M119=$A$15)),0,
         IF(OFFSET(CRONOPLE!$F$15,$M119-$A$15,AR$13)=0,10^12,OFFSET(CRONOPLE!$F$15,$M119-$A$15,AR$13)))</f>
        <v>1000000000000</v>
      </c>
      <c r="AS119" s="172">
        <f ca="1">IF(OR($D119&lt;&gt;"Serviço",AND(AUTOEVENTO="Manual",$M119=$A$15)),0,
         IF(OFFSET(CRONOPLE!$F$15,$M119-$A$15,AS$13)=0,10^12,OFFSET(CRONOPLE!$F$15,$M119-$A$15,AS$13)))</f>
        <v>1000000000000</v>
      </c>
      <c r="AT119" s="172">
        <f ca="1">IF(OR($D119&lt;&gt;"Serviço",AND(AUTOEVENTO="Manual",$M119=$A$15)),0,
         IF(OFFSET(CRONOPLE!$F$15,$M119-$A$15,AT$13)=0,10^12,OFFSET(CRONOPLE!$F$15,$M119-$A$15,AT$13)))</f>
        <v>1000000000000</v>
      </c>
      <c r="AU119" s="172">
        <f ca="1">IF(OR($D119&lt;&gt;"Serviço",AND(AUTOEVENTO="Manual",$M119=$A$15)),0,
         IF(OFFSET(CRONOPLE!$F$15,$M119-$A$15,AU$13)=0,10^12,OFFSET(CRONOPLE!$F$15,$M119-$A$15,AU$13)))</f>
        <v>1000000000000</v>
      </c>
      <c r="AV119" s="172">
        <f ca="1">IF(OR($D119&lt;&gt;"Serviço",AND(AUTOEVENTO="Manual",$M119=$A$15)),0,
         IF(OFFSET(CRONOPLE!$F$15,$M119-$A$15,AV$13)=0,10^12,OFFSET(CRONOPLE!$F$15,$M119-$A$15,AV$13)))</f>
        <v>1000000000000</v>
      </c>
      <c r="AX119" s="173">
        <f ca="1">IF(OR($D119&lt;&gt;"Serviço",AND(AUTOEVENTO="Manual",$M119=$A$15),$M119&gt;(ROW(PLE.lastrow)-ROW(PLE.firstrow))),0,
           IF(OFFSET(PLE!$G$15,$M119-$A$15,AX$13)="",10^12,OFFSET(PLE!$G$15,$M119-$A$15,AX$13)))</f>
        <v>1000000000000</v>
      </c>
      <c r="AY119" s="173">
        <f ca="1">IF(OR($D119&lt;&gt;"Serviço",AND(AUTOEVENTO="Manual",$M119=$A$15),$M119&gt;(ROW(PLE.lastrow)-ROW(PLE.firstrow))),0,
           IF(OFFSET(PLE!$G$15,$M119-$A$15,AY$13)="",10^12,OFFSET(PLE!$G$15,$M119-$A$15,AY$13)))</f>
        <v>1000000000000</v>
      </c>
      <c r="AZ119" s="173">
        <f ca="1">IF(OR($D119&lt;&gt;"Serviço",AND(AUTOEVENTO="Manual",$M119=$A$15),$M119&gt;(ROW(PLE.lastrow)-ROW(PLE.firstrow))),0,
           IF(OFFSET(PLE!$G$15,$M119-$A$15,AZ$13)="",10^12,OFFSET(PLE!$G$15,$M119-$A$15,AZ$13)))</f>
        <v>1000000000000</v>
      </c>
      <c r="BA119" s="173">
        <f ca="1">IF(OR($D119&lt;&gt;"Serviço",AND(AUTOEVENTO="Manual",$M119=$A$15),$M119&gt;(ROW(PLE.lastrow)-ROW(PLE.firstrow))),0,
           IF(OFFSET(PLE!$G$15,$M119-$A$15,BA$13)="",10^12,OFFSET(PLE!$G$15,$M119-$A$15,BA$13)))</f>
        <v>1000000000000</v>
      </c>
      <c r="BB119" s="173">
        <f ca="1">IF(OR($D119&lt;&gt;"Serviço",AND(AUTOEVENTO="Manual",$M119=$A$15),$M119&gt;(ROW(PLE.lastrow)-ROW(PLE.firstrow))),0,
           IF(OFFSET(PLE!$G$15,$M119-$A$15,BB$13)="",10^12,OFFSET(PLE!$G$15,$M119-$A$15,BB$13)))</f>
        <v>1000000000000</v>
      </c>
      <c r="BC119" s="173">
        <f ca="1">IF(OR($D119&lt;&gt;"Serviço",AND(AUTOEVENTO="Manual",$M119=$A$15),$M119&gt;(ROW(PLE.lastrow)-ROW(PLE.firstrow))),0,
           IF(OFFSET(PLE!$G$15,$M119-$A$15,BC$13)="",10^12,OFFSET(PLE!$G$15,$M119-$A$15,BC$13)))</f>
        <v>1000000000000</v>
      </c>
      <c r="BD119" s="173">
        <f ca="1">IF(OR($D119&lt;&gt;"Serviço",AND(AUTOEVENTO="Manual",$M119=$A$15),$M119&gt;(ROW(PLE.lastrow)-ROW(PLE.firstrow))),0,
           IF(OFFSET(PLE!$G$15,$M119-$A$15,BD$13)="",10^12,OFFSET(PLE!$G$15,$M119-$A$15,BD$13)))</f>
        <v>1000000000000</v>
      </c>
      <c r="BE119" s="173">
        <f ca="1">IF(OR($D119&lt;&gt;"Serviço",AND(AUTOEVENTO="Manual",$M119=$A$15),$M119&gt;(ROW(PLE.lastrow)-ROW(PLE.firstrow))),0,
           IF(OFFSET(PLE!$G$15,$M119-$A$15,BE$13)="",10^12,OFFSET(PLE!$G$15,$M119-$A$15,BE$13)))</f>
        <v>1000000000000</v>
      </c>
      <c r="BF119" s="173">
        <f ca="1">IF(OR($D119&lt;&gt;"Serviço",AND(AUTOEVENTO="Manual",$M119=$A$15),$M119&gt;(ROW(PLE.lastrow)-ROW(PLE.firstrow))),0,
           IF(OFFSET(PLE!$G$15,$M119-$A$15,BF$13)="",10^12,OFFSET(PLE!$G$15,$M119-$A$15,BF$13)))</f>
        <v>1000000000000</v>
      </c>
      <c r="BG119" s="173">
        <f ca="1">IF(OR($D119&lt;&gt;"Serviço",AND(AUTOEVENTO="Manual",$M119=$A$15),$M119&gt;(ROW(PLE.lastrow)-ROW(PLE.firstrow))),0,
           IF(OFFSET(PLE!$G$15,$M119-$A$15,BG$13)="",10^12,OFFSET(PLE!$G$15,$M119-$A$15,BG$13)))</f>
        <v>1000000000000</v>
      </c>
    </row>
    <row r="120" spans="1:59" s="675" customFormat="1" ht="25.5" x14ac:dyDescent="0.2">
      <c r="A120" s="671" t="str">
        <f t="shared" ca="1" si="10"/>
        <v>95</v>
      </c>
      <c r="B120" s="671" t="str">
        <f ca="1">OFFSET(ORÇAMENTO!C$15,ROW(B120)-ROW(B$15),0)</f>
        <v>S</v>
      </c>
      <c r="C120" s="671" t="str">
        <f ca="1">OFFSET(ORÇAMENTO!L$15,ROW(C120)-ROW(C$15),0)</f>
        <v/>
      </c>
      <c r="D120" s="117" t="str">
        <f ca="1">OFFSET(ORÇAMENTO!N$15,ROW(D120)-ROW(D$15),0)</f>
        <v>Serviço</v>
      </c>
      <c r="E120" s="118" t="str">
        <f ca="1">OFFSET(ORÇAMENTO!O$15,ROW(E120)-ROW(E$15),0)</f>
        <v>-</v>
      </c>
      <c r="F120" s="164" t="str">
        <f ca="1">OFFSET(ORÇAMENTO!R$15,ROW(F120)-ROW(F$15),0)</f>
        <v>(abra o arquivo 'Referência 09-2025.xlsm)</v>
      </c>
      <c r="G120" s="165" t="str">
        <f ca="1">IF($D120&lt;&gt;"Serviço","",OFFSET(ORÇAMENTO!S$15,ROW(G120)-ROW(G$15),0))</f>
        <v>-</v>
      </c>
      <c r="H120" s="123">
        <f ca="1">IF($D120&lt;&gt;"Serviço",0,IF(ACOMPANHAMENTO="BM",ROUND(OFFSET(ORÇAMENTO!AJ$15,ROW(H120)-ROW(H$15),0),15-13*ORÇAMENTO!$AF$7),SUMPRODUCT(($Q$1:$AA$1=1)*ROUND($Q120:$AA120,15-13*ORÇAMENTO!$AF$7))))</f>
        <v>160.47999999999999</v>
      </c>
      <c r="I120" s="469" t="s">
        <v>1122</v>
      </c>
      <c r="J120" s="667" t="str">
        <f ca="1">IF(OR(B120&lt;&gt;"S",CÁLCULO.FrentesPreenchidas=0),"",IF(AND(ACOMPANHAMENTO="PLE",AUTOEVENTO="Manual",OR(H120&gt;0,ORÇAMENTO!AC120="QUANT."),OR(K120="",M120=0,N120="")),"►",IF(AND(ACOMPANHAMENTO="PLE",ORÇAMENTO!AC120="QUANT."),"►►",IF(AND(COUNTIF($P$11:$AA$11,"▼")=0,H120&gt;0,I120=""),"◄",""))))</f>
        <v/>
      </c>
      <c r="K120" s="668"/>
      <c r="L120" s="166" t="s">
        <v>765</v>
      </c>
      <c r="M120" s="167">
        <f ca="1">IF($D120&lt;&gt;"Serviço","",
          IF(AUTOEVENTO="manual",$A120,
                IF(ISERROR(MATCH($A120,$A$15:OFFSET($A120,-1,0),0)),MAX($M$15:OFFSET(M120,-1,0))+1,
                      INDEX($M$15:OFFSET(M120,-1,0),MATCH($A120,$A$15:OFFSET($A120,-1,0),0)))))</f>
        <v>11</v>
      </c>
      <c r="N120" s="168" t="str">
        <f ca="1">IF($D120&lt;&gt;"Serviço","",
         IF(AUTOEVENTO="Manual",
                IF($A120=0,"&lt;-- defina o número do agrupador",
                       OFFSET(EVENTOS!$D$15,$A120-$A$15,0)),
                OFFSET($F$15,$A120,0)))</f>
        <v>MOVIMENTO DE TERRA</v>
      </c>
      <c r="O120" s="169"/>
      <c r="Q120" s="169"/>
      <c r="R120" s="170"/>
      <c r="S120" s="170"/>
      <c r="T120" s="170"/>
      <c r="U120" s="170"/>
      <c r="V120" s="170"/>
      <c r="W120" s="170"/>
      <c r="X120" s="170"/>
      <c r="Y120" s="170"/>
      <c r="Z120" s="171"/>
      <c r="AB120" s="454">
        <f ca="1">IF(AND($D120="Serviço",AB$12&lt;&gt;0,$H120&gt;0,OR(AUTOEVENTO&lt;&gt;"manual",$M120&lt;&gt;$A$15)),
        IF(Import.TipoArredondamento&lt;&gt;"TransfereGOV",
              ROUND(OFFSET($P120,0,AB$13),15-13*ORÇAMENTO!$AF$7)/$H120*OFFSET(ORÇAMENTO!$X$15,ROW(AB120)-ROW(AB$15),0),
              ROUND(ROUND(OFFSET($P120,0,AB$13),15-13*ORÇAMENTO!$AF$7)*OFFSET(ORÇAMENTO!$W$15,ROW(AB120)-ROW(AB$15),0),15-13*ORÇAMENTO!$AF$11)),
         0)</f>
        <v>0</v>
      </c>
      <c r="AC120" s="454">
        <f ca="1">IF(AND($D120="Serviço",AC$12&lt;&gt;0,$H120&gt;0,OR(AUTOEVENTO&lt;&gt;"manual",$M120&lt;&gt;$A$15)),
        IF(Import.TipoArredondamento&lt;&gt;"TransfereGOV",
              ROUND(OFFSET($P120,0,AC$13),15-13*ORÇAMENTO!$AF$7)/$H120*OFFSET(ORÇAMENTO!$X$15,ROW(AC120)-ROW(AC$15),0),
              ROUND(ROUND(OFFSET($P120,0,AC$13),15-13*ORÇAMENTO!$AF$7)*OFFSET(ORÇAMENTO!$W$15,ROW(AC120)-ROW(AC$15),0),15-13*ORÇAMENTO!$AF$11)),
         0)</f>
        <v>0</v>
      </c>
      <c r="AD120" s="454">
        <f ca="1">IF(AND($D120="Serviço",AD$12&lt;&gt;0,$H120&gt;0,OR(AUTOEVENTO&lt;&gt;"manual",$M120&lt;&gt;$A$15)),
        IF(Import.TipoArredondamento&lt;&gt;"TransfereGOV",
              ROUND(OFFSET($P120,0,AD$13),15-13*ORÇAMENTO!$AF$7)/$H120*OFFSET(ORÇAMENTO!$X$15,ROW(AD120)-ROW(AD$15),0),
              ROUND(ROUND(OFFSET($P120,0,AD$13),15-13*ORÇAMENTO!$AF$7)*OFFSET(ORÇAMENTO!$W$15,ROW(AD120)-ROW(AD$15),0),15-13*ORÇAMENTO!$AF$11)),
         0)</f>
        <v>0</v>
      </c>
      <c r="AE120" s="454">
        <f ca="1">IF(AND($D120="Serviço",AE$12&lt;&gt;0,$H120&gt;0,OR(AUTOEVENTO&lt;&gt;"manual",$M120&lt;&gt;$A$15)),
        IF(Import.TipoArredondamento&lt;&gt;"TransfereGOV",
              ROUND(OFFSET($P120,0,AE$13),15-13*ORÇAMENTO!$AF$7)/$H120*OFFSET(ORÇAMENTO!$X$15,ROW(AE120)-ROW(AE$15),0),
              ROUND(ROUND(OFFSET($P120,0,AE$13),15-13*ORÇAMENTO!$AF$7)*OFFSET(ORÇAMENTO!$W$15,ROW(AE120)-ROW(AE$15),0),15-13*ORÇAMENTO!$AF$11)),
         0)</f>
        <v>0</v>
      </c>
      <c r="AF120" s="454">
        <f ca="1">IF(AND($D120="Serviço",AF$12&lt;&gt;0,$H120&gt;0,OR(AUTOEVENTO&lt;&gt;"manual",$M120&lt;&gt;$A$15)),
        IF(Import.TipoArredondamento&lt;&gt;"TransfereGOV",
              ROUND(OFFSET($P120,0,AF$13),15-13*ORÇAMENTO!$AF$7)/$H120*OFFSET(ORÇAMENTO!$X$15,ROW(AF120)-ROW(AF$15),0),
              ROUND(ROUND(OFFSET($P120,0,AF$13),15-13*ORÇAMENTO!$AF$7)*OFFSET(ORÇAMENTO!$W$15,ROW(AF120)-ROW(AF$15),0),15-13*ORÇAMENTO!$AF$11)),
         0)</f>
        <v>0</v>
      </c>
      <c r="AG120" s="454">
        <f ca="1">IF(AND($D120="Serviço",AG$12&lt;&gt;0,$H120&gt;0,OR(AUTOEVENTO&lt;&gt;"manual",$M120&lt;&gt;$A$15)),
        IF(Import.TipoArredondamento&lt;&gt;"TransfereGOV",
              ROUND(OFFSET($P120,0,AG$13),15-13*ORÇAMENTO!$AF$7)/$H120*OFFSET(ORÇAMENTO!$X$15,ROW(AG120)-ROW(AG$15),0),
              ROUND(ROUND(OFFSET($P120,0,AG$13),15-13*ORÇAMENTO!$AF$7)*OFFSET(ORÇAMENTO!$W$15,ROW(AG120)-ROW(AG$15),0),15-13*ORÇAMENTO!$AF$11)),
         0)</f>
        <v>0</v>
      </c>
      <c r="AH120" s="454">
        <f ca="1">IF(AND($D120="Serviço",AH$12&lt;&gt;0,$H120&gt;0,OR(AUTOEVENTO&lt;&gt;"manual",$M120&lt;&gt;$A$15)),
        IF(Import.TipoArredondamento&lt;&gt;"TransfereGOV",
              ROUND(OFFSET($P120,0,AH$13),15-13*ORÇAMENTO!$AF$7)/$H120*OFFSET(ORÇAMENTO!$X$15,ROW(AH120)-ROW(AH$15),0),
              ROUND(ROUND(OFFSET($P120,0,AH$13),15-13*ORÇAMENTO!$AF$7)*OFFSET(ORÇAMENTO!$W$15,ROW(AH120)-ROW(AH$15),0),15-13*ORÇAMENTO!$AF$11)),
         0)</f>
        <v>0</v>
      </c>
      <c r="AI120" s="454">
        <f ca="1">IF(AND($D120="Serviço",AI$12&lt;&gt;0,$H120&gt;0,OR(AUTOEVENTO&lt;&gt;"manual",$M120&lt;&gt;$A$15)),
        IF(Import.TipoArredondamento&lt;&gt;"TransfereGOV",
              ROUND(OFFSET($P120,0,AI$13),15-13*ORÇAMENTO!$AF$7)/$H120*OFFSET(ORÇAMENTO!$X$15,ROW(AI120)-ROW(AI$15),0),
              ROUND(ROUND(OFFSET($P120,0,AI$13),15-13*ORÇAMENTO!$AF$7)*OFFSET(ORÇAMENTO!$W$15,ROW(AI120)-ROW(AI$15),0),15-13*ORÇAMENTO!$AF$11)),
         0)</f>
        <v>0</v>
      </c>
      <c r="AJ120" s="454">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4">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M120" s="172">
        <f ca="1">IF(OR($D120&lt;&gt;"Serviço",AND(AUTOEVENTO="Manual",$M120=$A$15)),0,
         IF(OFFSET(CRONOPLE!$F$15,$M120-$A$15,AM$13)=0,10^12,OFFSET(CRONOPLE!$F$15,$M120-$A$15,AM$13)))</f>
        <v>1000000000000</v>
      </c>
      <c r="AN120" s="172">
        <f ca="1">IF(OR($D120&lt;&gt;"Serviço",AND(AUTOEVENTO="Manual",$M120=$A$15)),0,
         IF(OFFSET(CRONOPLE!$F$15,$M120-$A$15,AN$13)=0,10^12,OFFSET(CRONOPLE!$F$15,$M120-$A$15,AN$13)))</f>
        <v>1000000000000</v>
      </c>
      <c r="AO120" s="172">
        <f ca="1">IF(OR($D120&lt;&gt;"Serviço",AND(AUTOEVENTO="Manual",$M120=$A$15)),0,
         IF(OFFSET(CRONOPLE!$F$15,$M120-$A$15,AO$13)=0,10^12,OFFSET(CRONOPLE!$F$15,$M120-$A$15,AO$13)))</f>
        <v>1000000000000</v>
      </c>
      <c r="AP120" s="172">
        <f ca="1">IF(OR($D120&lt;&gt;"Serviço",AND(AUTOEVENTO="Manual",$M120=$A$15)),0,
         IF(OFFSET(CRONOPLE!$F$15,$M120-$A$15,AP$13)=0,10^12,OFFSET(CRONOPLE!$F$15,$M120-$A$15,AP$13)))</f>
        <v>1000000000000</v>
      </c>
      <c r="AQ120" s="172">
        <f ca="1">IF(OR($D120&lt;&gt;"Serviço",AND(AUTOEVENTO="Manual",$M120=$A$15)),0,
         IF(OFFSET(CRONOPLE!$F$15,$M120-$A$15,AQ$13)=0,10^12,OFFSET(CRONOPLE!$F$15,$M120-$A$15,AQ$13)))</f>
        <v>1000000000000</v>
      </c>
      <c r="AR120" s="172">
        <f ca="1">IF(OR($D120&lt;&gt;"Serviço",AND(AUTOEVENTO="Manual",$M120=$A$15)),0,
         IF(OFFSET(CRONOPLE!$F$15,$M120-$A$15,AR$13)=0,10^12,OFFSET(CRONOPLE!$F$15,$M120-$A$15,AR$13)))</f>
        <v>1000000000000</v>
      </c>
      <c r="AS120" s="172">
        <f ca="1">IF(OR($D120&lt;&gt;"Serviço",AND(AUTOEVENTO="Manual",$M120=$A$15)),0,
         IF(OFFSET(CRONOPLE!$F$15,$M120-$A$15,AS$13)=0,10^12,OFFSET(CRONOPLE!$F$15,$M120-$A$15,AS$13)))</f>
        <v>1000000000000</v>
      </c>
      <c r="AT120" s="172">
        <f ca="1">IF(OR($D120&lt;&gt;"Serviço",AND(AUTOEVENTO="Manual",$M120=$A$15)),0,
         IF(OFFSET(CRONOPLE!$F$15,$M120-$A$15,AT$13)=0,10^12,OFFSET(CRONOPLE!$F$15,$M120-$A$15,AT$13)))</f>
        <v>1000000000000</v>
      </c>
      <c r="AU120" s="172">
        <f ca="1">IF(OR($D120&lt;&gt;"Serviço",AND(AUTOEVENTO="Manual",$M120=$A$15)),0,
         IF(OFFSET(CRONOPLE!$F$15,$M120-$A$15,AU$13)=0,10^12,OFFSET(CRONOPLE!$F$15,$M120-$A$15,AU$13)))</f>
        <v>1000000000000</v>
      </c>
      <c r="AV120" s="172">
        <f ca="1">IF(OR($D120&lt;&gt;"Serviço",AND(AUTOEVENTO="Manual",$M120=$A$15)),0,
         IF(OFFSET(CRONOPLE!$F$15,$M120-$A$15,AV$13)=0,10^12,OFFSET(CRONOPLE!$F$15,$M120-$A$15,AV$13)))</f>
        <v>1000000000000</v>
      </c>
      <c r="AX120" s="173">
        <f ca="1">IF(OR($D120&lt;&gt;"Serviço",AND(AUTOEVENTO="Manual",$M120=$A$15),$M120&gt;(ROW(PLE.lastrow)-ROW(PLE.firstrow))),0,
           IF(OFFSET(PLE!$G$15,$M120-$A$15,AX$13)="",10^12,OFFSET(PLE!$G$15,$M120-$A$15,AX$13)))</f>
        <v>1000000000000</v>
      </c>
      <c r="AY120" s="173">
        <f ca="1">IF(OR($D120&lt;&gt;"Serviço",AND(AUTOEVENTO="Manual",$M120=$A$15),$M120&gt;(ROW(PLE.lastrow)-ROW(PLE.firstrow))),0,
           IF(OFFSET(PLE!$G$15,$M120-$A$15,AY$13)="",10^12,OFFSET(PLE!$G$15,$M120-$A$15,AY$13)))</f>
        <v>1000000000000</v>
      </c>
      <c r="AZ120" s="173">
        <f ca="1">IF(OR($D120&lt;&gt;"Serviço",AND(AUTOEVENTO="Manual",$M120=$A$15),$M120&gt;(ROW(PLE.lastrow)-ROW(PLE.firstrow))),0,
           IF(OFFSET(PLE!$G$15,$M120-$A$15,AZ$13)="",10^12,OFFSET(PLE!$G$15,$M120-$A$15,AZ$13)))</f>
        <v>1000000000000</v>
      </c>
      <c r="BA120" s="173">
        <f ca="1">IF(OR($D120&lt;&gt;"Serviço",AND(AUTOEVENTO="Manual",$M120=$A$15),$M120&gt;(ROW(PLE.lastrow)-ROW(PLE.firstrow))),0,
           IF(OFFSET(PLE!$G$15,$M120-$A$15,BA$13)="",10^12,OFFSET(PLE!$G$15,$M120-$A$15,BA$13)))</f>
        <v>1000000000000</v>
      </c>
      <c r="BB120" s="173">
        <f ca="1">IF(OR($D120&lt;&gt;"Serviço",AND(AUTOEVENTO="Manual",$M120=$A$15),$M120&gt;(ROW(PLE.lastrow)-ROW(PLE.firstrow))),0,
           IF(OFFSET(PLE!$G$15,$M120-$A$15,BB$13)="",10^12,OFFSET(PLE!$G$15,$M120-$A$15,BB$13)))</f>
        <v>1000000000000</v>
      </c>
      <c r="BC120" s="173">
        <f ca="1">IF(OR($D120&lt;&gt;"Serviço",AND(AUTOEVENTO="Manual",$M120=$A$15),$M120&gt;(ROW(PLE.lastrow)-ROW(PLE.firstrow))),0,
           IF(OFFSET(PLE!$G$15,$M120-$A$15,BC$13)="",10^12,OFFSET(PLE!$G$15,$M120-$A$15,BC$13)))</f>
        <v>1000000000000</v>
      </c>
      <c r="BD120" s="173">
        <f ca="1">IF(OR($D120&lt;&gt;"Serviço",AND(AUTOEVENTO="Manual",$M120=$A$15),$M120&gt;(ROW(PLE.lastrow)-ROW(PLE.firstrow))),0,
           IF(OFFSET(PLE!$G$15,$M120-$A$15,BD$13)="",10^12,OFFSET(PLE!$G$15,$M120-$A$15,BD$13)))</f>
        <v>1000000000000</v>
      </c>
      <c r="BE120" s="173">
        <f ca="1">IF(OR($D120&lt;&gt;"Serviço",AND(AUTOEVENTO="Manual",$M120=$A$15),$M120&gt;(ROW(PLE.lastrow)-ROW(PLE.firstrow))),0,
           IF(OFFSET(PLE!$G$15,$M120-$A$15,BE$13)="",10^12,OFFSET(PLE!$G$15,$M120-$A$15,BE$13)))</f>
        <v>1000000000000</v>
      </c>
      <c r="BF120" s="173">
        <f ca="1">IF(OR($D120&lt;&gt;"Serviço",AND(AUTOEVENTO="Manual",$M120=$A$15),$M120&gt;(ROW(PLE.lastrow)-ROW(PLE.firstrow))),0,
           IF(OFFSET(PLE!$G$15,$M120-$A$15,BF$13)="",10^12,OFFSET(PLE!$G$15,$M120-$A$15,BF$13)))</f>
        <v>1000000000000</v>
      </c>
      <c r="BG120" s="173">
        <f ca="1">IF(OR($D120&lt;&gt;"Serviço",AND(AUTOEVENTO="Manual",$M120=$A$15),$M120&gt;(ROW(PLE.lastrow)-ROW(PLE.firstrow))),0,
           IF(OFFSET(PLE!$G$15,$M120-$A$15,BG$13)="",10^12,OFFSET(PLE!$G$15,$M120-$A$15,BG$13)))</f>
        <v>1000000000000</v>
      </c>
    </row>
    <row r="121" spans="1:59" s="675" customFormat="1" ht="12.75" x14ac:dyDescent="0.2">
      <c r="A121" s="671" t="str">
        <f t="shared" ca="1" si="10"/>
        <v>95</v>
      </c>
      <c r="B121" s="671" t="str">
        <f ca="1">OFFSET(ORÇAMENTO!C$15,ROW(B121)-ROW(B$15),0)</f>
        <v>S</v>
      </c>
      <c r="C121" s="671" t="str">
        <f ca="1">OFFSET(ORÇAMENTO!L$15,ROW(C121)-ROW(C$15),0)</f>
        <v/>
      </c>
      <c r="D121" s="117" t="str">
        <f ca="1">OFFSET(ORÇAMENTO!N$15,ROW(D121)-ROW(D$15),0)</f>
        <v>Serviço</v>
      </c>
      <c r="E121" s="118" t="str">
        <f ca="1">OFFSET(ORÇAMENTO!O$15,ROW(E121)-ROW(E$15),0)</f>
        <v>-</v>
      </c>
      <c r="F121" s="164" t="str">
        <f ca="1">OFFSET(ORÇAMENTO!R$15,ROW(F121)-ROW(F$15),0)</f>
        <v>(abra o arquivo 'Referência 09-2025.xlsm)</v>
      </c>
      <c r="G121" s="165" t="str">
        <f ca="1">IF($D121&lt;&gt;"Serviço","",OFFSET(ORÇAMENTO!S$15,ROW(G121)-ROW(G$15),0))</f>
        <v>-</v>
      </c>
      <c r="H121" s="123">
        <f ca="1">IF($D121&lt;&gt;"Serviço",0,IF(ACOMPANHAMENTO="BM",ROUND(OFFSET(ORÇAMENTO!AJ$15,ROW(H121)-ROW(H$15),0),15-13*ORÇAMENTO!$AF$7),SUMPRODUCT(($Q$1:$AA$1=1)*ROUND($Q121:$AA121,15-13*ORÇAMENTO!$AF$7))))</f>
        <v>160.47999999999999</v>
      </c>
      <c r="I121" s="469" t="s">
        <v>1122</v>
      </c>
      <c r="J121" s="667" t="str">
        <f ca="1">IF(OR(B121&lt;&gt;"S",CÁLCULO.FrentesPreenchidas=0),"",IF(AND(ACOMPANHAMENTO="PLE",AUTOEVENTO="Manual",OR(H121&gt;0,ORÇAMENTO!AC121="QUANT."),OR(K121="",M121=0,N121="")),"►",IF(AND(ACOMPANHAMENTO="PLE",ORÇAMENTO!AC121="QUANT."),"►►",IF(AND(COUNTIF($P$11:$AA$11,"▼")=0,H121&gt;0,I121=""),"◄",""))))</f>
        <v/>
      </c>
      <c r="K121" s="668"/>
      <c r="L121" s="166" t="s">
        <v>765</v>
      </c>
      <c r="M121" s="167">
        <f ca="1">IF($D121&lt;&gt;"Serviço","",
          IF(AUTOEVENTO="manual",$A121,
                IF(ISERROR(MATCH($A121,$A$15:OFFSET($A121,-1,0),0)),MAX($M$15:OFFSET(M121,-1,0))+1,
                      INDEX($M$15:OFFSET(M121,-1,0),MATCH($A121,$A$15:OFFSET($A121,-1,0),0)))))</f>
        <v>11</v>
      </c>
      <c r="N121" s="168" t="str">
        <f ca="1">IF($D121&lt;&gt;"Serviço","",
         IF(AUTOEVENTO="Manual",
                IF($A121=0,"&lt;-- defina o número do agrupador",
                       OFFSET(EVENTOS!$D$15,$A121-$A$15,0)),
                OFFSET($F$15,$A121,0)))</f>
        <v>MOVIMENTO DE TERRA</v>
      </c>
      <c r="O121" s="169"/>
      <c r="Q121" s="169"/>
      <c r="R121" s="170"/>
      <c r="S121" s="170"/>
      <c r="T121" s="170"/>
      <c r="U121" s="170"/>
      <c r="V121" s="170"/>
      <c r="W121" s="170"/>
      <c r="X121" s="170"/>
      <c r="Y121" s="170"/>
      <c r="Z121" s="171"/>
      <c r="AB121" s="454">
        <f ca="1">IF(AND($D121="Serviço",AB$12&lt;&gt;0,$H121&gt;0,OR(AUTOEVENTO&lt;&gt;"manual",$M121&lt;&gt;$A$15)),
        IF(Import.TipoArredondamento&lt;&gt;"TransfereGOV",
              ROUND(OFFSET($P121,0,AB$13),15-13*ORÇAMENTO!$AF$7)/$H121*OFFSET(ORÇAMENTO!$X$15,ROW(AB121)-ROW(AB$15),0),
              ROUND(ROUND(OFFSET($P121,0,AB$13),15-13*ORÇAMENTO!$AF$7)*OFFSET(ORÇAMENTO!$W$15,ROW(AB121)-ROW(AB$15),0),15-13*ORÇAMENTO!$AF$11)),
         0)</f>
        <v>0</v>
      </c>
      <c r="AC121" s="454">
        <f ca="1">IF(AND($D121="Serviço",AC$12&lt;&gt;0,$H121&gt;0,OR(AUTOEVENTO&lt;&gt;"manual",$M121&lt;&gt;$A$15)),
        IF(Import.TipoArredondamento&lt;&gt;"TransfereGOV",
              ROUND(OFFSET($P121,0,AC$13),15-13*ORÇAMENTO!$AF$7)/$H121*OFFSET(ORÇAMENTO!$X$15,ROW(AC121)-ROW(AC$15),0),
              ROUND(ROUND(OFFSET($P121,0,AC$13),15-13*ORÇAMENTO!$AF$7)*OFFSET(ORÇAMENTO!$W$15,ROW(AC121)-ROW(AC$15),0),15-13*ORÇAMENTO!$AF$11)),
         0)</f>
        <v>0</v>
      </c>
      <c r="AD121" s="454">
        <f ca="1">IF(AND($D121="Serviço",AD$12&lt;&gt;0,$H121&gt;0,OR(AUTOEVENTO&lt;&gt;"manual",$M121&lt;&gt;$A$15)),
        IF(Import.TipoArredondamento&lt;&gt;"TransfereGOV",
              ROUND(OFFSET($P121,0,AD$13),15-13*ORÇAMENTO!$AF$7)/$H121*OFFSET(ORÇAMENTO!$X$15,ROW(AD121)-ROW(AD$15),0),
              ROUND(ROUND(OFFSET($P121,0,AD$13),15-13*ORÇAMENTO!$AF$7)*OFFSET(ORÇAMENTO!$W$15,ROW(AD121)-ROW(AD$15),0),15-13*ORÇAMENTO!$AF$11)),
         0)</f>
        <v>0</v>
      </c>
      <c r="AE121" s="454">
        <f ca="1">IF(AND($D121="Serviço",AE$12&lt;&gt;0,$H121&gt;0,OR(AUTOEVENTO&lt;&gt;"manual",$M121&lt;&gt;$A$15)),
        IF(Import.TipoArredondamento&lt;&gt;"TransfereGOV",
              ROUND(OFFSET($P121,0,AE$13),15-13*ORÇAMENTO!$AF$7)/$H121*OFFSET(ORÇAMENTO!$X$15,ROW(AE121)-ROW(AE$15),0),
              ROUND(ROUND(OFFSET($P121,0,AE$13),15-13*ORÇAMENTO!$AF$7)*OFFSET(ORÇAMENTO!$W$15,ROW(AE121)-ROW(AE$15),0),15-13*ORÇAMENTO!$AF$11)),
         0)</f>
        <v>0</v>
      </c>
      <c r="AF121" s="454">
        <f ca="1">IF(AND($D121="Serviço",AF$12&lt;&gt;0,$H121&gt;0,OR(AUTOEVENTO&lt;&gt;"manual",$M121&lt;&gt;$A$15)),
        IF(Import.TipoArredondamento&lt;&gt;"TransfereGOV",
              ROUND(OFFSET($P121,0,AF$13),15-13*ORÇAMENTO!$AF$7)/$H121*OFFSET(ORÇAMENTO!$X$15,ROW(AF121)-ROW(AF$15),0),
              ROUND(ROUND(OFFSET($P121,0,AF$13),15-13*ORÇAMENTO!$AF$7)*OFFSET(ORÇAMENTO!$W$15,ROW(AF121)-ROW(AF$15),0),15-13*ORÇAMENTO!$AF$11)),
         0)</f>
        <v>0</v>
      </c>
      <c r="AG121" s="454">
        <f ca="1">IF(AND($D121="Serviço",AG$12&lt;&gt;0,$H121&gt;0,OR(AUTOEVENTO&lt;&gt;"manual",$M121&lt;&gt;$A$15)),
        IF(Import.TipoArredondamento&lt;&gt;"TransfereGOV",
              ROUND(OFFSET($P121,0,AG$13),15-13*ORÇAMENTO!$AF$7)/$H121*OFFSET(ORÇAMENTO!$X$15,ROW(AG121)-ROW(AG$15),0),
              ROUND(ROUND(OFFSET($P121,0,AG$13),15-13*ORÇAMENTO!$AF$7)*OFFSET(ORÇAMENTO!$W$15,ROW(AG121)-ROW(AG$15),0),15-13*ORÇAMENTO!$AF$11)),
         0)</f>
        <v>0</v>
      </c>
      <c r="AH121" s="454">
        <f ca="1">IF(AND($D121="Serviço",AH$12&lt;&gt;0,$H121&gt;0,OR(AUTOEVENTO&lt;&gt;"manual",$M121&lt;&gt;$A$15)),
        IF(Import.TipoArredondamento&lt;&gt;"TransfereGOV",
              ROUND(OFFSET($P121,0,AH$13),15-13*ORÇAMENTO!$AF$7)/$H121*OFFSET(ORÇAMENTO!$X$15,ROW(AH121)-ROW(AH$15),0),
              ROUND(ROUND(OFFSET($P121,0,AH$13),15-13*ORÇAMENTO!$AF$7)*OFFSET(ORÇAMENTO!$W$15,ROW(AH121)-ROW(AH$15),0),15-13*ORÇAMENTO!$AF$11)),
         0)</f>
        <v>0</v>
      </c>
      <c r="AI121" s="454">
        <f ca="1">IF(AND($D121="Serviço",AI$12&lt;&gt;0,$H121&gt;0,OR(AUTOEVENTO&lt;&gt;"manual",$M121&lt;&gt;$A$15)),
        IF(Import.TipoArredondamento&lt;&gt;"TransfereGOV",
              ROUND(OFFSET($P121,0,AI$13),15-13*ORÇAMENTO!$AF$7)/$H121*OFFSET(ORÇAMENTO!$X$15,ROW(AI121)-ROW(AI$15),0),
              ROUND(ROUND(OFFSET($P121,0,AI$13),15-13*ORÇAMENTO!$AF$7)*OFFSET(ORÇAMENTO!$W$15,ROW(AI121)-ROW(AI$15),0),15-13*ORÇAMENTO!$AF$11)),
         0)</f>
        <v>0</v>
      </c>
      <c r="AJ121" s="454">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4">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M121" s="172">
        <f ca="1">IF(OR($D121&lt;&gt;"Serviço",AND(AUTOEVENTO="Manual",$M121=$A$15)),0,
         IF(OFFSET(CRONOPLE!$F$15,$M121-$A$15,AM$13)=0,10^12,OFFSET(CRONOPLE!$F$15,$M121-$A$15,AM$13)))</f>
        <v>1000000000000</v>
      </c>
      <c r="AN121" s="172">
        <f ca="1">IF(OR($D121&lt;&gt;"Serviço",AND(AUTOEVENTO="Manual",$M121=$A$15)),0,
         IF(OFFSET(CRONOPLE!$F$15,$M121-$A$15,AN$13)=0,10^12,OFFSET(CRONOPLE!$F$15,$M121-$A$15,AN$13)))</f>
        <v>1000000000000</v>
      </c>
      <c r="AO121" s="172">
        <f ca="1">IF(OR($D121&lt;&gt;"Serviço",AND(AUTOEVENTO="Manual",$M121=$A$15)),0,
         IF(OFFSET(CRONOPLE!$F$15,$M121-$A$15,AO$13)=0,10^12,OFFSET(CRONOPLE!$F$15,$M121-$A$15,AO$13)))</f>
        <v>1000000000000</v>
      </c>
      <c r="AP121" s="172">
        <f ca="1">IF(OR($D121&lt;&gt;"Serviço",AND(AUTOEVENTO="Manual",$M121=$A$15)),0,
         IF(OFFSET(CRONOPLE!$F$15,$M121-$A$15,AP$13)=0,10^12,OFFSET(CRONOPLE!$F$15,$M121-$A$15,AP$13)))</f>
        <v>1000000000000</v>
      </c>
      <c r="AQ121" s="172">
        <f ca="1">IF(OR($D121&lt;&gt;"Serviço",AND(AUTOEVENTO="Manual",$M121=$A$15)),0,
         IF(OFFSET(CRONOPLE!$F$15,$M121-$A$15,AQ$13)=0,10^12,OFFSET(CRONOPLE!$F$15,$M121-$A$15,AQ$13)))</f>
        <v>1000000000000</v>
      </c>
      <c r="AR121" s="172">
        <f ca="1">IF(OR($D121&lt;&gt;"Serviço",AND(AUTOEVENTO="Manual",$M121=$A$15)),0,
         IF(OFFSET(CRONOPLE!$F$15,$M121-$A$15,AR$13)=0,10^12,OFFSET(CRONOPLE!$F$15,$M121-$A$15,AR$13)))</f>
        <v>1000000000000</v>
      </c>
      <c r="AS121" s="172">
        <f ca="1">IF(OR($D121&lt;&gt;"Serviço",AND(AUTOEVENTO="Manual",$M121=$A$15)),0,
         IF(OFFSET(CRONOPLE!$F$15,$M121-$A$15,AS$13)=0,10^12,OFFSET(CRONOPLE!$F$15,$M121-$A$15,AS$13)))</f>
        <v>1000000000000</v>
      </c>
      <c r="AT121" s="172">
        <f ca="1">IF(OR($D121&lt;&gt;"Serviço",AND(AUTOEVENTO="Manual",$M121=$A$15)),0,
         IF(OFFSET(CRONOPLE!$F$15,$M121-$A$15,AT$13)=0,10^12,OFFSET(CRONOPLE!$F$15,$M121-$A$15,AT$13)))</f>
        <v>1000000000000</v>
      </c>
      <c r="AU121" s="172">
        <f ca="1">IF(OR($D121&lt;&gt;"Serviço",AND(AUTOEVENTO="Manual",$M121=$A$15)),0,
         IF(OFFSET(CRONOPLE!$F$15,$M121-$A$15,AU$13)=0,10^12,OFFSET(CRONOPLE!$F$15,$M121-$A$15,AU$13)))</f>
        <v>1000000000000</v>
      </c>
      <c r="AV121" s="172">
        <f ca="1">IF(OR($D121&lt;&gt;"Serviço",AND(AUTOEVENTO="Manual",$M121=$A$15)),0,
         IF(OFFSET(CRONOPLE!$F$15,$M121-$A$15,AV$13)=0,10^12,OFFSET(CRONOPLE!$F$15,$M121-$A$15,AV$13)))</f>
        <v>1000000000000</v>
      </c>
      <c r="AX121" s="173">
        <f ca="1">IF(OR($D121&lt;&gt;"Serviço",AND(AUTOEVENTO="Manual",$M121=$A$15),$M121&gt;(ROW(PLE.lastrow)-ROW(PLE.firstrow))),0,
           IF(OFFSET(PLE!$G$15,$M121-$A$15,AX$13)="",10^12,OFFSET(PLE!$G$15,$M121-$A$15,AX$13)))</f>
        <v>1000000000000</v>
      </c>
      <c r="AY121" s="173">
        <f ca="1">IF(OR($D121&lt;&gt;"Serviço",AND(AUTOEVENTO="Manual",$M121=$A$15),$M121&gt;(ROW(PLE.lastrow)-ROW(PLE.firstrow))),0,
           IF(OFFSET(PLE!$G$15,$M121-$A$15,AY$13)="",10^12,OFFSET(PLE!$G$15,$M121-$A$15,AY$13)))</f>
        <v>1000000000000</v>
      </c>
      <c r="AZ121" s="173">
        <f ca="1">IF(OR($D121&lt;&gt;"Serviço",AND(AUTOEVENTO="Manual",$M121=$A$15),$M121&gt;(ROW(PLE.lastrow)-ROW(PLE.firstrow))),0,
           IF(OFFSET(PLE!$G$15,$M121-$A$15,AZ$13)="",10^12,OFFSET(PLE!$G$15,$M121-$A$15,AZ$13)))</f>
        <v>1000000000000</v>
      </c>
      <c r="BA121" s="173">
        <f ca="1">IF(OR($D121&lt;&gt;"Serviço",AND(AUTOEVENTO="Manual",$M121=$A$15),$M121&gt;(ROW(PLE.lastrow)-ROW(PLE.firstrow))),0,
           IF(OFFSET(PLE!$G$15,$M121-$A$15,BA$13)="",10^12,OFFSET(PLE!$G$15,$M121-$A$15,BA$13)))</f>
        <v>1000000000000</v>
      </c>
      <c r="BB121" s="173">
        <f ca="1">IF(OR($D121&lt;&gt;"Serviço",AND(AUTOEVENTO="Manual",$M121=$A$15),$M121&gt;(ROW(PLE.lastrow)-ROW(PLE.firstrow))),0,
           IF(OFFSET(PLE!$G$15,$M121-$A$15,BB$13)="",10^12,OFFSET(PLE!$G$15,$M121-$A$15,BB$13)))</f>
        <v>1000000000000</v>
      </c>
      <c r="BC121" s="173">
        <f ca="1">IF(OR($D121&lt;&gt;"Serviço",AND(AUTOEVENTO="Manual",$M121=$A$15),$M121&gt;(ROW(PLE.lastrow)-ROW(PLE.firstrow))),0,
           IF(OFFSET(PLE!$G$15,$M121-$A$15,BC$13)="",10^12,OFFSET(PLE!$G$15,$M121-$A$15,BC$13)))</f>
        <v>1000000000000</v>
      </c>
      <c r="BD121" s="173">
        <f ca="1">IF(OR($D121&lt;&gt;"Serviço",AND(AUTOEVENTO="Manual",$M121=$A$15),$M121&gt;(ROW(PLE.lastrow)-ROW(PLE.firstrow))),0,
           IF(OFFSET(PLE!$G$15,$M121-$A$15,BD$13)="",10^12,OFFSET(PLE!$G$15,$M121-$A$15,BD$13)))</f>
        <v>1000000000000</v>
      </c>
      <c r="BE121" s="173">
        <f ca="1">IF(OR($D121&lt;&gt;"Serviço",AND(AUTOEVENTO="Manual",$M121=$A$15),$M121&gt;(ROW(PLE.lastrow)-ROW(PLE.firstrow))),0,
           IF(OFFSET(PLE!$G$15,$M121-$A$15,BE$13)="",10^12,OFFSET(PLE!$G$15,$M121-$A$15,BE$13)))</f>
        <v>1000000000000</v>
      </c>
      <c r="BF121" s="173">
        <f ca="1">IF(OR($D121&lt;&gt;"Serviço",AND(AUTOEVENTO="Manual",$M121=$A$15),$M121&gt;(ROW(PLE.lastrow)-ROW(PLE.firstrow))),0,
           IF(OFFSET(PLE!$G$15,$M121-$A$15,BF$13)="",10^12,OFFSET(PLE!$G$15,$M121-$A$15,BF$13)))</f>
        <v>1000000000000</v>
      </c>
      <c r="BG121" s="173">
        <f ca="1">IF(OR($D121&lt;&gt;"Serviço",AND(AUTOEVENTO="Manual",$M121=$A$15),$M121&gt;(ROW(PLE.lastrow)-ROW(PLE.firstrow))),0,
           IF(OFFSET(PLE!$G$15,$M121-$A$15,BG$13)="",10^12,OFFSET(PLE!$G$15,$M121-$A$15,BG$13)))</f>
        <v>1000000000000</v>
      </c>
    </row>
    <row r="122" spans="1:59" s="675" customFormat="1" ht="12.75" x14ac:dyDescent="0.2">
      <c r="A122" s="671" t="str">
        <f t="shared" ca="1" si="10"/>
        <v>107.</v>
      </c>
      <c r="B122" s="671">
        <f ca="1">OFFSET(ORÇAMENTO!C$15,ROW(B122)-ROW(B$15),0)</f>
        <v>2</v>
      </c>
      <c r="C122" s="671" t="str">
        <f ca="1">OFFSET(ORÇAMENTO!L$15,ROW(C122)-ROW(C$15),0)</f>
        <v>F</v>
      </c>
      <c r="D122" s="117" t="str">
        <f ca="1">OFFSET(ORÇAMENTO!N$15,ROW(D122)-ROW(D$15),0)</f>
        <v>Nível 2</v>
      </c>
      <c r="E122" s="118" t="str">
        <f ca="1">OFFSET(ORÇAMENTO!O$15,ROW(E122)-ROW(E$15),0)</f>
        <v>1.15.</v>
      </c>
      <c r="F122" s="164" t="str">
        <f ca="1">OFFSET(ORÇAMENTO!R$15,ROW(F122)-ROW(F$15),0)</f>
        <v>ESCORAMENTO, ESGOTAMENTO E DRENAGEM</v>
      </c>
      <c r="G122" s="165" t="str">
        <f ca="1">IF($D122&lt;&gt;"Serviço","",OFFSET(ORÇAMENTO!S$15,ROW(G122)-ROW(G$15),0))</f>
        <v/>
      </c>
      <c r="H122" s="123">
        <f ca="1">IF($D122&lt;&gt;"Serviço",0,IF(ACOMPANHAMENTO="BM",ROUND(OFFSET(ORÇAMENTO!AJ$15,ROW(H122)-ROW(H$15),0),15-13*ORÇAMENTO!$AF$7),SUMPRODUCT(($Q$1:$AA$1=1)*ROUND($Q122:$AA122,15-13*ORÇAMENTO!$AF$7))))</f>
        <v>0</v>
      </c>
      <c r="I122" s="469"/>
      <c r="J122" s="667" t="str">
        <f ca="1">IF(OR(B122&lt;&gt;"S",CÁLCULO.FrentesPreenchidas=0),"",IF(AND(ACOMPANHAMENTO="PLE",AUTOEVENTO="Manual",OR(H122&gt;0,ORÇAMENTO!AC122="QUANT."),OR(K122="",M122=0,N122="")),"►",IF(AND(ACOMPANHAMENTO="PLE",ORÇAMENTO!AC122="QUANT."),"►►",IF(AND(COUNTIF($P$11:$AA$11,"▼")=0,H122&gt;0,I122=""),"◄",""))))</f>
        <v/>
      </c>
      <c r="K122" s="668"/>
      <c r="L122" s="166" t="s">
        <v>765</v>
      </c>
      <c r="M122" s="167" t="str">
        <f ca="1">IF($D122&lt;&gt;"Serviço","",
          IF(AUTOEVENTO="manual",$A122,
                IF(ISERROR(MATCH($A122,$A$15:OFFSET($A122,-1,0),0)),MAX($M$15:OFFSET(M122,-1,0))+1,
                      INDEX($M$15:OFFSET(M122,-1,0),MATCH($A122,$A$15:OFFSET($A122,-1,0),0)))))</f>
        <v/>
      </c>
      <c r="N122" s="168" t="str">
        <f ca="1">IF($D122&lt;&gt;"Serviço","",
         IF(AUTOEVENTO="Manual",
                IF($A122=0,"&lt;-- defina o número do agrupador",
                       OFFSET(EVENTOS!$D$15,$A122-$A$15,0)),
                OFFSET($F$15,$A122,0)))</f>
        <v/>
      </c>
      <c r="O122" s="169"/>
      <c r="Q122" s="169"/>
      <c r="R122" s="170"/>
      <c r="S122" s="170"/>
      <c r="T122" s="170"/>
      <c r="U122" s="170"/>
      <c r="V122" s="170"/>
      <c r="W122" s="170"/>
      <c r="X122" s="170"/>
      <c r="Y122" s="170"/>
      <c r="Z122" s="171"/>
      <c r="AB122" s="454">
        <f ca="1">IF(AND($D122="Serviço",AB$12&lt;&gt;0,$H122&gt;0,OR(AUTOEVENTO&lt;&gt;"manual",$M122&lt;&gt;$A$15)),
        IF(Import.TipoArredondamento&lt;&gt;"TransfereGOV",
              ROUND(OFFSET($P122,0,AB$13),15-13*ORÇAMENTO!$AF$7)/$H122*OFFSET(ORÇAMENTO!$X$15,ROW(AB122)-ROW(AB$15),0),
              ROUND(ROUND(OFFSET($P122,0,AB$13),15-13*ORÇAMENTO!$AF$7)*OFFSET(ORÇAMENTO!$W$15,ROW(AB122)-ROW(AB$15),0),15-13*ORÇAMENTO!$AF$11)),
         0)</f>
        <v>0</v>
      </c>
      <c r="AC122" s="454">
        <f ca="1">IF(AND($D122="Serviço",AC$12&lt;&gt;0,$H122&gt;0,OR(AUTOEVENTO&lt;&gt;"manual",$M122&lt;&gt;$A$15)),
        IF(Import.TipoArredondamento&lt;&gt;"TransfereGOV",
              ROUND(OFFSET($P122,0,AC$13),15-13*ORÇAMENTO!$AF$7)/$H122*OFFSET(ORÇAMENTO!$X$15,ROW(AC122)-ROW(AC$15),0),
              ROUND(ROUND(OFFSET($P122,0,AC$13),15-13*ORÇAMENTO!$AF$7)*OFFSET(ORÇAMENTO!$W$15,ROW(AC122)-ROW(AC$15),0),15-13*ORÇAMENTO!$AF$11)),
         0)</f>
        <v>0</v>
      </c>
      <c r="AD122" s="454">
        <f ca="1">IF(AND($D122="Serviço",AD$12&lt;&gt;0,$H122&gt;0,OR(AUTOEVENTO&lt;&gt;"manual",$M122&lt;&gt;$A$15)),
        IF(Import.TipoArredondamento&lt;&gt;"TransfereGOV",
              ROUND(OFFSET($P122,0,AD$13),15-13*ORÇAMENTO!$AF$7)/$H122*OFFSET(ORÇAMENTO!$X$15,ROW(AD122)-ROW(AD$15),0),
              ROUND(ROUND(OFFSET($P122,0,AD$13),15-13*ORÇAMENTO!$AF$7)*OFFSET(ORÇAMENTO!$W$15,ROW(AD122)-ROW(AD$15),0),15-13*ORÇAMENTO!$AF$11)),
         0)</f>
        <v>0</v>
      </c>
      <c r="AE122" s="454">
        <f ca="1">IF(AND($D122="Serviço",AE$12&lt;&gt;0,$H122&gt;0,OR(AUTOEVENTO&lt;&gt;"manual",$M122&lt;&gt;$A$15)),
        IF(Import.TipoArredondamento&lt;&gt;"TransfereGOV",
              ROUND(OFFSET($P122,0,AE$13),15-13*ORÇAMENTO!$AF$7)/$H122*OFFSET(ORÇAMENTO!$X$15,ROW(AE122)-ROW(AE$15),0),
              ROUND(ROUND(OFFSET($P122,0,AE$13),15-13*ORÇAMENTO!$AF$7)*OFFSET(ORÇAMENTO!$W$15,ROW(AE122)-ROW(AE$15),0),15-13*ORÇAMENTO!$AF$11)),
         0)</f>
        <v>0</v>
      </c>
      <c r="AF122" s="454">
        <f ca="1">IF(AND($D122="Serviço",AF$12&lt;&gt;0,$H122&gt;0,OR(AUTOEVENTO&lt;&gt;"manual",$M122&lt;&gt;$A$15)),
        IF(Import.TipoArredondamento&lt;&gt;"TransfereGOV",
              ROUND(OFFSET($P122,0,AF$13),15-13*ORÇAMENTO!$AF$7)/$H122*OFFSET(ORÇAMENTO!$X$15,ROW(AF122)-ROW(AF$15),0),
              ROUND(ROUND(OFFSET($P122,0,AF$13),15-13*ORÇAMENTO!$AF$7)*OFFSET(ORÇAMENTO!$W$15,ROW(AF122)-ROW(AF$15),0),15-13*ORÇAMENTO!$AF$11)),
         0)</f>
        <v>0</v>
      </c>
      <c r="AG122" s="454">
        <f ca="1">IF(AND($D122="Serviço",AG$12&lt;&gt;0,$H122&gt;0,OR(AUTOEVENTO&lt;&gt;"manual",$M122&lt;&gt;$A$15)),
        IF(Import.TipoArredondamento&lt;&gt;"TransfereGOV",
              ROUND(OFFSET($P122,0,AG$13),15-13*ORÇAMENTO!$AF$7)/$H122*OFFSET(ORÇAMENTO!$X$15,ROW(AG122)-ROW(AG$15),0),
              ROUND(ROUND(OFFSET($P122,0,AG$13),15-13*ORÇAMENTO!$AF$7)*OFFSET(ORÇAMENTO!$W$15,ROW(AG122)-ROW(AG$15),0),15-13*ORÇAMENTO!$AF$11)),
         0)</f>
        <v>0</v>
      </c>
      <c r="AH122" s="454">
        <f ca="1">IF(AND($D122="Serviço",AH$12&lt;&gt;0,$H122&gt;0,OR(AUTOEVENTO&lt;&gt;"manual",$M122&lt;&gt;$A$15)),
        IF(Import.TipoArredondamento&lt;&gt;"TransfereGOV",
              ROUND(OFFSET($P122,0,AH$13),15-13*ORÇAMENTO!$AF$7)/$H122*OFFSET(ORÇAMENTO!$X$15,ROW(AH122)-ROW(AH$15),0),
              ROUND(ROUND(OFFSET($P122,0,AH$13),15-13*ORÇAMENTO!$AF$7)*OFFSET(ORÇAMENTO!$W$15,ROW(AH122)-ROW(AH$15),0),15-13*ORÇAMENTO!$AF$11)),
         0)</f>
        <v>0</v>
      </c>
      <c r="AI122" s="454">
        <f ca="1">IF(AND($D122="Serviço",AI$12&lt;&gt;0,$H122&gt;0,OR(AUTOEVENTO&lt;&gt;"manual",$M122&lt;&gt;$A$15)),
        IF(Import.TipoArredondamento&lt;&gt;"TransfereGOV",
              ROUND(OFFSET($P122,0,AI$13),15-13*ORÇAMENTO!$AF$7)/$H122*OFFSET(ORÇAMENTO!$X$15,ROW(AI122)-ROW(AI$15),0),
              ROUND(ROUND(OFFSET($P122,0,AI$13),15-13*ORÇAMENTO!$AF$7)*OFFSET(ORÇAMENTO!$W$15,ROW(AI122)-ROW(AI$15),0),15-13*ORÇAMENTO!$AF$11)),
         0)</f>
        <v>0</v>
      </c>
      <c r="AJ122" s="454">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4">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M122" s="172">
        <f ca="1">IF(OR($D122&lt;&gt;"Serviço",AND(AUTOEVENTO="Manual",$M122=$A$15)),0,
         IF(OFFSET(CRONOPLE!$F$15,$M122-$A$15,AM$13)=0,10^12,OFFSET(CRONOPLE!$F$15,$M122-$A$15,AM$13)))</f>
        <v>0</v>
      </c>
      <c r="AN122" s="172">
        <f ca="1">IF(OR($D122&lt;&gt;"Serviço",AND(AUTOEVENTO="Manual",$M122=$A$15)),0,
         IF(OFFSET(CRONOPLE!$F$15,$M122-$A$15,AN$13)=0,10^12,OFFSET(CRONOPLE!$F$15,$M122-$A$15,AN$13)))</f>
        <v>0</v>
      </c>
      <c r="AO122" s="172">
        <f ca="1">IF(OR($D122&lt;&gt;"Serviço",AND(AUTOEVENTO="Manual",$M122=$A$15)),0,
         IF(OFFSET(CRONOPLE!$F$15,$M122-$A$15,AO$13)=0,10^12,OFFSET(CRONOPLE!$F$15,$M122-$A$15,AO$13)))</f>
        <v>0</v>
      </c>
      <c r="AP122" s="172">
        <f ca="1">IF(OR($D122&lt;&gt;"Serviço",AND(AUTOEVENTO="Manual",$M122=$A$15)),0,
         IF(OFFSET(CRONOPLE!$F$15,$M122-$A$15,AP$13)=0,10^12,OFFSET(CRONOPLE!$F$15,$M122-$A$15,AP$13)))</f>
        <v>0</v>
      </c>
      <c r="AQ122" s="172">
        <f ca="1">IF(OR($D122&lt;&gt;"Serviço",AND(AUTOEVENTO="Manual",$M122=$A$15)),0,
         IF(OFFSET(CRONOPLE!$F$15,$M122-$A$15,AQ$13)=0,10^12,OFFSET(CRONOPLE!$F$15,$M122-$A$15,AQ$13)))</f>
        <v>0</v>
      </c>
      <c r="AR122" s="172">
        <f ca="1">IF(OR($D122&lt;&gt;"Serviço",AND(AUTOEVENTO="Manual",$M122=$A$15)),0,
         IF(OFFSET(CRONOPLE!$F$15,$M122-$A$15,AR$13)=0,10^12,OFFSET(CRONOPLE!$F$15,$M122-$A$15,AR$13)))</f>
        <v>0</v>
      </c>
      <c r="AS122" s="172">
        <f ca="1">IF(OR($D122&lt;&gt;"Serviço",AND(AUTOEVENTO="Manual",$M122=$A$15)),0,
         IF(OFFSET(CRONOPLE!$F$15,$M122-$A$15,AS$13)=0,10^12,OFFSET(CRONOPLE!$F$15,$M122-$A$15,AS$13)))</f>
        <v>0</v>
      </c>
      <c r="AT122" s="172">
        <f ca="1">IF(OR($D122&lt;&gt;"Serviço",AND(AUTOEVENTO="Manual",$M122=$A$15)),0,
         IF(OFFSET(CRONOPLE!$F$15,$M122-$A$15,AT$13)=0,10^12,OFFSET(CRONOPLE!$F$15,$M122-$A$15,AT$13)))</f>
        <v>0</v>
      </c>
      <c r="AU122" s="172">
        <f ca="1">IF(OR($D122&lt;&gt;"Serviço",AND(AUTOEVENTO="Manual",$M122=$A$15)),0,
         IF(OFFSET(CRONOPLE!$F$15,$M122-$A$15,AU$13)=0,10^12,OFFSET(CRONOPLE!$F$15,$M122-$A$15,AU$13)))</f>
        <v>0</v>
      </c>
      <c r="AV122" s="172">
        <f ca="1">IF(OR($D122&lt;&gt;"Serviço",AND(AUTOEVENTO="Manual",$M122=$A$15)),0,
         IF(OFFSET(CRONOPLE!$F$15,$M122-$A$15,AV$13)=0,10^12,OFFSET(CRONOPLE!$F$15,$M122-$A$15,AV$13)))</f>
        <v>0</v>
      </c>
      <c r="AX122" s="173">
        <f ca="1">IF(OR($D122&lt;&gt;"Serviço",AND(AUTOEVENTO="Manual",$M122=$A$15),$M122&gt;(ROW(PLE.lastrow)-ROW(PLE.firstrow))),0,
           IF(OFFSET(PLE!$G$15,$M122-$A$15,AX$13)="",10^12,OFFSET(PLE!$G$15,$M122-$A$15,AX$13)))</f>
        <v>0</v>
      </c>
      <c r="AY122" s="173">
        <f ca="1">IF(OR($D122&lt;&gt;"Serviço",AND(AUTOEVENTO="Manual",$M122=$A$15),$M122&gt;(ROW(PLE.lastrow)-ROW(PLE.firstrow))),0,
           IF(OFFSET(PLE!$G$15,$M122-$A$15,AY$13)="",10^12,OFFSET(PLE!$G$15,$M122-$A$15,AY$13)))</f>
        <v>0</v>
      </c>
      <c r="AZ122" s="173">
        <f ca="1">IF(OR($D122&lt;&gt;"Serviço",AND(AUTOEVENTO="Manual",$M122=$A$15),$M122&gt;(ROW(PLE.lastrow)-ROW(PLE.firstrow))),0,
           IF(OFFSET(PLE!$G$15,$M122-$A$15,AZ$13)="",10^12,OFFSET(PLE!$G$15,$M122-$A$15,AZ$13)))</f>
        <v>0</v>
      </c>
      <c r="BA122" s="173">
        <f ca="1">IF(OR($D122&lt;&gt;"Serviço",AND(AUTOEVENTO="Manual",$M122=$A$15),$M122&gt;(ROW(PLE.lastrow)-ROW(PLE.firstrow))),0,
           IF(OFFSET(PLE!$G$15,$M122-$A$15,BA$13)="",10^12,OFFSET(PLE!$G$15,$M122-$A$15,BA$13)))</f>
        <v>0</v>
      </c>
      <c r="BB122" s="173">
        <f ca="1">IF(OR($D122&lt;&gt;"Serviço",AND(AUTOEVENTO="Manual",$M122=$A$15),$M122&gt;(ROW(PLE.lastrow)-ROW(PLE.firstrow))),0,
           IF(OFFSET(PLE!$G$15,$M122-$A$15,BB$13)="",10^12,OFFSET(PLE!$G$15,$M122-$A$15,BB$13)))</f>
        <v>0</v>
      </c>
      <c r="BC122" s="173">
        <f ca="1">IF(OR($D122&lt;&gt;"Serviço",AND(AUTOEVENTO="Manual",$M122=$A$15),$M122&gt;(ROW(PLE.lastrow)-ROW(PLE.firstrow))),0,
           IF(OFFSET(PLE!$G$15,$M122-$A$15,BC$13)="",10^12,OFFSET(PLE!$G$15,$M122-$A$15,BC$13)))</f>
        <v>0</v>
      </c>
      <c r="BD122" s="173">
        <f ca="1">IF(OR($D122&lt;&gt;"Serviço",AND(AUTOEVENTO="Manual",$M122=$A$15),$M122&gt;(ROW(PLE.lastrow)-ROW(PLE.firstrow))),0,
           IF(OFFSET(PLE!$G$15,$M122-$A$15,BD$13)="",10^12,OFFSET(PLE!$G$15,$M122-$A$15,BD$13)))</f>
        <v>0</v>
      </c>
      <c r="BE122" s="173">
        <f ca="1">IF(OR($D122&lt;&gt;"Serviço",AND(AUTOEVENTO="Manual",$M122=$A$15),$M122&gt;(ROW(PLE.lastrow)-ROW(PLE.firstrow))),0,
           IF(OFFSET(PLE!$G$15,$M122-$A$15,BE$13)="",10^12,OFFSET(PLE!$G$15,$M122-$A$15,BE$13)))</f>
        <v>0</v>
      </c>
      <c r="BF122" s="173">
        <f ca="1">IF(OR($D122&lt;&gt;"Serviço",AND(AUTOEVENTO="Manual",$M122=$A$15),$M122&gt;(ROW(PLE.lastrow)-ROW(PLE.firstrow))),0,
           IF(OFFSET(PLE!$G$15,$M122-$A$15,BF$13)="",10^12,OFFSET(PLE!$G$15,$M122-$A$15,BF$13)))</f>
        <v>0</v>
      </c>
      <c r="BG122" s="173">
        <f ca="1">IF(OR($D122&lt;&gt;"Serviço",AND(AUTOEVENTO="Manual",$M122=$A$15),$M122&gt;(ROW(PLE.lastrow)-ROW(PLE.firstrow))),0,
           IF(OFFSET(PLE!$G$15,$M122-$A$15,BG$13)="",10^12,OFFSET(PLE!$G$15,$M122-$A$15,BG$13)))</f>
        <v>0</v>
      </c>
    </row>
    <row r="123" spans="1:59" s="675" customFormat="1" ht="25.5" x14ac:dyDescent="0.2">
      <c r="A123" s="671" t="str">
        <f t="shared" ca="1" si="10"/>
        <v>107</v>
      </c>
      <c r="B123" s="671" t="str">
        <f ca="1">OFFSET(ORÇAMENTO!C$15,ROW(B123)-ROW(B$15),0)</f>
        <v>S</v>
      </c>
      <c r="C123" s="671" t="str">
        <f ca="1">OFFSET(ORÇAMENTO!L$15,ROW(C123)-ROW(C$15),0)</f>
        <v/>
      </c>
      <c r="D123" s="117" t="str">
        <f ca="1">OFFSET(ORÇAMENTO!N$15,ROW(D123)-ROW(D$15),0)</f>
        <v>Serviço</v>
      </c>
      <c r="E123" s="118" t="str">
        <f ca="1">OFFSET(ORÇAMENTO!O$15,ROW(E123)-ROW(E$15),0)</f>
        <v>-</v>
      </c>
      <c r="F123" s="164" t="str">
        <f ca="1">OFFSET(ORÇAMENTO!R$15,ROW(F123)-ROW(F$15),0)</f>
        <v>(abra o arquivo 'Referência 09-2025.xlsm)</v>
      </c>
      <c r="G123" s="165" t="str">
        <f ca="1">IF($D123&lt;&gt;"Serviço","",OFFSET(ORÇAMENTO!S$15,ROW(G123)-ROW(G$15),0))</f>
        <v>-</v>
      </c>
      <c r="H123" s="123">
        <f ca="1">IF($D123&lt;&gt;"Serviço",0,IF(ACOMPANHAMENTO="BM",ROUND(OFFSET(ORÇAMENTO!AJ$15,ROW(H123)-ROW(H$15),0),15-13*ORÇAMENTO!$AF$7),SUMPRODUCT(($Q$1:$AA$1=1)*ROUND($Q123:$AA123,15-13*ORÇAMENTO!$AF$7))))</f>
        <v>3254.21</v>
      </c>
      <c r="I123" s="469" t="s">
        <v>1147</v>
      </c>
      <c r="J123" s="667" t="str">
        <f ca="1">IF(OR(B123&lt;&gt;"S",CÁLCULO.FrentesPreenchidas=0),"",IF(AND(ACOMPANHAMENTO="PLE",AUTOEVENTO="Manual",OR(H123&gt;0,ORÇAMENTO!AC123="QUANT."),OR(K123="",M123=0,N123="")),"►",IF(AND(ACOMPANHAMENTO="PLE",ORÇAMENTO!AC123="QUANT."),"►►",IF(AND(COUNTIF($P$11:$AA$11,"▼")=0,H123&gt;0,I123=""),"◄",""))))</f>
        <v/>
      </c>
      <c r="K123" s="668"/>
      <c r="L123" s="166" t="s">
        <v>765</v>
      </c>
      <c r="M123" s="167">
        <f ca="1">IF($D123&lt;&gt;"Serviço","",
          IF(AUTOEVENTO="manual",$A123,
                IF(ISERROR(MATCH($A123,$A$15:OFFSET($A123,-1,0),0)),MAX($M$15:OFFSET(M123,-1,0))+1,
                      INDEX($M$15:OFFSET(M123,-1,0),MATCH($A123,$A$15:OFFSET($A123,-1,0),0)))))</f>
        <v>12</v>
      </c>
      <c r="N123" s="168" t="str">
        <f ca="1">IF($D123&lt;&gt;"Serviço","",
         IF(AUTOEVENTO="Manual",
                IF($A123=0,"&lt;-- defina o número do agrupador",
                       OFFSET(EVENTOS!$D$15,$A123-$A$15,0)),
                OFFSET($F$15,$A123,0)))</f>
        <v>ESCORAMENTO, ESGOTAMENTO E DRENAGEM</v>
      </c>
      <c r="O123" s="169"/>
      <c r="Q123" s="169"/>
      <c r="R123" s="170"/>
      <c r="S123" s="170"/>
      <c r="T123" s="170"/>
      <c r="U123" s="170"/>
      <c r="V123" s="170"/>
      <c r="W123" s="170"/>
      <c r="X123" s="170"/>
      <c r="Y123" s="170"/>
      <c r="Z123" s="171"/>
      <c r="AB123" s="454">
        <f ca="1">IF(AND($D123="Serviço",AB$12&lt;&gt;0,$H123&gt;0,OR(AUTOEVENTO&lt;&gt;"manual",$M123&lt;&gt;$A$15)),
        IF(Import.TipoArredondamento&lt;&gt;"TransfereGOV",
              ROUND(OFFSET($P123,0,AB$13),15-13*ORÇAMENTO!$AF$7)/$H123*OFFSET(ORÇAMENTO!$X$15,ROW(AB123)-ROW(AB$15),0),
              ROUND(ROUND(OFFSET($P123,0,AB$13),15-13*ORÇAMENTO!$AF$7)*OFFSET(ORÇAMENTO!$W$15,ROW(AB123)-ROW(AB$15),0),15-13*ORÇAMENTO!$AF$11)),
         0)</f>
        <v>0</v>
      </c>
      <c r="AC123" s="454">
        <f ca="1">IF(AND($D123="Serviço",AC$12&lt;&gt;0,$H123&gt;0,OR(AUTOEVENTO&lt;&gt;"manual",$M123&lt;&gt;$A$15)),
        IF(Import.TipoArredondamento&lt;&gt;"TransfereGOV",
              ROUND(OFFSET($P123,0,AC$13),15-13*ORÇAMENTO!$AF$7)/$H123*OFFSET(ORÇAMENTO!$X$15,ROW(AC123)-ROW(AC$15),0),
              ROUND(ROUND(OFFSET($P123,0,AC$13),15-13*ORÇAMENTO!$AF$7)*OFFSET(ORÇAMENTO!$W$15,ROW(AC123)-ROW(AC$15),0),15-13*ORÇAMENTO!$AF$11)),
         0)</f>
        <v>0</v>
      </c>
      <c r="AD123" s="454">
        <f ca="1">IF(AND($D123="Serviço",AD$12&lt;&gt;0,$H123&gt;0,OR(AUTOEVENTO&lt;&gt;"manual",$M123&lt;&gt;$A$15)),
        IF(Import.TipoArredondamento&lt;&gt;"TransfereGOV",
              ROUND(OFFSET($P123,0,AD$13),15-13*ORÇAMENTO!$AF$7)/$H123*OFFSET(ORÇAMENTO!$X$15,ROW(AD123)-ROW(AD$15),0),
              ROUND(ROUND(OFFSET($P123,0,AD$13),15-13*ORÇAMENTO!$AF$7)*OFFSET(ORÇAMENTO!$W$15,ROW(AD123)-ROW(AD$15),0),15-13*ORÇAMENTO!$AF$11)),
         0)</f>
        <v>0</v>
      </c>
      <c r="AE123" s="454">
        <f ca="1">IF(AND($D123="Serviço",AE$12&lt;&gt;0,$H123&gt;0,OR(AUTOEVENTO&lt;&gt;"manual",$M123&lt;&gt;$A$15)),
        IF(Import.TipoArredondamento&lt;&gt;"TransfereGOV",
              ROUND(OFFSET($P123,0,AE$13),15-13*ORÇAMENTO!$AF$7)/$H123*OFFSET(ORÇAMENTO!$X$15,ROW(AE123)-ROW(AE$15),0),
              ROUND(ROUND(OFFSET($P123,0,AE$13),15-13*ORÇAMENTO!$AF$7)*OFFSET(ORÇAMENTO!$W$15,ROW(AE123)-ROW(AE$15),0),15-13*ORÇAMENTO!$AF$11)),
         0)</f>
        <v>0</v>
      </c>
      <c r="AF123" s="454">
        <f ca="1">IF(AND($D123="Serviço",AF$12&lt;&gt;0,$H123&gt;0,OR(AUTOEVENTO&lt;&gt;"manual",$M123&lt;&gt;$A$15)),
        IF(Import.TipoArredondamento&lt;&gt;"TransfereGOV",
              ROUND(OFFSET($P123,0,AF$13),15-13*ORÇAMENTO!$AF$7)/$H123*OFFSET(ORÇAMENTO!$X$15,ROW(AF123)-ROW(AF$15),0),
              ROUND(ROUND(OFFSET($P123,0,AF$13),15-13*ORÇAMENTO!$AF$7)*OFFSET(ORÇAMENTO!$W$15,ROW(AF123)-ROW(AF$15),0),15-13*ORÇAMENTO!$AF$11)),
         0)</f>
        <v>0</v>
      </c>
      <c r="AG123" s="454">
        <f ca="1">IF(AND($D123="Serviço",AG$12&lt;&gt;0,$H123&gt;0,OR(AUTOEVENTO&lt;&gt;"manual",$M123&lt;&gt;$A$15)),
        IF(Import.TipoArredondamento&lt;&gt;"TransfereGOV",
              ROUND(OFFSET($P123,0,AG$13),15-13*ORÇAMENTO!$AF$7)/$H123*OFFSET(ORÇAMENTO!$X$15,ROW(AG123)-ROW(AG$15),0),
              ROUND(ROUND(OFFSET($P123,0,AG$13),15-13*ORÇAMENTO!$AF$7)*OFFSET(ORÇAMENTO!$W$15,ROW(AG123)-ROW(AG$15),0),15-13*ORÇAMENTO!$AF$11)),
         0)</f>
        <v>0</v>
      </c>
      <c r="AH123" s="454">
        <f ca="1">IF(AND($D123="Serviço",AH$12&lt;&gt;0,$H123&gt;0,OR(AUTOEVENTO&lt;&gt;"manual",$M123&lt;&gt;$A$15)),
        IF(Import.TipoArredondamento&lt;&gt;"TransfereGOV",
              ROUND(OFFSET($P123,0,AH$13),15-13*ORÇAMENTO!$AF$7)/$H123*OFFSET(ORÇAMENTO!$X$15,ROW(AH123)-ROW(AH$15),0),
              ROUND(ROUND(OFFSET($P123,0,AH$13),15-13*ORÇAMENTO!$AF$7)*OFFSET(ORÇAMENTO!$W$15,ROW(AH123)-ROW(AH$15),0),15-13*ORÇAMENTO!$AF$11)),
         0)</f>
        <v>0</v>
      </c>
      <c r="AI123" s="454">
        <f ca="1">IF(AND($D123="Serviço",AI$12&lt;&gt;0,$H123&gt;0,OR(AUTOEVENTO&lt;&gt;"manual",$M123&lt;&gt;$A$15)),
        IF(Import.TipoArredondamento&lt;&gt;"TransfereGOV",
              ROUND(OFFSET($P123,0,AI$13),15-13*ORÇAMENTO!$AF$7)/$H123*OFFSET(ORÇAMENTO!$X$15,ROW(AI123)-ROW(AI$15),0),
              ROUND(ROUND(OFFSET($P123,0,AI$13),15-13*ORÇAMENTO!$AF$7)*OFFSET(ORÇAMENTO!$W$15,ROW(AI123)-ROW(AI$15),0),15-13*ORÇAMENTO!$AF$11)),
         0)</f>
        <v>0</v>
      </c>
      <c r="AJ123" s="454">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4">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M123" s="172">
        <f ca="1">IF(OR($D123&lt;&gt;"Serviço",AND(AUTOEVENTO="Manual",$M123=$A$15)),0,
         IF(OFFSET(CRONOPLE!$F$15,$M123-$A$15,AM$13)=0,10^12,OFFSET(CRONOPLE!$F$15,$M123-$A$15,AM$13)))</f>
        <v>1000000000000</v>
      </c>
      <c r="AN123" s="172">
        <f ca="1">IF(OR($D123&lt;&gt;"Serviço",AND(AUTOEVENTO="Manual",$M123=$A$15)),0,
         IF(OFFSET(CRONOPLE!$F$15,$M123-$A$15,AN$13)=0,10^12,OFFSET(CRONOPLE!$F$15,$M123-$A$15,AN$13)))</f>
        <v>1000000000000</v>
      </c>
      <c r="AO123" s="172">
        <f ca="1">IF(OR($D123&lt;&gt;"Serviço",AND(AUTOEVENTO="Manual",$M123=$A$15)),0,
         IF(OFFSET(CRONOPLE!$F$15,$M123-$A$15,AO$13)=0,10^12,OFFSET(CRONOPLE!$F$15,$M123-$A$15,AO$13)))</f>
        <v>1000000000000</v>
      </c>
      <c r="AP123" s="172">
        <f ca="1">IF(OR($D123&lt;&gt;"Serviço",AND(AUTOEVENTO="Manual",$M123=$A$15)),0,
         IF(OFFSET(CRONOPLE!$F$15,$M123-$A$15,AP$13)=0,10^12,OFFSET(CRONOPLE!$F$15,$M123-$A$15,AP$13)))</f>
        <v>1000000000000</v>
      </c>
      <c r="AQ123" s="172">
        <f ca="1">IF(OR($D123&lt;&gt;"Serviço",AND(AUTOEVENTO="Manual",$M123=$A$15)),0,
         IF(OFFSET(CRONOPLE!$F$15,$M123-$A$15,AQ$13)=0,10^12,OFFSET(CRONOPLE!$F$15,$M123-$A$15,AQ$13)))</f>
        <v>1000000000000</v>
      </c>
      <c r="AR123" s="172">
        <f ca="1">IF(OR($D123&lt;&gt;"Serviço",AND(AUTOEVENTO="Manual",$M123=$A$15)),0,
         IF(OFFSET(CRONOPLE!$F$15,$M123-$A$15,AR$13)=0,10^12,OFFSET(CRONOPLE!$F$15,$M123-$A$15,AR$13)))</f>
        <v>1000000000000</v>
      </c>
      <c r="AS123" s="172">
        <f ca="1">IF(OR($D123&lt;&gt;"Serviço",AND(AUTOEVENTO="Manual",$M123=$A$15)),0,
         IF(OFFSET(CRONOPLE!$F$15,$M123-$A$15,AS$13)=0,10^12,OFFSET(CRONOPLE!$F$15,$M123-$A$15,AS$13)))</f>
        <v>1000000000000</v>
      </c>
      <c r="AT123" s="172">
        <f ca="1">IF(OR($D123&lt;&gt;"Serviço",AND(AUTOEVENTO="Manual",$M123=$A$15)),0,
         IF(OFFSET(CRONOPLE!$F$15,$M123-$A$15,AT$13)=0,10^12,OFFSET(CRONOPLE!$F$15,$M123-$A$15,AT$13)))</f>
        <v>1000000000000</v>
      </c>
      <c r="AU123" s="172">
        <f ca="1">IF(OR($D123&lt;&gt;"Serviço",AND(AUTOEVENTO="Manual",$M123=$A$15)),0,
         IF(OFFSET(CRONOPLE!$F$15,$M123-$A$15,AU$13)=0,10^12,OFFSET(CRONOPLE!$F$15,$M123-$A$15,AU$13)))</f>
        <v>1000000000000</v>
      </c>
      <c r="AV123" s="172">
        <f ca="1">IF(OR($D123&lt;&gt;"Serviço",AND(AUTOEVENTO="Manual",$M123=$A$15)),0,
         IF(OFFSET(CRONOPLE!$F$15,$M123-$A$15,AV$13)=0,10^12,OFFSET(CRONOPLE!$F$15,$M123-$A$15,AV$13)))</f>
        <v>1000000000000</v>
      </c>
      <c r="AX123" s="173">
        <f ca="1">IF(OR($D123&lt;&gt;"Serviço",AND(AUTOEVENTO="Manual",$M123=$A$15),$M123&gt;(ROW(PLE.lastrow)-ROW(PLE.firstrow))),0,
           IF(OFFSET(PLE!$G$15,$M123-$A$15,AX$13)="",10^12,OFFSET(PLE!$G$15,$M123-$A$15,AX$13)))</f>
        <v>1000000000000</v>
      </c>
      <c r="AY123" s="173">
        <f ca="1">IF(OR($D123&lt;&gt;"Serviço",AND(AUTOEVENTO="Manual",$M123=$A$15),$M123&gt;(ROW(PLE.lastrow)-ROW(PLE.firstrow))),0,
           IF(OFFSET(PLE!$G$15,$M123-$A$15,AY$13)="",10^12,OFFSET(PLE!$G$15,$M123-$A$15,AY$13)))</f>
        <v>1000000000000</v>
      </c>
      <c r="AZ123" s="173">
        <f ca="1">IF(OR($D123&lt;&gt;"Serviço",AND(AUTOEVENTO="Manual",$M123=$A$15),$M123&gt;(ROW(PLE.lastrow)-ROW(PLE.firstrow))),0,
           IF(OFFSET(PLE!$G$15,$M123-$A$15,AZ$13)="",10^12,OFFSET(PLE!$G$15,$M123-$A$15,AZ$13)))</f>
        <v>1000000000000</v>
      </c>
      <c r="BA123" s="173">
        <f ca="1">IF(OR($D123&lt;&gt;"Serviço",AND(AUTOEVENTO="Manual",$M123=$A$15),$M123&gt;(ROW(PLE.lastrow)-ROW(PLE.firstrow))),0,
           IF(OFFSET(PLE!$G$15,$M123-$A$15,BA$13)="",10^12,OFFSET(PLE!$G$15,$M123-$A$15,BA$13)))</f>
        <v>1000000000000</v>
      </c>
      <c r="BB123" s="173">
        <f ca="1">IF(OR($D123&lt;&gt;"Serviço",AND(AUTOEVENTO="Manual",$M123=$A$15),$M123&gt;(ROW(PLE.lastrow)-ROW(PLE.firstrow))),0,
           IF(OFFSET(PLE!$G$15,$M123-$A$15,BB$13)="",10^12,OFFSET(PLE!$G$15,$M123-$A$15,BB$13)))</f>
        <v>1000000000000</v>
      </c>
      <c r="BC123" s="173">
        <f ca="1">IF(OR($D123&lt;&gt;"Serviço",AND(AUTOEVENTO="Manual",$M123=$A$15),$M123&gt;(ROW(PLE.lastrow)-ROW(PLE.firstrow))),0,
           IF(OFFSET(PLE!$G$15,$M123-$A$15,BC$13)="",10^12,OFFSET(PLE!$G$15,$M123-$A$15,BC$13)))</f>
        <v>1000000000000</v>
      </c>
      <c r="BD123" s="173">
        <f ca="1">IF(OR($D123&lt;&gt;"Serviço",AND(AUTOEVENTO="Manual",$M123=$A$15),$M123&gt;(ROW(PLE.lastrow)-ROW(PLE.firstrow))),0,
           IF(OFFSET(PLE!$G$15,$M123-$A$15,BD$13)="",10^12,OFFSET(PLE!$G$15,$M123-$A$15,BD$13)))</f>
        <v>1000000000000</v>
      </c>
      <c r="BE123" s="173">
        <f ca="1">IF(OR($D123&lt;&gt;"Serviço",AND(AUTOEVENTO="Manual",$M123=$A$15),$M123&gt;(ROW(PLE.lastrow)-ROW(PLE.firstrow))),0,
           IF(OFFSET(PLE!$G$15,$M123-$A$15,BE$13)="",10^12,OFFSET(PLE!$G$15,$M123-$A$15,BE$13)))</f>
        <v>1000000000000</v>
      </c>
      <c r="BF123" s="173">
        <f ca="1">IF(OR($D123&lt;&gt;"Serviço",AND(AUTOEVENTO="Manual",$M123=$A$15),$M123&gt;(ROW(PLE.lastrow)-ROW(PLE.firstrow))),0,
           IF(OFFSET(PLE!$G$15,$M123-$A$15,BF$13)="",10^12,OFFSET(PLE!$G$15,$M123-$A$15,BF$13)))</f>
        <v>1000000000000</v>
      </c>
      <c r="BG123" s="173">
        <f ca="1">IF(OR($D123&lt;&gt;"Serviço",AND(AUTOEVENTO="Manual",$M123=$A$15),$M123&gt;(ROW(PLE.lastrow)-ROW(PLE.firstrow))),0,
           IF(OFFSET(PLE!$G$15,$M123-$A$15,BG$13)="",10^12,OFFSET(PLE!$G$15,$M123-$A$15,BG$13)))</f>
        <v>1000000000000</v>
      </c>
    </row>
    <row r="124" spans="1:59" s="675" customFormat="1" ht="25.5" x14ac:dyDescent="0.2">
      <c r="A124" s="671" t="str">
        <f t="shared" ca="1" si="10"/>
        <v>107</v>
      </c>
      <c r="B124" s="671" t="str">
        <f ca="1">OFFSET(ORÇAMENTO!C$15,ROW(B124)-ROW(B$15),0)</f>
        <v>S</v>
      </c>
      <c r="C124" s="671" t="str">
        <f ca="1">OFFSET(ORÇAMENTO!L$15,ROW(C124)-ROW(C$15),0)</f>
        <v/>
      </c>
      <c r="D124" s="117" t="str">
        <f ca="1">OFFSET(ORÇAMENTO!N$15,ROW(D124)-ROW(D$15),0)</f>
        <v>Serviço</v>
      </c>
      <c r="E124" s="118" t="str">
        <f ca="1">OFFSET(ORÇAMENTO!O$15,ROW(E124)-ROW(E$15),0)</f>
        <v>-</v>
      </c>
      <c r="F124" s="164" t="str">
        <f ca="1">OFFSET(ORÇAMENTO!R$15,ROW(F124)-ROW(F$15),0)</f>
        <v>(abra o arquivo 'Referência 09-2025.xlsm)</v>
      </c>
      <c r="G124" s="165" t="str">
        <f ca="1">IF($D124&lt;&gt;"Serviço","",OFFSET(ORÇAMENTO!S$15,ROW(G124)-ROW(G$15),0))</f>
        <v>-</v>
      </c>
      <c r="H124" s="123">
        <f ca="1">IF($D124&lt;&gt;"Serviço",0,IF(ACOMPANHAMENTO="BM",ROUND(OFFSET(ORÇAMENTO!AJ$15,ROW(H124)-ROW(H$15),0),15-13*ORÇAMENTO!$AF$7),SUMPRODUCT(($Q$1:$AA$1=1)*ROUND($Q124:$AA124,15-13*ORÇAMENTO!$AF$7))))</f>
        <v>373.45</v>
      </c>
      <c r="I124" s="469" t="s">
        <v>1147</v>
      </c>
      <c r="J124" s="667" t="str">
        <f ca="1">IF(OR(B124&lt;&gt;"S",CÁLCULO.FrentesPreenchidas=0),"",IF(AND(ACOMPANHAMENTO="PLE",AUTOEVENTO="Manual",OR(H124&gt;0,ORÇAMENTO!AC124="QUANT."),OR(K124="",M124=0,N124="")),"►",IF(AND(ACOMPANHAMENTO="PLE",ORÇAMENTO!AC124="QUANT."),"►►",IF(AND(COUNTIF($P$11:$AA$11,"▼")=0,H124&gt;0,I124=""),"◄",""))))</f>
        <v/>
      </c>
      <c r="K124" s="668"/>
      <c r="L124" s="166" t="s">
        <v>765</v>
      </c>
      <c r="M124" s="167">
        <f ca="1">IF($D124&lt;&gt;"Serviço","",
          IF(AUTOEVENTO="manual",$A124,
                IF(ISERROR(MATCH($A124,$A$15:OFFSET($A124,-1,0),0)),MAX($M$15:OFFSET(M124,-1,0))+1,
                      INDEX($M$15:OFFSET(M124,-1,0),MATCH($A124,$A$15:OFFSET($A124,-1,0),0)))))</f>
        <v>12</v>
      </c>
      <c r="N124" s="168" t="str">
        <f ca="1">IF($D124&lt;&gt;"Serviço","",
         IF(AUTOEVENTO="Manual",
                IF($A124=0,"&lt;-- defina o número do agrupador",
                       OFFSET(EVENTOS!$D$15,$A124-$A$15,0)),
                OFFSET($F$15,$A124,0)))</f>
        <v>ESCORAMENTO, ESGOTAMENTO E DRENAGEM</v>
      </c>
      <c r="O124" s="169"/>
      <c r="Q124" s="169"/>
      <c r="R124" s="170"/>
      <c r="S124" s="170"/>
      <c r="T124" s="170"/>
      <c r="U124" s="170"/>
      <c r="V124" s="170"/>
      <c r="W124" s="170"/>
      <c r="X124" s="170"/>
      <c r="Y124" s="170"/>
      <c r="Z124" s="171"/>
      <c r="AB124" s="454">
        <f ca="1">IF(AND($D124="Serviço",AB$12&lt;&gt;0,$H124&gt;0,OR(AUTOEVENTO&lt;&gt;"manual",$M124&lt;&gt;$A$15)),
        IF(Import.TipoArredondamento&lt;&gt;"TransfereGOV",
              ROUND(OFFSET($P124,0,AB$13),15-13*ORÇAMENTO!$AF$7)/$H124*OFFSET(ORÇAMENTO!$X$15,ROW(AB124)-ROW(AB$15),0),
              ROUND(ROUND(OFFSET($P124,0,AB$13),15-13*ORÇAMENTO!$AF$7)*OFFSET(ORÇAMENTO!$W$15,ROW(AB124)-ROW(AB$15),0),15-13*ORÇAMENTO!$AF$11)),
         0)</f>
        <v>0</v>
      </c>
      <c r="AC124" s="454">
        <f ca="1">IF(AND($D124="Serviço",AC$12&lt;&gt;0,$H124&gt;0,OR(AUTOEVENTO&lt;&gt;"manual",$M124&lt;&gt;$A$15)),
        IF(Import.TipoArredondamento&lt;&gt;"TransfereGOV",
              ROUND(OFFSET($P124,0,AC$13),15-13*ORÇAMENTO!$AF$7)/$H124*OFFSET(ORÇAMENTO!$X$15,ROW(AC124)-ROW(AC$15),0),
              ROUND(ROUND(OFFSET($P124,0,AC$13),15-13*ORÇAMENTO!$AF$7)*OFFSET(ORÇAMENTO!$W$15,ROW(AC124)-ROW(AC$15),0),15-13*ORÇAMENTO!$AF$11)),
         0)</f>
        <v>0</v>
      </c>
      <c r="AD124" s="454">
        <f ca="1">IF(AND($D124="Serviço",AD$12&lt;&gt;0,$H124&gt;0,OR(AUTOEVENTO&lt;&gt;"manual",$M124&lt;&gt;$A$15)),
        IF(Import.TipoArredondamento&lt;&gt;"TransfereGOV",
              ROUND(OFFSET($P124,0,AD$13),15-13*ORÇAMENTO!$AF$7)/$H124*OFFSET(ORÇAMENTO!$X$15,ROW(AD124)-ROW(AD$15),0),
              ROUND(ROUND(OFFSET($P124,0,AD$13),15-13*ORÇAMENTO!$AF$7)*OFFSET(ORÇAMENTO!$W$15,ROW(AD124)-ROW(AD$15),0),15-13*ORÇAMENTO!$AF$11)),
         0)</f>
        <v>0</v>
      </c>
      <c r="AE124" s="454">
        <f ca="1">IF(AND($D124="Serviço",AE$12&lt;&gt;0,$H124&gt;0,OR(AUTOEVENTO&lt;&gt;"manual",$M124&lt;&gt;$A$15)),
        IF(Import.TipoArredondamento&lt;&gt;"TransfereGOV",
              ROUND(OFFSET($P124,0,AE$13),15-13*ORÇAMENTO!$AF$7)/$H124*OFFSET(ORÇAMENTO!$X$15,ROW(AE124)-ROW(AE$15),0),
              ROUND(ROUND(OFFSET($P124,0,AE$13),15-13*ORÇAMENTO!$AF$7)*OFFSET(ORÇAMENTO!$W$15,ROW(AE124)-ROW(AE$15),0),15-13*ORÇAMENTO!$AF$11)),
         0)</f>
        <v>0</v>
      </c>
      <c r="AF124" s="454">
        <f ca="1">IF(AND($D124="Serviço",AF$12&lt;&gt;0,$H124&gt;0,OR(AUTOEVENTO&lt;&gt;"manual",$M124&lt;&gt;$A$15)),
        IF(Import.TipoArredondamento&lt;&gt;"TransfereGOV",
              ROUND(OFFSET($P124,0,AF$13),15-13*ORÇAMENTO!$AF$7)/$H124*OFFSET(ORÇAMENTO!$X$15,ROW(AF124)-ROW(AF$15),0),
              ROUND(ROUND(OFFSET($P124,0,AF$13),15-13*ORÇAMENTO!$AF$7)*OFFSET(ORÇAMENTO!$W$15,ROW(AF124)-ROW(AF$15),0),15-13*ORÇAMENTO!$AF$11)),
         0)</f>
        <v>0</v>
      </c>
      <c r="AG124" s="454">
        <f ca="1">IF(AND($D124="Serviço",AG$12&lt;&gt;0,$H124&gt;0,OR(AUTOEVENTO&lt;&gt;"manual",$M124&lt;&gt;$A$15)),
        IF(Import.TipoArredondamento&lt;&gt;"TransfereGOV",
              ROUND(OFFSET($P124,0,AG$13),15-13*ORÇAMENTO!$AF$7)/$H124*OFFSET(ORÇAMENTO!$X$15,ROW(AG124)-ROW(AG$15),0),
              ROUND(ROUND(OFFSET($P124,0,AG$13),15-13*ORÇAMENTO!$AF$7)*OFFSET(ORÇAMENTO!$W$15,ROW(AG124)-ROW(AG$15),0),15-13*ORÇAMENTO!$AF$11)),
         0)</f>
        <v>0</v>
      </c>
      <c r="AH124" s="454">
        <f ca="1">IF(AND($D124="Serviço",AH$12&lt;&gt;0,$H124&gt;0,OR(AUTOEVENTO&lt;&gt;"manual",$M124&lt;&gt;$A$15)),
        IF(Import.TipoArredondamento&lt;&gt;"TransfereGOV",
              ROUND(OFFSET($P124,0,AH$13),15-13*ORÇAMENTO!$AF$7)/$H124*OFFSET(ORÇAMENTO!$X$15,ROW(AH124)-ROW(AH$15),0),
              ROUND(ROUND(OFFSET($P124,0,AH$13),15-13*ORÇAMENTO!$AF$7)*OFFSET(ORÇAMENTO!$W$15,ROW(AH124)-ROW(AH$15),0),15-13*ORÇAMENTO!$AF$11)),
         0)</f>
        <v>0</v>
      </c>
      <c r="AI124" s="454">
        <f ca="1">IF(AND($D124="Serviço",AI$12&lt;&gt;0,$H124&gt;0,OR(AUTOEVENTO&lt;&gt;"manual",$M124&lt;&gt;$A$15)),
        IF(Import.TipoArredondamento&lt;&gt;"TransfereGOV",
              ROUND(OFFSET($P124,0,AI$13),15-13*ORÇAMENTO!$AF$7)/$H124*OFFSET(ORÇAMENTO!$X$15,ROW(AI124)-ROW(AI$15),0),
              ROUND(ROUND(OFFSET($P124,0,AI$13),15-13*ORÇAMENTO!$AF$7)*OFFSET(ORÇAMENTO!$W$15,ROW(AI124)-ROW(AI$15),0),15-13*ORÇAMENTO!$AF$11)),
         0)</f>
        <v>0</v>
      </c>
      <c r="AJ124" s="454">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4">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M124" s="172">
        <f ca="1">IF(OR($D124&lt;&gt;"Serviço",AND(AUTOEVENTO="Manual",$M124=$A$15)),0,
         IF(OFFSET(CRONOPLE!$F$15,$M124-$A$15,AM$13)=0,10^12,OFFSET(CRONOPLE!$F$15,$M124-$A$15,AM$13)))</f>
        <v>1000000000000</v>
      </c>
      <c r="AN124" s="172">
        <f ca="1">IF(OR($D124&lt;&gt;"Serviço",AND(AUTOEVENTO="Manual",$M124=$A$15)),0,
         IF(OFFSET(CRONOPLE!$F$15,$M124-$A$15,AN$13)=0,10^12,OFFSET(CRONOPLE!$F$15,$M124-$A$15,AN$13)))</f>
        <v>1000000000000</v>
      </c>
      <c r="AO124" s="172">
        <f ca="1">IF(OR($D124&lt;&gt;"Serviço",AND(AUTOEVENTO="Manual",$M124=$A$15)),0,
         IF(OFFSET(CRONOPLE!$F$15,$M124-$A$15,AO$13)=0,10^12,OFFSET(CRONOPLE!$F$15,$M124-$A$15,AO$13)))</f>
        <v>1000000000000</v>
      </c>
      <c r="AP124" s="172">
        <f ca="1">IF(OR($D124&lt;&gt;"Serviço",AND(AUTOEVENTO="Manual",$M124=$A$15)),0,
         IF(OFFSET(CRONOPLE!$F$15,$M124-$A$15,AP$13)=0,10^12,OFFSET(CRONOPLE!$F$15,$M124-$A$15,AP$13)))</f>
        <v>1000000000000</v>
      </c>
      <c r="AQ124" s="172">
        <f ca="1">IF(OR($D124&lt;&gt;"Serviço",AND(AUTOEVENTO="Manual",$M124=$A$15)),0,
         IF(OFFSET(CRONOPLE!$F$15,$M124-$A$15,AQ$13)=0,10^12,OFFSET(CRONOPLE!$F$15,$M124-$A$15,AQ$13)))</f>
        <v>1000000000000</v>
      </c>
      <c r="AR124" s="172">
        <f ca="1">IF(OR($D124&lt;&gt;"Serviço",AND(AUTOEVENTO="Manual",$M124=$A$15)),0,
         IF(OFFSET(CRONOPLE!$F$15,$M124-$A$15,AR$13)=0,10^12,OFFSET(CRONOPLE!$F$15,$M124-$A$15,AR$13)))</f>
        <v>1000000000000</v>
      </c>
      <c r="AS124" s="172">
        <f ca="1">IF(OR($D124&lt;&gt;"Serviço",AND(AUTOEVENTO="Manual",$M124=$A$15)),0,
         IF(OFFSET(CRONOPLE!$F$15,$M124-$A$15,AS$13)=0,10^12,OFFSET(CRONOPLE!$F$15,$M124-$A$15,AS$13)))</f>
        <v>1000000000000</v>
      </c>
      <c r="AT124" s="172">
        <f ca="1">IF(OR($D124&lt;&gt;"Serviço",AND(AUTOEVENTO="Manual",$M124=$A$15)),0,
         IF(OFFSET(CRONOPLE!$F$15,$M124-$A$15,AT$13)=0,10^12,OFFSET(CRONOPLE!$F$15,$M124-$A$15,AT$13)))</f>
        <v>1000000000000</v>
      </c>
      <c r="AU124" s="172">
        <f ca="1">IF(OR($D124&lt;&gt;"Serviço",AND(AUTOEVENTO="Manual",$M124=$A$15)),0,
         IF(OFFSET(CRONOPLE!$F$15,$M124-$A$15,AU$13)=0,10^12,OFFSET(CRONOPLE!$F$15,$M124-$A$15,AU$13)))</f>
        <v>1000000000000</v>
      </c>
      <c r="AV124" s="172">
        <f ca="1">IF(OR($D124&lt;&gt;"Serviço",AND(AUTOEVENTO="Manual",$M124=$A$15)),0,
         IF(OFFSET(CRONOPLE!$F$15,$M124-$A$15,AV$13)=0,10^12,OFFSET(CRONOPLE!$F$15,$M124-$A$15,AV$13)))</f>
        <v>1000000000000</v>
      </c>
      <c r="AX124" s="173">
        <f ca="1">IF(OR($D124&lt;&gt;"Serviço",AND(AUTOEVENTO="Manual",$M124=$A$15),$M124&gt;(ROW(PLE.lastrow)-ROW(PLE.firstrow))),0,
           IF(OFFSET(PLE!$G$15,$M124-$A$15,AX$13)="",10^12,OFFSET(PLE!$G$15,$M124-$A$15,AX$13)))</f>
        <v>1000000000000</v>
      </c>
      <c r="AY124" s="173">
        <f ca="1">IF(OR($D124&lt;&gt;"Serviço",AND(AUTOEVENTO="Manual",$M124=$A$15),$M124&gt;(ROW(PLE.lastrow)-ROW(PLE.firstrow))),0,
           IF(OFFSET(PLE!$G$15,$M124-$A$15,AY$13)="",10^12,OFFSET(PLE!$G$15,$M124-$A$15,AY$13)))</f>
        <v>1000000000000</v>
      </c>
      <c r="AZ124" s="173">
        <f ca="1">IF(OR($D124&lt;&gt;"Serviço",AND(AUTOEVENTO="Manual",$M124=$A$15),$M124&gt;(ROW(PLE.lastrow)-ROW(PLE.firstrow))),0,
           IF(OFFSET(PLE!$G$15,$M124-$A$15,AZ$13)="",10^12,OFFSET(PLE!$G$15,$M124-$A$15,AZ$13)))</f>
        <v>1000000000000</v>
      </c>
      <c r="BA124" s="173">
        <f ca="1">IF(OR($D124&lt;&gt;"Serviço",AND(AUTOEVENTO="Manual",$M124=$A$15),$M124&gt;(ROW(PLE.lastrow)-ROW(PLE.firstrow))),0,
           IF(OFFSET(PLE!$G$15,$M124-$A$15,BA$13)="",10^12,OFFSET(PLE!$G$15,$M124-$A$15,BA$13)))</f>
        <v>1000000000000</v>
      </c>
      <c r="BB124" s="173">
        <f ca="1">IF(OR($D124&lt;&gt;"Serviço",AND(AUTOEVENTO="Manual",$M124=$A$15),$M124&gt;(ROW(PLE.lastrow)-ROW(PLE.firstrow))),0,
           IF(OFFSET(PLE!$G$15,$M124-$A$15,BB$13)="",10^12,OFFSET(PLE!$G$15,$M124-$A$15,BB$13)))</f>
        <v>1000000000000</v>
      </c>
      <c r="BC124" s="173">
        <f ca="1">IF(OR($D124&lt;&gt;"Serviço",AND(AUTOEVENTO="Manual",$M124=$A$15),$M124&gt;(ROW(PLE.lastrow)-ROW(PLE.firstrow))),0,
           IF(OFFSET(PLE!$G$15,$M124-$A$15,BC$13)="",10^12,OFFSET(PLE!$G$15,$M124-$A$15,BC$13)))</f>
        <v>1000000000000</v>
      </c>
      <c r="BD124" s="173">
        <f ca="1">IF(OR($D124&lt;&gt;"Serviço",AND(AUTOEVENTO="Manual",$M124=$A$15),$M124&gt;(ROW(PLE.lastrow)-ROW(PLE.firstrow))),0,
           IF(OFFSET(PLE!$G$15,$M124-$A$15,BD$13)="",10^12,OFFSET(PLE!$G$15,$M124-$A$15,BD$13)))</f>
        <v>1000000000000</v>
      </c>
      <c r="BE124" s="173">
        <f ca="1">IF(OR($D124&lt;&gt;"Serviço",AND(AUTOEVENTO="Manual",$M124=$A$15),$M124&gt;(ROW(PLE.lastrow)-ROW(PLE.firstrow))),0,
           IF(OFFSET(PLE!$G$15,$M124-$A$15,BE$13)="",10^12,OFFSET(PLE!$G$15,$M124-$A$15,BE$13)))</f>
        <v>1000000000000</v>
      </c>
      <c r="BF124" s="173">
        <f ca="1">IF(OR($D124&lt;&gt;"Serviço",AND(AUTOEVENTO="Manual",$M124=$A$15),$M124&gt;(ROW(PLE.lastrow)-ROW(PLE.firstrow))),0,
           IF(OFFSET(PLE!$G$15,$M124-$A$15,BF$13)="",10^12,OFFSET(PLE!$G$15,$M124-$A$15,BF$13)))</f>
        <v>1000000000000</v>
      </c>
      <c r="BG124" s="173">
        <f ca="1">IF(OR($D124&lt;&gt;"Serviço",AND(AUTOEVENTO="Manual",$M124=$A$15),$M124&gt;(ROW(PLE.lastrow)-ROW(PLE.firstrow))),0,
           IF(OFFSET(PLE!$G$15,$M124-$A$15,BG$13)="",10^12,OFFSET(PLE!$G$15,$M124-$A$15,BG$13)))</f>
        <v>1000000000000</v>
      </c>
    </row>
    <row r="125" spans="1:59" s="675" customFormat="1" ht="38.25" x14ac:dyDescent="0.2">
      <c r="A125" s="671" t="str">
        <f t="shared" ca="1" si="10"/>
        <v>107</v>
      </c>
      <c r="B125" s="671" t="str">
        <f ca="1">OFFSET(ORÇAMENTO!C$15,ROW(B125)-ROW(B$15),0)</f>
        <v>S</v>
      </c>
      <c r="C125" s="671" t="str">
        <f ca="1">OFFSET(ORÇAMENTO!L$15,ROW(C125)-ROW(C$15),0)</f>
        <v/>
      </c>
      <c r="D125" s="117" t="str">
        <f ca="1">OFFSET(ORÇAMENTO!N$15,ROW(D125)-ROW(D$15),0)</f>
        <v>Serviço</v>
      </c>
      <c r="E125" s="118" t="str">
        <f ca="1">OFFSET(ORÇAMENTO!O$15,ROW(E125)-ROW(E$15),0)</f>
        <v>-</v>
      </c>
      <c r="F125" s="164" t="str">
        <f ca="1">OFFSET(ORÇAMENTO!R$15,ROW(F125)-ROW(F$15),0)</f>
        <v>(abra o arquivo 'Referência 09-2025.xlsm)</v>
      </c>
      <c r="G125" s="165" t="str">
        <f ca="1">IF($D125&lt;&gt;"Serviço","",OFFSET(ORÇAMENTO!S$15,ROW(G125)-ROW(G$15),0))</f>
        <v>-</v>
      </c>
      <c r="H125" s="123">
        <f ca="1">IF($D125&lt;&gt;"Serviço",0,IF(ACOMPANHAMENTO="BM",ROUND(OFFSET(ORÇAMENTO!AJ$15,ROW(H125)-ROW(H$15),0),15-13*ORÇAMENTO!$AF$7),SUMPRODUCT(($Q$1:$AA$1=1)*ROUND($Q125:$AA125,15-13*ORÇAMENTO!$AF$7))))</f>
        <v>373.45</v>
      </c>
      <c r="I125" s="469" t="s">
        <v>1147</v>
      </c>
      <c r="J125" s="667" t="str">
        <f ca="1">IF(OR(B125&lt;&gt;"S",CÁLCULO.FrentesPreenchidas=0),"",IF(AND(ACOMPANHAMENTO="PLE",AUTOEVENTO="Manual",OR(H125&gt;0,ORÇAMENTO!AC125="QUANT."),OR(K125="",M125=0,N125="")),"►",IF(AND(ACOMPANHAMENTO="PLE",ORÇAMENTO!AC125="QUANT."),"►►",IF(AND(COUNTIF($P$11:$AA$11,"▼")=0,H125&gt;0,I125=""),"◄",""))))</f>
        <v/>
      </c>
      <c r="K125" s="668"/>
      <c r="L125" s="166" t="s">
        <v>765</v>
      </c>
      <c r="M125" s="167">
        <f ca="1">IF($D125&lt;&gt;"Serviço","",
          IF(AUTOEVENTO="manual",$A125,
                IF(ISERROR(MATCH($A125,$A$15:OFFSET($A125,-1,0),0)),MAX($M$15:OFFSET(M125,-1,0))+1,
                      INDEX($M$15:OFFSET(M125,-1,0),MATCH($A125,$A$15:OFFSET($A125,-1,0),0)))))</f>
        <v>12</v>
      </c>
      <c r="N125" s="168" t="str">
        <f ca="1">IF($D125&lt;&gt;"Serviço","",
         IF(AUTOEVENTO="Manual",
                IF($A125=0,"&lt;-- defina o número do agrupador",
                       OFFSET(EVENTOS!$D$15,$A125-$A$15,0)),
                OFFSET($F$15,$A125,0)))</f>
        <v>ESCORAMENTO, ESGOTAMENTO E DRENAGEM</v>
      </c>
      <c r="O125" s="169"/>
      <c r="Q125" s="169"/>
      <c r="R125" s="170"/>
      <c r="S125" s="170"/>
      <c r="T125" s="170"/>
      <c r="U125" s="170"/>
      <c r="V125" s="170"/>
      <c r="W125" s="170"/>
      <c r="X125" s="170"/>
      <c r="Y125" s="170"/>
      <c r="Z125" s="171"/>
      <c r="AB125" s="454">
        <f ca="1">IF(AND($D125="Serviço",AB$12&lt;&gt;0,$H125&gt;0,OR(AUTOEVENTO&lt;&gt;"manual",$M125&lt;&gt;$A$15)),
        IF(Import.TipoArredondamento&lt;&gt;"TransfereGOV",
              ROUND(OFFSET($P125,0,AB$13),15-13*ORÇAMENTO!$AF$7)/$H125*OFFSET(ORÇAMENTO!$X$15,ROW(AB125)-ROW(AB$15),0),
              ROUND(ROUND(OFFSET($P125,0,AB$13),15-13*ORÇAMENTO!$AF$7)*OFFSET(ORÇAMENTO!$W$15,ROW(AB125)-ROW(AB$15),0),15-13*ORÇAMENTO!$AF$11)),
         0)</f>
        <v>0</v>
      </c>
      <c r="AC125" s="454">
        <f ca="1">IF(AND($D125="Serviço",AC$12&lt;&gt;0,$H125&gt;0,OR(AUTOEVENTO&lt;&gt;"manual",$M125&lt;&gt;$A$15)),
        IF(Import.TipoArredondamento&lt;&gt;"TransfereGOV",
              ROUND(OFFSET($P125,0,AC$13),15-13*ORÇAMENTO!$AF$7)/$H125*OFFSET(ORÇAMENTO!$X$15,ROW(AC125)-ROW(AC$15),0),
              ROUND(ROUND(OFFSET($P125,0,AC$13),15-13*ORÇAMENTO!$AF$7)*OFFSET(ORÇAMENTO!$W$15,ROW(AC125)-ROW(AC$15),0),15-13*ORÇAMENTO!$AF$11)),
         0)</f>
        <v>0</v>
      </c>
      <c r="AD125" s="454">
        <f ca="1">IF(AND($D125="Serviço",AD$12&lt;&gt;0,$H125&gt;0,OR(AUTOEVENTO&lt;&gt;"manual",$M125&lt;&gt;$A$15)),
        IF(Import.TipoArredondamento&lt;&gt;"TransfereGOV",
              ROUND(OFFSET($P125,0,AD$13),15-13*ORÇAMENTO!$AF$7)/$H125*OFFSET(ORÇAMENTO!$X$15,ROW(AD125)-ROW(AD$15),0),
              ROUND(ROUND(OFFSET($P125,0,AD$13),15-13*ORÇAMENTO!$AF$7)*OFFSET(ORÇAMENTO!$W$15,ROW(AD125)-ROW(AD$15),0),15-13*ORÇAMENTO!$AF$11)),
         0)</f>
        <v>0</v>
      </c>
      <c r="AE125" s="454">
        <f ca="1">IF(AND($D125="Serviço",AE$12&lt;&gt;0,$H125&gt;0,OR(AUTOEVENTO&lt;&gt;"manual",$M125&lt;&gt;$A$15)),
        IF(Import.TipoArredondamento&lt;&gt;"TransfereGOV",
              ROUND(OFFSET($P125,0,AE$13),15-13*ORÇAMENTO!$AF$7)/$H125*OFFSET(ORÇAMENTO!$X$15,ROW(AE125)-ROW(AE$15),0),
              ROUND(ROUND(OFFSET($P125,0,AE$13),15-13*ORÇAMENTO!$AF$7)*OFFSET(ORÇAMENTO!$W$15,ROW(AE125)-ROW(AE$15),0),15-13*ORÇAMENTO!$AF$11)),
         0)</f>
        <v>0</v>
      </c>
      <c r="AF125" s="454">
        <f ca="1">IF(AND($D125="Serviço",AF$12&lt;&gt;0,$H125&gt;0,OR(AUTOEVENTO&lt;&gt;"manual",$M125&lt;&gt;$A$15)),
        IF(Import.TipoArredondamento&lt;&gt;"TransfereGOV",
              ROUND(OFFSET($P125,0,AF$13),15-13*ORÇAMENTO!$AF$7)/$H125*OFFSET(ORÇAMENTO!$X$15,ROW(AF125)-ROW(AF$15),0),
              ROUND(ROUND(OFFSET($P125,0,AF$13),15-13*ORÇAMENTO!$AF$7)*OFFSET(ORÇAMENTO!$W$15,ROW(AF125)-ROW(AF$15),0),15-13*ORÇAMENTO!$AF$11)),
         0)</f>
        <v>0</v>
      </c>
      <c r="AG125" s="454">
        <f ca="1">IF(AND($D125="Serviço",AG$12&lt;&gt;0,$H125&gt;0,OR(AUTOEVENTO&lt;&gt;"manual",$M125&lt;&gt;$A$15)),
        IF(Import.TipoArredondamento&lt;&gt;"TransfereGOV",
              ROUND(OFFSET($P125,0,AG$13),15-13*ORÇAMENTO!$AF$7)/$H125*OFFSET(ORÇAMENTO!$X$15,ROW(AG125)-ROW(AG$15),0),
              ROUND(ROUND(OFFSET($P125,0,AG$13),15-13*ORÇAMENTO!$AF$7)*OFFSET(ORÇAMENTO!$W$15,ROW(AG125)-ROW(AG$15),0),15-13*ORÇAMENTO!$AF$11)),
         0)</f>
        <v>0</v>
      </c>
      <c r="AH125" s="454">
        <f ca="1">IF(AND($D125="Serviço",AH$12&lt;&gt;0,$H125&gt;0,OR(AUTOEVENTO&lt;&gt;"manual",$M125&lt;&gt;$A$15)),
        IF(Import.TipoArredondamento&lt;&gt;"TransfereGOV",
              ROUND(OFFSET($P125,0,AH$13),15-13*ORÇAMENTO!$AF$7)/$H125*OFFSET(ORÇAMENTO!$X$15,ROW(AH125)-ROW(AH$15),0),
              ROUND(ROUND(OFFSET($P125,0,AH$13),15-13*ORÇAMENTO!$AF$7)*OFFSET(ORÇAMENTO!$W$15,ROW(AH125)-ROW(AH$15),0),15-13*ORÇAMENTO!$AF$11)),
         0)</f>
        <v>0</v>
      </c>
      <c r="AI125" s="454">
        <f ca="1">IF(AND($D125="Serviço",AI$12&lt;&gt;0,$H125&gt;0,OR(AUTOEVENTO&lt;&gt;"manual",$M125&lt;&gt;$A$15)),
        IF(Import.TipoArredondamento&lt;&gt;"TransfereGOV",
              ROUND(OFFSET($P125,0,AI$13),15-13*ORÇAMENTO!$AF$7)/$H125*OFFSET(ORÇAMENTO!$X$15,ROW(AI125)-ROW(AI$15),0),
              ROUND(ROUND(OFFSET($P125,0,AI$13),15-13*ORÇAMENTO!$AF$7)*OFFSET(ORÇAMENTO!$W$15,ROW(AI125)-ROW(AI$15),0),15-13*ORÇAMENTO!$AF$11)),
         0)</f>
        <v>0</v>
      </c>
      <c r="AJ125" s="454">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4">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M125" s="172">
        <f ca="1">IF(OR($D125&lt;&gt;"Serviço",AND(AUTOEVENTO="Manual",$M125=$A$15)),0,
         IF(OFFSET(CRONOPLE!$F$15,$M125-$A$15,AM$13)=0,10^12,OFFSET(CRONOPLE!$F$15,$M125-$A$15,AM$13)))</f>
        <v>1000000000000</v>
      </c>
      <c r="AN125" s="172">
        <f ca="1">IF(OR($D125&lt;&gt;"Serviço",AND(AUTOEVENTO="Manual",$M125=$A$15)),0,
         IF(OFFSET(CRONOPLE!$F$15,$M125-$A$15,AN$13)=0,10^12,OFFSET(CRONOPLE!$F$15,$M125-$A$15,AN$13)))</f>
        <v>1000000000000</v>
      </c>
      <c r="AO125" s="172">
        <f ca="1">IF(OR($D125&lt;&gt;"Serviço",AND(AUTOEVENTO="Manual",$M125=$A$15)),0,
         IF(OFFSET(CRONOPLE!$F$15,$M125-$A$15,AO$13)=0,10^12,OFFSET(CRONOPLE!$F$15,$M125-$A$15,AO$13)))</f>
        <v>1000000000000</v>
      </c>
      <c r="AP125" s="172">
        <f ca="1">IF(OR($D125&lt;&gt;"Serviço",AND(AUTOEVENTO="Manual",$M125=$A$15)),0,
         IF(OFFSET(CRONOPLE!$F$15,$M125-$A$15,AP$13)=0,10^12,OFFSET(CRONOPLE!$F$15,$M125-$A$15,AP$13)))</f>
        <v>1000000000000</v>
      </c>
      <c r="AQ125" s="172">
        <f ca="1">IF(OR($D125&lt;&gt;"Serviço",AND(AUTOEVENTO="Manual",$M125=$A$15)),0,
         IF(OFFSET(CRONOPLE!$F$15,$M125-$A$15,AQ$13)=0,10^12,OFFSET(CRONOPLE!$F$15,$M125-$A$15,AQ$13)))</f>
        <v>1000000000000</v>
      </c>
      <c r="AR125" s="172">
        <f ca="1">IF(OR($D125&lt;&gt;"Serviço",AND(AUTOEVENTO="Manual",$M125=$A$15)),0,
         IF(OFFSET(CRONOPLE!$F$15,$M125-$A$15,AR$13)=0,10^12,OFFSET(CRONOPLE!$F$15,$M125-$A$15,AR$13)))</f>
        <v>1000000000000</v>
      </c>
      <c r="AS125" s="172">
        <f ca="1">IF(OR($D125&lt;&gt;"Serviço",AND(AUTOEVENTO="Manual",$M125=$A$15)),0,
         IF(OFFSET(CRONOPLE!$F$15,$M125-$A$15,AS$13)=0,10^12,OFFSET(CRONOPLE!$F$15,$M125-$A$15,AS$13)))</f>
        <v>1000000000000</v>
      </c>
      <c r="AT125" s="172">
        <f ca="1">IF(OR($D125&lt;&gt;"Serviço",AND(AUTOEVENTO="Manual",$M125=$A$15)),0,
         IF(OFFSET(CRONOPLE!$F$15,$M125-$A$15,AT$13)=0,10^12,OFFSET(CRONOPLE!$F$15,$M125-$A$15,AT$13)))</f>
        <v>1000000000000</v>
      </c>
      <c r="AU125" s="172">
        <f ca="1">IF(OR($D125&lt;&gt;"Serviço",AND(AUTOEVENTO="Manual",$M125=$A$15)),0,
         IF(OFFSET(CRONOPLE!$F$15,$M125-$A$15,AU$13)=0,10^12,OFFSET(CRONOPLE!$F$15,$M125-$A$15,AU$13)))</f>
        <v>1000000000000</v>
      </c>
      <c r="AV125" s="172">
        <f ca="1">IF(OR($D125&lt;&gt;"Serviço",AND(AUTOEVENTO="Manual",$M125=$A$15)),0,
         IF(OFFSET(CRONOPLE!$F$15,$M125-$A$15,AV$13)=0,10^12,OFFSET(CRONOPLE!$F$15,$M125-$A$15,AV$13)))</f>
        <v>1000000000000</v>
      </c>
      <c r="AX125" s="173">
        <f ca="1">IF(OR($D125&lt;&gt;"Serviço",AND(AUTOEVENTO="Manual",$M125=$A$15),$M125&gt;(ROW(PLE.lastrow)-ROW(PLE.firstrow))),0,
           IF(OFFSET(PLE!$G$15,$M125-$A$15,AX$13)="",10^12,OFFSET(PLE!$G$15,$M125-$A$15,AX$13)))</f>
        <v>1000000000000</v>
      </c>
      <c r="AY125" s="173">
        <f ca="1">IF(OR($D125&lt;&gt;"Serviço",AND(AUTOEVENTO="Manual",$M125=$A$15),$M125&gt;(ROW(PLE.lastrow)-ROW(PLE.firstrow))),0,
           IF(OFFSET(PLE!$G$15,$M125-$A$15,AY$13)="",10^12,OFFSET(PLE!$G$15,$M125-$A$15,AY$13)))</f>
        <v>1000000000000</v>
      </c>
      <c r="AZ125" s="173">
        <f ca="1">IF(OR($D125&lt;&gt;"Serviço",AND(AUTOEVENTO="Manual",$M125=$A$15),$M125&gt;(ROW(PLE.lastrow)-ROW(PLE.firstrow))),0,
           IF(OFFSET(PLE!$G$15,$M125-$A$15,AZ$13)="",10^12,OFFSET(PLE!$G$15,$M125-$A$15,AZ$13)))</f>
        <v>1000000000000</v>
      </c>
      <c r="BA125" s="173">
        <f ca="1">IF(OR($D125&lt;&gt;"Serviço",AND(AUTOEVENTO="Manual",$M125=$A$15),$M125&gt;(ROW(PLE.lastrow)-ROW(PLE.firstrow))),0,
           IF(OFFSET(PLE!$G$15,$M125-$A$15,BA$13)="",10^12,OFFSET(PLE!$G$15,$M125-$A$15,BA$13)))</f>
        <v>1000000000000</v>
      </c>
      <c r="BB125" s="173">
        <f ca="1">IF(OR($D125&lt;&gt;"Serviço",AND(AUTOEVENTO="Manual",$M125=$A$15),$M125&gt;(ROW(PLE.lastrow)-ROW(PLE.firstrow))),0,
           IF(OFFSET(PLE!$G$15,$M125-$A$15,BB$13)="",10^12,OFFSET(PLE!$G$15,$M125-$A$15,BB$13)))</f>
        <v>1000000000000</v>
      </c>
      <c r="BC125" s="173">
        <f ca="1">IF(OR($D125&lt;&gt;"Serviço",AND(AUTOEVENTO="Manual",$M125=$A$15),$M125&gt;(ROW(PLE.lastrow)-ROW(PLE.firstrow))),0,
           IF(OFFSET(PLE!$G$15,$M125-$A$15,BC$13)="",10^12,OFFSET(PLE!$G$15,$M125-$A$15,BC$13)))</f>
        <v>1000000000000</v>
      </c>
      <c r="BD125" s="173">
        <f ca="1">IF(OR($D125&lt;&gt;"Serviço",AND(AUTOEVENTO="Manual",$M125=$A$15),$M125&gt;(ROW(PLE.lastrow)-ROW(PLE.firstrow))),0,
           IF(OFFSET(PLE!$G$15,$M125-$A$15,BD$13)="",10^12,OFFSET(PLE!$G$15,$M125-$A$15,BD$13)))</f>
        <v>1000000000000</v>
      </c>
      <c r="BE125" s="173">
        <f ca="1">IF(OR($D125&lt;&gt;"Serviço",AND(AUTOEVENTO="Manual",$M125=$A$15),$M125&gt;(ROW(PLE.lastrow)-ROW(PLE.firstrow))),0,
           IF(OFFSET(PLE!$G$15,$M125-$A$15,BE$13)="",10^12,OFFSET(PLE!$G$15,$M125-$A$15,BE$13)))</f>
        <v>1000000000000</v>
      </c>
      <c r="BF125" s="173">
        <f ca="1">IF(OR($D125&lt;&gt;"Serviço",AND(AUTOEVENTO="Manual",$M125=$A$15),$M125&gt;(ROW(PLE.lastrow)-ROW(PLE.firstrow))),0,
           IF(OFFSET(PLE!$G$15,$M125-$A$15,BF$13)="",10^12,OFFSET(PLE!$G$15,$M125-$A$15,BF$13)))</f>
        <v>1000000000000</v>
      </c>
      <c r="BG125" s="173">
        <f ca="1">IF(OR($D125&lt;&gt;"Serviço",AND(AUTOEVENTO="Manual",$M125=$A$15),$M125&gt;(ROW(PLE.lastrow)-ROW(PLE.firstrow))),0,
           IF(OFFSET(PLE!$G$15,$M125-$A$15,BG$13)="",10^12,OFFSET(PLE!$G$15,$M125-$A$15,BG$13)))</f>
        <v>1000000000000</v>
      </c>
    </row>
    <row r="126" spans="1:59" s="675" customFormat="1" ht="25.5" x14ac:dyDescent="0.2">
      <c r="A126" s="671" t="str">
        <f t="shared" ca="1" si="10"/>
        <v>107</v>
      </c>
      <c r="B126" s="671" t="str">
        <f ca="1">OFFSET(ORÇAMENTO!C$15,ROW(B126)-ROW(B$15),0)</f>
        <v>S</v>
      </c>
      <c r="C126" s="671" t="str">
        <f ca="1">OFFSET(ORÇAMENTO!L$15,ROW(C126)-ROW(C$15),0)</f>
        <v/>
      </c>
      <c r="D126" s="117" t="str">
        <f ca="1">OFFSET(ORÇAMENTO!N$15,ROW(D126)-ROW(D$15),0)</f>
        <v>Serviço</v>
      </c>
      <c r="E126" s="118" t="str">
        <f ca="1">OFFSET(ORÇAMENTO!O$15,ROW(E126)-ROW(E$15),0)</f>
        <v>-</v>
      </c>
      <c r="F126" s="164" t="str">
        <f ca="1">OFFSET(ORÇAMENTO!R$15,ROW(F126)-ROW(F$15),0)</f>
        <v>(abra o arquivo 'Referência 09-2025.xlsm)</v>
      </c>
      <c r="G126" s="165" t="str">
        <f ca="1">IF($D126&lt;&gt;"Serviço","",OFFSET(ORÇAMENTO!S$15,ROW(G126)-ROW(G$15),0))</f>
        <v>-</v>
      </c>
      <c r="H126" s="123">
        <f ca="1">IF($D126&lt;&gt;"Serviço",0,IF(ACOMPANHAMENTO="BM",ROUND(OFFSET(ORÇAMENTO!AJ$15,ROW(H126)-ROW(H$15),0),15-13*ORÇAMENTO!$AF$7),SUMPRODUCT(($Q$1:$AA$1=1)*ROUND($Q126:$AA126,15-13*ORÇAMENTO!$AF$7))))</f>
        <v>1</v>
      </c>
      <c r="I126" s="469" t="s">
        <v>1110</v>
      </c>
      <c r="J126" s="667" t="str">
        <f ca="1">IF(OR(B126&lt;&gt;"S",CÁLCULO.FrentesPreenchidas=0),"",IF(AND(ACOMPANHAMENTO="PLE",AUTOEVENTO="Manual",OR(H126&gt;0,ORÇAMENTO!AC126="QUANT."),OR(K126="",M126=0,N126="")),"►",IF(AND(ACOMPANHAMENTO="PLE",ORÇAMENTO!AC126="QUANT."),"►►",IF(AND(COUNTIF($P$11:$AA$11,"▼")=0,H126&gt;0,I126=""),"◄",""))))</f>
        <v/>
      </c>
      <c r="K126" s="668"/>
      <c r="L126" s="166" t="s">
        <v>765</v>
      </c>
      <c r="M126" s="167">
        <f ca="1">IF($D126&lt;&gt;"Serviço","",
          IF(AUTOEVENTO="manual",$A126,
                IF(ISERROR(MATCH($A126,$A$15:OFFSET($A126,-1,0),0)),MAX($M$15:OFFSET(M126,-1,0))+1,
                      INDEX($M$15:OFFSET(M126,-1,0),MATCH($A126,$A$15:OFFSET($A126,-1,0),0)))))</f>
        <v>12</v>
      </c>
      <c r="N126" s="168" t="str">
        <f ca="1">IF($D126&lt;&gt;"Serviço","",
         IF(AUTOEVENTO="Manual",
                IF($A126=0,"&lt;-- defina o número do agrupador",
                       OFFSET(EVENTOS!$D$15,$A126-$A$15,0)),
                OFFSET($F$15,$A126,0)))</f>
        <v>ESCORAMENTO, ESGOTAMENTO E DRENAGEM</v>
      </c>
      <c r="O126" s="169"/>
      <c r="Q126" s="169"/>
      <c r="R126" s="170"/>
      <c r="S126" s="170"/>
      <c r="T126" s="170"/>
      <c r="U126" s="170"/>
      <c r="V126" s="170"/>
      <c r="W126" s="170"/>
      <c r="X126" s="170"/>
      <c r="Y126" s="170"/>
      <c r="Z126" s="171"/>
      <c r="AB126" s="454">
        <f ca="1">IF(AND($D126="Serviço",AB$12&lt;&gt;0,$H126&gt;0,OR(AUTOEVENTO&lt;&gt;"manual",$M126&lt;&gt;$A$15)),
        IF(Import.TipoArredondamento&lt;&gt;"TransfereGOV",
              ROUND(OFFSET($P126,0,AB$13),15-13*ORÇAMENTO!$AF$7)/$H126*OFFSET(ORÇAMENTO!$X$15,ROW(AB126)-ROW(AB$15),0),
              ROUND(ROUND(OFFSET($P126,0,AB$13),15-13*ORÇAMENTO!$AF$7)*OFFSET(ORÇAMENTO!$W$15,ROW(AB126)-ROW(AB$15),0),15-13*ORÇAMENTO!$AF$11)),
         0)</f>
        <v>0</v>
      </c>
      <c r="AC126" s="454">
        <f ca="1">IF(AND($D126="Serviço",AC$12&lt;&gt;0,$H126&gt;0,OR(AUTOEVENTO&lt;&gt;"manual",$M126&lt;&gt;$A$15)),
        IF(Import.TipoArredondamento&lt;&gt;"TransfereGOV",
              ROUND(OFFSET($P126,0,AC$13),15-13*ORÇAMENTO!$AF$7)/$H126*OFFSET(ORÇAMENTO!$X$15,ROW(AC126)-ROW(AC$15),0),
              ROUND(ROUND(OFFSET($P126,0,AC$13),15-13*ORÇAMENTO!$AF$7)*OFFSET(ORÇAMENTO!$W$15,ROW(AC126)-ROW(AC$15),0),15-13*ORÇAMENTO!$AF$11)),
         0)</f>
        <v>0</v>
      </c>
      <c r="AD126" s="454">
        <f ca="1">IF(AND($D126="Serviço",AD$12&lt;&gt;0,$H126&gt;0,OR(AUTOEVENTO&lt;&gt;"manual",$M126&lt;&gt;$A$15)),
        IF(Import.TipoArredondamento&lt;&gt;"TransfereGOV",
              ROUND(OFFSET($P126,0,AD$13),15-13*ORÇAMENTO!$AF$7)/$H126*OFFSET(ORÇAMENTO!$X$15,ROW(AD126)-ROW(AD$15),0),
              ROUND(ROUND(OFFSET($P126,0,AD$13),15-13*ORÇAMENTO!$AF$7)*OFFSET(ORÇAMENTO!$W$15,ROW(AD126)-ROW(AD$15),0),15-13*ORÇAMENTO!$AF$11)),
         0)</f>
        <v>0</v>
      </c>
      <c r="AE126" s="454">
        <f ca="1">IF(AND($D126="Serviço",AE$12&lt;&gt;0,$H126&gt;0,OR(AUTOEVENTO&lt;&gt;"manual",$M126&lt;&gt;$A$15)),
        IF(Import.TipoArredondamento&lt;&gt;"TransfereGOV",
              ROUND(OFFSET($P126,0,AE$13),15-13*ORÇAMENTO!$AF$7)/$H126*OFFSET(ORÇAMENTO!$X$15,ROW(AE126)-ROW(AE$15),0),
              ROUND(ROUND(OFFSET($P126,0,AE$13),15-13*ORÇAMENTO!$AF$7)*OFFSET(ORÇAMENTO!$W$15,ROW(AE126)-ROW(AE$15),0),15-13*ORÇAMENTO!$AF$11)),
         0)</f>
        <v>0</v>
      </c>
      <c r="AF126" s="454">
        <f ca="1">IF(AND($D126="Serviço",AF$12&lt;&gt;0,$H126&gt;0,OR(AUTOEVENTO&lt;&gt;"manual",$M126&lt;&gt;$A$15)),
        IF(Import.TipoArredondamento&lt;&gt;"TransfereGOV",
              ROUND(OFFSET($P126,0,AF$13),15-13*ORÇAMENTO!$AF$7)/$H126*OFFSET(ORÇAMENTO!$X$15,ROW(AF126)-ROW(AF$15),0),
              ROUND(ROUND(OFFSET($P126,0,AF$13),15-13*ORÇAMENTO!$AF$7)*OFFSET(ORÇAMENTO!$W$15,ROW(AF126)-ROW(AF$15),0),15-13*ORÇAMENTO!$AF$11)),
         0)</f>
        <v>0</v>
      </c>
      <c r="AG126" s="454">
        <f ca="1">IF(AND($D126="Serviço",AG$12&lt;&gt;0,$H126&gt;0,OR(AUTOEVENTO&lt;&gt;"manual",$M126&lt;&gt;$A$15)),
        IF(Import.TipoArredondamento&lt;&gt;"TransfereGOV",
              ROUND(OFFSET($P126,0,AG$13),15-13*ORÇAMENTO!$AF$7)/$H126*OFFSET(ORÇAMENTO!$X$15,ROW(AG126)-ROW(AG$15),0),
              ROUND(ROUND(OFFSET($P126,0,AG$13),15-13*ORÇAMENTO!$AF$7)*OFFSET(ORÇAMENTO!$W$15,ROW(AG126)-ROW(AG$15),0),15-13*ORÇAMENTO!$AF$11)),
         0)</f>
        <v>0</v>
      </c>
      <c r="AH126" s="454">
        <f ca="1">IF(AND($D126="Serviço",AH$12&lt;&gt;0,$H126&gt;0,OR(AUTOEVENTO&lt;&gt;"manual",$M126&lt;&gt;$A$15)),
        IF(Import.TipoArredondamento&lt;&gt;"TransfereGOV",
              ROUND(OFFSET($P126,0,AH$13),15-13*ORÇAMENTO!$AF$7)/$H126*OFFSET(ORÇAMENTO!$X$15,ROW(AH126)-ROW(AH$15),0),
              ROUND(ROUND(OFFSET($P126,0,AH$13),15-13*ORÇAMENTO!$AF$7)*OFFSET(ORÇAMENTO!$W$15,ROW(AH126)-ROW(AH$15),0),15-13*ORÇAMENTO!$AF$11)),
         0)</f>
        <v>0</v>
      </c>
      <c r="AI126" s="454">
        <f ca="1">IF(AND($D126="Serviço",AI$12&lt;&gt;0,$H126&gt;0,OR(AUTOEVENTO&lt;&gt;"manual",$M126&lt;&gt;$A$15)),
        IF(Import.TipoArredondamento&lt;&gt;"TransfereGOV",
              ROUND(OFFSET($P126,0,AI$13),15-13*ORÇAMENTO!$AF$7)/$H126*OFFSET(ORÇAMENTO!$X$15,ROW(AI126)-ROW(AI$15),0),
              ROUND(ROUND(OFFSET($P126,0,AI$13),15-13*ORÇAMENTO!$AF$7)*OFFSET(ORÇAMENTO!$W$15,ROW(AI126)-ROW(AI$15),0),15-13*ORÇAMENTO!$AF$11)),
         0)</f>
        <v>0</v>
      </c>
      <c r="AJ126" s="454">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4">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M126" s="172">
        <f ca="1">IF(OR($D126&lt;&gt;"Serviço",AND(AUTOEVENTO="Manual",$M126=$A$15)),0,
         IF(OFFSET(CRONOPLE!$F$15,$M126-$A$15,AM$13)=0,10^12,OFFSET(CRONOPLE!$F$15,$M126-$A$15,AM$13)))</f>
        <v>1000000000000</v>
      </c>
      <c r="AN126" s="172">
        <f ca="1">IF(OR($D126&lt;&gt;"Serviço",AND(AUTOEVENTO="Manual",$M126=$A$15)),0,
         IF(OFFSET(CRONOPLE!$F$15,$M126-$A$15,AN$13)=0,10^12,OFFSET(CRONOPLE!$F$15,$M126-$A$15,AN$13)))</f>
        <v>1000000000000</v>
      </c>
      <c r="AO126" s="172">
        <f ca="1">IF(OR($D126&lt;&gt;"Serviço",AND(AUTOEVENTO="Manual",$M126=$A$15)),0,
         IF(OFFSET(CRONOPLE!$F$15,$M126-$A$15,AO$13)=0,10^12,OFFSET(CRONOPLE!$F$15,$M126-$A$15,AO$13)))</f>
        <v>1000000000000</v>
      </c>
      <c r="AP126" s="172">
        <f ca="1">IF(OR($D126&lt;&gt;"Serviço",AND(AUTOEVENTO="Manual",$M126=$A$15)),0,
         IF(OFFSET(CRONOPLE!$F$15,$M126-$A$15,AP$13)=0,10^12,OFFSET(CRONOPLE!$F$15,$M126-$A$15,AP$13)))</f>
        <v>1000000000000</v>
      </c>
      <c r="AQ126" s="172">
        <f ca="1">IF(OR($D126&lt;&gt;"Serviço",AND(AUTOEVENTO="Manual",$M126=$A$15)),0,
         IF(OFFSET(CRONOPLE!$F$15,$M126-$A$15,AQ$13)=0,10^12,OFFSET(CRONOPLE!$F$15,$M126-$A$15,AQ$13)))</f>
        <v>1000000000000</v>
      </c>
      <c r="AR126" s="172">
        <f ca="1">IF(OR($D126&lt;&gt;"Serviço",AND(AUTOEVENTO="Manual",$M126=$A$15)),0,
         IF(OFFSET(CRONOPLE!$F$15,$M126-$A$15,AR$13)=0,10^12,OFFSET(CRONOPLE!$F$15,$M126-$A$15,AR$13)))</f>
        <v>1000000000000</v>
      </c>
      <c r="AS126" s="172">
        <f ca="1">IF(OR($D126&lt;&gt;"Serviço",AND(AUTOEVENTO="Manual",$M126=$A$15)),0,
         IF(OFFSET(CRONOPLE!$F$15,$M126-$A$15,AS$13)=0,10^12,OFFSET(CRONOPLE!$F$15,$M126-$A$15,AS$13)))</f>
        <v>1000000000000</v>
      </c>
      <c r="AT126" s="172">
        <f ca="1">IF(OR($D126&lt;&gt;"Serviço",AND(AUTOEVENTO="Manual",$M126=$A$15)),0,
         IF(OFFSET(CRONOPLE!$F$15,$M126-$A$15,AT$13)=0,10^12,OFFSET(CRONOPLE!$F$15,$M126-$A$15,AT$13)))</f>
        <v>1000000000000</v>
      </c>
      <c r="AU126" s="172">
        <f ca="1">IF(OR($D126&lt;&gt;"Serviço",AND(AUTOEVENTO="Manual",$M126=$A$15)),0,
         IF(OFFSET(CRONOPLE!$F$15,$M126-$A$15,AU$13)=0,10^12,OFFSET(CRONOPLE!$F$15,$M126-$A$15,AU$13)))</f>
        <v>1000000000000</v>
      </c>
      <c r="AV126" s="172">
        <f ca="1">IF(OR($D126&lt;&gt;"Serviço",AND(AUTOEVENTO="Manual",$M126=$A$15)),0,
         IF(OFFSET(CRONOPLE!$F$15,$M126-$A$15,AV$13)=0,10^12,OFFSET(CRONOPLE!$F$15,$M126-$A$15,AV$13)))</f>
        <v>1000000000000</v>
      </c>
      <c r="AX126" s="173">
        <f ca="1">IF(OR($D126&lt;&gt;"Serviço",AND(AUTOEVENTO="Manual",$M126=$A$15),$M126&gt;(ROW(PLE.lastrow)-ROW(PLE.firstrow))),0,
           IF(OFFSET(PLE!$G$15,$M126-$A$15,AX$13)="",10^12,OFFSET(PLE!$G$15,$M126-$A$15,AX$13)))</f>
        <v>1000000000000</v>
      </c>
      <c r="AY126" s="173">
        <f ca="1">IF(OR($D126&lt;&gt;"Serviço",AND(AUTOEVENTO="Manual",$M126=$A$15),$M126&gt;(ROW(PLE.lastrow)-ROW(PLE.firstrow))),0,
           IF(OFFSET(PLE!$G$15,$M126-$A$15,AY$13)="",10^12,OFFSET(PLE!$G$15,$M126-$A$15,AY$13)))</f>
        <v>1000000000000</v>
      </c>
      <c r="AZ126" s="173">
        <f ca="1">IF(OR($D126&lt;&gt;"Serviço",AND(AUTOEVENTO="Manual",$M126=$A$15),$M126&gt;(ROW(PLE.lastrow)-ROW(PLE.firstrow))),0,
           IF(OFFSET(PLE!$G$15,$M126-$A$15,AZ$13)="",10^12,OFFSET(PLE!$G$15,$M126-$A$15,AZ$13)))</f>
        <v>1000000000000</v>
      </c>
      <c r="BA126" s="173">
        <f ca="1">IF(OR($D126&lt;&gt;"Serviço",AND(AUTOEVENTO="Manual",$M126=$A$15),$M126&gt;(ROW(PLE.lastrow)-ROW(PLE.firstrow))),0,
           IF(OFFSET(PLE!$G$15,$M126-$A$15,BA$13)="",10^12,OFFSET(PLE!$G$15,$M126-$A$15,BA$13)))</f>
        <v>1000000000000</v>
      </c>
      <c r="BB126" s="173">
        <f ca="1">IF(OR($D126&lt;&gt;"Serviço",AND(AUTOEVENTO="Manual",$M126=$A$15),$M126&gt;(ROW(PLE.lastrow)-ROW(PLE.firstrow))),0,
           IF(OFFSET(PLE!$G$15,$M126-$A$15,BB$13)="",10^12,OFFSET(PLE!$G$15,$M126-$A$15,BB$13)))</f>
        <v>1000000000000</v>
      </c>
      <c r="BC126" s="173">
        <f ca="1">IF(OR($D126&lt;&gt;"Serviço",AND(AUTOEVENTO="Manual",$M126=$A$15),$M126&gt;(ROW(PLE.lastrow)-ROW(PLE.firstrow))),0,
           IF(OFFSET(PLE!$G$15,$M126-$A$15,BC$13)="",10^12,OFFSET(PLE!$G$15,$M126-$A$15,BC$13)))</f>
        <v>1000000000000</v>
      </c>
      <c r="BD126" s="173">
        <f ca="1">IF(OR($D126&lt;&gt;"Serviço",AND(AUTOEVENTO="Manual",$M126=$A$15),$M126&gt;(ROW(PLE.lastrow)-ROW(PLE.firstrow))),0,
           IF(OFFSET(PLE!$G$15,$M126-$A$15,BD$13)="",10^12,OFFSET(PLE!$G$15,$M126-$A$15,BD$13)))</f>
        <v>1000000000000</v>
      </c>
      <c r="BE126" s="173">
        <f ca="1">IF(OR($D126&lt;&gt;"Serviço",AND(AUTOEVENTO="Manual",$M126=$A$15),$M126&gt;(ROW(PLE.lastrow)-ROW(PLE.firstrow))),0,
           IF(OFFSET(PLE!$G$15,$M126-$A$15,BE$13)="",10^12,OFFSET(PLE!$G$15,$M126-$A$15,BE$13)))</f>
        <v>1000000000000</v>
      </c>
      <c r="BF126" s="173">
        <f ca="1">IF(OR($D126&lt;&gt;"Serviço",AND(AUTOEVENTO="Manual",$M126=$A$15),$M126&gt;(ROW(PLE.lastrow)-ROW(PLE.firstrow))),0,
           IF(OFFSET(PLE!$G$15,$M126-$A$15,BF$13)="",10^12,OFFSET(PLE!$G$15,$M126-$A$15,BF$13)))</f>
        <v>1000000000000</v>
      </c>
      <c r="BG126" s="173">
        <f ca="1">IF(OR($D126&lt;&gt;"Serviço",AND(AUTOEVENTO="Manual",$M126=$A$15),$M126&gt;(ROW(PLE.lastrow)-ROW(PLE.firstrow))),0,
           IF(OFFSET(PLE!$G$15,$M126-$A$15,BG$13)="",10^12,OFFSET(PLE!$G$15,$M126-$A$15,BG$13)))</f>
        <v>1000000000000</v>
      </c>
    </row>
    <row r="127" spans="1:59" s="675" customFormat="1" ht="25.5" x14ac:dyDescent="0.2">
      <c r="A127" s="671" t="str">
        <f t="shared" ca="1" si="10"/>
        <v>107</v>
      </c>
      <c r="B127" s="671" t="str">
        <f ca="1">OFFSET(ORÇAMENTO!C$15,ROW(B127)-ROW(B$15),0)</f>
        <v>S</v>
      </c>
      <c r="C127" s="671" t="str">
        <f ca="1">OFFSET(ORÇAMENTO!L$15,ROW(C127)-ROW(C$15),0)</f>
        <v/>
      </c>
      <c r="D127" s="117" t="str">
        <f ca="1">OFFSET(ORÇAMENTO!N$15,ROW(D127)-ROW(D$15),0)</f>
        <v>Serviço</v>
      </c>
      <c r="E127" s="118" t="str">
        <f ca="1">OFFSET(ORÇAMENTO!O$15,ROW(E127)-ROW(E$15),0)</f>
        <v>-</v>
      </c>
      <c r="F127" s="164" t="str">
        <f ca="1">OFFSET(ORÇAMENTO!R$15,ROW(F127)-ROW(F$15),0)</f>
        <v>(abra o arquivo 'Referência 09-2025.xlsm)</v>
      </c>
      <c r="G127" s="165" t="str">
        <f ca="1">IF($D127&lt;&gt;"Serviço","",OFFSET(ORÇAMENTO!S$15,ROW(G127)-ROW(G$15),0))</f>
        <v>-</v>
      </c>
      <c r="H127" s="123">
        <f ca="1">IF($D127&lt;&gt;"Serviço",0,IF(ACOMPANHAMENTO="BM",ROUND(OFFSET(ORÇAMENTO!AJ$15,ROW(H127)-ROW(H$15),0),15-13*ORÇAMENTO!$AF$7),SUMPRODUCT(($Q$1:$AA$1=1)*ROUND($Q127:$AA127,15-13*ORÇAMENTO!$AF$7))))</f>
        <v>0.36</v>
      </c>
      <c r="I127" s="469" t="s">
        <v>1110</v>
      </c>
      <c r="J127" s="667" t="str">
        <f ca="1">IF(OR(B127&lt;&gt;"S",CÁLCULO.FrentesPreenchidas=0),"",IF(AND(ACOMPANHAMENTO="PLE",AUTOEVENTO="Manual",OR(H127&gt;0,ORÇAMENTO!AC127="QUANT."),OR(K127="",M127=0,N127="")),"►",IF(AND(ACOMPANHAMENTO="PLE",ORÇAMENTO!AC127="QUANT."),"►►",IF(AND(COUNTIF($P$11:$AA$11,"▼")=0,H127&gt;0,I127=""),"◄",""))))</f>
        <v/>
      </c>
      <c r="K127" s="668"/>
      <c r="L127" s="166" t="s">
        <v>765</v>
      </c>
      <c r="M127" s="167">
        <f ca="1">IF($D127&lt;&gt;"Serviço","",
          IF(AUTOEVENTO="manual",$A127,
                IF(ISERROR(MATCH($A127,$A$15:OFFSET($A127,-1,0),0)),MAX($M$15:OFFSET(M127,-1,0))+1,
                      INDEX($M$15:OFFSET(M127,-1,0),MATCH($A127,$A$15:OFFSET($A127,-1,0),0)))))</f>
        <v>12</v>
      </c>
      <c r="N127" s="168" t="str">
        <f ca="1">IF($D127&lt;&gt;"Serviço","",
         IF(AUTOEVENTO="Manual",
                IF($A127=0,"&lt;-- defina o número do agrupador",
                       OFFSET(EVENTOS!$D$15,$A127-$A$15,0)),
                OFFSET($F$15,$A127,0)))</f>
        <v>ESCORAMENTO, ESGOTAMENTO E DRENAGEM</v>
      </c>
      <c r="O127" s="169"/>
      <c r="Q127" s="169"/>
      <c r="R127" s="170"/>
      <c r="S127" s="170"/>
      <c r="T127" s="170"/>
      <c r="U127" s="170"/>
      <c r="V127" s="170"/>
      <c r="W127" s="170"/>
      <c r="X127" s="170"/>
      <c r="Y127" s="170"/>
      <c r="Z127" s="171"/>
      <c r="AB127" s="454">
        <f ca="1">IF(AND($D127="Serviço",AB$12&lt;&gt;0,$H127&gt;0,OR(AUTOEVENTO&lt;&gt;"manual",$M127&lt;&gt;$A$15)),
        IF(Import.TipoArredondamento&lt;&gt;"TransfereGOV",
              ROUND(OFFSET($P127,0,AB$13),15-13*ORÇAMENTO!$AF$7)/$H127*OFFSET(ORÇAMENTO!$X$15,ROW(AB127)-ROW(AB$15),0),
              ROUND(ROUND(OFFSET($P127,0,AB$13),15-13*ORÇAMENTO!$AF$7)*OFFSET(ORÇAMENTO!$W$15,ROW(AB127)-ROW(AB$15),0),15-13*ORÇAMENTO!$AF$11)),
         0)</f>
        <v>0</v>
      </c>
      <c r="AC127" s="454">
        <f ca="1">IF(AND($D127="Serviço",AC$12&lt;&gt;0,$H127&gt;0,OR(AUTOEVENTO&lt;&gt;"manual",$M127&lt;&gt;$A$15)),
        IF(Import.TipoArredondamento&lt;&gt;"TransfereGOV",
              ROUND(OFFSET($P127,0,AC$13),15-13*ORÇAMENTO!$AF$7)/$H127*OFFSET(ORÇAMENTO!$X$15,ROW(AC127)-ROW(AC$15),0),
              ROUND(ROUND(OFFSET($P127,0,AC$13),15-13*ORÇAMENTO!$AF$7)*OFFSET(ORÇAMENTO!$W$15,ROW(AC127)-ROW(AC$15),0),15-13*ORÇAMENTO!$AF$11)),
         0)</f>
        <v>0</v>
      </c>
      <c r="AD127" s="454">
        <f ca="1">IF(AND($D127="Serviço",AD$12&lt;&gt;0,$H127&gt;0,OR(AUTOEVENTO&lt;&gt;"manual",$M127&lt;&gt;$A$15)),
        IF(Import.TipoArredondamento&lt;&gt;"TransfereGOV",
              ROUND(OFFSET($P127,0,AD$13),15-13*ORÇAMENTO!$AF$7)/$H127*OFFSET(ORÇAMENTO!$X$15,ROW(AD127)-ROW(AD$15),0),
              ROUND(ROUND(OFFSET($P127,0,AD$13),15-13*ORÇAMENTO!$AF$7)*OFFSET(ORÇAMENTO!$W$15,ROW(AD127)-ROW(AD$15),0),15-13*ORÇAMENTO!$AF$11)),
         0)</f>
        <v>0</v>
      </c>
      <c r="AE127" s="454">
        <f ca="1">IF(AND($D127="Serviço",AE$12&lt;&gt;0,$H127&gt;0,OR(AUTOEVENTO&lt;&gt;"manual",$M127&lt;&gt;$A$15)),
        IF(Import.TipoArredondamento&lt;&gt;"TransfereGOV",
              ROUND(OFFSET($P127,0,AE$13),15-13*ORÇAMENTO!$AF$7)/$H127*OFFSET(ORÇAMENTO!$X$15,ROW(AE127)-ROW(AE$15),0),
              ROUND(ROUND(OFFSET($P127,0,AE$13),15-13*ORÇAMENTO!$AF$7)*OFFSET(ORÇAMENTO!$W$15,ROW(AE127)-ROW(AE$15),0),15-13*ORÇAMENTO!$AF$11)),
         0)</f>
        <v>0</v>
      </c>
      <c r="AF127" s="454">
        <f ca="1">IF(AND($D127="Serviço",AF$12&lt;&gt;0,$H127&gt;0,OR(AUTOEVENTO&lt;&gt;"manual",$M127&lt;&gt;$A$15)),
        IF(Import.TipoArredondamento&lt;&gt;"TransfereGOV",
              ROUND(OFFSET($P127,0,AF$13),15-13*ORÇAMENTO!$AF$7)/$H127*OFFSET(ORÇAMENTO!$X$15,ROW(AF127)-ROW(AF$15),0),
              ROUND(ROUND(OFFSET($P127,0,AF$13),15-13*ORÇAMENTO!$AF$7)*OFFSET(ORÇAMENTO!$W$15,ROW(AF127)-ROW(AF$15),0),15-13*ORÇAMENTO!$AF$11)),
         0)</f>
        <v>0</v>
      </c>
      <c r="AG127" s="454">
        <f ca="1">IF(AND($D127="Serviço",AG$12&lt;&gt;0,$H127&gt;0,OR(AUTOEVENTO&lt;&gt;"manual",$M127&lt;&gt;$A$15)),
        IF(Import.TipoArredondamento&lt;&gt;"TransfereGOV",
              ROUND(OFFSET($P127,0,AG$13),15-13*ORÇAMENTO!$AF$7)/$H127*OFFSET(ORÇAMENTO!$X$15,ROW(AG127)-ROW(AG$15),0),
              ROUND(ROUND(OFFSET($P127,0,AG$13),15-13*ORÇAMENTO!$AF$7)*OFFSET(ORÇAMENTO!$W$15,ROW(AG127)-ROW(AG$15),0),15-13*ORÇAMENTO!$AF$11)),
         0)</f>
        <v>0</v>
      </c>
      <c r="AH127" s="454">
        <f ca="1">IF(AND($D127="Serviço",AH$12&lt;&gt;0,$H127&gt;0,OR(AUTOEVENTO&lt;&gt;"manual",$M127&lt;&gt;$A$15)),
        IF(Import.TipoArredondamento&lt;&gt;"TransfereGOV",
              ROUND(OFFSET($P127,0,AH$13),15-13*ORÇAMENTO!$AF$7)/$H127*OFFSET(ORÇAMENTO!$X$15,ROW(AH127)-ROW(AH$15),0),
              ROUND(ROUND(OFFSET($P127,0,AH$13),15-13*ORÇAMENTO!$AF$7)*OFFSET(ORÇAMENTO!$W$15,ROW(AH127)-ROW(AH$15),0),15-13*ORÇAMENTO!$AF$11)),
         0)</f>
        <v>0</v>
      </c>
      <c r="AI127" s="454">
        <f ca="1">IF(AND($D127="Serviço",AI$12&lt;&gt;0,$H127&gt;0,OR(AUTOEVENTO&lt;&gt;"manual",$M127&lt;&gt;$A$15)),
        IF(Import.TipoArredondamento&lt;&gt;"TransfereGOV",
              ROUND(OFFSET($P127,0,AI$13),15-13*ORÇAMENTO!$AF$7)/$H127*OFFSET(ORÇAMENTO!$X$15,ROW(AI127)-ROW(AI$15),0),
              ROUND(ROUND(OFFSET($P127,0,AI$13),15-13*ORÇAMENTO!$AF$7)*OFFSET(ORÇAMENTO!$W$15,ROW(AI127)-ROW(AI$15),0),15-13*ORÇAMENTO!$AF$11)),
         0)</f>
        <v>0</v>
      </c>
      <c r="AJ127" s="454">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4">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M127" s="172">
        <f ca="1">IF(OR($D127&lt;&gt;"Serviço",AND(AUTOEVENTO="Manual",$M127=$A$15)),0,
         IF(OFFSET(CRONOPLE!$F$15,$M127-$A$15,AM$13)=0,10^12,OFFSET(CRONOPLE!$F$15,$M127-$A$15,AM$13)))</f>
        <v>1000000000000</v>
      </c>
      <c r="AN127" s="172">
        <f ca="1">IF(OR($D127&lt;&gt;"Serviço",AND(AUTOEVENTO="Manual",$M127=$A$15)),0,
         IF(OFFSET(CRONOPLE!$F$15,$M127-$A$15,AN$13)=0,10^12,OFFSET(CRONOPLE!$F$15,$M127-$A$15,AN$13)))</f>
        <v>1000000000000</v>
      </c>
      <c r="AO127" s="172">
        <f ca="1">IF(OR($D127&lt;&gt;"Serviço",AND(AUTOEVENTO="Manual",$M127=$A$15)),0,
         IF(OFFSET(CRONOPLE!$F$15,$M127-$A$15,AO$13)=0,10^12,OFFSET(CRONOPLE!$F$15,$M127-$A$15,AO$13)))</f>
        <v>1000000000000</v>
      </c>
      <c r="AP127" s="172">
        <f ca="1">IF(OR($D127&lt;&gt;"Serviço",AND(AUTOEVENTO="Manual",$M127=$A$15)),0,
         IF(OFFSET(CRONOPLE!$F$15,$M127-$A$15,AP$13)=0,10^12,OFFSET(CRONOPLE!$F$15,$M127-$A$15,AP$13)))</f>
        <v>1000000000000</v>
      </c>
      <c r="AQ127" s="172">
        <f ca="1">IF(OR($D127&lt;&gt;"Serviço",AND(AUTOEVENTO="Manual",$M127=$A$15)),0,
         IF(OFFSET(CRONOPLE!$F$15,$M127-$A$15,AQ$13)=0,10^12,OFFSET(CRONOPLE!$F$15,$M127-$A$15,AQ$13)))</f>
        <v>1000000000000</v>
      </c>
      <c r="AR127" s="172">
        <f ca="1">IF(OR($D127&lt;&gt;"Serviço",AND(AUTOEVENTO="Manual",$M127=$A$15)),0,
         IF(OFFSET(CRONOPLE!$F$15,$M127-$A$15,AR$13)=0,10^12,OFFSET(CRONOPLE!$F$15,$M127-$A$15,AR$13)))</f>
        <v>1000000000000</v>
      </c>
      <c r="AS127" s="172">
        <f ca="1">IF(OR($D127&lt;&gt;"Serviço",AND(AUTOEVENTO="Manual",$M127=$A$15)),0,
         IF(OFFSET(CRONOPLE!$F$15,$M127-$A$15,AS$13)=0,10^12,OFFSET(CRONOPLE!$F$15,$M127-$A$15,AS$13)))</f>
        <v>1000000000000</v>
      </c>
      <c r="AT127" s="172">
        <f ca="1">IF(OR($D127&lt;&gt;"Serviço",AND(AUTOEVENTO="Manual",$M127=$A$15)),0,
         IF(OFFSET(CRONOPLE!$F$15,$M127-$A$15,AT$13)=0,10^12,OFFSET(CRONOPLE!$F$15,$M127-$A$15,AT$13)))</f>
        <v>1000000000000</v>
      </c>
      <c r="AU127" s="172">
        <f ca="1">IF(OR($D127&lt;&gt;"Serviço",AND(AUTOEVENTO="Manual",$M127=$A$15)),0,
         IF(OFFSET(CRONOPLE!$F$15,$M127-$A$15,AU$13)=0,10^12,OFFSET(CRONOPLE!$F$15,$M127-$A$15,AU$13)))</f>
        <v>1000000000000</v>
      </c>
      <c r="AV127" s="172">
        <f ca="1">IF(OR($D127&lt;&gt;"Serviço",AND(AUTOEVENTO="Manual",$M127=$A$15)),0,
         IF(OFFSET(CRONOPLE!$F$15,$M127-$A$15,AV$13)=0,10^12,OFFSET(CRONOPLE!$F$15,$M127-$A$15,AV$13)))</f>
        <v>1000000000000</v>
      </c>
      <c r="AX127" s="173">
        <f ca="1">IF(OR($D127&lt;&gt;"Serviço",AND(AUTOEVENTO="Manual",$M127=$A$15),$M127&gt;(ROW(PLE.lastrow)-ROW(PLE.firstrow))),0,
           IF(OFFSET(PLE!$G$15,$M127-$A$15,AX$13)="",10^12,OFFSET(PLE!$G$15,$M127-$A$15,AX$13)))</f>
        <v>1000000000000</v>
      </c>
      <c r="AY127" s="173">
        <f ca="1">IF(OR($D127&lt;&gt;"Serviço",AND(AUTOEVENTO="Manual",$M127=$A$15),$M127&gt;(ROW(PLE.lastrow)-ROW(PLE.firstrow))),0,
           IF(OFFSET(PLE!$G$15,$M127-$A$15,AY$13)="",10^12,OFFSET(PLE!$G$15,$M127-$A$15,AY$13)))</f>
        <v>1000000000000</v>
      </c>
      <c r="AZ127" s="173">
        <f ca="1">IF(OR($D127&lt;&gt;"Serviço",AND(AUTOEVENTO="Manual",$M127=$A$15),$M127&gt;(ROW(PLE.lastrow)-ROW(PLE.firstrow))),0,
           IF(OFFSET(PLE!$G$15,$M127-$A$15,AZ$13)="",10^12,OFFSET(PLE!$G$15,$M127-$A$15,AZ$13)))</f>
        <v>1000000000000</v>
      </c>
      <c r="BA127" s="173">
        <f ca="1">IF(OR($D127&lt;&gt;"Serviço",AND(AUTOEVENTO="Manual",$M127=$A$15),$M127&gt;(ROW(PLE.lastrow)-ROW(PLE.firstrow))),0,
           IF(OFFSET(PLE!$G$15,$M127-$A$15,BA$13)="",10^12,OFFSET(PLE!$G$15,$M127-$A$15,BA$13)))</f>
        <v>1000000000000</v>
      </c>
      <c r="BB127" s="173">
        <f ca="1">IF(OR($D127&lt;&gt;"Serviço",AND(AUTOEVENTO="Manual",$M127=$A$15),$M127&gt;(ROW(PLE.lastrow)-ROW(PLE.firstrow))),0,
           IF(OFFSET(PLE!$G$15,$M127-$A$15,BB$13)="",10^12,OFFSET(PLE!$G$15,$M127-$A$15,BB$13)))</f>
        <v>1000000000000</v>
      </c>
      <c r="BC127" s="173">
        <f ca="1">IF(OR($D127&lt;&gt;"Serviço",AND(AUTOEVENTO="Manual",$M127=$A$15),$M127&gt;(ROW(PLE.lastrow)-ROW(PLE.firstrow))),0,
           IF(OFFSET(PLE!$G$15,$M127-$A$15,BC$13)="",10^12,OFFSET(PLE!$G$15,$M127-$A$15,BC$13)))</f>
        <v>1000000000000</v>
      </c>
      <c r="BD127" s="173">
        <f ca="1">IF(OR($D127&lt;&gt;"Serviço",AND(AUTOEVENTO="Manual",$M127=$A$15),$M127&gt;(ROW(PLE.lastrow)-ROW(PLE.firstrow))),0,
           IF(OFFSET(PLE!$G$15,$M127-$A$15,BD$13)="",10^12,OFFSET(PLE!$G$15,$M127-$A$15,BD$13)))</f>
        <v>1000000000000</v>
      </c>
      <c r="BE127" s="173">
        <f ca="1">IF(OR($D127&lt;&gt;"Serviço",AND(AUTOEVENTO="Manual",$M127=$A$15),$M127&gt;(ROW(PLE.lastrow)-ROW(PLE.firstrow))),0,
           IF(OFFSET(PLE!$G$15,$M127-$A$15,BE$13)="",10^12,OFFSET(PLE!$G$15,$M127-$A$15,BE$13)))</f>
        <v>1000000000000</v>
      </c>
      <c r="BF127" s="173">
        <f ca="1">IF(OR($D127&lt;&gt;"Serviço",AND(AUTOEVENTO="Manual",$M127=$A$15),$M127&gt;(ROW(PLE.lastrow)-ROW(PLE.firstrow))),0,
           IF(OFFSET(PLE!$G$15,$M127-$A$15,BF$13)="",10^12,OFFSET(PLE!$G$15,$M127-$A$15,BF$13)))</f>
        <v>1000000000000</v>
      </c>
      <c r="BG127" s="173">
        <f ca="1">IF(OR($D127&lt;&gt;"Serviço",AND(AUTOEVENTO="Manual",$M127=$A$15),$M127&gt;(ROW(PLE.lastrow)-ROW(PLE.firstrow))),0,
           IF(OFFSET(PLE!$G$15,$M127-$A$15,BG$13)="",10^12,OFFSET(PLE!$G$15,$M127-$A$15,BG$13)))</f>
        <v>1000000000000</v>
      </c>
    </row>
    <row r="128" spans="1:59" s="675" customFormat="1" ht="25.5" x14ac:dyDescent="0.2">
      <c r="A128" s="671" t="str">
        <f t="shared" ca="1" si="10"/>
        <v>107</v>
      </c>
      <c r="B128" s="671" t="str">
        <f ca="1">OFFSET(ORÇAMENTO!C$15,ROW(B128)-ROW(B$15),0)</f>
        <v>S</v>
      </c>
      <c r="C128" s="671" t="str">
        <f ca="1">OFFSET(ORÇAMENTO!L$15,ROW(C128)-ROW(C$15),0)</f>
        <v/>
      </c>
      <c r="D128" s="117" t="str">
        <f ca="1">OFFSET(ORÇAMENTO!N$15,ROW(D128)-ROW(D$15),0)</f>
        <v>Serviço</v>
      </c>
      <c r="E128" s="118" t="str">
        <f ca="1">OFFSET(ORÇAMENTO!O$15,ROW(E128)-ROW(E$15),0)</f>
        <v>-</v>
      </c>
      <c r="F128" s="164" t="str">
        <f ca="1">OFFSET(ORÇAMENTO!R$15,ROW(F128)-ROW(F$15),0)</f>
        <v>(abra o arquivo 'Referência 09-2025.xlsm)</v>
      </c>
      <c r="G128" s="165" t="str">
        <f ca="1">IF($D128&lt;&gt;"Serviço","",OFFSET(ORÇAMENTO!S$15,ROW(G128)-ROW(G$15),0))</f>
        <v>-</v>
      </c>
      <c r="H128" s="123">
        <f ca="1">IF($D128&lt;&gt;"Serviço",0,IF(ACOMPANHAMENTO="BM",ROUND(OFFSET(ORÇAMENTO!AJ$15,ROW(H128)-ROW(H$15),0),15-13*ORÇAMENTO!$AF$7),SUMPRODUCT(($Q$1:$AA$1=1)*ROUND($Q128:$AA128,15-13*ORÇAMENTO!$AF$7))))</f>
        <v>1</v>
      </c>
      <c r="I128" s="469" t="s">
        <v>1110</v>
      </c>
      <c r="J128" s="667" t="str">
        <f ca="1">IF(OR(B128&lt;&gt;"S",CÁLCULO.FrentesPreenchidas=0),"",IF(AND(ACOMPANHAMENTO="PLE",AUTOEVENTO="Manual",OR(H128&gt;0,ORÇAMENTO!AC128="QUANT."),OR(K128="",M128=0,N128="")),"►",IF(AND(ACOMPANHAMENTO="PLE",ORÇAMENTO!AC128="QUANT."),"►►",IF(AND(COUNTIF($P$11:$AA$11,"▼")=0,H128&gt;0,I128=""),"◄",""))))</f>
        <v/>
      </c>
      <c r="K128" s="668"/>
      <c r="L128" s="166" t="s">
        <v>765</v>
      </c>
      <c r="M128" s="167">
        <f ca="1">IF($D128&lt;&gt;"Serviço","",
          IF(AUTOEVENTO="manual",$A128,
                IF(ISERROR(MATCH($A128,$A$15:OFFSET($A128,-1,0),0)),MAX($M$15:OFFSET(M128,-1,0))+1,
                      INDEX($M$15:OFFSET(M128,-1,0),MATCH($A128,$A$15:OFFSET($A128,-1,0),0)))))</f>
        <v>12</v>
      </c>
      <c r="N128" s="168" t="str">
        <f ca="1">IF($D128&lt;&gt;"Serviço","",
         IF(AUTOEVENTO="Manual",
                IF($A128=0,"&lt;-- defina o número do agrupador",
                       OFFSET(EVENTOS!$D$15,$A128-$A$15,0)),
                OFFSET($F$15,$A128,0)))</f>
        <v>ESCORAMENTO, ESGOTAMENTO E DRENAGEM</v>
      </c>
      <c r="O128" s="169"/>
      <c r="Q128" s="169"/>
      <c r="R128" s="170"/>
      <c r="S128" s="170"/>
      <c r="T128" s="170"/>
      <c r="U128" s="170"/>
      <c r="V128" s="170"/>
      <c r="W128" s="170"/>
      <c r="X128" s="170"/>
      <c r="Y128" s="170"/>
      <c r="Z128" s="171"/>
      <c r="AB128" s="454">
        <f ca="1">IF(AND($D128="Serviço",AB$12&lt;&gt;0,$H128&gt;0,OR(AUTOEVENTO&lt;&gt;"manual",$M128&lt;&gt;$A$15)),
        IF(Import.TipoArredondamento&lt;&gt;"TransfereGOV",
              ROUND(OFFSET($P128,0,AB$13),15-13*ORÇAMENTO!$AF$7)/$H128*OFFSET(ORÇAMENTO!$X$15,ROW(AB128)-ROW(AB$15),0),
              ROUND(ROUND(OFFSET($P128,0,AB$13),15-13*ORÇAMENTO!$AF$7)*OFFSET(ORÇAMENTO!$W$15,ROW(AB128)-ROW(AB$15),0),15-13*ORÇAMENTO!$AF$11)),
         0)</f>
        <v>0</v>
      </c>
      <c r="AC128" s="454">
        <f ca="1">IF(AND($D128="Serviço",AC$12&lt;&gt;0,$H128&gt;0,OR(AUTOEVENTO&lt;&gt;"manual",$M128&lt;&gt;$A$15)),
        IF(Import.TipoArredondamento&lt;&gt;"TransfereGOV",
              ROUND(OFFSET($P128,0,AC$13),15-13*ORÇAMENTO!$AF$7)/$H128*OFFSET(ORÇAMENTO!$X$15,ROW(AC128)-ROW(AC$15),0),
              ROUND(ROUND(OFFSET($P128,0,AC$13),15-13*ORÇAMENTO!$AF$7)*OFFSET(ORÇAMENTO!$W$15,ROW(AC128)-ROW(AC$15),0),15-13*ORÇAMENTO!$AF$11)),
         0)</f>
        <v>0</v>
      </c>
      <c r="AD128" s="454">
        <f ca="1">IF(AND($D128="Serviço",AD$12&lt;&gt;0,$H128&gt;0,OR(AUTOEVENTO&lt;&gt;"manual",$M128&lt;&gt;$A$15)),
        IF(Import.TipoArredondamento&lt;&gt;"TransfereGOV",
              ROUND(OFFSET($P128,0,AD$13),15-13*ORÇAMENTO!$AF$7)/$H128*OFFSET(ORÇAMENTO!$X$15,ROW(AD128)-ROW(AD$15),0),
              ROUND(ROUND(OFFSET($P128,0,AD$13),15-13*ORÇAMENTO!$AF$7)*OFFSET(ORÇAMENTO!$W$15,ROW(AD128)-ROW(AD$15),0),15-13*ORÇAMENTO!$AF$11)),
         0)</f>
        <v>0</v>
      </c>
      <c r="AE128" s="454">
        <f ca="1">IF(AND($D128="Serviço",AE$12&lt;&gt;0,$H128&gt;0,OR(AUTOEVENTO&lt;&gt;"manual",$M128&lt;&gt;$A$15)),
        IF(Import.TipoArredondamento&lt;&gt;"TransfereGOV",
              ROUND(OFFSET($P128,0,AE$13),15-13*ORÇAMENTO!$AF$7)/$H128*OFFSET(ORÇAMENTO!$X$15,ROW(AE128)-ROW(AE$15),0),
              ROUND(ROUND(OFFSET($P128,0,AE$13),15-13*ORÇAMENTO!$AF$7)*OFFSET(ORÇAMENTO!$W$15,ROW(AE128)-ROW(AE$15),0),15-13*ORÇAMENTO!$AF$11)),
         0)</f>
        <v>0</v>
      </c>
      <c r="AF128" s="454">
        <f ca="1">IF(AND($D128="Serviço",AF$12&lt;&gt;0,$H128&gt;0,OR(AUTOEVENTO&lt;&gt;"manual",$M128&lt;&gt;$A$15)),
        IF(Import.TipoArredondamento&lt;&gt;"TransfereGOV",
              ROUND(OFFSET($P128,0,AF$13),15-13*ORÇAMENTO!$AF$7)/$H128*OFFSET(ORÇAMENTO!$X$15,ROW(AF128)-ROW(AF$15),0),
              ROUND(ROUND(OFFSET($P128,0,AF$13),15-13*ORÇAMENTO!$AF$7)*OFFSET(ORÇAMENTO!$W$15,ROW(AF128)-ROW(AF$15),0),15-13*ORÇAMENTO!$AF$11)),
         0)</f>
        <v>0</v>
      </c>
      <c r="AG128" s="454">
        <f ca="1">IF(AND($D128="Serviço",AG$12&lt;&gt;0,$H128&gt;0,OR(AUTOEVENTO&lt;&gt;"manual",$M128&lt;&gt;$A$15)),
        IF(Import.TipoArredondamento&lt;&gt;"TransfereGOV",
              ROUND(OFFSET($P128,0,AG$13),15-13*ORÇAMENTO!$AF$7)/$H128*OFFSET(ORÇAMENTO!$X$15,ROW(AG128)-ROW(AG$15),0),
              ROUND(ROUND(OFFSET($P128,0,AG$13),15-13*ORÇAMENTO!$AF$7)*OFFSET(ORÇAMENTO!$W$15,ROW(AG128)-ROW(AG$15),0),15-13*ORÇAMENTO!$AF$11)),
         0)</f>
        <v>0</v>
      </c>
      <c r="AH128" s="454">
        <f ca="1">IF(AND($D128="Serviço",AH$12&lt;&gt;0,$H128&gt;0,OR(AUTOEVENTO&lt;&gt;"manual",$M128&lt;&gt;$A$15)),
        IF(Import.TipoArredondamento&lt;&gt;"TransfereGOV",
              ROUND(OFFSET($P128,0,AH$13),15-13*ORÇAMENTO!$AF$7)/$H128*OFFSET(ORÇAMENTO!$X$15,ROW(AH128)-ROW(AH$15),0),
              ROUND(ROUND(OFFSET($P128,0,AH$13),15-13*ORÇAMENTO!$AF$7)*OFFSET(ORÇAMENTO!$W$15,ROW(AH128)-ROW(AH$15),0),15-13*ORÇAMENTO!$AF$11)),
         0)</f>
        <v>0</v>
      </c>
      <c r="AI128" s="454">
        <f ca="1">IF(AND($D128="Serviço",AI$12&lt;&gt;0,$H128&gt;0,OR(AUTOEVENTO&lt;&gt;"manual",$M128&lt;&gt;$A$15)),
        IF(Import.TipoArredondamento&lt;&gt;"TransfereGOV",
              ROUND(OFFSET($P128,0,AI$13),15-13*ORÇAMENTO!$AF$7)/$H128*OFFSET(ORÇAMENTO!$X$15,ROW(AI128)-ROW(AI$15),0),
              ROUND(ROUND(OFFSET($P128,0,AI$13),15-13*ORÇAMENTO!$AF$7)*OFFSET(ORÇAMENTO!$W$15,ROW(AI128)-ROW(AI$15),0),15-13*ORÇAMENTO!$AF$11)),
         0)</f>
        <v>0</v>
      </c>
      <c r="AJ128" s="454">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4">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M128" s="172">
        <f ca="1">IF(OR($D128&lt;&gt;"Serviço",AND(AUTOEVENTO="Manual",$M128=$A$15)),0,
         IF(OFFSET(CRONOPLE!$F$15,$M128-$A$15,AM$13)=0,10^12,OFFSET(CRONOPLE!$F$15,$M128-$A$15,AM$13)))</f>
        <v>1000000000000</v>
      </c>
      <c r="AN128" s="172">
        <f ca="1">IF(OR($D128&lt;&gt;"Serviço",AND(AUTOEVENTO="Manual",$M128=$A$15)),0,
         IF(OFFSET(CRONOPLE!$F$15,$M128-$A$15,AN$13)=0,10^12,OFFSET(CRONOPLE!$F$15,$M128-$A$15,AN$13)))</f>
        <v>1000000000000</v>
      </c>
      <c r="AO128" s="172">
        <f ca="1">IF(OR($D128&lt;&gt;"Serviço",AND(AUTOEVENTO="Manual",$M128=$A$15)),0,
         IF(OFFSET(CRONOPLE!$F$15,$M128-$A$15,AO$13)=0,10^12,OFFSET(CRONOPLE!$F$15,$M128-$A$15,AO$13)))</f>
        <v>1000000000000</v>
      </c>
      <c r="AP128" s="172">
        <f ca="1">IF(OR($D128&lt;&gt;"Serviço",AND(AUTOEVENTO="Manual",$M128=$A$15)),0,
         IF(OFFSET(CRONOPLE!$F$15,$M128-$A$15,AP$13)=0,10^12,OFFSET(CRONOPLE!$F$15,$M128-$A$15,AP$13)))</f>
        <v>1000000000000</v>
      </c>
      <c r="AQ128" s="172">
        <f ca="1">IF(OR($D128&lt;&gt;"Serviço",AND(AUTOEVENTO="Manual",$M128=$A$15)),0,
         IF(OFFSET(CRONOPLE!$F$15,$M128-$A$15,AQ$13)=0,10^12,OFFSET(CRONOPLE!$F$15,$M128-$A$15,AQ$13)))</f>
        <v>1000000000000</v>
      </c>
      <c r="AR128" s="172">
        <f ca="1">IF(OR($D128&lt;&gt;"Serviço",AND(AUTOEVENTO="Manual",$M128=$A$15)),0,
         IF(OFFSET(CRONOPLE!$F$15,$M128-$A$15,AR$13)=0,10^12,OFFSET(CRONOPLE!$F$15,$M128-$A$15,AR$13)))</f>
        <v>1000000000000</v>
      </c>
      <c r="AS128" s="172">
        <f ca="1">IF(OR($D128&lt;&gt;"Serviço",AND(AUTOEVENTO="Manual",$M128=$A$15)),0,
         IF(OFFSET(CRONOPLE!$F$15,$M128-$A$15,AS$13)=0,10^12,OFFSET(CRONOPLE!$F$15,$M128-$A$15,AS$13)))</f>
        <v>1000000000000</v>
      </c>
      <c r="AT128" s="172">
        <f ca="1">IF(OR($D128&lt;&gt;"Serviço",AND(AUTOEVENTO="Manual",$M128=$A$15)),0,
         IF(OFFSET(CRONOPLE!$F$15,$M128-$A$15,AT$13)=0,10^12,OFFSET(CRONOPLE!$F$15,$M128-$A$15,AT$13)))</f>
        <v>1000000000000</v>
      </c>
      <c r="AU128" s="172">
        <f ca="1">IF(OR($D128&lt;&gt;"Serviço",AND(AUTOEVENTO="Manual",$M128=$A$15)),0,
         IF(OFFSET(CRONOPLE!$F$15,$M128-$A$15,AU$13)=0,10^12,OFFSET(CRONOPLE!$F$15,$M128-$A$15,AU$13)))</f>
        <v>1000000000000</v>
      </c>
      <c r="AV128" s="172">
        <f ca="1">IF(OR($D128&lt;&gt;"Serviço",AND(AUTOEVENTO="Manual",$M128=$A$15)),0,
         IF(OFFSET(CRONOPLE!$F$15,$M128-$A$15,AV$13)=0,10^12,OFFSET(CRONOPLE!$F$15,$M128-$A$15,AV$13)))</f>
        <v>1000000000000</v>
      </c>
      <c r="AX128" s="173">
        <f ca="1">IF(OR($D128&lt;&gt;"Serviço",AND(AUTOEVENTO="Manual",$M128=$A$15),$M128&gt;(ROW(PLE.lastrow)-ROW(PLE.firstrow))),0,
           IF(OFFSET(PLE!$G$15,$M128-$A$15,AX$13)="",10^12,OFFSET(PLE!$G$15,$M128-$A$15,AX$13)))</f>
        <v>1000000000000</v>
      </c>
      <c r="AY128" s="173">
        <f ca="1">IF(OR($D128&lt;&gt;"Serviço",AND(AUTOEVENTO="Manual",$M128=$A$15),$M128&gt;(ROW(PLE.lastrow)-ROW(PLE.firstrow))),0,
           IF(OFFSET(PLE!$G$15,$M128-$A$15,AY$13)="",10^12,OFFSET(PLE!$G$15,$M128-$A$15,AY$13)))</f>
        <v>1000000000000</v>
      </c>
      <c r="AZ128" s="173">
        <f ca="1">IF(OR($D128&lt;&gt;"Serviço",AND(AUTOEVENTO="Manual",$M128=$A$15),$M128&gt;(ROW(PLE.lastrow)-ROW(PLE.firstrow))),0,
           IF(OFFSET(PLE!$G$15,$M128-$A$15,AZ$13)="",10^12,OFFSET(PLE!$G$15,$M128-$A$15,AZ$13)))</f>
        <v>1000000000000</v>
      </c>
      <c r="BA128" s="173">
        <f ca="1">IF(OR($D128&lt;&gt;"Serviço",AND(AUTOEVENTO="Manual",$M128=$A$15),$M128&gt;(ROW(PLE.lastrow)-ROW(PLE.firstrow))),0,
           IF(OFFSET(PLE!$G$15,$M128-$A$15,BA$13)="",10^12,OFFSET(PLE!$G$15,$M128-$A$15,BA$13)))</f>
        <v>1000000000000</v>
      </c>
      <c r="BB128" s="173">
        <f ca="1">IF(OR($D128&lt;&gt;"Serviço",AND(AUTOEVENTO="Manual",$M128=$A$15),$M128&gt;(ROW(PLE.lastrow)-ROW(PLE.firstrow))),0,
           IF(OFFSET(PLE!$G$15,$M128-$A$15,BB$13)="",10^12,OFFSET(PLE!$G$15,$M128-$A$15,BB$13)))</f>
        <v>1000000000000</v>
      </c>
      <c r="BC128" s="173">
        <f ca="1">IF(OR($D128&lt;&gt;"Serviço",AND(AUTOEVENTO="Manual",$M128=$A$15),$M128&gt;(ROW(PLE.lastrow)-ROW(PLE.firstrow))),0,
           IF(OFFSET(PLE!$G$15,$M128-$A$15,BC$13)="",10^12,OFFSET(PLE!$G$15,$M128-$A$15,BC$13)))</f>
        <v>1000000000000</v>
      </c>
      <c r="BD128" s="173">
        <f ca="1">IF(OR($D128&lt;&gt;"Serviço",AND(AUTOEVENTO="Manual",$M128=$A$15),$M128&gt;(ROW(PLE.lastrow)-ROW(PLE.firstrow))),0,
           IF(OFFSET(PLE!$G$15,$M128-$A$15,BD$13)="",10^12,OFFSET(PLE!$G$15,$M128-$A$15,BD$13)))</f>
        <v>1000000000000</v>
      </c>
      <c r="BE128" s="173">
        <f ca="1">IF(OR($D128&lt;&gt;"Serviço",AND(AUTOEVENTO="Manual",$M128=$A$15),$M128&gt;(ROW(PLE.lastrow)-ROW(PLE.firstrow))),0,
           IF(OFFSET(PLE!$G$15,$M128-$A$15,BE$13)="",10^12,OFFSET(PLE!$G$15,$M128-$A$15,BE$13)))</f>
        <v>1000000000000</v>
      </c>
      <c r="BF128" s="173">
        <f ca="1">IF(OR($D128&lt;&gt;"Serviço",AND(AUTOEVENTO="Manual",$M128=$A$15),$M128&gt;(ROW(PLE.lastrow)-ROW(PLE.firstrow))),0,
           IF(OFFSET(PLE!$G$15,$M128-$A$15,BF$13)="",10^12,OFFSET(PLE!$G$15,$M128-$A$15,BF$13)))</f>
        <v>1000000000000</v>
      </c>
      <c r="BG128" s="173">
        <f ca="1">IF(OR($D128&lt;&gt;"Serviço",AND(AUTOEVENTO="Manual",$M128=$A$15),$M128&gt;(ROW(PLE.lastrow)-ROW(PLE.firstrow))),0,
           IF(OFFSET(PLE!$G$15,$M128-$A$15,BG$13)="",10^12,OFFSET(PLE!$G$15,$M128-$A$15,BG$13)))</f>
        <v>1000000000000</v>
      </c>
    </row>
    <row r="129" spans="1:59" s="675" customFormat="1" ht="12.75" x14ac:dyDescent="0.2">
      <c r="A129" s="671" t="str">
        <f t="shared" ca="1" si="10"/>
        <v>114.</v>
      </c>
      <c r="B129" s="671">
        <f ca="1">OFFSET(ORÇAMENTO!C$15,ROW(B129)-ROW(B$15),0)</f>
        <v>2</v>
      </c>
      <c r="C129" s="671" t="str">
        <f ca="1">OFFSET(ORÇAMENTO!L$15,ROW(C129)-ROW(C$15),0)</f>
        <v>F</v>
      </c>
      <c r="D129" s="117" t="str">
        <f ca="1">OFFSET(ORÇAMENTO!N$15,ROW(D129)-ROW(D$15),0)</f>
        <v>Nível 2</v>
      </c>
      <c r="E129" s="118" t="str">
        <f ca="1">OFFSET(ORÇAMENTO!O$15,ROW(E129)-ROW(E$15),0)</f>
        <v>1.16.</v>
      </c>
      <c r="F129" s="164" t="str">
        <f ca="1">OFFSET(ORÇAMENTO!R$15,ROW(F129)-ROW(F$15),0)</f>
        <v>ASSENTAMENTOS</v>
      </c>
      <c r="G129" s="165" t="str">
        <f ca="1">IF($D129&lt;&gt;"Serviço","",OFFSET(ORÇAMENTO!S$15,ROW(G129)-ROW(G$15),0))</f>
        <v/>
      </c>
      <c r="H129" s="123">
        <f ca="1">IF($D129&lt;&gt;"Serviço",0,IF(ACOMPANHAMENTO="BM",ROUND(OFFSET(ORÇAMENTO!AJ$15,ROW(H129)-ROW(H$15),0),15-13*ORÇAMENTO!$AF$7),SUMPRODUCT(($Q$1:$AA$1=1)*ROUND($Q129:$AA129,15-13*ORÇAMENTO!$AF$7))))</f>
        <v>0</v>
      </c>
      <c r="I129" s="469"/>
      <c r="J129" s="667" t="str">
        <f ca="1">IF(OR(B129&lt;&gt;"S",CÁLCULO.FrentesPreenchidas=0),"",IF(AND(ACOMPANHAMENTO="PLE",AUTOEVENTO="Manual",OR(H129&gt;0,ORÇAMENTO!AC129="QUANT."),OR(K129="",M129=0,N129="")),"►",IF(AND(ACOMPANHAMENTO="PLE",ORÇAMENTO!AC129="QUANT."),"►►",IF(AND(COUNTIF($P$11:$AA$11,"▼")=0,H129&gt;0,I129=""),"◄",""))))</f>
        <v/>
      </c>
      <c r="K129" s="668"/>
      <c r="L129" s="166" t="s">
        <v>765</v>
      </c>
      <c r="M129" s="167" t="str">
        <f ca="1">IF($D129&lt;&gt;"Serviço","",
          IF(AUTOEVENTO="manual",$A129,
                IF(ISERROR(MATCH($A129,$A$15:OFFSET($A129,-1,0),0)),MAX($M$15:OFFSET(M129,-1,0))+1,
                      INDEX($M$15:OFFSET(M129,-1,0),MATCH($A129,$A$15:OFFSET($A129,-1,0),0)))))</f>
        <v/>
      </c>
      <c r="N129" s="168" t="str">
        <f ca="1">IF($D129&lt;&gt;"Serviço","",
         IF(AUTOEVENTO="Manual",
                IF($A129=0,"&lt;-- defina o número do agrupador",
                       OFFSET(EVENTOS!$D$15,$A129-$A$15,0)),
                OFFSET($F$15,$A129,0)))</f>
        <v/>
      </c>
      <c r="O129" s="169"/>
      <c r="Q129" s="169"/>
      <c r="R129" s="170"/>
      <c r="S129" s="170"/>
      <c r="T129" s="170"/>
      <c r="U129" s="170"/>
      <c r="V129" s="170"/>
      <c r="W129" s="170"/>
      <c r="X129" s="170"/>
      <c r="Y129" s="170"/>
      <c r="Z129" s="171"/>
      <c r="AB129" s="454">
        <f ca="1">IF(AND($D129="Serviço",AB$12&lt;&gt;0,$H129&gt;0,OR(AUTOEVENTO&lt;&gt;"manual",$M129&lt;&gt;$A$15)),
        IF(Import.TipoArredondamento&lt;&gt;"TransfereGOV",
              ROUND(OFFSET($P129,0,AB$13),15-13*ORÇAMENTO!$AF$7)/$H129*OFFSET(ORÇAMENTO!$X$15,ROW(AB129)-ROW(AB$15),0),
              ROUND(ROUND(OFFSET($P129,0,AB$13),15-13*ORÇAMENTO!$AF$7)*OFFSET(ORÇAMENTO!$W$15,ROW(AB129)-ROW(AB$15),0),15-13*ORÇAMENTO!$AF$11)),
         0)</f>
        <v>0</v>
      </c>
      <c r="AC129" s="454">
        <f ca="1">IF(AND($D129="Serviço",AC$12&lt;&gt;0,$H129&gt;0,OR(AUTOEVENTO&lt;&gt;"manual",$M129&lt;&gt;$A$15)),
        IF(Import.TipoArredondamento&lt;&gt;"TransfereGOV",
              ROUND(OFFSET($P129,0,AC$13),15-13*ORÇAMENTO!$AF$7)/$H129*OFFSET(ORÇAMENTO!$X$15,ROW(AC129)-ROW(AC$15),0),
              ROUND(ROUND(OFFSET($P129,0,AC$13),15-13*ORÇAMENTO!$AF$7)*OFFSET(ORÇAMENTO!$W$15,ROW(AC129)-ROW(AC$15),0),15-13*ORÇAMENTO!$AF$11)),
         0)</f>
        <v>0</v>
      </c>
      <c r="AD129" s="454">
        <f ca="1">IF(AND($D129="Serviço",AD$12&lt;&gt;0,$H129&gt;0,OR(AUTOEVENTO&lt;&gt;"manual",$M129&lt;&gt;$A$15)),
        IF(Import.TipoArredondamento&lt;&gt;"TransfereGOV",
              ROUND(OFFSET($P129,0,AD$13),15-13*ORÇAMENTO!$AF$7)/$H129*OFFSET(ORÇAMENTO!$X$15,ROW(AD129)-ROW(AD$15),0),
              ROUND(ROUND(OFFSET($P129,0,AD$13),15-13*ORÇAMENTO!$AF$7)*OFFSET(ORÇAMENTO!$W$15,ROW(AD129)-ROW(AD$15),0),15-13*ORÇAMENTO!$AF$11)),
         0)</f>
        <v>0</v>
      </c>
      <c r="AE129" s="454">
        <f ca="1">IF(AND($D129="Serviço",AE$12&lt;&gt;0,$H129&gt;0,OR(AUTOEVENTO&lt;&gt;"manual",$M129&lt;&gt;$A$15)),
        IF(Import.TipoArredondamento&lt;&gt;"TransfereGOV",
              ROUND(OFFSET($P129,0,AE$13),15-13*ORÇAMENTO!$AF$7)/$H129*OFFSET(ORÇAMENTO!$X$15,ROW(AE129)-ROW(AE$15),0),
              ROUND(ROUND(OFFSET($P129,0,AE$13),15-13*ORÇAMENTO!$AF$7)*OFFSET(ORÇAMENTO!$W$15,ROW(AE129)-ROW(AE$15),0),15-13*ORÇAMENTO!$AF$11)),
         0)</f>
        <v>0</v>
      </c>
      <c r="AF129" s="454">
        <f ca="1">IF(AND($D129="Serviço",AF$12&lt;&gt;0,$H129&gt;0,OR(AUTOEVENTO&lt;&gt;"manual",$M129&lt;&gt;$A$15)),
        IF(Import.TipoArredondamento&lt;&gt;"TransfereGOV",
              ROUND(OFFSET($P129,0,AF$13),15-13*ORÇAMENTO!$AF$7)/$H129*OFFSET(ORÇAMENTO!$X$15,ROW(AF129)-ROW(AF$15),0),
              ROUND(ROUND(OFFSET($P129,0,AF$13),15-13*ORÇAMENTO!$AF$7)*OFFSET(ORÇAMENTO!$W$15,ROW(AF129)-ROW(AF$15),0),15-13*ORÇAMENTO!$AF$11)),
         0)</f>
        <v>0</v>
      </c>
      <c r="AG129" s="454">
        <f ca="1">IF(AND($D129="Serviço",AG$12&lt;&gt;0,$H129&gt;0,OR(AUTOEVENTO&lt;&gt;"manual",$M129&lt;&gt;$A$15)),
        IF(Import.TipoArredondamento&lt;&gt;"TransfereGOV",
              ROUND(OFFSET($P129,0,AG$13),15-13*ORÇAMENTO!$AF$7)/$H129*OFFSET(ORÇAMENTO!$X$15,ROW(AG129)-ROW(AG$15),0),
              ROUND(ROUND(OFFSET($P129,0,AG$13),15-13*ORÇAMENTO!$AF$7)*OFFSET(ORÇAMENTO!$W$15,ROW(AG129)-ROW(AG$15),0),15-13*ORÇAMENTO!$AF$11)),
         0)</f>
        <v>0</v>
      </c>
      <c r="AH129" s="454">
        <f ca="1">IF(AND($D129="Serviço",AH$12&lt;&gt;0,$H129&gt;0,OR(AUTOEVENTO&lt;&gt;"manual",$M129&lt;&gt;$A$15)),
        IF(Import.TipoArredondamento&lt;&gt;"TransfereGOV",
              ROUND(OFFSET($P129,0,AH$13),15-13*ORÇAMENTO!$AF$7)/$H129*OFFSET(ORÇAMENTO!$X$15,ROW(AH129)-ROW(AH$15),0),
              ROUND(ROUND(OFFSET($P129,0,AH$13),15-13*ORÇAMENTO!$AF$7)*OFFSET(ORÇAMENTO!$W$15,ROW(AH129)-ROW(AH$15),0),15-13*ORÇAMENTO!$AF$11)),
         0)</f>
        <v>0</v>
      </c>
      <c r="AI129" s="454">
        <f ca="1">IF(AND($D129="Serviço",AI$12&lt;&gt;0,$H129&gt;0,OR(AUTOEVENTO&lt;&gt;"manual",$M129&lt;&gt;$A$15)),
        IF(Import.TipoArredondamento&lt;&gt;"TransfereGOV",
              ROUND(OFFSET($P129,0,AI$13),15-13*ORÇAMENTO!$AF$7)/$H129*OFFSET(ORÇAMENTO!$X$15,ROW(AI129)-ROW(AI$15),0),
              ROUND(ROUND(OFFSET($P129,0,AI$13),15-13*ORÇAMENTO!$AF$7)*OFFSET(ORÇAMENTO!$W$15,ROW(AI129)-ROW(AI$15),0),15-13*ORÇAMENTO!$AF$11)),
         0)</f>
        <v>0</v>
      </c>
      <c r="AJ129" s="454">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4">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M129" s="172">
        <f ca="1">IF(OR($D129&lt;&gt;"Serviço",AND(AUTOEVENTO="Manual",$M129=$A$15)),0,
         IF(OFFSET(CRONOPLE!$F$15,$M129-$A$15,AM$13)=0,10^12,OFFSET(CRONOPLE!$F$15,$M129-$A$15,AM$13)))</f>
        <v>0</v>
      </c>
      <c r="AN129" s="172">
        <f ca="1">IF(OR($D129&lt;&gt;"Serviço",AND(AUTOEVENTO="Manual",$M129=$A$15)),0,
         IF(OFFSET(CRONOPLE!$F$15,$M129-$A$15,AN$13)=0,10^12,OFFSET(CRONOPLE!$F$15,$M129-$A$15,AN$13)))</f>
        <v>0</v>
      </c>
      <c r="AO129" s="172">
        <f ca="1">IF(OR($D129&lt;&gt;"Serviço",AND(AUTOEVENTO="Manual",$M129=$A$15)),0,
         IF(OFFSET(CRONOPLE!$F$15,$M129-$A$15,AO$13)=0,10^12,OFFSET(CRONOPLE!$F$15,$M129-$A$15,AO$13)))</f>
        <v>0</v>
      </c>
      <c r="AP129" s="172">
        <f ca="1">IF(OR($D129&lt;&gt;"Serviço",AND(AUTOEVENTO="Manual",$M129=$A$15)),0,
         IF(OFFSET(CRONOPLE!$F$15,$M129-$A$15,AP$13)=0,10^12,OFFSET(CRONOPLE!$F$15,$M129-$A$15,AP$13)))</f>
        <v>0</v>
      </c>
      <c r="AQ129" s="172">
        <f ca="1">IF(OR($D129&lt;&gt;"Serviço",AND(AUTOEVENTO="Manual",$M129=$A$15)),0,
         IF(OFFSET(CRONOPLE!$F$15,$M129-$A$15,AQ$13)=0,10^12,OFFSET(CRONOPLE!$F$15,$M129-$A$15,AQ$13)))</f>
        <v>0</v>
      </c>
      <c r="AR129" s="172">
        <f ca="1">IF(OR($D129&lt;&gt;"Serviço",AND(AUTOEVENTO="Manual",$M129=$A$15)),0,
         IF(OFFSET(CRONOPLE!$F$15,$M129-$A$15,AR$13)=0,10^12,OFFSET(CRONOPLE!$F$15,$M129-$A$15,AR$13)))</f>
        <v>0</v>
      </c>
      <c r="AS129" s="172">
        <f ca="1">IF(OR($D129&lt;&gt;"Serviço",AND(AUTOEVENTO="Manual",$M129=$A$15)),0,
         IF(OFFSET(CRONOPLE!$F$15,$M129-$A$15,AS$13)=0,10^12,OFFSET(CRONOPLE!$F$15,$M129-$A$15,AS$13)))</f>
        <v>0</v>
      </c>
      <c r="AT129" s="172">
        <f ca="1">IF(OR($D129&lt;&gt;"Serviço",AND(AUTOEVENTO="Manual",$M129=$A$15)),0,
         IF(OFFSET(CRONOPLE!$F$15,$M129-$A$15,AT$13)=0,10^12,OFFSET(CRONOPLE!$F$15,$M129-$A$15,AT$13)))</f>
        <v>0</v>
      </c>
      <c r="AU129" s="172">
        <f ca="1">IF(OR($D129&lt;&gt;"Serviço",AND(AUTOEVENTO="Manual",$M129=$A$15)),0,
         IF(OFFSET(CRONOPLE!$F$15,$M129-$A$15,AU$13)=0,10^12,OFFSET(CRONOPLE!$F$15,$M129-$A$15,AU$13)))</f>
        <v>0</v>
      </c>
      <c r="AV129" s="172">
        <f ca="1">IF(OR($D129&lt;&gt;"Serviço",AND(AUTOEVENTO="Manual",$M129=$A$15)),0,
         IF(OFFSET(CRONOPLE!$F$15,$M129-$A$15,AV$13)=0,10^12,OFFSET(CRONOPLE!$F$15,$M129-$A$15,AV$13)))</f>
        <v>0</v>
      </c>
      <c r="AX129" s="173">
        <f ca="1">IF(OR($D129&lt;&gt;"Serviço",AND(AUTOEVENTO="Manual",$M129=$A$15),$M129&gt;(ROW(PLE.lastrow)-ROW(PLE.firstrow))),0,
           IF(OFFSET(PLE!$G$15,$M129-$A$15,AX$13)="",10^12,OFFSET(PLE!$G$15,$M129-$A$15,AX$13)))</f>
        <v>0</v>
      </c>
      <c r="AY129" s="173">
        <f ca="1">IF(OR($D129&lt;&gt;"Serviço",AND(AUTOEVENTO="Manual",$M129=$A$15),$M129&gt;(ROW(PLE.lastrow)-ROW(PLE.firstrow))),0,
           IF(OFFSET(PLE!$G$15,$M129-$A$15,AY$13)="",10^12,OFFSET(PLE!$G$15,$M129-$A$15,AY$13)))</f>
        <v>0</v>
      </c>
      <c r="AZ129" s="173">
        <f ca="1">IF(OR($D129&lt;&gt;"Serviço",AND(AUTOEVENTO="Manual",$M129=$A$15),$M129&gt;(ROW(PLE.lastrow)-ROW(PLE.firstrow))),0,
           IF(OFFSET(PLE!$G$15,$M129-$A$15,AZ$13)="",10^12,OFFSET(PLE!$G$15,$M129-$A$15,AZ$13)))</f>
        <v>0</v>
      </c>
      <c r="BA129" s="173">
        <f ca="1">IF(OR($D129&lt;&gt;"Serviço",AND(AUTOEVENTO="Manual",$M129=$A$15),$M129&gt;(ROW(PLE.lastrow)-ROW(PLE.firstrow))),0,
           IF(OFFSET(PLE!$G$15,$M129-$A$15,BA$13)="",10^12,OFFSET(PLE!$G$15,$M129-$A$15,BA$13)))</f>
        <v>0</v>
      </c>
      <c r="BB129" s="173">
        <f ca="1">IF(OR($D129&lt;&gt;"Serviço",AND(AUTOEVENTO="Manual",$M129=$A$15),$M129&gt;(ROW(PLE.lastrow)-ROW(PLE.firstrow))),0,
           IF(OFFSET(PLE!$G$15,$M129-$A$15,BB$13)="",10^12,OFFSET(PLE!$G$15,$M129-$A$15,BB$13)))</f>
        <v>0</v>
      </c>
      <c r="BC129" s="173">
        <f ca="1">IF(OR($D129&lt;&gt;"Serviço",AND(AUTOEVENTO="Manual",$M129=$A$15),$M129&gt;(ROW(PLE.lastrow)-ROW(PLE.firstrow))),0,
           IF(OFFSET(PLE!$G$15,$M129-$A$15,BC$13)="",10^12,OFFSET(PLE!$G$15,$M129-$A$15,BC$13)))</f>
        <v>0</v>
      </c>
      <c r="BD129" s="173">
        <f ca="1">IF(OR($D129&lt;&gt;"Serviço",AND(AUTOEVENTO="Manual",$M129=$A$15),$M129&gt;(ROW(PLE.lastrow)-ROW(PLE.firstrow))),0,
           IF(OFFSET(PLE!$G$15,$M129-$A$15,BD$13)="",10^12,OFFSET(PLE!$G$15,$M129-$A$15,BD$13)))</f>
        <v>0</v>
      </c>
      <c r="BE129" s="173">
        <f ca="1">IF(OR($D129&lt;&gt;"Serviço",AND(AUTOEVENTO="Manual",$M129=$A$15),$M129&gt;(ROW(PLE.lastrow)-ROW(PLE.firstrow))),0,
           IF(OFFSET(PLE!$G$15,$M129-$A$15,BE$13)="",10^12,OFFSET(PLE!$G$15,$M129-$A$15,BE$13)))</f>
        <v>0</v>
      </c>
      <c r="BF129" s="173">
        <f ca="1">IF(OR($D129&lt;&gt;"Serviço",AND(AUTOEVENTO="Manual",$M129=$A$15),$M129&gt;(ROW(PLE.lastrow)-ROW(PLE.firstrow))),0,
           IF(OFFSET(PLE!$G$15,$M129-$A$15,BF$13)="",10^12,OFFSET(PLE!$G$15,$M129-$A$15,BF$13)))</f>
        <v>0</v>
      </c>
      <c r="BG129" s="173">
        <f ca="1">IF(OR($D129&lt;&gt;"Serviço",AND(AUTOEVENTO="Manual",$M129=$A$15),$M129&gt;(ROW(PLE.lastrow)-ROW(PLE.firstrow))),0,
           IF(OFFSET(PLE!$G$15,$M129-$A$15,BG$13)="",10^12,OFFSET(PLE!$G$15,$M129-$A$15,BG$13)))</f>
        <v>0</v>
      </c>
    </row>
    <row r="130" spans="1:59" s="675" customFormat="1" ht="25.5" x14ac:dyDescent="0.2">
      <c r="A130" s="671" t="str">
        <f t="shared" ca="1" si="10"/>
        <v>114</v>
      </c>
      <c r="B130" s="671" t="str">
        <f ca="1">OFFSET(ORÇAMENTO!C$15,ROW(B130)-ROW(B$15),0)</f>
        <v>S</v>
      </c>
      <c r="C130" s="671" t="str">
        <f ca="1">OFFSET(ORÇAMENTO!L$15,ROW(C130)-ROW(C$15),0)</f>
        <v/>
      </c>
      <c r="D130" s="117" t="str">
        <f ca="1">OFFSET(ORÇAMENTO!N$15,ROW(D130)-ROW(D$15),0)</f>
        <v>Serviço</v>
      </c>
      <c r="E130" s="118" t="str">
        <f ca="1">OFFSET(ORÇAMENTO!O$15,ROW(E130)-ROW(E$15),0)</f>
        <v>-</v>
      </c>
      <c r="F130" s="164" t="str">
        <f ca="1">OFFSET(ORÇAMENTO!R$15,ROW(F130)-ROW(F$15),0)</f>
        <v>(abra o arquivo 'Referência 09-2025.xlsm)</v>
      </c>
      <c r="G130" s="165" t="str">
        <f ca="1">IF($D130&lt;&gt;"Serviço","",OFFSET(ORÇAMENTO!S$15,ROW(G130)-ROW(G$15),0))</f>
        <v>-</v>
      </c>
      <c r="H130" s="123">
        <f ca="1">IF($D130&lt;&gt;"Serviço",0,IF(ACOMPANHAMENTO="BM",ROUND(OFFSET(ORÇAMENTO!AJ$15,ROW(H130)-ROW(H$15),0),15-13*ORÇAMENTO!$AF$7),SUMPRODUCT(($Q$1:$AA$1=1)*ROUND($Q130:$AA130,15-13*ORÇAMENTO!$AF$7))))</f>
        <v>2890</v>
      </c>
      <c r="I130" s="469" t="s">
        <v>1121</v>
      </c>
      <c r="J130" s="667" t="str">
        <f ca="1">IF(OR(B130&lt;&gt;"S",CÁLCULO.FrentesPreenchidas=0),"",IF(AND(ACOMPANHAMENTO="PLE",AUTOEVENTO="Manual",OR(H130&gt;0,ORÇAMENTO!AC130="QUANT."),OR(K130="",M130=0,N130="")),"►",IF(AND(ACOMPANHAMENTO="PLE",ORÇAMENTO!AC130="QUANT."),"►►",IF(AND(COUNTIF($P$11:$AA$11,"▼")=0,H130&gt;0,I130=""),"◄",""))))</f>
        <v/>
      </c>
      <c r="K130" s="668"/>
      <c r="L130" s="166" t="s">
        <v>765</v>
      </c>
      <c r="M130" s="167">
        <f ca="1">IF($D130&lt;&gt;"Serviço","",
          IF(AUTOEVENTO="manual",$A130,
                IF(ISERROR(MATCH($A130,$A$15:OFFSET($A130,-1,0),0)),MAX($M$15:OFFSET(M130,-1,0))+1,
                      INDEX($M$15:OFFSET(M130,-1,0),MATCH($A130,$A$15:OFFSET($A130,-1,0),0)))))</f>
        <v>13</v>
      </c>
      <c r="N130" s="168" t="str">
        <f ca="1">IF($D130&lt;&gt;"Serviço","",
         IF(AUTOEVENTO="Manual",
                IF($A130=0,"&lt;-- defina o número do agrupador",
                       OFFSET(EVENTOS!$D$15,$A130-$A$15,0)),
                OFFSET($F$15,$A130,0)))</f>
        <v>ASSENTAMENTOS</v>
      </c>
      <c r="O130" s="169"/>
      <c r="Q130" s="169"/>
      <c r="R130" s="170"/>
      <c r="S130" s="170"/>
      <c r="T130" s="170"/>
      <c r="U130" s="170"/>
      <c r="V130" s="170"/>
      <c r="W130" s="170"/>
      <c r="X130" s="170"/>
      <c r="Y130" s="170"/>
      <c r="Z130" s="171"/>
      <c r="AB130" s="454">
        <f ca="1">IF(AND($D130="Serviço",AB$12&lt;&gt;0,$H130&gt;0,OR(AUTOEVENTO&lt;&gt;"manual",$M130&lt;&gt;$A$15)),
        IF(Import.TipoArredondamento&lt;&gt;"TransfereGOV",
              ROUND(OFFSET($P130,0,AB$13),15-13*ORÇAMENTO!$AF$7)/$H130*OFFSET(ORÇAMENTO!$X$15,ROW(AB130)-ROW(AB$15),0),
              ROUND(ROUND(OFFSET($P130,0,AB$13),15-13*ORÇAMENTO!$AF$7)*OFFSET(ORÇAMENTO!$W$15,ROW(AB130)-ROW(AB$15),0),15-13*ORÇAMENTO!$AF$11)),
         0)</f>
        <v>0</v>
      </c>
      <c r="AC130" s="454">
        <f ca="1">IF(AND($D130="Serviço",AC$12&lt;&gt;0,$H130&gt;0,OR(AUTOEVENTO&lt;&gt;"manual",$M130&lt;&gt;$A$15)),
        IF(Import.TipoArredondamento&lt;&gt;"TransfereGOV",
              ROUND(OFFSET($P130,0,AC$13),15-13*ORÇAMENTO!$AF$7)/$H130*OFFSET(ORÇAMENTO!$X$15,ROW(AC130)-ROW(AC$15),0),
              ROUND(ROUND(OFFSET($P130,0,AC$13),15-13*ORÇAMENTO!$AF$7)*OFFSET(ORÇAMENTO!$W$15,ROW(AC130)-ROW(AC$15),0),15-13*ORÇAMENTO!$AF$11)),
         0)</f>
        <v>0</v>
      </c>
      <c r="AD130" s="454">
        <f ca="1">IF(AND($D130="Serviço",AD$12&lt;&gt;0,$H130&gt;0,OR(AUTOEVENTO&lt;&gt;"manual",$M130&lt;&gt;$A$15)),
        IF(Import.TipoArredondamento&lt;&gt;"TransfereGOV",
              ROUND(OFFSET($P130,0,AD$13),15-13*ORÇAMENTO!$AF$7)/$H130*OFFSET(ORÇAMENTO!$X$15,ROW(AD130)-ROW(AD$15),0),
              ROUND(ROUND(OFFSET($P130,0,AD$13),15-13*ORÇAMENTO!$AF$7)*OFFSET(ORÇAMENTO!$W$15,ROW(AD130)-ROW(AD$15),0),15-13*ORÇAMENTO!$AF$11)),
         0)</f>
        <v>0</v>
      </c>
      <c r="AE130" s="454">
        <f ca="1">IF(AND($D130="Serviço",AE$12&lt;&gt;0,$H130&gt;0,OR(AUTOEVENTO&lt;&gt;"manual",$M130&lt;&gt;$A$15)),
        IF(Import.TipoArredondamento&lt;&gt;"TransfereGOV",
              ROUND(OFFSET($P130,0,AE$13),15-13*ORÇAMENTO!$AF$7)/$H130*OFFSET(ORÇAMENTO!$X$15,ROW(AE130)-ROW(AE$15),0),
              ROUND(ROUND(OFFSET($P130,0,AE$13),15-13*ORÇAMENTO!$AF$7)*OFFSET(ORÇAMENTO!$W$15,ROW(AE130)-ROW(AE$15),0),15-13*ORÇAMENTO!$AF$11)),
         0)</f>
        <v>0</v>
      </c>
      <c r="AF130" s="454">
        <f ca="1">IF(AND($D130="Serviço",AF$12&lt;&gt;0,$H130&gt;0,OR(AUTOEVENTO&lt;&gt;"manual",$M130&lt;&gt;$A$15)),
        IF(Import.TipoArredondamento&lt;&gt;"TransfereGOV",
              ROUND(OFFSET($P130,0,AF$13),15-13*ORÇAMENTO!$AF$7)/$H130*OFFSET(ORÇAMENTO!$X$15,ROW(AF130)-ROW(AF$15),0),
              ROUND(ROUND(OFFSET($P130,0,AF$13),15-13*ORÇAMENTO!$AF$7)*OFFSET(ORÇAMENTO!$W$15,ROW(AF130)-ROW(AF$15),0),15-13*ORÇAMENTO!$AF$11)),
         0)</f>
        <v>0</v>
      </c>
      <c r="AG130" s="454">
        <f ca="1">IF(AND($D130="Serviço",AG$12&lt;&gt;0,$H130&gt;0,OR(AUTOEVENTO&lt;&gt;"manual",$M130&lt;&gt;$A$15)),
        IF(Import.TipoArredondamento&lt;&gt;"TransfereGOV",
              ROUND(OFFSET($P130,0,AG$13),15-13*ORÇAMENTO!$AF$7)/$H130*OFFSET(ORÇAMENTO!$X$15,ROW(AG130)-ROW(AG$15),0),
              ROUND(ROUND(OFFSET($P130,0,AG$13),15-13*ORÇAMENTO!$AF$7)*OFFSET(ORÇAMENTO!$W$15,ROW(AG130)-ROW(AG$15),0),15-13*ORÇAMENTO!$AF$11)),
         0)</f>
        <v>0</v>
      </c>
      <c r="AH130" s="454">
        <f ca="1">IF(AND($D130="Serviço",AH$12&lt;&gt;0,$H130&gt;0,OR(AUTOEVENTO&lt;&gt;"manual",$M130&lt;&gt;$A$15)),
        IF(Import.TipoArredondamento&lt;&gt;"TransfereGOV",
              ROUND(OFFSET($P130,0,AH$13),15-13*ORÇAMENTO!$AF$7)/$H130*OFFSET(ORÇAMENTO!$X$15,ROW(AH130)-ROW(AH$15),0),
              ROUND(ROUND(OFFSET($P130,0,AH$13),15-13*ORÇAMENTO!$AF$7)*OFFSET(ORÇAMENTO!$W$15,ROW(AH130)-ROW(AH$15),0),15-13*ORÇAMENTO!$AF$11)),
         0)</f>
        <v>0</v>
      </c>
      <c r="AI130" s="454">
        <f ca="1">IF(AND($D130="Serviço",AI$12&lt;&gt;0,$H130&gt;0,OR(AUTOEVENTO&lt;&gt;"manual",$M130&lt;&gt;$A$15)),
        IF(Import.TipoArredondamento&lt;&gt;"TransfereGOV",
              ROUND(OFFSET($P130,0,AI$13),15-13*ORÇAMENTO!$AF$7)/$H130*OFFSET(ORÇAMENTO!$X$15,ROW(AI130)-ROW(AI$15),0),
              ROUND(ROUND(OFFSET($P130,0,AI$13),15-13*ORÇAMENTO!$AF$7)*OFFSET(ORÇAMENTO!$W$15,ROW(AI130)-ROW(AI$15),0),15-13*ORÇAMENTO!$AF$11)),
         0)</f>
        <v>0</v>
      </c>
      <c r="AJ130" s="454">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4">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M130" s="172">
        <f ca="1">IF(OR($D130&lt;&gt;"Serviço",AND(AUTOEVENTO="Manual",$M130=$A$15)),0,
         IF(OFFSET(CRONOPLE!$F$15,$M130-$A$15,AM$13)=0,10^12,OFFSET(CRONOPLE!$F$15,$M130-$A$15,AM$13)))</f>
        <v>1000000000000</v>
      </c>
      <c r="AN130" s="172">
        <f ca="1">IF(OR($D130&lt;&gt;"Serviço",AND(AUTOEVENTO="Manual",$M130=$A$15)),0,
         IF(OFFSET(CRONOPLE!$F$15,$M130-$A$15,AN$13)=0,10^12,OFFSET(CRONOPLE!$F$15,$M130-$A$15,AN$13)))</f>
        <v>1000000000000</v>
      </c>
      <c r="AO130" s="172">
        <f ca="1">IF(OR($D130&lt;&gt;"Serviço",AND(AUTOEVENTO="Manual",$M130=$A$15)),0,
         IF(OFFSET(CRONOPLE!$F$15,$M130-$A$15,AO$13)=0,10^12,OFFSET(CRONOPLE!$F$15,$M130-$A$15,AO$13)))</f>
        <v>1000000000000</v>
      </c>
      <c r="AP130" s="172">
        <f ca="1">IF(OR($D130&lt;&gt;"Serviço",AND(AUTOEVENTO="Manual",$M130=$A$15)),0,
         IF(OFFSET(CRONOPLE!$F$15,$M130-$A$15,AP$13)=0,10^12,OFFSET(CRONOPLE!$F$15,$M130-$A$15,AP$13)))</f>
        <v>1000000000000</v>
      </c>
      <c r="AQ130" s="172">
        <f ca="1">IF(OR($D130&lt;&gt;"Serviço",AND(AUTOEVENTO="Manual",$M130=$A$15)),0,
         IF(OFFSET(CRONOPLE!$F$15,$M130-$A$15,AQ$13)=0,10^12,OFFSET(CRONOPLE!$F$15,$M130-$A$15,AQ$13)))</f>
        <v>1000000000000</v>
      </c>
      <c r="AR130" s="172">
        <f ca="1">IF(OR($D130&lt;&gt;"Serviço",AND(AUTOEVENTO="Manual",$M130=$A$15)),0,
         IF(OFFSET(CRONOPLE!$F$15,$M130-$A$15,AR$13)=0,10^12,OFFSET(CRONOPLE!$F$15,$M130-$A$15,AR$13)))</f>
        <v>1000000000000</v>
      </c>
      <c r="AS130" s="172">
        <f ca="1">IF(OR($D130&lt;&gt;"Serviço",AND(AUTOEVENTO="Manual",$M130=$A$15)),0,
         IF(OFFSET(CRONOPLE!$F$15,$M130-$A$15,AS$13)=0,10^12,OFFSET(CRONOPLE!$F$15,$M130-$A$15,AS$13)))</f>
        <v>1000000000000</v>
      </c>
      <c r="AT130" s="172">
        <f ca="1">IF(OR($D130&lt;&gt;"Serviço",AND(AUTOEVENTO="Manual",$M130=$A$15)),0,
         IF(OFFSET(CRONOPLE!$F$15,$M130-$A$15,AT$13)=0,10^12,OFFSET(CRONOPLE!$F$15,$M130-$A$15,AT$13)))</f>
        <v>1000000000000</v>
      </c>
      <c r="AU130" s="172">
        <f ca="1">IF(OR($D130&lt;&gt;"Serviço",AND(AUTOEVENTO="Manual",$M130=$A$15)),0,
         IF(OFFSET(CRONOPLE!$F$15,$M130-$A$15,AU$13)=0,10^12,OFFSET(CRONOPLE!$F$15,$M130-$A$15,AU$13)))</f>
        <v>1000000000000</v>
      </c>
      <c r="AV130" s="172">
        <f ca="1">IF(OR($D130&lt;&gt;"Serviço",AND(AUTOEVENTO="Manual",$M130=$A$15)),0,
         IF(OFFSET(CRONOPLE!$F$15,$M130-$A$15,AV$13)=0,10^12,OFFSET(CRONOPLE!$F$15,$M130-$A$15,AV$13)))</f>
        <v>1000000000000</v>
      </c>
      <c r="AX130" s="173">
        <f ca="1">IF(OR($D130&lt;&gt;"Serviço",AND(AUTOEVENTO="Manual",$M130=$A$15),$M130&gt;(ROW(PLE.lastrow)-ROW(PLE.firstrow))),0,
           IF(OFFSET(PLE!$G$15,$M130-$A$15,AX$13)="",10^12,OFFSET(PLE!$G$15,$M130-$A$15,AX$13)))</f>
        <v>1000000000000</v>
      </c>
      <c r="AY130" s="173">
        <f ca="1">IF(OR($D130&lt;&gt;"Serviço",AND(AUTOEVENTO="Manual",$M130=$A$15),$M130&gt;(ROW(PLE.lastrow)-ROW(PLE.firstrow))),0,
           IF(OFFSET(PLE!$G$15,$M130-$A$15,AY$13)="",10^12,OFFSET(PLE!$G$15,$M130-$A$15,AY$13)))</f>
        <v>1000000000000</v>
      </c>
      <c r="AZ130" s="173">
        <f ca="1">IF(OR($D130&lt;&gt;"Serviço",AND(AUTOEVENTO="Manual",$M130=$A$15),$M130&gt;(ROW(PLE.lastrow)-ROW(PLE.firstrow))),0,
           IF(OFFSET(PLE!$G$15,$M130-$A$15,AZ$13)="",10^12,OFFSET(PLE!$G$15,$M130-$A$15,AZ$13)))</f>
        <v>1000000000000</v>
      </c>
      <c r="BA130" s="173">
        <f ca="1">IF(OR($D130&lt;&gt;"Serviço",AND(AUTOEVENTO="Manual",$M130=$A$15),$M130&gt;(ROW(PLE.lastrow)-ROW(PLE.firstrow))),0,
           IF(OFFSET(PLE!$G$15,$M130-$A$15,BA$13)="",10^12,OFFSET(PLE!$G$15,$M130-$A$15,BA$13)))</f>
        <v>1000000000000</v>
      </c>
      <c r="BB130" s="173">
        <f ca="1">IF(OR($D130&lt;&gt;"Serviço",AND(AUTOEVENTO="Manual",$M130=$A$15),$M130&gt;(ROW(PLE.lastrow)-ROW(PLE.firstrow))),0,
           IF(OFFSET(PLE!$G$15,$M130-$A$15,BB$13)="",10^12,OFFSET(PLE!$G$15,$M130-$A$15,BB$13)))</f>
        <v>1000000000000</v>
      </c>
      <c r="BC130" s="173">
        <f ca="1">IF(OR($D130&lt;&gt;"Serviço",AND(AUTOEVENTO="Manual",$M130=$A$15),$M130&gt;(ROW(PLE.lastrow)-ROW(PLE.firstrow))),0,
           IF(OFFSET(PLE!$G$15,$M130-$A$15,BC$13)="",10^12,OFFSET(PLE!$G$15,$M130-$A$15,BC$13)))</f>
        <v>1000000000000</v>
      </c>
      <c r="BD130" s="173">
        <f ca="1">IF(OR($D130&lt;&gt;"Serviço",AND(AUTOEVENTO="Manual",$M130=$A$15),$M130&gt;(ROW(PLE.lastrow)-ROW(PLE.firstrow))),0,
           IF(OFFSET(PLE!$G$15,$M130-$A$15,BD$13)="",10^12,OFFSET(PLE!$G$15,$M130-$A$15,BD$13)))</f>
        <v>1000000000000</v>
      </c>
      <c r="BE130" s="173">
        <f ca="1">IF(OR($D130&lt;&gt;"Serviço",AND(AUTOEVENTO="Manual",$M130=$A$15),$M130&gt;(ROW(PLE.lastrow)-ROW(PLE.firstrow))),0,
           IF(OFFSET(PLE!$G$15,$M130-$A$15,BE$13)="",10^12,OFFSET(PLE!$G$15,$M130-$A$15,BE$13)))</f>
        <v>1000000000000</v>
      </c>
      <c r="BF130" s="173">
        <f ca="1">IF(OR($D130&lt;&gt;"Serviço",AND(AUTOEVENTO="Manual",$M130=$A$15),$M130&gt;(ROW(PLE.lastrow)-ROW(PLE.firstrow))),0,
           IF(OFFSET(PLE!$G$15,$M130-$A$15,BF$13)="",10^12,OFFSET(PLE!$G$15,$M130-$A$15,BF$13)))</f>
        <v>1000000000000</v>
      </c>
      <c r="BG130" s="173">
        <f ca="1">IF(OR($D130&lt;&gt;"Serviço",AND(AUTOEVENTO="Manual",$M130=$A$15),$M130&gt;(ROW(PLE.lastrow)-ROW(PLE.firstrow))),0,
           IF(OFFSET(PLE!$G$15,$M130-$A$15,BG$13)="",10^12,OFFSET(PLE!$G$15,$M130-$A$15,BG$13)))</f>
        <v>1000000000000</v>
      </c>
    </row>
    <row r="131" spans="1:59" s="675" customFormat="1" ht="25.5" x14ac:dyDescent="0.2">
      <c r="A131" s="671" t="str">
        <f t="shared" ca="1" si="10"/>
        <v>114</v>
      </c>
      <c r="B131" s="671" t="str">
        <f ca="1">OFFSET(ORÇAMENTO!C$15,ROW(B131)-ROW(B$15),0)</f>
        <v>S</v>
      </c>
      <c r="C131" s="671" t="str">
        <f ca="1">OFFSET(ORÇAMENTO!L$15,ROW(C131)-ROW(C$15),0)</f>
        <v/>
      </c>
      <c r="D131" s="117" t="str">
        <f ca="1">OFFSET(ORÇAMENTO!N$15,ROW(D131)-ROW(D$15),0)</f>
        <v>Serviço</v>
      </c>
      <c r="E131" s="118" t="str">
        <f ca="1">OFFSET(ORÇAMENTO!O$15,ROW(E131)-ROW(E$15),0)</f>
        <v>-</v>
      </c>
      <c r="F131" s="164" t="str">
        <f ca="1">OFFSET(ORÇAMENTO!R$15,ROW(F131)-ROW(F$15),0)</f>
        <v>(abra o arquivo 'Referência 09-2025.xlsm)</v>
      </c>
      <c r="G131" s="165" t="str">
        <f ca="1">IF($D131&lt;&gt;"Serviço","",OFFSET(ORÇAMENTO!S$15,ROW(G131)-ROW(G$15),0))</f>
        <v>-</v>
      </c>
      <c r="H131" s="123">
        <f ca="1">IF($D131&lt;&gt;"Serviço",0,IF(ACOMPANHAMENTO="BM",ROUND(OFFSET(ORÇAMENTO!AJ$15,ROW(H131)-ROW(H$15),0),15-13*ORÇAMENTO!$AF$7),SUMPRODUCT(($Q$1:$AA$1=1)*ROUND($Q131:$AA131,15-13*ORÇAMENTO!$AF$7))))</f>
        <v>1192</v>
      </c>
      <c r="I131" s="469" t="s">
        <v>1150</v>
      </c>
      <c r="J131" s="667" t="str">
        <f ca="1">IF(OR(B131&lt;&gt;"S",CÁLCULO.FrentesPreenchidas=0),"",IF(AND(ACOMPANHAMENTO="PLE",AUTOEVENTO="Manual",OR(H131&gt;0,ORÇAMENTO!AC131="QUANT."),OR(K131="",M131=0,N131="")),"►",IF(AND(ACOMPANHAMENTO="PLE",ORÇAMENTO!AC131="QUANT."),"►►",IF(AND(COUNTIF($P$11:$AA$11,"▼")=0,H131&gt;0,I131=""),"◄",""))))</f>
        <v/>
      </c>
      <c r="K131" s="668"/>
      <c r="L131" s="166" t="s">
        <v>765</v>
      </c>
      <c r="M131" s="167">
        <f ca="1">IF($D131&lt;&gt;"Serviço","",
          IF(AUTOEVENTO="manual",$A131,
                IF(ISERROR(MATCH($A131,$A$15:OFFSET($A131,-1,0),0)),MAX($M$15:OFFSET(M131,-1,0))+1,
                      INDEX($M$15:OFFSET(M131,-1,0),MATCH($A131,$A$15:OFFSET($A131,-1,0),0)))))</f>
        <v>13</v>
      </c>
      <c r="N131" s="168" t="str">
        <f ca="1">IF($D131&lt;&gt;"Serviço","",
         IF(AUTOEVENTO="Manual",
                IF($A131=0,"&lt;-- defina o número do agrupador",
                       OFFSET(EVENTOS!$D$15,$A131-$A$15,0)),
                OFFSET($F$15,$A131,0)))</f>
        <v>ASSENTAMENTOS</v>
      </c>
      <c r="O131" s="169"/>
      <c r="Q131" s="169"/>
      <c r="R131" s="170"/>
      <c r="S131" s="170"/>
      <c r="T131" s="170"/>
      <c r="U131" s="170"/>
      <c r="V131" s="170"/>
      <c r="W131" s="170"/>
      <c r="X131" s="170"/>
      <c r="Y131" s="170"/>
      <c r="Z131" s="171"/>
      <c r="AB131" s="454">
        <f ca="1">IF(AND($D131="Serviço",AB$12&lt;&gt;0,$H131&gt;0,OR(AUTOEVENTO&lt;&gt;"manual",$M131&lt;&gt;$A$15)),
        IF(Import.TipoArredondamento&lt;&gt;"TransfereGOV",
              ROUND(OFFSET($P131,0,AB$13),15-13*ORÇAMENTO!$AF$7)/$H131*OFFSET(ORÇAMENTO!$X$15,ROW(AB131)-ROW(AB$15),0),
              ROUND(ROUND(OFFSET($P131,0,AB$13),15-13*ORÇAMENTO!$AF$7)*OFFSET(ORÇAMENTO!$W$15,ROW(AB131)-ROW(AB$15),0),15-13*ORÇAMENTO!$AF$11)),
         0)</f>
        <v>0</v>
      </c>
      <c r="AC131" s="454">
        <f ca="1">IF(AND($D131="Serviço",AC$12&lt;&gt;0,$H131&gt;0,OR(AUTOEVENTO&lt;&gt;"manual",$M131&lt;&gt;$A$15)),
        IF(Import.TipoArredondamento&lt;&gt;"TransfereGOV",
              ROUND(OFFSET($P131,0,AC$13),15-13*ORÇAMENTO!$AF$7)/$H131*OFFSET(ORÇAMENTO!$X$15,ROW(AC131)-ROW(AC$15),0),
              ROUND(ROUND(OFFSET($P131,0,AC$13),15-13*ORÇAMENTO!$AF$7)*OFFSET(ORÇAMENTO!$W$15,ROW(AC131)-ROW(AC$15),0),15-13*ORÇAMENTO!$AF$11)),
         0)</f>
        <v>0</v>
      </c>
      <c r="AD131" s="454">
        <f ca="1">IF(AND($D131="Serviço",AD$12&lt;&gt;0,$H131&gt;0,OR(AUTOEVENTO&lt;&gt;"manual",$M131&lt;&gt;$A$15)),
        IF(Import.TipoArredondamento&lt;&gt;"TransfereGOV",
              ROUND(OFFSET($P131,0,AD$13),15-13*ORÇAMENTO!$AF$7)/$H131*OFFSET(ORÇAMENTO!$X$15,ROW(AD131)-ROW(AD$15),0),
              ROUND(ROUND(OFFSET($P131,0,AD$13),15-13*ORÇAMENTO!$AF$7)*OFFSET(ORÇAMENTO!$W$15,ROW(AD131)-ROW(AD$15),0),15-13*ORÇAMENTO!$AF$11)),
         0)</f>
        <v>0</v>
      </c>
      <c r="AE131" s="454">
        <f ca="1">IF(AND($D131="Serviço",AE$12&lt;&gt;0,$H131&gt;0,OR(AUTOEVENTO&lt;&gt;"manual",$M131&lt;&gt;$A$15)),
        IF(Import.TipoArredondamento&lt;&gt;"TransfereGOV",
              ROUND(OFFSET($P131,0,AE$13),15-13*ORÇAMENTO!$AF$7)/$H131*OFFSET(ORÇAMENTO!$X$15,ROW(AE131)-ROW(AE$15),0),
              ROUND(ROUND(OFFSET($P131,0,AE$13),15-13*ORÇAMENTO!$AF$7)*OFFSET(ORÇAMENTO!$W$15,ROW(AE131)-ROW(AE$15),0),15-13*ORÇAMENTO!$AF$11)),
         0)</f>
        <v>0</v>
      </c>
      <c r="AF131" s="454">
        <f ca="1">IF(AND($D131="Serviço",AF$12&lt;&gt;0,$H131&gt;0,OR(AUTOEVENTO&lt;&gt;"manual",$M131&lt;&gt;$A$15)),
        IF(Import.TipoArredondamento&lt;&gt;"TransfereGOV",
              ROUND(OFFSET($P131,0,AF$13),15-13*ORÇAMENTO!$AF$7)/$H131*OFFSET(ORÇAMENTO!$X$15,ROW(AF131)-ROW(AF$15),0),
              ROUND(ROUND(OFFSET($P131,0,AF$13),15-13*ORÇAMENTO!$AF$7)*OFFSET(ORÇAMENTO!$W$15,ROW(AF131)-ROW(AF$15),0),15-13*ORÇAMENTO!$AF$11)),
         0)</f>
        <v>0</v>
      </c>
      <c r="AG131" s="454">
        <f ca="1">IF(AND($D131="Serviço",AG$12&lt;&gt;0,$H131&gt;0,OR(AUTOEVENTO&lt;&gt;"manual",$M131&lt;&gt;$A$15)),
        IF(Import.TipoArredondamento&lt;&gt;"TransfereGOV",
              ROUND(OFFSET($P131,0,AG$13),15-13*ORÇAMENTO!$AF$7)/$H131*OFFSET(ORÇAMENTO!$X$15,ROW(AG131)-ROW(AG$15),0),
              ROUND(ROUND(OFFSET($P131,0,AG$13),15-13*ORÇAMENTO!$AF$7)*OFFSET(ORÇAMENTO!$W$15,ROW(AG131)-ROW(AG$15),0),15-13*ORÇAMENTO!$AF$11)),
         0)</f>
        <v>0</v>
      </c>
      <c r="AH131" s="454">
        <f ca="1">IF(AND($D131="Serviço",AH$12&lt;&gt;0,$H131&gt;0,OR(AUTOEVENTO&lt;&gt;"manual",$M131&lt;&gt;$A$15)),
        IF(Import.TipoArredondamento&lt;&gt;"TransfereGOV",
              ROUND(OFFSET($P131,0,AH$13),15-13*ORÇAMENTO!$AF$7)/$H131*OFFSET(ORÇAMENTO!$X$15,ROW(AH131)-ROW(AH$15),0),
              ROUND(ROUND(OFFSET($P131,0,AH$13),15-13*ORÇAMENTO!$AF$7)*OFFSET(ORÇAMENTO!$W$15,ROW(AH131)-ROW(AH$15),0),15-13*ORÇAMENTO!$AF$11)),
         0)</f>
        <v>0</v>
      </c>
      <c r="AI131" s="454">
        <f ca="1">IF(AND($D131="Serviço",AI$12&lt;&gt;0,$H131&gt;0,OR(AUTOEVENTO&lt;&gt;"manual",$M131&lt;&gt;$A$15)),
        IF(Import.TipoArredondamento&lt;&gt;"TransfereGOV",
              ROUND(OFFSET($P131,0,AI$13),15-13*ORÇAMENTO!$AF$7)/$H131*OFFSET(ORÇAMENTO!$X$15,ROW(AI131)-ROW(AI$15),0),
              ROUND(ROUND(OFFSET($P131,0,AI$13),15-13*ORÇAMENTO!$AF$7)*OFFSET(ORÇAMENTO!$W$15,ROW(AI131)-ROW(AI$15),0),15-13*ORÇAMENTO!$AF$11)),
         0)</f>
        <v>0</v>
      </c>
      <c r="AJ131" s="454">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4">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M131" s="172">
        <f ca="1">IF(OR($D131&lt;&gt;"Serviço",AND(AUTOEVENTO="Manual",$M131=$A$15)),0,
         IF(OFFSET(CRONOPLE!$F$15,$M131-$A$15,AM$13)=0,10^12,OFFSET(CRONOPLE!$F$15,$M131-$A$15,AM$13)))</f>
        <v>1000000000000</v>
      </c>
      <c r="AN131" s="172">
        <f ca="1">IF(OR($D131&lt;&gt;"Serviço",AND(AUTOEVENTO="Manual",$M131=$A$15)),0,
         IF(OFFSET(CRONOPLE!$F$15,$M131-$A$15,AN$13)=0,10^12,OFFSET(CRONOPLE!$F$15,$M131-$A$15,AN$13)))</f>
        <v>1000000000000</v>
      </c>
      <c r="AO131" s="172">
        <f ca="1">IF(OR($D131&lt;&gt;"Serviço",AND(AUTOEVENTO="Manual",$M131=$A$15)),0,
         IF(OFFSET(CRONOPLE!$F$15,$M131-$A$15,AO$13)=0,10^12,OFFSET(CRONOPLE!$F$15,$M131-$A$15,AO$13)))</f>
        <v>1000000000000</v>
      </c>
      <c r="AP131" s="172">
        <f ca="1">IF(OR($D131&lt;&gt;"Serviço",AND(AUTOEVENTO="Manual",$M131=$A$15)),0,
         IF(OFFSET(CRONOPLE!$F$15,$M131-$A$15,AP$13)=0,10^12,OFFSET(CRONOPLE!$F$15,$M131-$A$15,AP$13)))</f>
        <v>1000000000000</v>
      </c>
      <c r="AQ131" s="172">
        <f ca="1">IF(OR($D131&lt;&gt;"Serviço",AND(AUTOEVENTO="Manual",$M131=$A$15)),0,
         IF(OFFSET(CRONOPLE!$F$15,$M131-$A$15,AQ$13)=0,10^12,OFFSET(CRONOPLE!$F$15,$M131-$A$15,AQ$13)))</f>
        <v>1000000000000</v>
      </c>
      <c r="AR131" s="172">
        <f ca="1">IF(OR($D131&lt;&gt;"Serviço",AND(AUTOEVENTO="Manual",$M131=$A$15)),0,
         IF(OFFSET(CRONOPLE!$F$15,$M131-$A$15,AR$13)=0,10^12,OFFSET(CRONOPLE!$F$15,$M131-$A$15,AR$13)))</f>
        <v>1000000000000</v>
      </c>
      <c r="AS131" s="172">
        <f ca="1">IF(OR($D131&lt;&gt;"Serviço",AND(AUTOEVENTO="Manual",$M131=$A$15)),0,
         IF(OFFSET(CRONOPLE!$F$15,$M131-$A$15,AS$13)=0,10^12,OFFSET(CRONOPLE!$F$15,$M131-$A$15,AS$13)))</f>
        <v>1000000000000</v>
      </c>
      <c r="AT131" s="172">
        <f ca="1">IF(OR($D131&lt;&gt;"Serviço",AND(AUTOEVENTO="Manual",$M131=$A$15)),0,
         IF(OFFSET(CRONOPLE!$F$15,$M131-$A$15,AT$13)=0,10^12,OFFSET(CRONOPLE!$F$15,$M131-$A$15,AT$13)))</f>
        <v>1000000000000</v>
      </c>
      <c r="AU131" s="172">
        <f ca="1">IF(OR($D131&lt;&gt;"Serviço",AND(AUTOEVENTO="Manual",$M131=$A$15)),0,
         IF(OFFSET(CRONOPLE!$F$15,$M131-$A$15,AU$13)=0,10^12,OFFSET(CRONOPLE!$F$15,$M131-$A$15,AU$13)))</f>
        <v>1000000000000</v>
      </c>
      <c r="AV131" s="172">
        <f ca="1">IF(OR($D131&lt;&gt;"Serviço",AND(AUTOEVENTO="Manual",$M131=$A$15)),0,
         IF(OFFSET(CRONOPLE!$F$15,$M131-$A$15,AV$13)=0,10^12,OFFSET(CRONOPLE!$F$15,$M131-$A$15,AV$13)))</f>
        <v>1000000000000</v>
      </c>
      <c r="AX131" s="173">
        <f ca="1">IF(OR($D131&lt;&gt;"Serviço",AND(AUTOEVENTO="Manual",$M131=$A$15),$M131&gt;(ROW(PLE.lastrow)-ROW(PLE.firstrow))),0,
           IF(OFFSET(PLE!$G$15,$M131-$A$15,AX$13)="",10^12,OFFSET(PLE!$G$15,$M131-$A$15,AX$13)))</f>
        <v>1000000000000</v>
      </c>
      <c r="AY131" s="173">
        <f ca="1">IF(OR($D131&lt;&gt;"Serviço",AND(AUTOEVENTO="Manual",$M131=$A$15),$M131&gt;(ROW(PLE.lastrow)-ROW(PLE.firstrow))),0,
           IF(OFFSET(PLE!$G$15,$M131-$A$15,AY$13)="",10^12,OFFSET(PLE!$G$15,$M131-$A$15,AY$13)))</f>
        <v>1000000000000</v>
      </c>
      <c r="AZ131" s="173">
        <f ca="1">IF(OR($D131&lt;&gt;"Serviço",AND(AUTOEVENTO="Manual",$M131=$A$15),$M131&gt;(ROW(PLE.lastrow)-ROW(PLE.firstrow))),0,
           IF(OFFSET(PLE!$G$15,$M131-$A$15,AZ$13)="",10^12,OFFSET(PLE!$G$15,$M131-$A$15,AZ$13)))</f>
        <v>1000000000000</v>
      </c>
      <c r="BA131" s="173">
        <f ca="1">IF(OR($D131&lt;&gt;"Serviço",AND(AUTOEVENTO="Manual",$M131=$A$15),$M131&gt;(ROW(PLE.lastrow)-ROW(PLE.firstrow))),0,
           IF(OFFSET(PLE!$G$15,$M131-$A$15,BA$13)="",10^12,OFFSET(PLE!$G$15,$M131-$A$15,BA$13)))</f>
        <v>1000000000000</v>
      </c>
      <c r="BB131" s="173">
        <f ca="1">IF(OR($D131&lt;&gt;"Serviço",AND(AUTOEVENTO="Manual",$M131=$A$15),$M131&gt;(ROW(PLE.lastrow)-ROW(PLE.firstrow))),0,
           IF(OFFSET(PLE!$G$15,$M131-$A$15,BB$13)="",10^12,OFFSET(PLE!$G$15,$M131-$A$15,BB$13)))</f>
        <v>1000000000000</v>
      </c>
      <c r="BC131" s="173">
        <f ca="1">IF(OR($D131&lt;&gt;"Serviço",AND(AUTOEVENTO="Manual",$M131=$A$15),$M131&gt;(ROW(PLE.lastrow)-ROW(PLE.firstrow))),0,
           IF(OFFSET(PLE!$G$15,$M131-$A$15,BC$13)="",10^12,OFFSET(PLE!$G$15,$M131-$A$15,BC$13)))</f>
        <v>1000000000000</v>
      </c>
      <c r="BD131" s="173">
        <f ca="1">IF(OR($D131&lt;&gt;"Serviço",AND(AUTOEVENTO="Manual",$M131=$A$15),$M131&gt;(ROW(PLE.lastrow)-ROW(PLE.firstrow))),0,
           IF(OFFSET(PLE!$G$15,$M131-$A$15,BD$13)="",10^12,OFFSET(PLE!$G$15,$M131-$A$15,BD$13)))</f>
        <v>1000000000000</v>
      </c>
      <c r="BE131" s="173">
        <f ca="1">IF(OR($D131&lt;&gt;"Serviço",AND(AUTOEVENTO="Manual",$M131=$A$15),$M131&gt;(ROW(PLE.lastrow)-ROW(PLE.firstrow))),0,
           IF(OFFSET(PLE!$G$15,$M131-$A$15,BE$13)="",10^12,OFFSET(PLE!$G$15,$M131-$A$15,BE$13)))</f>
        <v>1000000000000</v>
      </c>
      <c r="BF131" s="173">
        <f ca="1">IF(OR($D131&lt;&gt;"Serviço",AND(AUTOEVENTO="Manual",$M131=$A$15),$M131&gt;(ROW(PLE.lastrow)-ROW(PLE.firstrow))),0,
           IF(OFFSET(PLE!$G$15,$M131-$A$15,BF$13)="",10^12,OFFSET(PLE!$G$15,$M131-$A$15,BF$13)))</f>
        <v>1000000000000</v>
      </c>
      <c r="BG131" s="173">
        <f ca="1">IF(OR($D131&lt;&gt;"Serviço",AND(AUTOEVENTO="Manual",$M131=$A$15),$M131&gt;(ROW(PLE.lastrow)-ROW(PLE.firstrow))),0,
           IF(OFFSET(PLE!$G$15,$M131-$A$15,BG$13)="",10^12,OFFSET(PLE!$G$15,$M131-$A$15,BG$13)))</f>
        <v>1000000000000</v>
      </c>
    </row>
    <row r="132" spans="1:59" s="705" customFormat="1" ht="25.5" x14ac:dyDescent="0.2">
      <c r="A132" s="703" t="str">
        <f t="shared" ca="1" si="10"/>
        <v>114</v>
      </c>
      <c r="B132" s="703" t="str">
        <f ca="1">OFFSET(ORÇAMENTO!C$15,ROW(B132)-ROW(B$15),0)</f>
        <v>S</v>
      </c>
      <c r="C132" s="703" t="str">
        <f ca="1">OFFSET(ORÇAMENTO!L$15,ROW(C132)-ROW(C$15),0)</f>
        <v/>
      </c>
      <c r="D132" s="117" t="str">
        <f ca="1">OFFSET(ORÇAMENTO!N$15,ROW(D132)-ROW(D$15),0)</f>
        <v>Serviço</v>
      </c>
      <c r="E132" s="118" t="str">
        <f ca="1">OFFSET(ORÇAMENTO!O$15,ROW(E132)-ROW(E$15),0)</f>
        <v>-</v>
      </c>
      <c r="F132" s="164" t="str">
        <f ca="1">OFFSET(ORÇAMENTO!R$15,ROW(F132)-ROW(F$15),0)</f>
        <v>(abra o arquivo 'Referência 09-2025.xlsm)</v>
      </c>
      <c r="G132" s="165" t="str">
        <f ca="1">IF($D132&lt;&gt;"Serviço","",OFFSET(ORÇAMENTO!S$15,ROW(G132)-ROW(G$15),0))</f>
        <v>-</v>
      </c>
      <c r="H132" s="123">
        <f ca="1">IF($D132&lt;&gt;"Serviço",0,IF(ACOMPANHAMENTO="BM",ROUND(OFFSET(ORÇAMENTO!AJ$15,ROW(H132)-ROW(H$15),0),15-13*ORÇAMENTO!$AF$7),SUMPRODUCT(($Q$1:$AA$1=1)*ROUND($Q132:$AA132,15-13*ORÇAMENTO!$AF$7))))</f>
        <v>1698</v>
      </c>
      <c r="I132" s="469" t="s">
        <v>1154</v>
      </c>
      <c r="J132" s="667" t="str">
        <f ca="1">IF(OR(B132&lt;&gt;"S",CÁLCULO.FrentesPreenchidas=0),"",IF(AND(ACOMPANHAMENTO="PLE",AUTOEVENTO="Manual",OR(H132&gt;0,ORÇAMENTO!AC132="QUANT."),OR(K132="",M132=0,N132="")),"►",IF(AND(ACOMPANHAMENTO="PLE",ORÇAMENTO!AC132="QUANT."),"►►",IF(AND(COUNTIF($P$11:$AA$11,"▼")=0,H132&gt;0,I132=""),"◄",""))))</f>
        <v/>
      </c>
      <c r="K132" s="668"/>
      <c r="L132" s="166" t="s">
        <v>765</v>
      </c>
      <c r="M132" s="167">
        <f ca="1">IF($D132&lt;&gt;"Serviço","",
          IF(AUTOEVENTO="manual",$A132,
                IF(ISERROR(MATCH($A132,$A$15:OFFSET($A132,-1,0),0)),MAX($M$15:OFFSET(M132,-1,0))+1,
                      INDEX($M$15:OFFSET(M132,-1,0),MATCH($A132,$A$15:OFFSET($A132,-1,0),0)))))</f>
        <v>13</v>
      </c>
      <c r="N132" s="168" t="str">
        <f ca="1">IF($D132&lt;&gt;"Serviço","",
         IF(AUTOEVENTO="Manual",
                IF($A132=0,"&lt;-- defina o número do agrupador",
                       OFFSET(EVENTOS!$D$15,$A132-$A$15,0)),
                OFFSET($F$15,$A132,0)))</f>
        <v>ASSENTAMENTOS</v>
      </c>
      <c r="O132" s="169"/>
      <c r="Q132" s="169"/>
      <c r="R132" s="170"/>
      <c r="S132" s="170"/>
      <c r="T132" s="170"/>
      <c r="U132" s="170"/>
      <c r="V132" s="170"/>
      <c r="W132" s="170"/>
      <c r="X132" s="170"/>
      <c r="Y132" s="170"/>
      <c r="Z132" s="171"/>
      <c r="AB132" s="454">
        <f ca="1">IF(AND($D132="Serviço",AB$12&lt;&gt;0,$H132&gt;0,OR(AUTOEVENTO&lt;&gt;"manual",$M132&lt;&gt;$A$15)),
        IF(Import.TipoArredondamento&lt;&gt;"TransfereGOV",
              ROUND(OFFSET($P132,0,AB$13),15-13*ORÇAMENTO!$AF$7)/$H132*OFFSET(ORÇAMENTO!$X$15,ROW(AB132)-ROW(AB$15),0),
              ROUND(ROUND(OFFSET($P132,0,AB$13),15-13*ORÇAMENTO!$AF$7)*OFFSET(ORÇAMENTO!$W$15,ROW(AB132)-ROW(AB$15),0),15-13*ORÇAMENTO!$AF$11)),
         0)</f>
        <v>0</v>
      </c>
      <c r="AC132" s="454">
        <f ca="1">IF(AND($D132="Serviço",AC$12&lt;&gt;0,$H132&gt;0,OR(AUTOEVENTO&lt;&gt;"manual",$M132&lt;&gt;$A$15)),
        IF(Import.TipoArredondamento&lt;&gt;"TransfereGOV",
              ROUND(OFFSET($P132,0,AC$13),15-13*ORÇAMENTO!$AF$7)/$H132*OFFSET(ORÇAMENTO!$X$15,ROW(AC132)-ROW(AC$15),0),
              ROUND(ROUND(OFFSET($P132,0,AC$13),15-13*ORÇAMENTO!$AF$7)*OFFSET(ORÇAMENTO!$W$15,ROW(AC132)-ROW(AC$15),0),15-13*ORÇAMENTO!$AF$11)),
         0)</f>
        <v>0</v>
      </c>
      <c r="AD132" s="454">
        <f ca="1">IF(AND($D132="Serviço",AD$12&lt;&gt;0,$H132&gt;0,OR(AUTOEVENTO&lt;&gt;"manual",$M132&lt;&gt;$A$15)),
        IF(Import.TipoArredondamento&lt;&gt;"TransfereGOV",
              ROUND(OFFSET($P132,0,AD$13),15-13*ORÇAMENTO!$AF$7)/$H132*OFFSET(ORÇAMENTO!$X$15,ROW(AD132)-ROW(AD$15),0),
              ROUND(ROUND(OFFSET($P132,0,AD$13),15-13*ORÇAMENTO!$AF$7)*OFFSET(ORÇAMENTO!$W$15,ROW(AD132)-ROW(AD$15),0),15-13*ORÇAMENTO!$AF$11)),
         0)</f>
        <v>0</v>
      </c>
      <c r="AE132" s="454">
        <f ca="1">IF(AND($D132="Serviço",AE$12&lt;&gt;0,$H132&gt;0,OR(AUTOEVENTO&lt;&gt;"manual",$M132&lt;&gt;$A$15)),
        IF(Import.TipoArredondamento&lt;&gt;"TransfereGOV",
              ROUND(OFFSET($P132,0,AE$13),15-13*ORÇAMENTO!$AF$7)/$H132*OFFSET(ORÇAMENTO!$X$15,ROW(AE132)-ROW(AE$15),0),
              ROUND(ROUND(OFFSET($P132,0,AE$13),15-13*ORÇAMENTO!$AF$7)*OFFSET(ORÇAMENTO!$W$15,ROW(AE132)-ROW(AE$15),0),15-13*ORÇAMENTO!$AF$11)),
         0)</f>
        <v>0</v>
      </c>
      <c r="AF132" s="454">
        <f ca="1">IF(AND($D132="Serviço",AF$12&lt;&gt;0,$H132&gt;0,OR(AUTOEVENTO&lt;&gt;"manual",$M132&lt;&gt;$A$15)),
        IF(Import.TipoArredondamento&lt;&gt;"TransfereGOV",
              ROUND(OFFSET($P132,0,AF$13),15-13*ORÇAMENTO!$AF$7)/$H132*OFFSET(ORÇAMENTO!$X$15,ROW(AF132)-ROW(AF$15),0),
              ROUND(ROUND(OFFSET($P132,0,AF$13),15-13*ORÇAMENTO!$AF$7)*OFFSET(ORÇAMENTO!$W$15,ROW(AF132)-ROW(AF$15),0),15-13*ORÇAMENTO!$AF$11)),
         0)</f>
        <v>0</v>
      </c>
      <c r="AG132" s="454">
        <f ca="1">IF(AND($D132="Serviço",AG$12&lt;&gt;0,$H132&gt;0,OR(AUTOEVENTO&lt;&gt;"manual",$M132&lt;&gt;$A$15)),
        IF(Import.TipoArredondamento&lt;&gt;"TransfereGOV",
              ROUND(OFFSET($P132,0,AG$13),15-13*ORÇAMENTO!$AF$7)/$H132*OFFSET(ORÇAMENTO!$X$15,ROW(AG132)-ROW(AG$15),0),
              ROUND(ROUND(OFFSET($P132,0,AG$13),15-13*ORÇAMENTO!$AF$7)*OFFSET(ORÇAMENTO!$W$15,ROW(AG132)-ROW(AG$15),0),15-13*ORÇAMENTO!$AF$11)),
         0)</f>
        <v>0</v>
      </c>
      <c r="AH132" s="454">
        <f ca="1">IF(AND($D132="Serviço",AH$12&lt;&gt;0,$H132&gt;0,OR(AUTOEVENTO&lt;&gt;"manual",$M132&lt;&gt;$A$15)),
        IF(Import.TipoArredondamento&lt;&gt;"TransfereGOV",
              ROUND(OFFSET($P132,0,AH$13),15-13*ORÇAMENTO!$AF$7)/$H132*OFFSET(ORÇAMENTO!$X$15,ROW(AH132)-ROW(AH$15),0),
              ROUND(ROUND(OFFSET($P132,0,AH$13),15-13*ORÇAMENTO!$AF$7)*OFFSET(ORÇAMENTO!$W$15,ROW(AH132)-ROW(AH$15),0),15-13*ORÇAMENTO!$AF$11)),
         0)</f>
        <v>0</v>
      </c>
      <c r="AI132" s="454">
        <f ca="1">IF(AND($D132="Serviço",AI$12&lt;&gt;0,$H132&gt;0,OR(AUTOEVENTO&lt;&gt;"manual",$M132&lt;&gt;$A$15)),
        IF(Import.TipoArredondamento&lt;&gt;"TransfereGOV",
              ROUND(OFFSET($P132,0,AI$13),15-13*ORÇAMENTO!$AF$7)/$H132*OFFSET(ORÇAMENTO!$X$15,ROW(AI132)-ROW(AI$15),0),
              ROUND(ROUND(OFFSET($P132,0,AI$13),15-13*ORÇAMENTO!$AF$7)*OFFSET(ORÇAMENTO!$W$15,ROW(AI132)-ROW(AI$15),0),15-13*ORÇAMENTO!$AF$11)),
         0)</f>
        <v>0</v>
      </c>
      <c r="AJ132" s="454">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4">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M132" s="172">
        <f ca="1">IF(OR($D132&lt;&gt;"Serviço",AND(AUTOEVENTO="Manual",$M132=$A$15)),0,
         IF(OFFSET(CRONOPLE!$F$15,$M132-$A$15,AM$13)=0,10^12,OFFSET(CRONOPLE!$F$15,$M132-$A$15,AM$13)))</f>
        <v>1000000000000</v>
      </c>
      <c r="AN132" s="172">
        <f ca="1">IF(OR($D132&lt;&gt;"Serviço",AND(AUTOEVENTO="Manual",$M132=$A$15)),0,
         IF(OFFSET(CRONOPLE!$F$15,$M132-$A$15,AN$13)=0,10^12,OFFSET(CRONOPLE!$F$15,$M132-$A$15,AN$13)))</f>
        <v>1000000000000</v>
      </c>
      <c r="AO132" s="172">
        <f ca="1">IF(OR($D132&lt;&gt;"Serviço",AND(AUTOEVENTO="Manual",$M132=$A$15)),0,
         IF(OFFSET(CRONOPLE!$F$15,$M132-$A$15,AO$13)=0,10^12,OFFSET(CRONOPLE!$F$15,$M132-$A$15,AO$13)))</f>
        <v>1000000000000</v>
      </c>
      <c r="AP132" s="172">
        <f ca="1">IF(OR($D132&lt;&gt;"Serviço",AND(AUTOEVENTO="Manual",$M132=$A$15)),0,
         IF(OFFSET(CRONOPLE!$F$15,$M132-$A$15,AP$13)=0,10^12,OFFSET(CRONOPLE!$F$15,$M132-$A$15,AP$13)))</f>
        <v>1000000000000</v>
      </c>
      <c r="AQ132" s="172">
        <f ca="1">IF(OR($D132&lt;&gt;"Serviço",AND(AUTOEVENTO="Manual",$M132=$A$15)),0,
         IF(OFFSET(CRONOPLE!$F$15,$M132-$A$15,AQ$13)=0,10^12,OFFSET(CRONOPLE!$F$15,$M132-$A$15,AQ$13)))</f>
        <v>1000000000000</v>
      </c>
      <c r="AR132" s="172">
        <f ca="1">IF(OR($D132&lt;&gt;"Serviço",AND(AUTOEVENTO="Manual",$M132=$A$15)),0,
         IF(OFFSET(CRONOPLE!$F$15,$M132-$A$15,AR$13)=0,10^12,OFFSET(CRONOPLE!$F$15,$M132-$A$15,AR$13)))</f>
        <v>1000000000000</v>
      </c>
      <c r="AS132" s="172">
        <f ca="1">IF(OR($D132&lt;&gt;"Serviço",AND(AUTOEVENTO="Manual",$M132=$A$15)),0,
         IF(OFFSET(CRONOPLE!$F$15,$M132-$A$15,AS$13)=0,10^12,OFFSET(CRONOPLE!$F$15,$M132-$A$15,AS$13)))</f>
        <v>1000000000000</v>
      </c>
      <c r="AT132" s="172">
        <f ca="1">IF(OR($D132&lt;&gt;"Serviço",AND(AUTOEVENTO="Manual",$M132=$A$15)),0,
         IF(OFFSET(CRONOPLE!$F$15,$M132-$A$15,AT$13)=0,10^12,OFFSET(CRONOPLE!$F$15,$M132-$A$15,AT$13)))</f>
        <v>1000000000000</v>
      </c>
      <c r="AU132" s="172">
        <f ca="1">IF(OR($D132&lt;&gt;"Serviço",AND(AUTOEVENTO="Manual",$M132=$A$15)),0,
         IF(OFFSET(CRONOPLE!$F$15,$M132-$A$15,AU$13)=0,10^12,OFFSET(CRONOPLE!$F$15,$M132-$A$15,AU$13)))</f>
        <v>1000000000000</v>
      </c>
      <c r="AV132" s="172">
        <f ca="1">IF(OR($D132&lt;&gt;"Serviço",AND(AUTOEVENTO="Manual",$M132=$A$15)),0,
         IF(OFFSET(CRONOPLE!$F$15,$M132-$A$15,AV$13)=0,10^12,OFFSET(CRONOPLE!$F$15,$M132-$A$15,AV$13)))</f>
        <v>1000000000000</v>
      </c>
      <c r="AX132" s="173">
        <f ca="1">IF(OR($D132&lt;&gt;"Serviço",AND(AUTOEVENTO="Manual",$M132=$A$15),$M132&gt;(ROW(PLE.lastrow)-ROW(PLE.firstrow))),0,
           IF(OFFSET(PLE!$G$15,$M132-$A$15,AX$13)="",10^12,OFFSET(PLE!$G$15,$M132-$A$15,AX$13)))</f>
        <v>1000000000000</v>
      </c>
      <c r="AY132" s="173">
        <f ca="1">IF(OR($D132&lt;&gt;"Serviço",AND(AUTOEVENTO="Manual",$M132=$A$15),$M132&gt;(ROW(PLE.lastrow)-ROW(PLE.firstrow))),0,
           IF(OFFSET(PLE!$G$15,$M132-$A$15,AY$13)="",10^12,OFFSET(PLE!$G$15,$M132-$A$15,AY$13)))</f>
        <v>1000000000000</v>
      </c>
      <c r="AZ132" s="173">
        <f ca="1">IF(OR($D132&lt;&gt;"Serviço",AND(AUTOEVENTO="Manual",$M132=$A$15),$M132&gt;(ROW(PLE.lastrow)-ROW(PLE.firstrow))),0,
           IF(OFFSET(PLE!$G$15,$M132-$A$15,AZ$13)="",10^12,OFFSET(PLE!$G$15,$M132-$A$15,AZ$13)))</f>
        <v>1000000000000</v>
      </c>
      <c r="BA132" s="173">
        <f ca="1">IF(OR($D132&lt;&gt;"Serviço",AND(AUTOEVENTO="Manual",$M132=$A$15),$M132&gt;(ROW(PLE.lastrow)-ROW(PLE.firstrow))),0,
           IF(OFFSET(PLE!$G$15,$M132-$A$15,BA$13)="",10^12,OFFSET(PLE!$G$15,$M132-$A$15,BA$13)))</f>
        <v>1000000000000</v>
      </c>
      <c r="BB132" s="173">
        <f ca="1">IF(OR($D132&lt;&gt;"Serviço",AND(AUTOEVENTO="Manual",$M132=$A$15),$M132&gt;(ROW(PLE.lastrow)-ROW(PLE.firstrow))),0,
           IF(OFFSET(PLE!$G$15,$M132-$A$15,BB$13)="",10^12,OFFSET(PLE!$G$15,$M132-$A$15,BB$13)))</f>
        <v>1000000000000</v>
      </c>
      <c r="BC132" s="173">
        <f ca="1">IF(OR($D132&lt;&gt;"Serviço",AND(AUTOEVENTO="Manual",$M132=$A$15),$M132&gt;(ROW(PLE.lastrow)-ROW(PLE.firstrow))),0,
           IF(OFFSET(PLE!$G$15,$M132-$A$15,BC$13)="",10^12,OFFSET(PLE!$G$15,$M132-$A$15,BC$13)))</f>
        <v>1000000000000</v>
      </c>
      <c r="BD132" s="173">
        <f ca="1">IF(OR($D132&lt;&gt;"Serviço",AND(AUTOEVENTO="Manual",$M132=$A$15),$M132&gt;(ROW(PLE.lastrow)-ROW(PLE.firstrow))),0,
           IF(OFFSET(PLE!$G$15,$M132-$A$15,BD$13)="",10^12,OFFSET(PLE!$G$15,$M132-$A$15,BD$13)))</f>
        <v>1000000000000</v>
      </c>
      <c r="BE132" s="173">
        <f ca="1">IF(OR($D132&lt;&gt;"Serviço",AND(AUTOEVENTO="Manual",$M132=$A$15),$M132&gt;(ROW(PLE.lastrow)-ROW(PLE.firstrow))),0,
           IF(OFFSET(PLE!$G$15,$M132-$A$15,BE$13)="",10^12,OFFSET(PLE!$G$15,$M132-$A$15,BE$13)))</f>
        <v>1000000000000</v>
      </c>
      <c r="BF132" s="173">
        <f ca="1">IF(OR($D132&lt;&gt;"Serviço",AND(AUTOEVENTO="Manual",$M132=$A$15),$M132&gt;(ROW(PLE.lastrow)-ROW(PLE.firstrow))),0,
           IF(OFFSET(PLE!$G$15,$M132-$A$15,BF$13)="",10^12,OFFSET(PLE!$G$15,$M132-$A$15,BF$13)))</f>
        <v>1000000000000</v>
      </c>
      <c r="BG132" s="173">
        <f ca="1">IF(OR($D132&lt;&gt;"Serviço",AND(AUTOEVENTO="Manual",$M132=$A$15),$M132&gt;(ROW(PLE.lastrow)-ROW(PLE.firstrow))),0,
           IF(OFFSET(PLE!$G$15,$M132-$A$15,BG$13)="",10^12,OFFSET(PLE!$G$15,$M132-$A$15,BG$13)))</f>
        <v>1000000000000</v>
      </c>
    </row>
    <row r="133" spans="1:59" s="675" customFormat="1" ht="12.75" x14ac:dyDescent="0.2">
      <c r="A133" s="671" t="str">
        <f t="shared" ca="1" si="10"/>
        <v>118.</v>
      </c>
      <c r="B133" s="671">
        <f ca="1">OFFSET(ORÇAMENTO!C$15,ROW(B133)-ROW(B$15),0)</f>
        <v>2</v>
      </c>
      <c r="C133" s="671" t="str">
        <f ca="1">OFFSET(ORÇAMENTO!L$15,ROW(C133)-ROW(C$15),0)</f>
        <v>F</v>
      </c>
      <c r="D133" s="117" t="str">
        <f ca="1">OFFSET(ORÇAMENTO!N$15,ROW(D133)-ROW(D$15),0)</f>
        <v>Nível 2</v>
      </c>
      <c r="E133" s="118" t="str">
        <f ca="1">OFFSET(ORÇAMENTO!O$15,ROW(E133)-ROW(E$15),0)</f>
        <v>1.17.</v>
      </c>
      <c r="F133" s="164" t="str">
        <f ca="1">OFFSET(ORÇAMENTO!R$15,ROW(F133)-ROW(F$15),0)</f>
        <v>POÇO DE VISITA</v>
      </c>
      <c r="G133" s="165" t="str">
        <f ca="1">IF($D133&lt;&gt;"Serviço","",OFFSET(ORÇAMENTO!S$15,ROW(G133)-ROW(G$15),0))</f>
        <v/>
      </c>
      <c r="H133" s="123">
        <f ca="1">IF($D133&lt;&gt;"Serviço",0,IF(ACOMPANHAMENTO="BM",ROUND(OFFSET(ORÇAMENTO!AJ$15,ROW(H133)-ROW(H$15),0),15-13*ORÇAMENTO!$AF$7),SUMPRODUCT(($Q$1:$AA$1=1)*ROUND($Q133:$AA133,15-13*ORÇAMENTO!$AF$7))))</f>
        <v>0</v>
      </c>
      <c r="I133" s="469"/>
      <c r="J133" s="667" t="str">
        <f ca="1">IF(OR(B133&lt;&gt;"S",CÁLCULO.FrentesPreenchidas=0),"",IF(AND(ACOMPANHAMENTO="PLE",AUTOEVENTO="Manual",OR(H133&gt;0,ORÇAMENTO!AC133="QUANT."),OR(K133="",M133=0,N133="")),"►",IF(AND(ACOMPANHAMENTO="PLE",ORÇAMENTO!AC133="QUANT."),"►►",IF(AND(COUNTIF($P$11:$AA$11,"▼")=0,H133&gt;0,I133=""),"◄",""))))</f>
        <v/>
      </c>
      <c r="K133" s="668"/>
      <c r="L133" s="166" t="s">
        <v>765</v>
      </c>
      <c r="M133" s="167" t="str">
        <f ca="1">IF($D133&lt;&gt;"Serviço","",
          IF(AUTOEVENTO="manual",$A133,
                IF(ISERROR(MATCH($A133,$A$15:OFFSET($A133,-1,0),0)),MAX($M$15:OFFSET(M133,-1,0))+1,
                      INDEX($M$15:OFFSET(M133,-1,0),MATCH($A133,$A$15:OFFSET($A133,-1,0),0)))))</f>
        <v/>
      </c>
      <c r="N133" s="168" t="str">
        <f ca="1">IF($D133&lt;&gt;"Serviço","",
         IF(AUTOEVENTO="Manual",
                IF($A133=0,"&lt;-- defina o número do agrupador",
                       OFFSET(EVENTOS!$D$15,$A133-$A$15,0)),
                OFFSET($F$15,$A133,0)))</f>
        <v/>
      </c>
      <c r="O133" s="169"/>
      <c r="Q133" s="169"/>
      <c r="R133" s="170"/>
      <c r="S133" s="170"/>
      <c r="T133" s="170"/>
      <c r="U133" s="170"/>
      <c r="V133" s="170"/>
      <c r="W133" s="170"/>
      <c r="X133" s="170"/>
      <c r="Y133" s="170"/>
      <c r="Z133" s="171"/>
      <c r="AB133" s="454">
        <f ca="1">IF(AND($D133="Serviço",AB$12&lt;&gt;0,$H133&gt;0,OR(AUTOEVENTO&lt;&gt;"manual",$M133&lt;&gt;$A$15)),
        IF(Import.TipoArredondamento&lt;&gt;"TransfereGOV",
              ROUND(OFFSET($P133,0,AB$13),15-13*ORÇAMENTO!$AF$7)/$H133*OFFSET(ORÇAMENTO!$X$15,ROW(AB133)-ROW(AB$15),0),
              ROUND(ROUND(OFFSET($P133,0,AB$13),15-13*ORÇAMENTO!$AF$7)*OFFSET(ORÇAMENTO!$W$15,ROW(AB133)-ROW(AB$15),0),15-13*ORÇAMENTO!$AF$11)),
         0)</f>
        <v>0</v>
      </c>
      <c r="AC133" s="454">
        <f ca="1">IF(AND($D133="Serviço",AC$12&lt;&gt;0,$H133&gt;0,OR(AUTOEVENTO&lt;&gt;"manual",$M133&lt;&gt;$A$15)),
        IF(Import.TipoArredondamento&lt;&gt;"TransfereGOV",
              ROUND(OFFSET($P133,0,AC$13),15-13*ORÇAMENTO!$AF$7)/$H133*OFFSET(ORÇAMENTO!$X$15,ROW(AC133)-ROW(AC$15),0),
              ROUND(ROUND(OFFSET($P133,0,AC$13),15-13*ORÇAMENTO!$AF$7)*OFFSET(ORÇAMENTO!$W$15,ROW(AC133)-ROW(AC$15),0),15-13*ORÇAMENTO!$AF$11)),
         0)</f>
        <v>0</v>
      </c>
      <c r="AD133" s="454">
        <f ca="1">IF(AND($D133="Serviço",AD$12&lt;&gt;0,$H133&gt;0,OR(AUTOEVENTO&lt;&gt;"manual",$M133&lt;&gt;$A$15)),
        IF(Import.TipoArredondamento&lt;&gt;"TransfereGOV",
              ROUND(OFFSET($P133,0,AD$13),15-13*ORÇAMENTO!$AF$7)/$H133*OFFSET(ORÇAMENTO!$X$15,ROW(AD133)-ROW(AD$15),0),
              ROUND(ROUND(OFFSET($P133,0,AD$13),15-13*ORÇAMENTO!$AF$7)*OFFSET(ORÇAMENTO!$W$15,ROW(AD133)-ROW(AD$15),0),15-13*ORÇAMENTO!$AF$11)),
         0)</f>
        <v>0</v>
      </c>
      <c r="AE133" s="454">
        <f ca="1">IF(AND($D133="Serviço",AE$12&lt;&gt;0,$H133&gt;0,OR(AUTOEVENTO&lt;&gt;"manual",$M133&lt;&gt;$A$15)),
        IF(Import.TipoArredondamento&lt;&gt;"TransfereGOV",
              ROUND(OFFSET($P133,0,AE$13),15-13*ORÇAMENTO!$AF$7)/$H133*OFFSET(ORÇAMENTO!$X$15,ROW(AE133)-ROW(AE$15),0),
              ROUND(ROUND(OFFSET($P133,0,AE$13),15-13*ORÇAMENTO!$AF$7)*OFFSET(ORÇAMENTO!$W$15,ROW(AE133)-ROW(AE$15),0),15-13*ORÇAMENTO!$AF$11)),
         0)</f>
        <v>0</v>
      </c>
      <c r="AF133" s="454">
        <f ca="1">IF(AND($D133="Serviço",AF$12&lt;&gt;0,$H133&gt;0,OR(AUTOEVENTO&lt;&gt;"manual",$M133&lt;&gt;$A$15)),
        IF(Import.TipoArredondamento&lt;&gt;"TransfereGOV",
              ROUND(OFFSET($P133,0,AF$13),15-13*ORÇAMENTO!$AF$7)/$H133*OFFSET(ORÇAMENTO!$X$15,ROW(AF133)-ROW(AF$15),0),
              ROUND(ROUND(OFFSET($P133,0,AF$13),15-13*ORÇAMENTO!$AF$7)*OFFSET(ORÇAMENTO!$W$15,ROW(AF133)-ROW(AF$15),0),15-13*ORÇAMENTO!$AF$11)),
         0)</f>
        <v>0</v>
      </c>
      <c r="AG133" s="454">
        <f ca="1">IF(AND($D133="Serviço",AG$12&lt;&gt;0,$H133&gt;0,OR(AUTOEVENTO&lt;&gt;"manual",$M133&lt;&gt;$A$15)),
        IF(Import.TipoArredondamento&lt;&gt;"TransfereGOV",
              ROUND(OFFSET($P133,0,AG$13),15-13*ORÇAMENTO!$AF$7)/$H133*OFFSET(ORÇAMENTO!$X$15,ROW(AG133)-ROW(AG$15),0),
              ROUND(ROUND(OFFSET($P133,0,AG$13),15-13*ORÇAMENTO!$AF$7)*OFFSET(ORÇAMENTO!$W$15,ROW(AG133)-ROW(AG$15),0),15-13*ORÇAMENTO!$AF$11)),
         0)</f>
        <v>0</v>
      </c>
      <c r="AH133" s="454">
        <f ca="1">IF(AND($D133="Serviço",AH$12&lt;&gt;0,$H133&gt;0,OR(AUTOEVENTO&lt;&gt;"manual",$M133&lt;&gt;$A$15)),
        IF(Import.TipoArredondamento&lt;&gt;"TransfereGOV",
              ROUND(OFFSET($P133,0,AH$13),15-13*ORÇAMENTO!$AF$7)/$H133*OFFSET(ORÇAMENTO!$X$15,ROW(AH133)-ROW(AH$15),0),
              ROUND(ROUND(OFFSET($P133,0,AH$13),15-13*ORÇAMENTO!$AF$7)*OFFSET(ORÇAMENTO!$W$15,ROW(AH133)-ROW(AH$15),0),15-13*ORÇAMENTO!$AF$11)),
         0)</f>
        <v>0</v>
      </c>
      <c r="AI133" s="454">
        <f ca="1">IF(AND($D133="Serviço",AI$12&lt;&gt;0,$H133&gt;0,OR(AUTOEVENTO&lt;&gt;"manual",$M133&lt;&gt;$A$15)),
        IF(Import.TipoArredondamento&lt;&gt;"TransfereGOV",
              ROUND(OFFSET($P133,0,AI$13),15-13*ORÇAMENTO!$AF$7)/$H133*OFFSET(ORÇAMENTO!$X$15,ROW(AI133)-ROW(AI$15),0),
              ROUND(ROUND(OFFSET($P133,0,AI$13),15-13*ORÇAMENTO!$AF$7)*OFFSET(ORÇAMENTO!$W$15,ROW(AI133)-ROW(AI$15),0),15-13*ORÇAMENTO!$AF$11)),
         0)</f>
        <v>0</v>
      </c>
      <c r="AJ133" s="454">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4">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M133" s="172">
        <f ca="1">IF(OR($D133&lt;&gt;"Serviço",AND(AUTOEVENTO="Manual",$M133=$A$15)),0,
         IF(OFFSET(CRONOPLE!$F$15,$M133-$A$15,AM$13)=0,10^12,OFFSET(CRONOPLE!$F$15,$M133-$A$15,AM$13)))</f>
        <v>0</v>
      </c>
      <c r="AN133" s="172">
        <f ca="1">IF(OR($D133&lt;&gt;"Serviço",AND(AUTOEVENTO="Manual",$M133=$A$15)),0,
         IF(OFFSET(CRONOPLE!$F$15,$M133-$A$15,AN$13)=0,10^12,OFFSET(CRONOPLE!$F$15,$M133-$A$15,AN$13)))</f>
        <v>0</v>
      </c>
      <c r="AO133" s="172">
        <f ca="1">IF(OR($D133&lt;&gt;"Serviço",AND(AUTOEVENTO="Manual",$M133=$A$15)),0,
         IF(OFFSET(CRONOPLE!$F$15,$M133-$A$15,AO$13)=0,10^12,OFFSET(CRONOPLE!$F$15,$M133-$A$15,AO$13)))</f>
        <v>0</v>
      </c>
      <c r="AP133" s="172">
        <f ca="1">IF(OR($D133&lt;&gt;"Serviço",AND(AUTOEVENTO="Manual",$M133=$A$15)),0,
         IF(OFFSET(CRONOPLE!$F$15,$M133-$A$15,AP$13)=0,10^12,OFFSET(CRONOPLE!$F$15,$M133-$A$15,AP$13)))</f>
        <v>0</v>
      </c>
      <c r="AQ133" s="172">
        <f ca="1">IF(OR($D133&lt;&gt;"Serviço",AND(AUTOEVENTO="Manual",$M133=$A$15)),0,
         IF(OFFSET(CRONOPLE!$F$15,$M133-$A$15,AQ$13)=0,10^12,OFFSET(CRONOPLE!$F$15,$M133-$A$15,AQ$13)))</f>
        <v>0</v>
      </c>
      <c r="AR133" s="172">
        <f ca="1">IF(OR($D133&lt;&gt;"Serviço",AND(AUTOEVENTO="Manual",$M133=$A$15)),0,
         IF(OFFSET(CRONOPLE!$F$15,$M133-$A$15,AR$13)=0,10^12,OFFSET(CRONOPLE!$F$15,$M133-$A$15,AR$13)))</f>
        <v>0</v>
      </c>
      <c r="AS133" s="172">
        <f ca="1">IF(OR($D133&lt;&gt;"Serviço",AND(AUTOEVENTO="Manual",$M133=$A$15)),0,
         IF(OFFSET(CRONOPLE!$F$15,$M133-$A$15,AS$13)=0,10^12,OFFSET(CRONOPLE!$F$15,$M133-$A$15,AS$13)))</f>
        <v>0</v>
      </c>
      <c r="AT133" s="172">
        <f ca="1">IF(OR($D133&lt;&gt;"Serviço",AND(AUTOEVENTO="Manual",$M133=$A$15)),0,
         IF(OFFSET(CRONOPLE!$F$15,$M133-$A$15,AT$13)=0,10^12,OFFSET(CRONOPLE!$F$15,$M133-$A$15,AT$13)))</f>
        <v>0</v>
      </c>
      <c r="AU133" s="172">
        <f ca="1">IF(OR($D133&lt;&gt;"Serviço",AND(AUTOEVENTO="Manual",$M133=$A$15)),0,
         IF(OFFSET(CRONOPLE!$F$15,$M133-$A$15,AU$13)=0,10^12,OFFSET(CRONOPLE!$F$15,$M133-$A$15,AU$13)))</f>
        <v>0</v>
      </c>
      <c r="AV133" s="172">
        <f ca="1">IF(OR($D133&lt;&gt;"Serviço",AND(AUTOEVENTO="Manual",$M133=$A$15)),0,
         IF(OFFSET(CRONOPLE!$F$15,$M133-$A$15,AV$13)=0,10^12,OFFSET(CRONOPLE!$F$15,$M133-$A$15,AV$13)))</f>
        <v>0</v>
      </c>
      <c r="AX133" s="173">
        <f ca="1">IF(OR($D133&lt;&gt;"Serviço",AND(AUTOEVENTO="Manual",$M133=$A$15),$M133&gt;(ROW(PLE.lastrow)-ROW(PLE.firstrow))),0,
           IF(OFFSET(PLE!$G$15,$M133-$A$15,AX$13)="",10^12,OFFSET(PLE!$G$15,$M133-$A$15,AX$13)))</f>
        <v>0</v>
      </c>
      <c r="AY133" s="173">
        <f ca="1">IF(OR($D133&lt;&gt;"Serviço",AND(AUTOEVENTO="Manual",$M133=$A$15),$M133&gt;(ROW(PLE.lastrow)-ROW(PLE.firstrow))),0,
           IF(OFFSET(PLE!$G$15,$M133-$A$15,AY$13)="",10^12,OFFSET(PLE!$G$15,$M133-$A$15,AY$13)))</f>
        <v>0</v>
      </c>
      <c r="AZ133" s="173">
        <f ca="1">IF(OR($D133&lt;&gt;"Serviço",AND(AUTOEVENTO="Manual",$M133=$A$15),$M133&gt;(ROW(PLE.lastrow)-ROW(PLE.firstrow))),0,
           IF(OFFSET(PLE!$G$15,$M133-$A$15,AZ$13)="",10^12,OFFSET(PLE!$G$15,$M133-$A$15,AZ$13)))</f>
        <v>0</v>
      </c>
      <c r="BA133" s="173">
        <f ca="1">IF(OR($D133&lt;&gt;"Serviço",AND(AUTOEVENTO="Manual",$M133=$A$15),$M133&gt;(ROW(PLE.lastrow)-ROW(PLE.firstrow))),0,
           IF(OFFSET(PLE!$G$15,$M133-$A$15,BA$13)="",10^12,OFFSET(PLE!$G$15,$M133-$A$15,BA$13)))</f>
        <v>0</v>
      </c>
      <c r="BB133" s="173">
        <f ca="1">IF(OR($D133&lt;&gt;"Serviço",AND(AUTOEVENTO="Manual",$M133=$A$15),$M133&gt;(ROW(PLE.lastrow)-ROW(PLE.firstrow))),0,
           IF(OFFSET(PLE!$G$15,$M133-$A$15,BB$13)="",10^12,OFFSET(PLE!$G$15,$M133-$A$15,BB$13)))</f>
        <v>0</v>
      </c>
      <c r="BC133" s="173">
        <f ca="1">IF(OR($D133&lt;&gt;"Serviço",AND(AUTOEVENTO="Manual",$M133=$A$15),$M133&gt;(ROW(PLE.lastrow)-ROW(PLE.firstrow))),0,
           IF(OFFSET(PLE!$G$15,$M133-$A$15,BC$13)="",10^12,OFFSET(PLE!$G$15,$M133-$A$15,BC$13)))</f>
        <v>0</v>
      </c>
      <c r="BD133" s="173">
        <f ca="1">IF(OR($D133&lt;&gt;"Serviço",AND(AUTOEVENTO="Manual",$M133=$A$15),$M133&gt;(ROW(PLE.lastrow)-ROW(PLE.firstrow))),0,
           IF(OFFSET(PLE!$G$15,$M133-$A$15,BD$13)="",10^12,OFFSET(PLE!$G$15,$M133-$A$15,BD$13)))</f>
        <v>0</v>
      </c>
      <c r="BE133" s="173">
        <f ca="1">IF(OR($D133&lt;&gt;"Serviço",AND(AUTOEVENTO="Manual",$M133=$A$15),$M133&gt;(ROW(PLE.lastrow)-ROW(PLE.firstrow))),0,
           IF(OFFSET(PLE!$G$15,$M133-$A$15,BE$13)="",10^12,OFFSET(PLE!$G$15,$M133-$A$15,BE$13)))</f>
        <v>0</v>
      </c>
      <c r="BF133" s="173">
        <f ca="1">IF(OR($D133&lt;&gt;"Serviço",AND(AUTOEVENTO="Manual",$M133=$A$15),$M133&gt;(ROW(PLE.lastrow)-ROW(PLE.firstrow))),0,
           IF(OFFSET(PLE!$G$15,$M133-$A$15,BF$13)="",10^12,OFFSET(PLE!$G$15,$M133-$A$15,BF$13)))</f>
        <v>0</v>
      </c>
      <c r="BG133" s="173">
        <f ca="1">IF(OR($D133&lt;&gt;"Serviço",AND(AUTOEVENTO="Manual",$M133=$A$15),$M133&gt;(ROW(PLE.lastrow)-ROW(PLE.firstrow))),0,
           IF(OFFSET(PLE!$G$15,$M133-$A$15,BG$13)="",10^12,OFFSET(PLE!$G$15,$M133-$A$15,BG$13)))</f>
        <v>0</v>
      </c>
    </row>
    <row r="134" spans="1:59" s="675" customFormat="1" ht="51" x14ac:dyDescent="0.2">
      <c r="A134" s="671" t="str">
        <f t="shared" ca="1" si="10"/>
        <v>118</v>
      </c>
      <c r="B134" s="671" t="str">
        <f ca="1">OFFSET(ORÇAMENTO!C$15,ROW(B134)-ROW(B$15),0)</f>
        <v>S</v>
      </c>
      <c r="C134" s="671" t="str">
        <f ca="1">OFFSET(ORÇAMENTO!L$15,ROW(C134)-ROW(C$15),0)</f>
        <v/>
      </c>
      <c r="D134" s="117" t="str">
        <f ca="1">OFFSET(ORÇAMENTO!N$15,ROW(D134)-ROW(D$15),0)</f>
        <v>Serviço</v>
      </c>
      <c r="E134" s="118" t="str">
        <f ca="1">OFFSET(ORÇAMENTO!O$15,ROW(E134)-ROW(E$15),0)</f>
        <v>-</v>
      </c>
      <c r="F134" s="164" t="str">
        <f ca="1">OFFSET(ORÇAMENTO!R$15,ROW(F134)-ROW(F$15),0)</f>
        <v>(abra o arquivo 'Referência 09-2025.xlsm)</v>
      </c>
      <c r="G134" s="165" t="str">
        <f ca="1">IF($D134&lt;&gt;"Serviço","",OFFSET(ORÇAMENTO!S$15,ROW(G134)-ROW(G$15),0))</f>
        <v>-</v>
      </c>
      <c r="H134" s="123">
        <f ca="1">IF($D134&lt;&gt;"Serviço",0,IF(ACOMPANHAMENTO="BM",ROUND(OFFSET(ORÇAMENTO!AJ$15,ROW(H134)-ROW(H$15),0),15-13*ORÇAMENTO!$AF$7),SUMPRODUCT(($Q$1:$AA$1=1)*ROUND($Q134:$AA134,15-13*ORÇAMENTO!$AF$7))))</f>
        <v>28</v>
      </c>
      <c r="I134" s="469" t="s">
        <v>1124</v>
      </c>
      <c r="J134" s="667" t="str">
        <f ca="1">IF(OR(B134&lt;&gt;"S",CÁLCULO.FrentesPreenchidas=0),"",IF(AND(ACOMPANHAMENTO="PLE",AUTOEVENTO="Manual",OR(H134&gt;0,ORÇAMENTO!AC134="QUANT."),OR(K134="",M134=0,N134="")),"►",IF(AND(ACOMPANHAMENTO="PLE",ORÇAMENTO!AC134="QUANT."),"►►",IF(AND(COUNTIF($P$11:$AA$11,"▼")=0,H134&gt;0,I134=""),"◄",""))))</f>
        <v/>
      </c>
      <c r="K134" s="668"/>
      <c r="L134" s="166" t="s">
        <v>765</v>
      </c>
      <c r="M134" s="167">
        <f ca="1">IF($D134&lt;&gt;"Serviço","",
          IF(AUTOEVENTO="manual",$A134,
                IF(ISERROR(MATCH($A134,$A$15:OFFSET($A134,-1,0),0)),MAX($M$15:OFFSET(M134,-1,0))+1,
                      INDEX($M$15:OFFSET(M134,-1,0),MATCH($A134,$A$15:OFFSET($A134,-1,0),0)))))</f>
        <v>14</v>
      </c>
      <c r="N134" s="168" t="str">
        <f ca="1">IF($D134&lt;&gt;"Serviço","",
         IF(AUTOEVENTO="Manual",
                IF($A134=0,"&lt;-- defina o número do agrupador",
                       OFFSET(EVENTOS!$D$15,$A134-$A$15,0)),
                OFFSET($F$15,$A134,0)))</f>
        <v>POÇO DE VISITA</v>
      </c>
      <c r="O134" s="169"/>
      <c r="Q134" s="169"/>
      <c r="R134" s="170"/>
      <c r="S134" s="170"/>
      <c r="T134" s="170"/>
      <c r="U134" s="170"/>
      <c r="V134" s="170"/>
      <c r="W134" s="170"/>
      <c r="X134" s="170"/>
      <c r="Y134" s="170"/>
      <c r="Z134" s="171"/>
      <c r="AB134" s="454">
        <f ca="1">IF(AND($D134="Serviço",AB$12&lt;&gt;0,$H134&gt;0,OR(AUTOEVENTO&lt;&gt;"manual",$M134&lt;&gt;$A$15)),
        IF(Import.TipoArredondamento&lt;&gt;"TransfereGOV",
              ROUND(OFFSET($P134,0,AB$13),15-13*ORÇAMENTO!$AF$7)/$H134*OFFSET(ORÇAMENTO!$X$15,ROW(AB134)-ROW(AB$15),0),
              ROUND(ROUND(OFFSET($P134,0,AB$13),15-13*ORÇAMENTO!$AF$7)*OFFSET(ORÇAMENTO!$W$15,ROW(AB134)-ROW(AB$15),0),15-13*ORÇAMENTO!$AF$11)),
         0)</f>
        <v>0</v>
      </c>
      <c r="AC134" s="454">
        <f ca="1">IF(AND($D134="Serviço",AC$12&lt;&gt;0,$H134&gt;0,OR(AUTOEVENTO&lt;&gt;"manual",$M134&lt;&gt;$A$15)),
        IF(Import.TipoArredondamento&lt;&gt;"TransfereGOV",
              ROUND(OFFSET($P134,0,AC$13),15-13*ORÇAMENTO!$AF$7)/$H134*OFFSET(ORÇAMENTO!$X$15,ROW(AC134)-ROW(AC$15),0),
              ROUND(ROUND(OFFSET($P134,0,AC$13),15-13*ORÇAMENTO!$AF$7)*OFFSET(ORÇAMENTO!$W$15,ROW(AC134)-ROW(AC$15),0),15-13*ORÇAMENTO!$AF$11)),
         0)</f>
        <v>0</v>
      </c>
      <c r="AD134" s="454">
        <f ca="1">IF(AND($D134="Serviço",AD$12&lt;&gt;0,$H134&gt;0,OR(AUTOEVENTO&lt;&gt;"manual",$M134&lt;&gt;$A$15)),
        IF(Import.TipoArredondamento&lt;&gt;"TransfereGOV",
              ROUND(OFFSET($P134,0,AD$13),15-13*ORÇAMENTO!$AF$7)/$H134*OFFSET(ORÇAMENTO!$X$15,ROW(AD134)-ROW(AD$15),0),
              ROUND(ROUND(OFFSET($P134,0,AD$13),15-13*ORÇAMENTO!$AF$7)*OFFSET(ORÇAMENTO!$W$15,ROW(AD134)-ROW(AD$15),0),15-13*ORÇAMENTO!$AF$11)),
         0)</f>
        <v>0</v>
      </c>
      <c r="AE134" s="454">
        <f ca="1">IF(AND($D134="Serviço",AE$12&lt;&gt;0,$H134&gt;0,OR(AUTOEVENTO&lt;&gt;"manual",$M134&lt;&gt;$A$15)),
        IF(Import.TipoArredondamento&lt;&gt;"TransfereGOV",
              ROUND(OFFSET($P134,0,AE$13),15-13*ORÇAMENTO!$AF$7)/$H134*OFFSET(ORÇAMENTO!$X$15,ROW(AE134)-ROW(AE$15),0),
              ROUND(ROUND(OFFSET($P134,0,AE$13),15-13*ORÇAMENTO!$AF$7)*OFFSET(ORÇAMENTO!$W$15,ROW(AE134)-ROW(AE$15),0),15-13*ORÇAMENTO!$AF$11)),
         0)</f>
        <v>0</v>
      </c>
      <c r="AF134" s="454">
        <f ca="1">IF(AND($D134="Serviço",AF$12&lt;&gt;0,$H134&gt;0,OR(AUTOEVENTO&lt;&gt;"manual",$M134&lt;&gt;$A$15)),
        IF(Import.TipoArredondamento&lt;&gt;"TransfereGOV",
              ROUND(OFFSET($P134,0,AF$13),15-13*ORÇAMENTO!$AF$7)/$H134*OFFSET(ORÇAMENTO!$X$15,ROW(AF134)-ROW(AF$15),0),
              ROUND(ROUND(OFFSET($P134,0,AF$13),15-13*ORÇAMENTO!$AF$7)*OFFSET(ORÇAMENTO!$W$15,ROW(AF134)-ROW(AF$15),0),15-13*ORÇAMENTO!$AF$11)),
         0)</f>
        <v>0</v>
      </c>
      <c r="AG134" s="454">
        <f ca="1">IF(AND($D134="Serviço",AG$12&lt;&gt;0,$H134&gt;0,OR(AUTOEVENTO&lt;&gt;"manual",$M134&lt;&gt;$A$15)),
        IF(Import.TipoArredondamento&lt;&gt;"TransfereGOV",
              ROUND(OFFSET($P134,0,AG$13),15-13*ORÇAMENTO!$AF$7)/$H134*OFFSET(ORÇAMENTO!$X$15,ROW(AG134)-ROW(AG$15),0),
              ROUND(ROUND(OFFSET($P134,0,AG$13),15-13*ORÇAMENTO!$AF$7)*OFFSET(ORÇAMENTO!$W$15,ROW(AG134)-ROW(AG$15),0),15-13*ORÇAMENTO!$AF$11)),
         0)</f>
        <v>0</v>
      </c>
      <c r="AH134" s="454">
        <f ca="1">IF(AND($D134="Serviço",AH$12&lt;&gt;0,$H134&gt;0,OR(AUTOEVENTO&lt;&gt;"manual",$M134&lt;&gt;$A$15)),
        IF(Import.TipoArredondamento&lt;&gt;"TransfereGOV",
              ROUND(OFFSET($P134,0,AH$13),15-13*ORÇAMENTO!$AF$7)/$H134*OFFSET(ORÇAMENTO!$X$15,ROW(AH134)-ROW(AH$15),0),
              ROUND(ROUND(OFFSET($P134,0,AH$13),15-13*ORÇAMENTO!$AF$7)*OFFSET(ORÇAMENTO!$W$15,ROW(AH134)-ROW(AH$15),0),15-13*ORÇAMENTO!$AF$11)),
         0)</f>
        <v>0</v>
      </c>
      <c r="AI134" s="454">
        <f ca="1">IF(AND($D134="Serviço",AI$12&lt;&gt;0,$H134&gt;0,OR(AUTOEVENTO&lt;&gt;"manual",$M134&lt;&gt;$A$15)),
        IF(Import.TipoArredondamento&lt;&gt;"TransfereGOV",
              ROUND(OFFSET($P134,0,AI$13),15-13*ORÇAMENTO!$AF$7)/$H134*OFFSET(ORÇAMENTO!$X$15,ROW(AI134)-ROW(AI$15),0),
              ROUND(ROUND(OFFSET($P134,0,AI$13),15-13*ORÇAMENTO!$AF$7)*OFFSET(ORÇAMENTO!$W$15,ROW(AI134)-ROW(AI$15),0),15-13*ORÇAMENTO!$AF$11)),
         0)</f>
        <v>0</v>
      </c>
      <c r="AJ134" s="454">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4">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M134" s="172">
        <f ca="1">IF(OR($D134&lt;&gt;"Serviço",AND(AUTOEVENTO="Manual",$M134=$A$15)),0,
         IF(OFFSET(CRONOPLE!$F$15,$M134-$A$15,AM$13)=0,10^12,OFFSET(CRONOPLE!$F$15,$M134-$A$15,AM$13)))</f>
        <v>1000000000000</v>
      </c>
      <c r="AN134" s="172">
        <f ca="1">IF(OR($D134&lt;&gt;"Serviço",AND(AUTOEVENTO="Manual",$M134=$A$15)),0,
         IF(OFFSET(CRONOPLE!$F$15,$M134-$A$15,AN$13)=0,10^12,OFFSET(CRONOPLE!$F$15,$M134-$A$15,AN$13)))</f>
        <v>1000000000000</v>
      </c>
      <c r="AO134" s="172">
        <f ca="1">IF(OR($D134&lt;&gt;"Serviço",AND(AUTOEVENTO="Manual",$M134=$A$15)),0,
         IF(OFFSET(CRONOPLE!$F$15,$M134-$A$15,AO$13)=0,10^12,OFFSET(CRONOPLE!$F$15,$M134-$A$15,AO$13)))</f>
        <v>1000000000000</v>
      </c>
      <c r="AP134" s="172">
        <f ca="1">IF(OR($D134&lt;&gt;"Serviço",AND(AUTOEVENTO="Manual",$M134=$A$15)),0,
         IF(OFFSET(CRONOPLE!$F$15,$M134-$A$15,AP$13)=0,10^12,OFFSET(CRONOPLE!$F$15,$M134-$A$15,AP$13)))</f>
        <v>1000000000000</v>
      </c>
      <c r="AQ134" s="172">
        <f ca="1">IF(OR($D134&lt;&gt;"Serviço",AND(AUTOEVENTO="Manual",$M134=$A$15)),0,
         IF(OFFSET(CRONOPLE!$F$15,$M134-$A$15,AQ$13)=0,10^12,OFFSET(CRONOPLE!$F$15,$M134-$A$15,AQ$13)))</f>
        <v>1000000000000</v>
      </c>
      <c r="AR134" s="172">
        <f ca="1">IF(OR($D134&lt;&gt;"Serviço",AND(AUTOEVENTO="Manual",$M134=$A$15)),0,
         IF(OFFSET(CRONOPLE!$F$15,$M134-$A$15,AR$13)=0,10^12,OFFSET(CRONOPLE!$F$15,$M134-$A$15,AR$13)))</f>
        <v>1000000000000</v>
      </c>
      <c r="AS134" s="172">
        <f ca="1">IF(OR($D134&lt;&gt;"Serviço",AND(AUTOEVENTO="Manual",$M134=$A$15)),0,
         IF(OFFSET(CRONOPLE!$F$15,$M134-$A$15,AS$13)=0,10^12,OFFSET(CRONOPLE!$F$15,$M134-$A$15,AS$13)))</f>
        <v>1000000000000</v>
      </c>
      <c r="AT134" s="172">
        <f ca="1">IF(OR($D134&lt;&gt;"Serviço",AND(AUTOEVENTO="Manual",$M134=$A$15)),0,
         IF(OFFSET(CRONOPLE!$F$15,$M134-$A$15,AT$13)=0,10^12,OFFSET(CRONOPLE!$F$15,$M134-$A$15,AT$13)))</f>
        <v>1000000000000</v>
      </c>
      <c r="AU134" s="172">
        <f ca="1">IF(OR($D134&lt;&gt;"Serviço",AND(AUTOEVENTO="Manual",$M134=$A$15)),0,
         IF(OFFSET(CRONOPLE!$F$15,$M134-$A$15,AU$13)=0,10^12,OFFSET(CRONOPLE!$F$15,$M134-$A$15,AU$13)))</f>
        <v>1000000000000</v>
      </c>
      <c r="AV134" s="172">
        <f ca="1">IF(OR($D134&lt;&gt;"Serviço",AND(AUTOEVENTO="Manual",$M134=$A$15)),0,
         IF(OFFSET(CRONOPLE!$F$15,$M134-$A$15,AV$13)=0,10^12,OFFSET(CRONOPLE!$F$15,$M134-$A$15,AV$13)))</f>
        <v>1000000000000</v>
      </c>
      <c r="AX134" s="173">
        <f ca="1">IF(OR($D134&lt;&gt;"Serviço",AND(AUTOEVENTO="Manual",$M134=$A$15),$M134&gt;(ROW(PLE.lastrow)-ROW(PLE.firstrow))),0,
           IF(OFFSET(PLE!$G$15,$M134-$A$15,AX$13)="",10^12,OFFSET(PLE!$G$15,$M134-$A$15,AX$13)))</f>
        <v>1000000000000</v>
      </c>
      <c r="AY134" s="173">
        <f ca="1">IF(OR($D134&lt;&gt;"Serviço",AND(AUTOEVENTO="Manual",$M134=$A$15),$M134&gt;(ROW(PLE.lastrow)-ROW(PLE.firstrow))),0,
           IF(OFFSET(PLE!$G$15,$M134-$A$15,AY$13)="",10^12,OFFSET(PLE!$G$15,$M134-$A$15,AY$13)))</f>
        <v>1000000000000</v>
      </c>
      <c r="AZ134" s="173">
        <f ca="1">IF(OR($D134&lt;&gt;"Serviço",AND(AUTOEVENTO="Manual",$M134=$A$15),$M134&gt;(ROW(PLE.lastrow)-ROW(PLE.firstrow))),0,
           IF(OFFSET(PLE!$G$15,$M134-$A$15,AZ$13)="",10^12,OFFSET(PLE!$G$15,$M134-$A$15,AZ$13)))</f>
        <v>1000000000000</v>
      </c>
      <c r="BA134" s="173">
        <f ca="1">IF(OR($D134&lt;&gt;"Serviço",AND(AUTOEVENTO="Manual",$M134=$A$15),$M134&gt;(ROW(PLE.lastrow)-ROW(PLE.firstrow))),0,
           IF(OFFSET(PLE!$G$15,$M134-$A$15,BA$13)="",10^12,OFFSET(PLE!$G$15,$M134-$A$15,BA$13)))</f>
        <v>1000000000000</v>
      </c>
      <c r="BB134" s="173">
        <f ca="1">IF(OR($D134&lt;&gt;"Serviço",AND(AUTOEVENTO="Manual",$M134=$A$15),$M134&gt;(ROW(PLE.lastrow)-ROW(PLE.firstrow))),0,
           IF(OFFSET(PLE!$G$15,$M134-$A$15,BB$13)="",10^12,OFFSET(PLE!$G$15,$M134-$A$15,BB$13)))</f>
        <v>1000000000000</v>
      </c>
      <c r="BC134" s="173">
        <f ca="1">IF(OR($D134&lt;&gt;"Serviço",AND(AUTOEVENTO="Manual",$M134=$A$15),$M134&gt;(ROW(PLE.lastrow)-ROW(PLE.firstrow))),0,
           IF(OFFSET(PLE!$G$15,$M134-$A$15,BC$13)="",10^12,OFFSET(PLE!$G$15,$M134-$A$15,BC$13)))</f>
        <v>1000000000000</v>
      </c>
      <c r="BD134" s="173">
        <f ca="1">IF(OR($D134&lt;&gt;"Serviço",AND(AUTOEVENTO="Manual",$M134=$A$15),$M134&gt;(ROW(PLE.lastrow)-ROW(PLE.firstrow))),0,
           IF(OFFSET(PLE!$G$15,$M134-$A$15,BD$13)="",10^12,OFFSET(PLE!$G$15,$M134-$A$15,BD$13)))</f>
        <v>1000000000000</v>
      </c>
      <c r="BE134" s="173">
        <f ca="1">IF(OR($D134&lt;&gt;"Serviço",AND(AUTOEVENTO="Manual",$M134=$A$15),$M134&gt;(ROW(PLE.lastrow)-ROW(PLE.firstrow))),0,
           IF(OFFSET(PLE!$G$15,$M134-$A$15,BE$13)="",10^12,OFFSET(PLE!$G$15,$M134-$A$15,BE$13)))</f>
        <v>1000000000000</v>
      </c>
      <c r="BF134" s="173">
        <f ca="1">IF(OR($D134&lt;&gt;"Serviço",AND(AUTOEVENTO="Manual",$M134=$A$15),$M134&gt;(ROW(PLE.lastrow)-ROW(PLE.firstrow))),0,
           IF(OFFSET(PLE!$G$15,$M134-$A$15,BF$13)="",10^12,OFFSET(PLE!$G$15,$M134-$A$15,BF$13)))</f>
        <v>1000000000000</v>
      </c>
      <c r="BG134" s="173">
        <f ca="1">IF(OR($D134&lt;&gt;"Serviço",AND(AUTOEVENTO="Manual",$M134=$A$15),$M134&gt;(ROW(PLE.lastrow)-ROW(PLE.firstrow))),0,
           IF(OFFSET(PLE!$G$15,$M134-$A$15,BG$13)="",10^12,OFFSET(PLE!$G$15,$M134-$A$15,BG$13)))</f>
        <v>1000000000000</v>
      </c>
    </row>
    <row r="135" spans="1:59" s="675" customFormat="1" ht="25.5" x14ac:dyDescent="0.2">
      <c r="A135" s="671" t="str">
        <f t="shared" ca="1" si="10"/>
        <v>118</v>
      </c>
      <c r="B135" s="671" t="str">
        <f ca="1">OFFSET(ORÇAMENTO!C$15,ROW(B135)-ROW(B$15),0)</f>
        <v>S</v>
      </c>
      <c r="C135" s="671" t="str">
        <f ca="1">OFFSET(ORÇAMENTO!L$15,ROW(C135)-ROW(C$15),0)</f>
        <v/>
      </c>
      <c r="D135" s="117" t="str">
        <f ca="1">OFFSET(ORÇAMENTO!N$15,ROW(D135)-ROW(D$15),0)</f>
        <v>Serviço</v>
      </c>
      <c r="E135" s="118" t="str">
        <f ca="1">OFFSET(ORÇAMENTO!O$15,ROW(E135)-ROW(E$15),0)</f>
        <v>-</v>
      </c>
      <c r="F135" s="164" t="str">
        <f ca="1">OFFSET(ORÇAMENTO!R$15,ROW(F135)-ROW(F$15),0)</f>
        <v>(abra o arquivo 'Referência 09-2025.xlsm)</v>
      </c>
      <c r="G135" s="165" t="str">
        <f ca="1">IF($D135&lt;&gt;"Serviço","",OFFSET(ORÇAMENTO!S$15,ROW(G135)-ROW(G$15),0))</f>
        <v>-</v>
      </c>
      <c r="H135" s="123">
        <f ca="1">IF($D135&lt;&gt;"Serviço",0,IF(ACOMPANHAMENTO="BM",ROUND(OFFSET(ORÇAMENTO!AJ$15,ROW(H135)-ROW(H$15),0),15-13*ORÇAMENTO!$AF$7),SUMPRODUCT(($Q$1:$AA$1=1)*ROUND($Q135:$AA135,15-13*ORÇAMENTO!$AF$7))))</f>
        <v>7</v>
      </c>
      <c r="I135" s="469" t="s">
        <v>1125</v>
      </c>
      <c r="J135" s="667" t="str">
        <f ca="1">IF(OR(B135&lt;&gt;"S",CÁLCULO.FrentesPreenchidas=0),"",IF(AND(ACOMPANHAMENTO="PLE",AUTOEVENTO="Manual",OR(H135&gt;0,ORÇAMENTO!AC135="QUANT."),OR(K135="",M135=0,N135="")),"►",IF(AND(ACOMPANHAMENTO="PLE",ORÇAMENTO!AC135="QUANT."),"►►",IF(AND(COUNTIF($P$11:$AA$11,"▼")=0,H135&gt;0,I135=""),"◄",""))))</f>
        <v/>
      </c>
      <c r="K135" s="668"/>
      <c r="L135" s="166" t="s">
        <v>765</v>
      </c>
      <c r="M135" s="167">
        <f ca="1">IF($D135&lt;&gt;"Serviço","",
          IF(AUTOEVENTO="manual",$A135,
                IF(ISERROR(MATCH($A135,$A$15:OFFSET($A135,-1,0),0)),MAX($M$15:OFFSET(M135,-1,0))+1,
                      INDEX($M$15:OFFSET(M135,-1,0),MATCH($A135,$A$15:OFFSET($A135,-1,0),0)))))</f>
        <v>14</v>
      </c>
      <c r="N135" s="168" t="str">
        <f ca="1">IF($D135&lt;&gt;"Serviço","",
         IF(AUTOEVENTO="Manual",
                IF($A135=0,"&lt;-- defina o número do agrupador",
                       OFFSET(EVENTOS!$D$15,$A135-$A$15,0)),
                OFFSET($F$15,$A135,0)))</f>
        <v>POÇO DE VISITA</v>
      </c>
      <c r="O135" s="169"/>
      <c r="Q135" s="169"/>
      <c r="R135" s="170"/>
      <c r="S135" s="170"/>
      <c r="T135" s="170"/>
      <c r="U135" s="170"/>
      <c r="V135" s="170"/>
      <c r="W135" s="170"/>
      <c r="X135" s="170"/>
      <c r="Y135" s="170"/>
      <c r="Z135" s="171"/>
      <c r="AB135" s="454">
        <f ca="1">IF(AND($D135="Serviço",AB$12&lt;&gt;0,$H135&gt;0,OR(AUTOEVENTO&lt;&gt;"manual",$M135&lt;&gt;$A$15)),
        IF(Import.TipoArredondamento&lt;&gt;"TransfereGOV",
              ROUND(OFFSET($P135,0,AB$13),15-13*ORÇAMENTO!$AF$7)/$H135*OFFSET(ORÇAMENTO!$X$15,ROW(AB135)-ROW(AB$15),0),
              ROUND(ROUND(OFFSET($P135,0,AB$13),15-13*ORÇAMENTO!$AF$7)*OFFSET(ORÇAMENTO!$W$15,ROW(AB135)-ROW(AB$15),0),15-13*ORÇAMENTO!$AF$11)),
         0)</f>
        <v>0</v>
      </c>
      <c r="AC135" s="454">
        <f ca="1">IF(AND($D135="Serviço",AC$12&lt;&gt;0,$H135&gt;0,OR(AUTOEVENTO&lt;&gt;"manual",$M135&lt;&gt;$A$15)),
        IF(Import.TipoArredondamento&lt;&gt;"TransfereGOV",
              ROUND(OFFSET($P135,0,AC$13),15-13*ORÇAMENTO!$AF$7)/$H135*OFFSET(ORÇAMENTO!$X$15,ROW(AC135)-ROW(AC$15),0),
              ROUND(ROUND(OFFSET($P135,0,AC$13),15-13*ORÇAMENTO!$AF$7)*OFFSET(ORÇAMENTO!$W$15,ROW(AC135)-ROW(AC$15),0),15-13*ORÇAMENTO!$AF$11)),
         0)</f>
        <v>0</v>
      </c>
      <c r="AD135" s="454">
        <f ca="1">IF(AND($D135="Serviço",AD$12&lt;&gt;0,$H135&gt;0,OR(AUTOEVENTO&lt;&gt;"manual",$M135&lt;&gt;$A$15)),
        IF(Import.TipoArredondamento&lt;&gt;"TransfereGOV",
              ROUND(OFFSET($P135,0,AD$13),15-13*ORÇAMENTO!$AF$7)/$H135*OFFSET(ORÇAMENTO!$X$15,ROW(AD135)-ROW(AD$15),0),
              ROUND(ROUND(OFFSET($P135,0,AD$13),15-13*ORÇAMENTO!$AF$7)*OFFSET(ORÇAMENTO!$W$15,ROW(AD135)-ROW(AD$15),0),15-13*ORÇAMENTO!$AF$11)),
         0)</f>
        <v>0</v>
      </c>
      <c r="AE135" s="454">
        <f ca="1">IF(AND($D135="Serviço",AE$12&lt;&gt;0,$H135&gt;0,OR(AUTOEVENTO&lt;&gt;"manual",$M135&lt;&gt;$A$15)),
        IF(Import.TipoArredondamento&lt;&gt;"TransfereGOV",
              ROUND(OFFSET($P135,0,AE$13),15-13*ORÇAMENTO!$AF$7)/$H135*OFFSET(ORÇAMENTO!$X$15,ROW(AE135)-ROW(AE$15),0),
              ROUND(ROUND(OFFSET($P135,0,AE$13),15-13*ORÇAMENTO!$AF$7)*OFFSET(ORÇAMENTO!$W$15,ROW(AE135)-ROW(AE$15),0),15-13*ORÇAMENTO!$AF$11)),
         0)</f>
        <v>0</v>
      </c>
      <c r="AF135" s="454">
        <f ca="1">IF(AND($D135="Serviço",AF$12&lt;&gt;0,$H135&gt;0,OR(AUTOEVENTO&lt;&gt;"manual",$M135&lt;&gt;$A$15)),
        IF(Import.TipoArredondamento&lt;&gt;"TransfereGOV",
              ROUND(OFFSET($P135,0,AF$13),15-13*ORÇAMENTO!$AF$7)/$H135*OFFSET(ORÇAMENTO!$X$15,ROW(AF135)-ROW(AF$15),0),
              ROUND(ROUND(OFFSET($P135,0,AF$13),15-13*ORÇAMENTO!$AF$7)*OFFSET(ORÇAMENTO!$W$15,ROW(AF135)-ROW(AF$15),0),15-13*ORÇAMENTO!$AF$11)),
         0)</f>
        <v>0</v>
      </c>
      <c r="AG135" s="454">
        <f ca="1">IF(AND($D135="Serviço",AG$12&lt;&gt;0,$H135&gt;0,OR(AUTOEVENTO&lt;&gt;"manual",$M135&lt;&gt;$A$15)),
        IF(Import.TipoArredondamento&lt;&gt;"TransfereGOV",
              ROUND(OFFSET($P135,0,AG$13),15-13*ORÇAMENTO!$AF$7)/$H135*OFFSET(ORÇAMENTO!$X$15,ROW(AG135)-ROW(AG$15),0),
              ROUND(ROUND(OFFSET($P135,0,AG$13),15-13*ORÇAMENTO!$AF$7)*OFFSET(ORÇAMENTO!$W$15,ROW(AG135)-ROW(AG$15),0),15-13*ORÇAMENTO!$AF$11)),
         0)</f>
        <v>0</v>
      </c>
      <c r="AH135" s="454">
        <f ca="1">IF(AND($D135="Serviço",AH$12&lt;&gt;0,$H135&gt;0,OR(AUTOEVENTO&lt;&gt;"manual",$M135&lt;&gt;$A$15)),
        IF(Import.TipoArredondamento&lt;&gt;"TransfereGOV",
              ROUND(OFFSET($P135,0,AH$13),15-13*ORÇAMENTO!$AF$7)/$H135*OFFSET(ORÇAMENTO!$X$15,ROW(AH135)-ROW(AH$15),0),
              ROUND(ROUND(OFFSET($P135,0,AH$13),15-13*ORÇAMENTO!$AF$7)*OFFSET(ORÇAMENTO!$W$15,ROW(AH135)-ROW(AH$15),0),15-13*ORÇAMENTO!$AF$11)),
         0)</f>
        <v>0</v>
      </c>
      <c r="AI135" s="454">
        <f ca="1">IF(AND($D135="Serviço",AI$12&lt;&gt;0,$H135&gt;0,OR(AUTOEVENTO&lt;&gt;"manual",$M135&lt;&gt;$A$15)),
        IF(Import.TipoArredondamento&lt;&gt;"TransfereGOV",
              ROUND(OFFSET($P135,0,AI$13),15-13*ORÇAMENTO!$AF$7)/$H135*OFFSET(ORÇAMENTO!$X$15,ROW(AI135)-ROW(AI$15),0),
              ROUND(ROUND(OFFSET($P135,0,AI$13),15-13*ORÇAMENTO!$AF$7)*OFFSET(ORÇAMENTO!$W$15,ROW(AI135)-ROW(AI$15),0),15-13*ORÇAMENTO!$AF$11)),
         0)</f>
        <v>0</v>
      </c>
      <c r="AJ135" s="454">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4">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M135" s="172">
        <f ca="1">IF(OR($D135&lt;&gt;"Serviço",AND(AUTOEVENTO="Manual",$M135=$A$15)),0,
         IF(OFFSET(CRONOPLE!$F$15,$M135-$A$15,AM$13)=0,10^12,OFFSET(CRONOPLE!$F$15,$M135-$A$15,AM$13)))</f>
        <v>1000000000000</v>
      </c>
      <c r="AN135" s="172">
        <f ca="1">IF(OR($D135&lt;&gt;"Serviço",AND(AUTOEVENTO="Manual",$M135=$A$15)),0,
         IF(OFFSET(CRONOPLE!$F$15,$M135-$A$15,AN$13)=0,10^12,OFFSET(CRONOPLE!$F$15,$M135-$A$15,AN$13)))</f>
        <v>1000000000000</v>
      </c>
      <c r="AO135" s="172">
        <f ca="1">IF(OR($D135&lt;&gt;"Serviço",AND(AUTOEVENTO="Manual",$M135=$A$15)),0,
         IF(OFFSET(CRONOPLE!$F$15,$M135-$A$15,AO$13)=0,10^12,OFFSET(CRONOPLE!$F$15,$M135-$A$15,AO$13)))</f>
        <v>1000000000000</v>
      </c>
      <c r="AP135" s="172">
        <f ca="1">IF(OR($D135&lt;&gt;"Serviço",AND(AUTOEVENTO="Manual",$M135=$A$15)),0,
         IF(OFFSET(CRONOPLE!$F$15,$M135-$A$15,AP$13)=0,10^12,OFFSET(CRONOPLE!$F$15,$M135-$A$15,AP$13)))</f>
        <v>1000000000000</v>
      </c>
      <c r="AQ135" s="172">
        <f ca="1">IF(OR($D135&lt;&gt;"Serviço",AND(AUTOEVENTO="Manual",$M135=$A$15)),0,
         IF(OFFSET(CRONOPLE!$F$15,$M135-$A$15,AQ$13)=0,10^12,OFFSET(CRONOPLE!$F$15,$M135-$A$15,AQ$13)))</f>
        <v>1000000000000</v>
      </c>
      <c r="AR135" s="172">
        <f ca="1">IF(OR($D135&lt;&gt;"Serviço",AND(AUTOEVENTO="Manual",$M135=$A$15)),0,
         IF(OFFSET(CRONOPLE!$F$15,$M135-$A$15,AR$13)=0,10^12,OFFSET(CRONOPLE!$F$15,$M135-$A$15,AR$13)))</f>
        <v>1000000000000</v>
      </c>
      <c r="AS135" s="172">
        <f ca="1">IF(OR($D135&lt;&gt;"Serviço",AND(AUTOEVENTO="Manual",$M135=$A$15)),0,
         IF(OFFSET(CRONOPLE!$F$15,$M135-$A$15,AS$13)=0,10^12,OFFSET(CRONOPLE!$F$15,$M135-$A$15,AS$13)))</f>
        <v>1000000000000</v>
      </c>
      <c r="AT135" s="172">
        <f ca="1">IF(OR($D135&lt;&gt;"Serviço",AND(AUTOEVENTO="Manual",$M135=$A$15)),0,
         IF(OFFSET(CRONOPLE!$F$15,$M135-$A$15,AT$13)=0,10^12,OFFSET(CRONOPLE!$F$15,$M135-$A$15,AT$13)))</f>
        <v>1000000000000</v>
      </c>
      <c r="AU135" s="172">
        <f ca="1">IF(OR($D135&lt;&gt;"Serviço",AND(AUTOEVENTO="Manual",$M135=$A$15)),0,
         IF(OFFSET(CRONOPLE!$F$15,$M135-$A$15,AU$13)=0,10^12,OFFSET(CRONOPLE!$F$15,$M135-$A$15,AU$13)))</f>
        <v>1000000000000</v>
      </c>
      <c r="AV135" s="172">
        <f ca="1">IF(OR($D135&lt;&gt;"Serviço",AND(AUTOEVENTO="Manual",$M135=$A$15)),0,
         IF(OFFSET(CRONOPLE!$F$15,$M135-$A$15,AV$13)=0,10^12,OFFSET(CRONOPLE!$F$15,$M135-$A$15,AV$13)))</f>
        <v>1000000000000</v>
      </c>
      <c r="AX135" s="173">
        <f ca="1">IF(OR($D135&lt;&gt;"Serviço",AND(AUTOEVENTO="Manual",$M135=$A$15),$M135&gt;(ROW(PLE.lastrow)-ROW(PLE.firstrow))),0,
           IF(OFFSET(PLE!$G$15,$M135-$A$15,AX$13)="",10^12,OFFSET(PLE!$G$15,$M135-$A$15,AX$13)))</f>
        <v>1000000000000</v>
      </c>
      <c r="AY135" s="173">
        <f ca="1">IF(OR($D135&lt;&gt;"Serviço",AND(AUTOEVENTO="Manual",$M135=$A$15),$M135&gt;(ROW(PLE.lastrow)-ROW(PLE.firstrow))),0,
           IF(OFFSET(PLE!$G$15,$M135-$A$15,AY$13)="",10^12,OFFSET(PLE!$G$15,$M135-$A$15,AY$13)))</f>
        <v>1000000000000</v>
      </c>
      <c r="AZ135" s="173">
        <f ca="1">IF(OR($D135&lt;&gt;"Serviço",AND(AUTOEVENTO="Manual",$M135=$A$15),$M135&gt;(ROW(PLE.lastrow)-ROW(PLE.firstrow))),0,
           IF(OFFSET(PLE!$G$15,$M135-$A$15,AZ$13)="",10^12,OFFSET(PLE!$G$15,$M135-$A$15,AZ$13)))</f>
        <v>1000000000000</v>
      </c>
      <c r="BA135" s="173">
        <f ca="1">IF(OR($D135&lt;&gt;"Serviço",AND(AUTOEVENTO="Manual",$M135=$A$15),$M135&gt;(ROW(PLE.lastrow)-ROW(PLE.firstrow))),0,
           IF(OFFSET(PLE!$G$15,$M135-$A$15,BA$13)="",10^12,OFFSET(PLE!$G$15,$M135-$A$15,BA$13)))</f>
        <v>1000000000000</v>
      </c>
      <c r="BB135" s="173">
        <f ca="1">IF(OR($D135&lt;&gt;"Serviço",AND(AUTOEVENTO="Manual",$M135=$A$15),$M135&gt;(ROW(PLE.lastrow)-ROW(PLE.firstrow))),0,
           IF(OFFSET(PLE!$G$15,$M135-$A$15,BB$13)="",10^12,OFFSET(PLE!$G$15,$M135-$A$15,BB$13)))</f>
        <v>1000000000000</v>
      </c>
      <c r="BC135" s="173">
        <f ca="1">IF(OR($D135&lt;&gt;"Serviço",AND(AUTOEVENTO="Manual",$M135=$A$15),$M135&gt;(ROW(PLE.lastrow)-ROW(PLE.firstrow))),0,
           IF(OFFSET(PLE!$G$15,$M135-$A$15,BC$13)="",10^12,OFFSET(PLE!$G$15,$M135-$A$15,BC$13)))</f>
        <v>1000000000000</v>
      </c>
      <c r="BD135" s="173">
        <f ca="1">IF(OR($D135&lt;&gt;"Serviço",AND(AUTOEVENTO="Manual",$M135=$A$15),$M135&gt;(ROW(PLE.lastrow)-ROW(PLE.firstrow))),0,
           IF(OFFSET(PLE!$G$15,$M135-$A$15,BD$13)="",10^12,OFFSET(PLE!$G$15,$M135-$A$15,BD$13)))</f>
        <v>1000000000000</v>
      </c>
      <c r="BE135" s="173">
        <f ca="1">IF(OR($D135&lt;&gt;"Serviço",AND(AUTOEVENTO="Manual",$M135=$A$15),$M135&gt;(ROW(PLE.lastrow)-ROW(PLE.firstrow))),0,
           IF(OFFSET(PLE!$G$15,$M135-$A$15,BE$13)="",10^12,OFFSET(PLE!$G$15,$M135-$A$15,BE$13)))</f>
        <v>1000000000000</v>
      </c>
      <c r="BF135" s="173">
        <f ca="1">IF(OR($D135&lt;&gt;"Serviço",AND(AUTOEVENTO="Manual",$M135=$A$15),$M135&gt;(ROW(PLE.lastrow)-ROW(PLE.firstrow))),0,
           IF(OFFSET(PLE!$G$15,$M135-$A$15,BF$13)="",10^12,OFFSET(PLE!$G$15,$M135-$A$15,BF$13)))</f>
        <v>1000000000000</v>
      </c>
      <c r="BG135" s="173">
        <f ca="1">IF(OR($D135&lt;&gt;"Serviço",AND(AUTOEVENTO="Manual",$M135=$A$15),$M135&gt;(ROW(PLE.lastrow)-ROW(PLE.firstrow))),0,
           IF(OFFSET(PLE!$G$15,$M135-$A$15,BG$13)="",10^12,OFFSET(PLE!$G$15,$M135-$A$15,BG$13)))</f>
        <v>1000000000000</v>
      </c>
    </row>
    <row r="136" spans="1:59" s="675" customFormat="1" ht="25.5" x14ac:dyDescent="0.2">
      <c r="A136" s="671" t="str">
        <f t="shared" ca="1" si="10"/>
        <v>118</v>
      </c>
      <c r="B136" s="671" t="str">
        <f ca="1">OFFSET(ORÇAMENTO!C$15,ROW(B136)-ROW(B$15),0)</f>
        <v>S</v>
      </c>
      <c r="C136" s="671" t="str">
        <f ca="1">OFFSET(ORÇAMENTO!L$15,ROW(C136)-ROW(C$15),0)</f>
        <v/>
      </c>
      <c r="D136" s="117" t="str">
        <f ca="1">OFFSET(ORÇAMENTO!N$15,ROW(D136)-ROW(D$15),0)</f>
        <v>Serviço</v>
      </c>
      <c r="E136" s="118" t="str">
        <f ca="1">OFFSET(ORÇAMENTO!O$15,ROW(E136)-ROW(E$15),0)</f>
        <v>-</v>
      </c>
      <c r="F136" s="164" t="str">
        <f ca="1">OFFSET(ORÇAMENTO!R$15,ROW(F136)-ROW(F$15),0)</f>
        <v>(abra o arquivo 'Referência 09-2025.xlsm)</v>
      </c>
      <c r="G136" s="165" t="str">
        <f ca="1">IF($D136&lt;&gt;"Serviço","",OFFSET(ORÇAMENTO!S$15,ROW(G136)-ROW(G$15),0))</f>
        <v>-</v>
      </c>
      <c r="H136" s="123">
        <f ca="1">IF($D136&lt;&gt;"Serviço",0,IF(ACOMPANHAMENTO="BM",ROUND(OFFSET(ORÇAMENTO!AJ$15,ROW(H136)-ROW(H$15),0),15-13*ORÇAMENTO!$AF$7),SUMPRODUCT(($Q$1:$AA$1=1)*ROUND($Q136:$AA136,15-13*ORÇAMENTO!$AF$7))))</f>
        <v>3</v>
      </c>
      <c r="I136" s="469" t="s">
        <v>1126</v>
      </c>
      <c r="J136" s="667" t="str">
        <f ca="1">IF(OR(B136&lt;&gt;"S",CÁLCULO.FrentesPreenchidas=0),"",IF(AND(ACOMPANHAMENTO="PLE",AUTOEVENTO="Manual",OR(H136&gt;0,ORÇAMENTO!AC136="QUANT."),OR(K136="",M136=0,N136="")),"►",IF(AND(ACOMPANHAMENTO="PLE",ORÇAMENTO!AC136="QUANT."),"►►",IF(AND(COUNTIF($P$11:$AA$11,"▼")=0,H136&gt;0,I136=""),"◄",""))))</f>
        <v/>
      </c>
      <c r="K136" s="668"/>
      <c r="L136" s="166" t="s">
        <v>765</v>
      </c>
      <c r="M136" s="167">
        <f ca="1">IF($D136&lt;&gt;"Serviço","",
          IF(AUTOEVENTO="manual",$A136,
                IF(ISERROR(MATCH($A136,$A$15:OFFSET($A136,-1,0),0)),MAX($M$15:OFFSET(M136,-1,0))+1,
                      INDEX($M$15:OFFSET(M136,-1,0),MATCH($A136,$A$15:OFFSET($A136,-1,0),0)))))</f>
        <v>14</v>
      </c>
      <c r="N136" s="168" t="str">
        <f ca="1">IF($D136&lt;&gt;"Serviço","",
         IF(AUTOEVENTO="Manual",
                IF($A136=0,"&lt;-- defina o número do agrupador",
                       OFFSET(EVENTOS!$D$15,$A136-$A$15,0)),
                OFFSET($F$15,$A136,0)))</f>
        <v>POÇO DE VISITA</v>
      </c>
      <c r="O136" s="169"/>
      <c r="Q136" s="169"/>
      <c r="R136" s="170"/>
      <c r="S136" s="170"/>
      <c r="T136" s="170"/>
      <c r="U136" s="170"/>
      <c r="V136" s="170"/>
      <c r="W136" s="170"/>
      <c r="X136" s="170"/>
      <c r="Y136" s="170"/>
      <c r="Z136" s="171"/>
      <c r="AB136" s="454">
        <f ca="1">IF(AND($D136="Serviço",AB$12&lt;&gt;0,$H136&gt;0,OR(AUTOEVENTO&lt;&gt;"manual",$M136&lt;&gt;$A$15)),
        IF(Import.TipoArredondamento&lt;&gt;"TransfereGOV",
              ROUND(OFFSET($P136,0,AB$13),15-13*ORÇAMENTO!$AF$7)/$H136*OFFSET(ORÇAMENTO!$X$15,ROW(AB136)-ROW(AB$15),0),
              ROUND(ROUND(OFFSET($P136,0,AB$13),15-13*ORÇAMENTO!$AF$7)*OFFSET(ORÇAMENTO!$W$15,ROW(AB136)-ROW(AB$15),0),15-13*ORÇAMENTO!$AF$11)),
         0)</f>
        <v>0</v>
      </c>
      <c r="AC136" s="454">
        <f ca="1">IF(AND($D136="Serviço",AC$12&lt;&gt;0,$H136&gt;0,OR(AUTOEVENTO&lt;&gt;"manual",$M136&lt;&gt;$A$15)),
        IF(Import.TipoArredondamento&lt;&gt;"TransfereGOV",
              ROUND(OFFSET($P136,0,AC$13),15-13*ORÇAMENTO!$AF$7)/$H136*OFFSET(ORÇAMENTO!$X$15,ROW(AC136)-ROW(AC$15),0),
              ROUND(ROUND(OFFSET($P136,0,AC$13),15-13*ORÇAMENTO!$AF$7)*OFFSET(ORÇAMENTO!$W$15,ROW(AC136)-ROW(AC$15),0),15-13*ORÇAMENTO!$AF$11)),
         0)</f>
        <v>0</v>
      </c>
      <c r="AD136" s="454">
        <f ca="1">IF(AND($D136="Serviço",AD$12&lt;&gt;0,$H136&gt;0,OR(AUTOEVENTO&lt;&gt;"manual",$M136&lt;&gt;$A$15)),
        IF(Import.TipoArredondamento&lt;&gt;"TransfereGOV",
              ROUND(OFFSET($P136,0,AD$13),15-13*ORÇAMENTO!$AF$7)/$H136*OFFSET(ORÇAMENTO!$X$15,ROW(AD136)-ROW(AD$15),0),
              ROUND(ROUND(OFFSET($P136,0,AD$13),15-13*ORÇAMENTO!$AF$7)*OFFSET(ORÇAMENTO!$W$15,ROW(AD136)-ROW(AD$15),0),15-13*ORÇAMENTO!$AF$11)),
         0)</f>
        <v>0</v>
      </c>
      <c r="AE136" s="454">
        <f ca="1">IF(AND($D136="Serviço",AE$12&lt;&gt;0,$H136&gt;0,OR(AUTOEVENTO&lt;&gt;"manual",$M136&lt;&gt;$A$15)),
        IF(Import.TipoArredondamento&lt;&gt;"TransfereGOV",
              ROUND(OFFSET($P136,0,AE$13),15-13*ORÇAMENTO!$AF$7)/$H136*OFFSET(ORÇAMENTO!$X$15,ROW(AE136)-ROW(AE$15),0),
              ROUND(ROUND(OFFSET($P136,0,AE$13),15-13*ORÇAMENTO!$AF$7)*OFFSET(ORÇAMENTO!$W$15,ROW(AE136)-ROW(AE$15),0),15-13*ORÇAMENTO!$AF$11)),
         0)</f>
        <v>0</v>
      </c>
      <c r="AF136" s="454">
        <f ca="1">IF(AND($D136="Serviço",AF$12&lt;&gt;0,$H136&gt;0,OR(AUTOEVENTO&lt;&gt;"manual",$M136&lt;&gt;$A$15)),
        IF(Import.TipoArredondamento&lt;&gt;"TransfereGOV",
              ROUND(OFFSET($P136,0,AF$13),15-13*ORÇAMENTO!$AF$7)/$H136*OFFSET(ORÇAMENTO!$X$15,ROW(AF136)-ROW(AF$15),0),
              ROUND(ROUND(OFFSET($P136,0,AF$13),15-13*ORÇAMENTO!$AF$7)*OFFSET(ORÇAMENTO!$W$15,ROW(AF136)-ROW(AF$15),0),15-13*ORÇAMENTO!$AF$11)),
         0)</f>
        <v>0</v>
      </c>
      <c r="AG136" s="454">
        <f ca="1">IF(AND($D136="Serviço",AG$12&lt;&gt;0,$H136&gt;0,OR(AUTOEVENTO&lt;&gt;"manual",$M136&lt;&gt;$A$15)),
        IF(Import.TipoArredondamento&lt;&gt;"TransfereGOV",
              ROUND(OFFSET($P136,0,AG$13),15-13*ORÇAMENTO!$AF$7)/$H136*OFFSET(ORÇAMENTO!$X$15,ROW(AG136)-ROW(AG$15),0),
              ROUND(ROUND(OFFSET($P136,0,AG$13),15-13*ORÇAMENTO!$AF$7)*OFFSET(ORÇAMENTO!$W$15,ROW(AG136)-ROW(AG$15),0),15-13*ORÇAMENTO!$AF$11)),
         0)</f>
        <v>0</v>
      </c>
      <c r="AH136" s="454">
        <f ca="1">IF(AND($D136="Serviço",AH$12&lt;&gt;0,$H136&gt;0,OR(AUTOEVENTO&lt;&gt;"manual",$M136&lt;&gt;$A$15)),
        IF(Import.TipoArredondamento&lt;&gt;"TransfereGOV",
              ROUND(OFFSET($P136,0,AH$13),15-13*ORÇAMENTO!$AF$7)/$H136*OFFSET(ORÇAMENTO!$X$15,ROW(AH136)-ROW(AH$15),0),
              ROUND(ROUND(OFFSET($P136,0,AH$13),15-13*ORÇAMENTO!$AF$7)*OFFSET(ORÇAMENTO!$W$15,ROW(AH136)-ROW(AH$15),0),15-13*ORÇAMENTO!$AF$11)),
         0)</f>
        <v>0</v>
      </c>
      <c r="AI136" s="454">
        <f ca="1">IF(AND($D136="Serviço",AI$12&lt;&gt;0,$H136&gt;0,OR(AUTOEVENTO&lt;&gt;"manual",$M136&lt;&gt;$A$15)),
        IF(Import.TipoArredondamento&lt;&gt;"TransfereGOV",
              ROUND(OFFSET($P136,0,AI$13),15-13*ORÇAMENTO!$AF$7)/$H136*OFFSET(ORÇAMENTO!$X$15,ROW(AI136)-ROW(AI$15),0),
              ROUND(ROUND(OFFSET($P136,0,AI$13),15-13*ORÇAMENTO!$AF$7)*OFFSET(ORÇAMENTO!$W$15,ROW(AI136)-ROW(AI$15),0),15-13*ORÇAMENTO!$AF$11)),
         0)</f>
        <v>0</v>
      </c>
      <c r="AJ136" s="454">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4">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M136" s="172">
        <f ca="1">IF(OR($D136&lt;&gt;"Serviço",AND(AUTOEVENTO="Manual",$M136=$A$15)),0,
         IF(OFFSET(CRONOPLE!$F$15,$M136-$A$15,AM$13)=0,10^12,OFFSET(CRONOPLE!$F$15,$M136-$A$15,AM$13)))</f>
        <v>1000000000000</v>
      </c>
      <c r="AN136" s="172">
        <f ca="1">IF(OR($D136&lt;&gt;"Serviço",AND(AUTOEVENTO="Manual",$M136=$A$15)),0,
         IF(OFFSET(CRONOPLE!$F$15,$M136-$A$15,AN$13)=0,10^12,OFFSET(CRONOPLE!$F$15,$M136-$A$15,AN$13)))</f>
        <v>1000000000000</v>
      </c>
      <c r="AO136" s="172">
        <f ca="1">IF(OR($D136&lt;&gt;"Serviço",AND(AUTOEVENTO="Manual",$M136=$A$15)),0,
         IF(OFFSET(CRONOPLE!$F$15,$M136-$A$15,AO$13)=0,10^12,OFFSET(CRONOPLE!$F$15,$M136-$A$15,AO$13)))</f>
        <v>1000000000000</v>
      </c>
      <c r="AP136" s="172">
        <f ca="1">IF(OR($D136&lt;&gt;"Serviço",AND(AUTOEVENTO="Manual",$M136=$A$15)),0,
         IF(OFFSET(CRONOPLE!$F$15,$M136-$A$15,AP$13)=0,10^12,OFFSET(CRONOPLE!$F$15,$M136-$A$15,AP$13)))</f>
        <v>1000000000000</v>
      </c>
      <c r="AQ136" s="172">
        <f ca="1">IF(OR($D136&lt;&gt;"Serviço",AND(AUTOEVENTO="Manual",$M136=$A$15)),0,
         IF(OFFSET(CRONOPLE!$F$15,$M136-$A$15,AQ$13)=0,10^12,OFFSET(CRONOPLE!$F$15,$M136-$A$15,AQ$13)))</f>
        <v>1000000000000</v>
      </c>
      <c r="AR136" s="172">
        <f ca="1">IF(OR($D136&lt;&gt;"Serviço",AND(AUTOEVENTO="Manual",$M136=$A$15)),0,
         IF(OFFSET(CRONOPLE!$F$15,$M136-$A$15,AR$13)=0,10^12,OFFSET(CRONOPLE!$F$15,$M136-$A$15,AR$13)))</f>
        <v>1000000000000</v>
      </c>
      <c r="AS136" s="172">
        <f ca="1">IF(OR($D136&lt;&gt;"Serviço",AND(AUTOEVENTO="Manual",$M136=$A$15)),0,
         IF(OFFSET(CRONOPLE!$F$15,$M136-$A$15,AS$13)=0,10^12,OFFSET(CRONOPLE!$F$15,$M136-$A$15,AS$13)))</f>
        <v>1000000000000</v>
      </c>
      <c r="AT136" s="172">
        <f ca="1">IF(OR($D136&lt;&gt;"Serviço",AND(AUTOEVENTO="Manual",$M136=$A$15)),0,
         IF(OFFSET(CRONOPLE!$F$15,$M136-$A$15,AT$13)=0,10^12,OFFSET(CRONOPLE!$F$15,$M136-$A$15,AT$13)))</f>
        <v>1000000000000</v>
      </c>
      <c r="AU136" s="172">
        <f ca="1">IF(OR($D136&lt;&gt;"Serviço",AND(AUTOEVENTO="Manual",$M136=$A$15)),0,
         IF(OFFSET(CRONOPLE!$F$15,$M136-$A$15,AU$13)=0,10^12,OFFSET(CRONOPLE!$F$15,$M136-$A$15,AU$13)))</f>
        <v>1000000000000</v>
      </c>
      <c r="AV136" s="172">
        <f ca="1">IF(OR($D136&lt;&gt;"Serviço",AND(AUTOEVENTO="Manual",$M136=$A$15)),0,
         IF(OFFSET(CRONOPLE!$F$15,$M136-$A$15,AV$13)=0,10^12,OFFSET(CRONOPLE!$F$15,$M136-$A$15,AV$13)))</f>
        <v>1000000000000</v>
      </c>
      <c r="AX136" s="173">
        <f ca="1">IF(OR($D136&lt;&gt;"Serviço",AND(AUTOEVENTO="Manual",$M136=$A$15),$M136&gt;(ROW(PLE.lastrow)-ROW(PLE.firstrow))),0,
           IF(OFFSET(PLE!$G$15,$M136-$A$15,AX$13)="",10^12,OFFSET(PLE!$G$15,$M136-$A$15,AX$13)))</f>
        <v>1000000000000</v>
      </c>
      <c r="AY136" s="173">
        <f ca="1">IF(OR($D136&lt;&gt;"Serviço",AND(AUTOEVENTO="Manual",$M136=$A$15),$M136&gt;(ROW(PLE.lastrow)-ROW(PLE.firstrow))),0,
           IF(OFFSET(PLE!$G$15,$M136-$A$15,AY$13)="",10^12,OFFSET(PLE!$G$15,$M136-$A$15,AY$13)))</f>
        <v>1000000000000</v>
      </c>
      <c r="AZ136" s="173">
        <f ca="1">IF(OR($D136&lt;&gt;"Serviço",AND(AUTOEVENTO="Manual",$M136=$A$15),$M136&gt;(ROW(PLE.lastrow)-ROW(PLE.firstrow))),0,
           IF(OFFSET(PLE!$G$15,$M136-$A$15,AZ$13)="",10^12,OFFSET(PLE!$G$15,$M136-$A$15,AZ$13)))</f>
        <v>1000000000000</v>
      </c>
      <c r="BA136" s="173">
        <f ca="1">IF(OR($D136&lt;&gt;"Serviço",AND(AUTOEVENTO="Manual",$M136=$A$15),$M136&gt;(ROW(PLE.lastrow)-ROW(PLE.firstrow))),0,
           IF(OFFSET(PLE!$G$15,$M136-$A$15,BA$13)="",10^12,OFFSET(PLE!$G$15,$M136-$A$15,BA$13)))</f>
        <v>1000000000000</v>
      </c>
      <c r="BB136" s="173">
        <f ca="1">IF(OR($D136&lt;&gt;"Serviço",AND(AUTOEVENTO="Manual",$M136=$A$15),$M136&gt;(ROW(PLE.lastrow)-ROW(PLE.firstrow))),0,
           IF(OFFSET(PLE!$G$15,$M136-$A$15,BB$13)="",10^12,OFFSET(PLE!$G$15,$M136-$A$15,BB$13)))</f>
        <v>1000000000000</v>
      </c>
      <c r="BC136" s="173">
        <f ca="1">IF(OR($D136&lt;&gt;"Serviço",AND(AUTOEVENTO="Manual",$M136=$A$15),$M136&gt;(ROW(PLE.lastrow)-ROW(PLE.firstrow))),0,
           IF(OFFSET(PLE!$G$15,$M136-$A$15,BC$13)="",10^12,OFFSET(PLE!$G$15,$M136-$A$15,BC$13)))</f>
        <v>1000000000000</v>
      </c>
      <c r="BD136" s="173">
        <f ca="1">IF(OR($D136&lt;&gt;"Serviço",AND(AUTOEVENTO="Manual",$M136=$A$15),$M136&gt;(ROW(PLE.lastrow)-ROW(PLE.firstrow))),0,
           IF(OFFSET(PLE!$G$15,$M136-$A$15,BD$13)="",10^12,OFFSET(PLE!$G$15,$M136-$A$15,BD$13)))</f>
        <v>1000000000000</v>
      </c>
      <c r="BE136" s="173">
        <f ca="1">IF(OR($D136&lt;&gt;"Serviço",AND(AUTOEVENTO="Manual",$M136=$A$15),$M136&gt;(ROW(PLE.lastrow)-ROW(PLE.firstrow))),0,
           IF(OFFSET(PLE!$G$15,$M136-$A$15,BE$13)="",10^12,OFFSET(PLE!$G$15,$M136-$A$15,BE$13)))</f>
        <v>1000000000000</v>
      </c>
      <c r="BF136" s="173">
        <f ca="1">IF(OR($D136&lt;&gt;"Serviço",AND(AUTOEVENTO="Manual",$M136=$A$15),$M136&gt;(ROW(PLE.lastrow)-ROW(PLE.firstrow))),0,
           IF(OFFSET(PLE!$G$15,$M136-$A$15,BF$13)="",10^12,OFFSET(PLE!$G$15,$M136-$A$15,BF$13)))</f>
        <v>1000000000000</v>
      </c>
      <c r="BG136" s="173">
        <f ca="1">IF(OR($D136&lt;&gt;"Serviço",AND(AUTOEVENTO="Manual",$M136=$A$15),$M136&gt;(ROW(PLE.lastrow)-ROW(PLE.firstrow))),0,
           IF(OFFSET(PLE!$G$15,$M136-$A$15,BG$13)="",10^12,OFFSET(PLE!$G$15,$M136-$A$15,BG$13)))</f>
        <v>1000000000000</v>
      </c>
    </row>
    <row r="137" spans="1:59" s="675" customFormat="1" ht="25.5" x14ac:dyDescent="0.2">
      <c r="A137" s="671" t="str">
        <f t="shared" ca="1" si="10"/>
        <v>118</v>
      </c>
      <c r="B137" s="671" t="str">
        <f ca="1">OFFSET(ORÇAMENTO!C$15,ROW(B137)-ROW(B$15),0)</f>
        <v>S</v>
      </c>
      <c r="C137" s="671" t="str">
        <f ca="1">OFFSET(ORÇAMENTO!L$15,ROW(C137)-ROW(C$15),0)</f>
        <v/>
      </c>
      <c r="D137" s="117" t="str">
        <f ca="1">OFFSET(ORÇAMENTO!N$15,ROW(D137)-ROW(D$15),0)</f>
        <v>Serviço</v>
      </c>
      <c r="E137" s="118" t="str">
        <f ca="1">OFFSET(ORÇAMENTO!O$15,ROW(E137)-ROW(E$15),0)</f>
        <v>-</v>
      </c>
      <c r="F137" s="164" t="str">
        <f ca="1">OFFSET(ORÇAMENTO!R$15,ROW(F137)-ROW(F$15),0)</f>
        <v>(abra o arquivo 'Referência 09-2025.xlsm)</v>
      </c>
      <c r="G137" s="165" t="str">
        <f ca="1">IF($D137&lt;&gt;"Serviço","",OFFSET(ORÇAMENTO!S$15,ROW(G137)-ROW(G$15),0))</f>
        <v>-</v>
      </c>
      <c r="H137" s="123">
        <f ca="1">IF($D137&lt;&gt;"Serviço",0,IF(ACOMPANHAMENTO="BM",ROUND(OFFSET(ORÇAMENTO!AJ$15,ROW(H137)-ROW(H$15),0),15-13*ORÇAMENTO!$AF$7),SUMPRODUCT(($Q$1:$AA$1=1)*ROUND($Q137:$AA137,15-13*ORÇAMENTO!$AF$7))))</f>
        <v>6</v>
      </c>
      <c r="I137" s="469" t="s">
        <v>1127</v>
      </c>
      <c r="J137" s="667" t="str">
        <f ca="1">IF(OR(B137&lt;&gt;"S",CÁLCULO.FrentesPreenchidas=0),"",IF(AND(ACOMPANHAMENTO="PLE",AUTOEVENTO="Manual",OR(H137&gt;0,ORÇAMENTO!AC137="QUANT."),OR(K137="",M137=0,N137="")),"►",IF(AND(ACOMPANHAMENTO="PLE",ORÇAMENTO!AC137="QUANT."),"►►",IF(AND(COUNTIF($P$11:$AA$11,"▼")=0,H137&gt;0,I137=""),"◄",""))))</f>
        <v/>
      </c>
      <c r="K137" s="668"/>
      <c r="L137" s="166" t="s">
        <v>765</v>
      </c>
      <c r="M137" s="167">
        <f ca="1">IF($D137&lt;&gt;"Serviço","",
          IF(AUTOEVENTO="manual",$A137,
                IF(ISERROR(MATCH($A137,$A$15:OFFSET($A137,-1,0),0)),MAX($M$15:OFFSET(M137,-1,0))+1,
                      INDEX($M$15:OFFSET(M137,-1,0),MATCH($A137,$A$15:OFFSET($A137,-1,0),0)))))</f>
        <v>14</v>
      </c>
      <c r="N137" s="168" t="str">
        <f ca="1">IF($D137&lt;&gt;"Serviço","",
         IF(AUTOEVENTO="Manual",
                IF($A137=0,"&lt;-- defina o número do agrupador",
                       OFFSET(EVENTOS!$D$15,$A137-$A$15,0)),
                OFFSET($F$15,$A137,0)))</f>
        <v>POÇO DE VISITA</v>
      </c>
      <c r="O137" s="169"/>
      <c r="Q137" s="169"/>
      <c r="R137" s="170"/>
      <c r="S137" s="170"/>
      <c r="T137" s="170"/>
      <c r="U137" s="170"/>
      <c r="V137" s="170"/>
      <c r="W137" s="170"/>
      <c r="X137" s="170"/>
      <c r="Y137" s="170"/>
      <c r="Z137" s="171"/>
      <c r="AB137" s="454">
        <f ca="1">IF(AND($D137="Serviço",AB$12&lt;&gt;0,$H137&gt;0,OR(AUTOEVENTO&lt;&gt;"manual",$M137&lt;&gt;$A$15)),
        IF(Import.TipoArredondamento&lt;&gt;"TransfereGOV",
              ROUND(OFFSET($P137,0,AB$13),15-13*ORÇAMENTO!$AF$7)/$H137*OFFSET(ORÇAMENTO!$X$15,ROW(AB137)-ROW(AB$15),0),
              ROUND(ROUND(OFFSET($P137,0,AB$13),15-13*ORÇAMENTO!$AF$7)*OFFSET(ORÇAMENTO!$W$15,ROW(AB137)-ROW(AB$15),0),15-13*ORÇAMENTO!$AF$11)),
         0)</f>
        <v>0</v>
      </c>
      <c r="AC137" s="454">
        <f ca="1">IF(AND($D137="Serviço",AC$12&lt;&gt;0,$H137&gt;0,OR(AUTOEVENTO&lt;&gt;"manual",$M137&lt;&gt;$A$15)),
        IF(Import.TipoArredondamento&lt;&gt;"TransfereGOV",
              ROUND(OFFSET($P137,0,AC$13),15-13*ORÇAMENTO!$AF$7)/$H137*OFFSET(ORÇAMENTO!$X$15,ROW(AC137)-ROW(AC$15),0),
              ROUND(ROUND(OFFSET($P137,0,AC$13),15-13*ORÇAMENTO!$AF$7)*OFFSET(ORÇAMENTO!$W$15,ROW(AC137)-ROW(AC$15),0),15-13*ORÇAMENTO!$AF$11)),
         0)</f>
        <v>0</v>
      </c>
      <c r="AD137" s="454">
        <f ca="1">IF(AND($D137="Serviço",AD$12&lt;&gt;0,$H137&gt;0,OR(AUTOEVENTO&lt;&gt;"manual",$M137&lt;&gt;$A$15)),
        IF(Import.TipoArredondamento&lt;&gt;"TransfereGOV",
              ROUND(OFFSET($P137,0,AD$13),15-13*ORÇAMENTO!$AF$7)/$H137*OFFSET(ORÇAMENTO!$X$15,ROW(AD137)-ROW(AD$15),0),
              ROUND(ROUND(OFFSET($P137,0,AD$13),15-13*ORÇAMENTO!$AF$7)*OFFSET(ORÇAMENTO!$W$15,ROW(AD137)-ROW(AD$15),0),15-13*ORÇAMENTO!$AF$11)),
         0)</f>
        <v>0</v>
      </c>
      <c r="AE137" s="454">
        <f ca="1">IF(AND($D137="Serviço",AE$12&lt;&gt;0,$H137&gt;0,OR(AUTOEVENTO&lt;&gt;"manual",$M137&lt;&gt;$A$15)),
        IF(Import.TipoArredondamento&lt;&gt;"TransfereGOV",
              ROUND(OFFSET($P137,0,AE$13),15-13*ORÇAMENTO!$AF$7)/$H137*OFFSET(ORÇAMENTO!$X$15,ROW(AE137)-ROW(AE$15),0),
              ROUND(ROUND(OFFSET($P137,0,AE$13),15-13*ORÇAMENTO!$AF$7)*OFFSET(ORÇAMENTO!$W$15,ROW(AE137)-ROW(AE$15),0),15-13*ORÇAMENTO!$AF$11)),
         0)</f>
        <v>0</v>
      </c>
      <c r="AF137" s="454">
        <f ca="1">IF(AND($D137="Serviço",AF$12&lt;&gt;0,$H137&gt;0,OR(AUTOEVENTO&lt;&gt;"manual",$M137&lt;&gt;$A$15)),
        IF(Import.TipoArredondamento&lt;&gt;"TransfereGOV",
              ROUND(OFFSET($P137,0,AF$13),15-13*ORÇAMENTO!$AF$7)/$H137*OFFSET(ORÇAMENTO!$X$15,ROW(AF137)-ROW(AF$15),0),
              ROUND(ROUND(OFFSET($P137,0,AF$13),15-13*ORÇAMENTO!$AF$7)*OFFSET(ORÇAMENTO!$W$15,ROW(AF137)-ROW(AF$15),0),15-13*ORÇAMENTO!$AF$11)),
         0)</f>
        <v>0</v>
      </c>
      <c r="AG137" s="454">
        <f ca="1">IF(AND($D137="Serviço",AG$12&lt;&gt;0,$H137&gt;0,OR(AUTOEVENTO&lt;&gt;"manual",$M137&lt;&gt;$A$15)),
        IF(Import.TipoArredondamento&lt;&gt;"TransfereGOV",
              ROUND(OFFSET($P137,0,AG$13),15-13*ORÇAMENTO!$AF$7)/$H137*OFFSET(ORÇAMENTO!$X$15,ROW(AG137)-ROW(AG$15),0),
              ROUND(ROUND(OFFSET($P137,0,AG$13),15-13*ORÇAMENTO!$AF$7)*OFFSET(ORÇAMENTO!$W$15,ROW(AG137)-ROW(AG$15),0),15-13*ORÇAMENTO!$AF$11)),
         0)</f>
        <v>0</v>
      </c>
      <c r="AH137" s="454">
        <f ca="1">IF(AND($D137="Serviço",AH$12&lt;&gt;0,$H137&gt;0,OR(AUTOEVENTO&lt;&gt;"manual",$M137&lt;&gt;$A$15)),
        IF(Import.TipoArredondamento&lt;&gt;"TransfereGOV",
              ROUND(OFFSET($P137,0,AH$13),15-13*ORÇAMENTO!$AF$7)/$H137*OFFSET(ORÇAMENTO!$X$15,ROW(AH137)-ROW(AH$15),0),
              ROUND(ROUND(OFFSET($P137,0,AH$13),15-13*ORÇAMENTO!$AF$7)*OFFSET(ORÇAMENTO!$W$15,ROW(AH137)-ROW(AH$15),0),15-13*ORÇAMENTO!$AF$11)),
         0)</f>
        <v>0</v>
      </c>
      <c r="AI137" s="454">
        <f ca="1">IF(AND($D137="Serviço",AI$12&lt;&gt;0,$H137&gt;0,OR(AUTOEVENTO&lt;&gt;"manual",$M137&lt;&gt;$A$15)),
        IF(Import.TipoArredondamento&lt;&gt;"TransfereGOV",
              ROUND(OFFSET($P137,0,AI$13),15-13*ORÇAMENTO!$AF$7)/$H137*OFFSET(ORÇAMENTO!$X$15,ROW(AI137)-ROW(AI$15),0),
              ROUND(ROUND(OFFSET($P137,0,AI$13),15-13*ORÇAMENTO!$AF$7)*OFFSET(ORÇAMENTO!$W$15,ROW(AI137)-ROW(AI$15),0),15-13*ORÇAMENTO!$AF$11)),
         0)</f>
        <v>0</v>
      </c>
      <c r="AJ137" s="454">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4">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M137" s="172">
        <f ca="1">IF(OR($D137&lt;&gt;"Serviço",AND(AUTOEVENTO="Manual",$M137=$A$15)),0,
         IF(OFFSET(CRONOPLE!$F$15,$M137-$A$15,AM$13)=0,10^12,OFFSET(CRONOPLE!$F$15,$M137-$A$15,AM$13)))</f>
        <v>1000000000000</v>
      </c>
      <c r="AN137" s="172">
        <f ca="1">IF(OR($D137&lt;&gt;"Serviço",AND(AUTOEVENTO="Manual",$M137=$A$15)),0,
         IF(OFFSET(CRONOPLE!$F$15,$M137-$A$15,AN$13)=0,10^12,OFFSET(CRONOPLE!$F$15,$M137-$A$15,AN$13)))</f>
        <v>1000000000000</v>
      </c>
      <c r="AO137" s="172">
        <f ca="1">IF(OR($D137&lt;&gt;"Serviço",AND(AUTOEVENTO="Manual",$M137=$A$15)),0,
         IF(OFFSET(CRONOPLE!$F$15,$M137-$A$15,AO$13)=0,10^12,OFFSET(CRONOPLE!$F$15,$M137-$A$15,AO$13)))</f>
        <v>1000000000000</v>
      </c>
      <c r="AP137" s="172">
        <f ca="1">IF(OR($D137&lt;&gt;"Serviço",AND(AUTOEVENTO="Manual",$M137=$A$15)),0,
         IF(OFFSET(CRONOPLE!$F$15,$M137-$A$15,AP$13)=0,10^12,OFFSET(CRONOPLE!$F$15,$M137-$A$15,AP$13)))</f>
        <v>1000000000000</v>
      </c>
      <c r="AQ137" s="172">
        <f ca="1">IF(OR($D137&lt;&gt;"Serviço",AND(AUTOEVENTO="Manual",$M137=$A$15)),0,
         IF(OFFSET(CRONOPLE!$F$15,$M137-$A$15,AQ$13)=0,10^12,OFFSET(CRONOPLE!$F$15,$M137-$A$15,AQ$13)))</f>
        <v>1000000000000</v>
      </c>
      <c r="AR137" s="172">
        <f ca="1">IF(OR($D137&lt;&gt;"Serviço",AND(AUTOEVENTO="Manual",$M137=$A$15)),0,
         IF(OFFSET(CRONOPLE!$F$15,$M137-$A$15,AR$13)=0,10^12,OFFSET(CRONOPLE!$F$15,$M137-$A$15,AR$13)))</f>
        <v>1000000000000</v>
      </c>
      <c r="AS137" s="172">
        <f ca="1">IF(OR($D137&lt;&gt;"Serviço",AND(AUTOEVENTO="Manual",$M137=$A$15)),0,
         IF(OFFSET(CRONOPLE!$F$15,$M137-$A$15,AS$13)=0,10^12,OFFSET(CRONOPLE!$F$15,$M137-$A$15,AS$13)))</f>
        <v>1000000000000</v>
      </c>
      <c r="AT137" s="172">
        <f ca="1">IF(OR($D137&lt;&gt;"Serviço",AND(AUTOEVENTO="Manual",$M137=$A$15)),0,
         IF(OFFSET(CRONOPLE!$F$15,$M137-$A$15,AT$13)=0,10^12,OFFSET(CRONOPLE!$F$15,$M137-$A$15,AT$13)))</f>
        <v>1000000000000</v>
      </c>
      <c r="AU137" s="172">
        <f ca="1">IF(OR($D137&lt;&gt;"Serviço",AND(AUTOEVENTO="Manual",$M137=$A$15)),0,
         IF(OFFSET(CRONOPLE!$F$15,$M137-$A$15,AU$13)=0,10^12,OFFSET(CRONOPLE!$F$15,$M137-$A$15,AU$13)))</f>
        <v>1000000000000</v>
      </c>
      <c r="AV137" s="172">
        <f ca="1">IF(OR($D137&lt;&gt;"Serviço",AND(AUTOEVENTO="Manual",$M137=$A$15)),0,
         IF(OFFSET(CRONOPLE!$F$15,$M137-$A$15,AV$13)=0,10^12,OFFSET(CRONOPLE!$F$15,$M137-$A$15,AV$13)))</f>
        <v>1000000000000</v>
      </c>
      <c r="AX137" s="173">
        <f ca="1">IF(OR($D137&lt;&gt;"Serviço",AND(AUTOEVENTO="Manual",$M137=$A$15),$M137&gt;(ROW(PLE.lastrow)-ROW(PLE.firstrow))),0,
           IF(OFFSET(PLE!$G$15,$M137-$A$15,AX$13)="",10^12,OFFSET(PLE!$G$15,$M137-$A$15,AX$13)))</f>
        <v>1000000000000</v>
      </c>
      <c r="AY137" s="173">
        <f ca="1">IF(OR($D137&lt;&gt;"Serviço",AND(AUTOEVENTO="Manual",$M137=$A$15),$M137&gt;(ROW(PLE.lastrow)-ROW(PLE.firstrow))),0,
           IF(OFFSET(PLE!$G$15,$M137-$A$15,AY$13)="",10^12,OFFSET(PLE!$G$15,$M137-$A$15,AY$13)))</f>
        <v>1000000000000</v>
      </c>
      <c r="AZ137" s="173">
        <f ca="1">IF(OR($D137&lt;&gt;"Serviço",AND(AUTOEVENTO="Manual",$M137=$A$15),$M137&gt;(ROW(PLE.lastrow)-ROW(PLE.firstrow))),0,
           IF(OFFSET(PLE!$G$15,$M137-$A$15,AZ$13)="",10^12,OFFSET(PLE!$G$15,$M137-$A$15,AZ$13)))</f>
        <v>1000000000000</v>
      </c>
      <c r="BA137" s="173">
        <f ca="1">IF(OR($D137&lt;&gt;"Serviço",AND(AUTOEVENTO="Manual",$M137=$A$15),$M137&gt;(ROW(PLE.lastrow)-ROW(PLE.firstrow))),0,
           IF(OFFSET(PLE!$G$15,$M137-$A$15,BA$13)="",10^12,OFFSET(PLE!$G$15,$M137-$A$15,BA$13)))</f>
        <v>1000000000000</v>
      </c>
      <c r="BB137" s="173">
        <f ca="1">IF(OR($D137&lt;&gt;"Serviço",AND(AUTOEVENTO="Manual",$M137=$A$15),$M137&gt;(ROW(PLE.lastrow)-ROW(PLE.firstrow))),0,
           IF(OFFSET(PLE!$G$15,$M137-$A$15,BB$13)="",10^12,OFFSET(PLE!$G$15,$M137-$A$15,BB$13)))</f>
        <v>1000000000000</v>
      </c>
      <c r="BC137" s="173">
        <f ca="1">IF(OR($D137&lt;&gt;"Serviço",AND(AUTOEVENTO="Manual",$M137=$A$15),$M137&gt;(ROW(PLE.lastrow)-ROW(PLE.firstrow))),0,
           IF(OFFSET(PLE!$G$15,$M137-$A$15,BC$13)="",10^12,OFFSET(PLE!$G$15,$M137-$A$15,BC$13)))</f>
        <v>1000000000000</v>
      </c>
      <c r="BD137" s="173">
        <f ca="1">IF(OR($D137&lt;&gt;"Serviço",AND(AUTOEVENTO="Manual",$M137=$A$15),$M137&gt;(ROW(PLE.lastrow)-ROW(PLE.firstrow))),0,
           IF(OFFSET(PLE!$G$15,$M137-$A$15,BD$13)="",10^12,OFFSET(PLE!$G$15,$M137-$A$15,BD$13)))</f>
        <v>1000000000000</v>
      </c>
      <c r="BE137" s="173">
        <f ca="1">IF(OR($D137&lt;&gt;"Serviço",AND(AUTOEVENTO="Manual",$M137=$A$15),$M137&gt;(ROW(PLE.lastrow)-ROW(PLE.firstrow))),0,
           IF(OFFSET(PLE!$G$15,$M137-$A$15,BE$13)="",10^12,OFFSET(PLE!$G$15,$M137-$A$15,BE$13)))</f>
        <v>1000000000000</v>
      </c>
      <c r="BF137" s="173">
        <f ca="1">IF(OR($D137&lt;&gt;"Serviço",AND(AUTOEVENTO="Manual",$M137=$A$15),$M137&gt;(ROW(PLE.lastrow)-ROW(PLE.firstrow))),0,
           IF(OFFSET(PLE!$G$15,$M137-$A$15,BF$13)="",10^12,OFFSET(PLE!$G$15,$M137-$A$15,BF$13)))</f>
        <v>1000000000000</v>
      </c>
      <c r="BG137" s="173">
        <f ca="1">IF(OR($D137&lt;&gt;"Serviço",AND(AUTOEVENTO="Manual",$M137=$A$15),$M137&gt;(ROW(PLE.lastrow)-ROW(PLE.firstrow))),0,
           IF(OFFSET(PLE!$G$15,$M137-$A$15,BG$13)="",10^12,OFFSET(PLE!$G$15,$M137-$A$15,BG$13)))</f>
        <v>1000000000000</v>
      </c>
    </row>
    <row r="138" spans="1:59" s="675" customFormat="1" ht="25.5" x14ac:dyDescent="0.2">
      <c r="A138" s="671" t="str">
        <f t="shared" ca="1" si="10"/>
        <v>118</v>
      </c>
      <c r="B138" s="671" t="str">
        <f ca="1">OFFSET(ORÇAMENTO!C$15,ROW(B138)-ROW(B$15),0)</f>
        <v>S</v>
      </c>
      <c r="C138" s="671" t="str">
        <f ca="1">OFFSET(ORÇAMENTO!L$15,ROW(C138)-ROW(C$15),0)</f>
        <v/>
      </c>
      <c r="D138" s="117" t="str">
        <f ca="1">OFFSET(ORÇAMENTO!N$15,ROW(D138)-ROW(D$15),0)</f>
        <v>Serviço</v>
      </c>
      <c r="E138" s="118" t="str">
        <f ca="1">OFFSET(ORÇAMENTO!O$15,ROW(E138)-ROW(E$15),0)</f>
        <v>-</v>
      </c>
      <c r="F138" s="164" t="str">
        <f ca="1">OFFSET(ORÇAMENTO!R$15,ROW(F138)-ROW(F$15),0)</f>
        <v>(abra o arquivo 'Referência 09-2025.xlsm)</v>
      </c>
      <c r="G138" s="165" t="str">
        <f ca="1">IF($D138&lt;&gt;"Serviço","",OFFSET(ORÇAMENTO!S$15,ROW(G138)-ROW(G$15),0))</f>
        <v>-</v>
      </c>
      <c r="H138" s="123">
        <f ca="1">IF($D138&lt;&gt;"Serviço",0,IF(ACOMPANHAMENTO="BM",ROUND(OFFSET(ORÇAMENTO!AJ$15,ROW(H138)-ROW(H$15),0),15-13*ORÇAMENTO!$AF$7),SUMPRODUCT(($Q$1:$AA$1=1)*ROUND($Q138:$AA138,15-13*ORÇAMENTO!$AF$7))))</f>
        <v>35</v>
      </c>
      <c r="I138" s="469"/>
      <c r="J138" s="667" t="str">
        <f ca="1">IF(OR(B138&lt;&gt;"S",CÁLCULO.FrentesPreenchidas=0),"",IF(AND(ACOMPANHAMENTO="PLE",AUTOEVENTO="Manual",OR(H138&gt;0,ORÇAMENTO!AC138="QUANT."),OR(K138="",M138=0,N138="")),"►",IF(AND(ACOMPANHAMENTO="PLE",ORÇAMENTO!AC138="QUANT."),"►►",IF(AND(COUNTIF($P$11:$AA$11,"▼")=0,H138&gt;0,I138=""),"◄",""))))</f>
        <v/>
      </c>
      <c r="K138" s="668"/>
      <c r="L138" s="166" t="s">
        <v>765</v>
      </c>
      <c r="M138" s="167">
        <f ca="1">IF($D138&lt;&gt;"Serviço","",
          IF(AUTOEVENTO="manual",$A138,
                IF(ISERROR(MATCH($A138,$A$15:OFFSET($A138,-1,0),0)),MAX($M$15:OFFSET(M138,-1,0))+1,
                      INDEX($M$15:OFFSET(M138,-1,0),MATCH($A138,$A$15:OFFSET($A138,-1,0),0)))))</f>
        <v>14</v>
      </c>
      <c r="N138" s="168" t="str">
        <f ca="1">IF($D138&lt;&gt;"Serviço","",
         IF(AUTOEVENTO="Manual",
                IF($A138=0,"&lt;-- defina o número do agrupador",
                       OFFSET(EVENTOS!$D$15,$A138-$A$15,0)),
                OFFSET($F$15,$A138,0)))</f>
        <v>POÇO DE VISITA</v>
      </c>
      <c r="O138" s="169"/>
      <c r="Q138" s="169"/>
      <c r="R138" s="170"/>
      <c r="S138" s="170"/>
      <c r="T138" s="170"/>
      <c r="U138" s="170"/>
      <c r="V138" s="170"/>
      <c r="W138" s="170"/>
      <c r="X138" s="170"/>
      <c r="Y138" s="170"/>
      <c r="Z138" s="171"/>
      <c r="AB138" s="454">
        <f ca="1">IF(AND($D138="Serviço",AB$12&lt;&gt;0,$H138&gt;0,OR(AUTOEVENTO&lt;&gt;"manual",$M138&lt;&gt;$A$15)),
        IF(Import.TipoArredondamento&lt;&gt;"TransfereGOV",
              ROUND(OFFSET($P138,0,AB$13),15-13*ORÇAMENTO!$AF$7)/$H138*OFFSET(ORÇAMENTO!$X$15,ROW(AB138)-ROW(AB$15),0),
              ROUND(ROUND(OFFSET($P138,0,AB$13),15-13*ORÇAMENTO!$AF$7)*OFFSET(ORÇAMENTO!$W$15,ROW(AB138)-ROW(AB$15),0),15-13*ORÇAMENTO!$AF$11)),
         0)</f>
        <v>0</v>
      </c>
      <c r="AC138" s="454">
        <f ca="1">IF(AND($D138="Serviço",AC$12&lt;&gt;0,$H138&gt;0,OR(AUTOEVENTO&lt;&gt;"manual",$M138&lt;&gt;$A$15)),
        IF(Import.TipoArredondamento&lt;&gt;"TransfereGOV",
              ROUND(OFFSET($P138,0,AC$13),15-13*ORÇAMENTO!$AF$7)/$H138*OFFSET(ORÇAMENTO!$X$15,ROW(AC138)-ROW(AC$15),0),
              ROUND(ROUND(OFFSET($P138,0,AC$13),15-13*ORÇAMENTO!$AF$7)*OFFSET(ORÇAMENTO!$W$15,ROW(AC138)-ROW(AC$15),0),15-13*ORÇAMENTO!$AF$11)),
         0)</f>
        <v>0</v>
      </c>
      <c r="AD138" s="454">
        <f ca="1">IF(AND($D138="Serviço",AD$12&lt;&gt;0,$H138&gt;0,OR(AUTOEVENTO&lt;&gt;"manual",$M138&lt;&gt;$A$15)),
        IF(Import.TipoArredondamento&lt;&gt;"TransfereGOV",
              ROUND(OFFSET($P138,0,AD$13),15-13*ORÇAMENTO!$AF$7)/$H138*OFFSET(ORÇAMENTO!$X$15,ROW(AD138)-ROW(AD$15),0),
              ROUND(ROUND(OFFSET($P138,0,AD$13),15-13*ORÇAMENTO!$AF$7)*OFFSET(ORÇAMENTO!$W$15,ROW(AD138)-ROW(AD$15),0),15-13*ORÇAMENTO!$AF$11)),
         0)</f>
        <v>0</v>
      </c>
      <c r="AE138" s="454">
        <f ca="1">IF(AND($D138="Serviço",AE$12&lt;&gt;0,$H138&gt;0,OR(AUTOEVENTO&lt;&gt;"manual",$M138&lt;&gt;$A$15)),
        IF(Import.TipoArredondamento&lt;&gt;"TransfereGOV",
              ROUND(OFFSET($P138,0,AE$13),15-13*ORÇAMENTO!$AF$7)/$H138*OFFSET(ORÇAMENTO!$X$15,ROW(AE138)-ROW(AE$15),0),
              ROUND(ROUND(OFFSET($P138,0,AE$13),15-13*ORÇAMENTO!$AF$7)*OFFSET(ORÇAMENTO!$W$15,ROW(AE138)-ROW(AE$15),0),15-13*ORÇAMENTO!$AF$11)),
         0)</f>
        <v>0</v>
      </c>
      <c r="AF138" s="454">
        <f ca="1">IF(AND($D138="Serviço",AF$12&lt;&gt;0,$H138&gt;0,OR(AUTOEVENTO&lt;&gt;"manual",$M138&lt;&gt;$A$15)),
        IF(Import.TipoArredondamento&lt;&gt;"TransfereGOV",
              ROUND(OFFSET($P138,0,AF$13),15-13*ORÇAMENTO!$AF$7)/$H138*OFFSET(ORÇAMENTO!$X$15,ROW(AF138)-ROW(AF$15),0),
              ROUND(ROUND(OFFSET($P138,0,AF$13),15-13*ORÇAMENTO!$AF$7)*OFFSET(ORÇAMENTO!$W$15,ROW(AF138)-ROW(AF$15),0),15-13*ORÇAMENTO!$AF$11)),
         0)</f>
        <v>0</v>
      </c>
      <c r="AG138" s="454">
        <f ca="1">IF(AND($D138="Serviço",AG$12&lt;&gt;0,$H138&gt;0,OR(AUTOEVENTO&lt;&gt;"manual",$M138&lt;&gt;$A$15)),
        IF(Import.TipoArredondamento&lt;&gt;"TransfereGOV",
              ROUND(OFFSET($P138,0,AG$13),15-13*ORÇAMENTO!$AF$7)/$H138*OFFSET(ORÇAMENTO!$X$15,ROW(AG138)-ROW(AG$15),0),
              ROUND(ROUND(OFFSET($P138,0,AG$13),15-13*ORÇAMENTO!$AF$7)*OFFSET(ORÇAMENTO!$W$15,ROW(AG138)-ROW(AG$15),0),15-13*ORÇAMENTO!$AF$11)),
         0)</f>
        <v>0</v>
      </c>
      <c r="AH138" s="454">
        <f ca="1">IF(AND($D138="Serviço",AH$12&lt;&gt;0,$H138&gt;0,OR(AUTOEVENTO&lt;&gt;"manual",$M138&lt;&gt;$A$15)),
        IF(Import.TipoArredondamento&lt;&gt;"TransfereGOV",
              ROUND(OFFSET($P138,0,AH$13),15-13*ORÇAMENTO!$AF$7)/$H138*OFFSET(ORÇAMENTO!$X$15,ROW(AH138)-ROW(AH$15),0),
              ROUND(ROUND(OFFSET($P138,0,AH$13),15-13*ORÇAMENTO!$AF$7)*OFFSET(ORÇAMENTO!$W$15,ROW(AH138)-ROW(AH$15),0),15-13*ORÇAMENTO!$AF$11)),
         0)</f>
        <v>0</v>
      </c>
      <c r="AI138" s="454">
        <f ca="1">IF(AND($D138="Serviço",AI$12&lt;&gt;0,$H138&gt;0,OR(AUTOEVENTO&lt;&gt;"manual",$M138&lt;&gt;$A$15)),
        IF(Import.TipoArredondamento&lt;&gt;"TransfereGOV",
              ROUND(OFFSET($P138,0,AI$13),15-13*ORÇAMENTO!$AF$7)/$H138*OFFSET(ORÇAMENTO!$X$15,ROW(AI138)-ROW(AI$15),0),
              ROUND(ROUND(OFFSET($P138,0,AI$13),15-13*ORÇAMENTO!$AF$7)*OFFSET(ORÇAMENTO!$W$15,ROW(AI138)-ROW(AI$15),0),15-13*ORÇAMENTO!$AF$11)),
         0)</f>
        <v>0</v>
      </c>
      <c r="AJ138" s="454">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4">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M138" s="172">
        <f ca="1">IF(OR($D138&lt;&gt;"Serviço",AND(AUTOEVENTO="Manual",$M138=$A$15)),0,
         IF(OFFSET(CRONOPLE!$F$15,$M138-$A$15,AM$13)=0,10^12,OFFSET(CRONOPLE!$F$15,$M138-$A$15,AM$13)))</f>
        <v>1000000000000</v>
      </c>
      <c r="AN138" s="172">
        <f ca="1">IF(OR($D138&lt;&gt;"Serviço",AND(AUTOEVENTO="Manual",$M138=$A$15)),0,
         IF(OFFSET(CRONOPLE!$F$15,$M138-$A$15,AN$13)=0,10^12,OFFSET(CRONOPLE!$F$15,$M138-$A$15,AN$13)))</f>
        <v>1000000000000</v>
      </c>
      <c r="AO138" s="172">
        <f ca="1">IF(OR($D138&lt;&gt;"Serviço",AND(AUTOEVENTO="Manual",$M138=$A$15)),0,
         IF(OFFSET(CRONOPLE!$F$15,$M138-$A$15,AO$13)=0,10^12,OFFSET(CRONOPLE!$F$15,$M138-$A$15,AO$13)))</f>
        <v>1000000000000</v>
      </c>
      <c r="AP138" s="172">
        <f ca="1">IF(OR($D138&lt;&gt;"Serviço",AND(AUTOEVENTO="Manual",$M138=$A$15)),0,
         IF(OFFSET(CRONOPLE!$F$15,$M138-$A$15,AP$13)=0,10^12,OFFSET(CRONOPLE!$F$15,$M138-$A$15,AP$13)))</f>
        <v>1000000000000</v>
      </c>
      <c r="AQ138" s="172">
        <f ca="1">IF(OR($D138&lt;&gt;"Serviço",AND(AUTOEVENTO="Manual",$M138=$A$15)),0,
         IF(OFFSET(CRONOPLE!$F$15,$M138-$A$15,AQ$13)=0,10^12,OFFSET(CRONOPLE!$F$15,$M138-$A$15,AQ$13)))</f>
        <v>1000000000000</v>
      </c>
      <c r="AR138" s="172">
        <f ca="1">IF(OR($D138&lt;&gt;"Serviço",AND(AUTOEVENTO="Manual",$M138=$A$15)),0,
         IF(OFFSET(CRONOPLE!$F$15,$M138-$A$15,AR$13)=0,10^12,OFFSET(CRONOPLE!$F$15,$M138-$A$15,AR$13)))</f>
        <v>1000000000000</v>
      </c>
      <c r="AS138" s="172">
        <f ca="1">IF(OR($D138&lt;&gt;"Serviço",AND(AUTOEVENTO="Manual",$M138=$A$15)),0,
         IF(OFFSET(CRONOPLE!$F$15,$M138-$A$15,AS$13)=0,10^12,OFFSET(CRONOPLE!$F$15,$M138-$A$15,AS$13)))</f>
        <v>1000000000000</v>
      </c>
      <c r="AT138" s="172">
        <f ca="1">IF(OR($D138&lt;&gt;"Serviço",AND(AUTOEVENTO="Manual",$M138=$A$15)),0,
         IF(OFFSET(CRONOPLE!$F$15,$M138-$A$15,AT$13)=0,10^12,OFFSET(CRONOPLE!$F$15,$M138-$A$15,AT$13)))</f>
        <v>1000000000000</v>
      </c>
      <c r="AU138" s="172">
        <f ca="1">IF(OR($D138&lt;&gt;"Serviço",AND(AUTOEVENTO="Manual",$M138=$A$15)),0,
         IF(OFFSET(CRONOPLE!$F$15,$M138-$A$15,AU$13)=0,10^12,OFFSET(CRONOPLE!$F$15,$M138-$A$15,AU$13)))</f>
        <v>1000000000000</v>
      </c>
      <c r="AV138" s="172">
        <f ca="1">IF(OR($D138&lt;&gt;"Serviço",AND(AUTOEVENTO="Manual",$M138=$A$15)),0,
         IF(OFFSET(CRONOPLE!$F$15,$M138-$A$15,AV$13)=0,10^12,OFFSET(CRONOPLE!$F$15,$M138-$A$15,AV$13)))</f>
        <v>1000000000000</v>
      </c>
      <c r="AX138" s="173">
        <f ca="1">IF(OR($D138&lt;&gt;"Serviço",AND(AUTOEVENTO="Manual",$M138=$A$15),$M138&gt;(ROW(PLE.lastrow)-ROW(PLE.firstrow))),0,
           IF(OFFSET(PLE!$G$15,$M138-$A$15,AX$13)="",10^12,OFFSET(PLE!$G$15,$M138-$A$15,AX$13)))</f>
        <v>1000000000000</v>
      </c>
      <c r="AY138" s="173">
        <f ca="1">IF(OR($D138&lt;&gt;"Serviço",AND(AUTOEVENTO="Manual",$M138=$A$15),$M138&gt;(ROW(PLE.lastrow)-ROW(PLE.firstrow))),0,
           IF(OFFSET(PLE!$G$15,$M138-$A$15,AY$13)="",10^12,OFFSET(PLE!$G$15,$M138-$A$15,AY$13)))</f>
        <v>1000000000000</v>
      </c>
      <c r="AZ138" s="173">
        <f ca="1">IF(OR($D138&lt;&gt;"Serviço",AND(AUTOEVENTO="Manual",$M138=$A$15),$M138&gt;(ROW(PLE.lastrow)-ROW(PLE.firstrow))),0,
           IF(OFFSET(PLE!$G$15,$M138-$A$15,AZ$13)="",10^12,OFFSET(PLE!$G$15,$M138-$A$15,AZ$13)))</f>
        <v>1000000000000</v>
      </c>
      <c r="BA138" s="173">
        <f ca="1">IF(OR($D138&lt;&gt;"Serviço",AND(AUTOEVENTO="Manual",$M138=$A$15),$M138&gt;(ROW(PLE.lastrow)-ROW(PLE.firstrow))),0,
           IF(OFFSET(PLE!$G$15,$M138-$A$15,BA$13)="",10^12,OFFSET(PLE!$G$15,$M138-$A$15,BA$13)))</f>
        <v>1000000000000</v>
      </c>
      <c r="BB138" s="173">
        <f ca="1">IF(OR($D138&lt;&gt;"Serviço",AND(AUTOEVENTO="Manual",$M138=$A$15),$M138&gt;(ROW(PLE.lastrow)-ROW(PLE.firstrow))),0,
           IF(OFFSET(PLE!$G$15,$M138-$A$15,BB$13)="",10^12,OFFSET(PLE!$G$15,$M138-$A$15,BB$13)))</f>
        <v>1000000000000</v>
      </c>
      <c r="BC138" s="173">
        <f ca="1">IF(OR($D138&lt;&gt;"Serviço",AND(AUTOEVENTO="Manual",$M138=$A$15),$M138&gt;(ROW(PLE.lastrow)-ROW(PLE.firstrow))),0,
           IF(OFFSET(PLE!$G$15,$M138-$A$15,BC$13)="",10^12,OFFSET(PLE!$G$15,$M138-$A$15,BC$13)))</f>
        <v>1000000000000</v>
      </c>
      <c r="BD138" s="173">
        <f ca="1">IF(OR($D138&lt;&gt;"Serviço",AND(AUTOEVENTO="Manual",$M138=$A$15),$M138&gt;(ROW(PLE.lastrow)-ROW(PLE.firstrow))),0,
           IF(OFFSET(PLE!$G$15,$M138-$A$15,BD$13)="",10^12,OFFSET(PLE!$G$15,$M138-$A$15,BD$13)))</f>
        <v>1000000000000</v>
      </c>
      <c r="BE138" s="173">
        <f ca="1">IF(OR($D138&lt;&gt;"Serviço",AND(AUTOEVENTO="Manual",$M138=$A$15),$M138&gt;(ROW(PLE.lastrow)-ROW(PLE.firstrow))),0,
           IF(OFFSET(PLE!$G$15,$M138-$A$15,BE$13)="",10^12,OFFSET(PLE!$G$15,$M138-$A$15,BE$13)))</f>
        <v>1000000000000</v>
      </c>
      <c r="BF138" s="173">
        <f ca="1">IF(OR($D138&lt;&gt;"Serviço",AND(AUTOEVENTO="Manual",$M138=$A$15),$M138&gt;(ROW(PLE.lastrow)-ROW(PLE.firstrow))),0,
           IF(OFFSET(PLE!$G$15,$M138-$A$15,BF$13)="",10^12,OFFSET(PLE!$G$15,$M138-$A$15,BF$13)))</f>
        <v>1000000000000</v>
      </c>
      <c r="BG138" s="173">
        <f ca="1">IF(OR($D138&lt;&gt;"Serviço",AND(AUTOEVENTO="Manual",$M138=$A$15),$M138&gt;(ROW(PLE.lastrow)-ROW(PLE.firstrow))),0,
           IF(OFFSET(PLE!$G$15,$M138-$A$15,BG$13)="",10^12,OFFSET(PLE!$G$15,$M138-$A$15,BG$13)))</f>
        <v>1000000000000</v>
      </c>
    </row>
    <row r="139" spans="1:59" s="675" customFormat="1" ht="12.75" x14ac:dyDescent="0.2">
      <c r="A139" s="671" t="str">
        <f t="shared" ca="1" si="10"/>
        <v>118</v>
      </c>
      <c r="B139" s="671" t="str">
        <f ca="1">OFFSET(ORÇAMENTO!C$15,ROW(B139)-ROW(B$15),0)</f>
        <v>S</v>
      </c>
      <c r="C139" s="671" t="str">
        <f ca="1">OFFSET(ORÇAMENTO!L$15,ROW(C139)-ROW(C$15),0)</f>
        <v/>
      </c>
      <c r="D139" s="117" t="str">
        <f ca="1">OFFSET(ORÇAMENTO!N$15,ROW(D139)-ROW(D$15),0)</f>
        <v>Serviço</v>
      </c>
      <c r="E139" s="118" t="str">
        <f ca="1">OFFSET(ORÇAMENTO!O$15,ROW(E139)-ROW(E$15),0)</f>
        <v>-</v>
      </c>
      <c r="F139" s="164" t="str">
        <f ca="1">OFFSET(ORÇAMENTO!R$15,ROW(F139)-ROW(F$15),0)</f>
        <v>(abra o arquivo 'Referência 09-2025.xlsm)</v>
      </c>
      <c r="G139" s="165" t="str">
        <f ca="1">IF($D139&lt;&gt;"Serviço","",OFFSET(ORÇAMENTO!S$15,ROW(G139)-ROW(G$15),0))</f>
        <v>-</v>
      </c>
      <c r="H139" s="123">
        <f ca="1">IF($D139&lt;&gt;"Serviço",0,IF(ACOMPANHAMENTO="BM",ROUND(OFFSET(ORÇAMENTO!AJ$15,ROW(H139)-ROW(H$15),0),15-13*ORÇAMENTO!$AF$7),SUMPRODUCT(($Q$1:$AA$1=1)*ROUND($Q139:$AA139,15-13*ORÇAMENTO!$AF$7))))</f>
        <v>9</v>
      </c>
      <c r="I139" s="469"/>
      <c r="J139" s="667" t="str">
        <f ca="1">IF(OR(B139&lt;&gt;"S",CÁLCULO.FrentesPreenchidas=0),"",IF(AND(ACOMPANHAMENTO="PLE",AUTOEVENTO="Manual",OR(H139&gt;0,ORÇAMENTO!AC139="QUANT."),OR(K139="",M139=0,N139="")),"►",IF(AND(ACOMPANHAMENTO="PLE",ORÇAMENTO!AC139="QUANT."),"►►",IF(AND(COUNTIF($P$11:$AA$11,"▼")=0,H139&gt;0,I139=""),"◄",""))))</f>
        <v/>
      </c>
      <c r="K139" s="668"/>
      <c r="L139" s="166" t="s">
        <v>765</v>
      </c>
      <c r="M139" s="167">
        <f ca="1">IF($D139&lt;&gt;"Serviço","",
          IF(AUTOEVENTO="manual",$A139,
                IF(ISERROR(MATCH($A139,$A$15:OFFSET($A139,-1,0),0)),MAX($M$15:OFFSET(M139,-1,0))+1,
                      INDEX($M$15:OFFSET(M139,-1,0),MATCH($A139,$A$15:OFFSET($A139,-1,0),0)))))</f>
        <v>14</v>
      </c>
      <c r="N139" s="168" t="str">
        <f ca="1">IF($D139&lt;&gt;"Serviço","",
         IF(AUTOEVENTO="Manual",
                IF($A139=0,"&lt;-- defina o número do agrupador",
                       OFFSET(EVENTOS!$D$15,$A139-$A$15,0)),
                OFFSET($F$15,$A139,0)))</f>
        <v>POÇO DE VISITA</v>
      </c>
      <c r="O139" s="169"/>
      <c r="Q139" s="169"/>
      <c r="R139" s="170"/>
      <c r="S139" s="170"/>
      <c r="T139" s="170"/>
      <c r="U139" s="170"/>
      <c r="V139" s="170"/>
      <c r="W139" s="170"/>
      <c r="X139" s="170"/>
      <c r="Y139" s="170"/>
      <c r="Z139" s="171"/>
      <c r="AB139" s="454">
        <f ca="1">IF(AND($D139="Serviço",AB$12&lt;&gt;0,$H139&gt;0,OR(AUTOEVENTO&lt;&gt;"manual",$M139&lt;&gt;$A$15)),
        IF(Import.TipoArredondamento&lt;&gt;"TransfereGOV",
              ROUND(OFFSET($P139,0,AB$13),15-13*ORÇAMENTO!$AF$7)/$H139*OFFSET(ORÇAMENTO!$X$15,ROW(AB139)-ROW(AB$15),0),
              ROUND(ROUND(OFFSET($P139,0,AB$13),15-13*ORÇAMENTO!$AF$7)*OFFSET(ORÇAMENTO!$W$15,ROW(AB139)-ROW(AB$15),0),15-13*ORÇAMENTO!$AF$11)),
         0)</f>
        <v>0</v>
      </c>
      <c r="AC139" s="454">
        <f ca="1">IF(AND($D139="Serviço",AC$12&lt;&gt;0,$H139&gt;0,OR(AUTOEVENTO&lt;&gt;"manual",$M139&lt;&gt;$A$15)),
        IF(Import.TipoArredondamento&lt;&gt;"TransfereGOV",
              ROUND(OFFSET($P139,0,AC$13),15-13*ORÇAMENTO!$AF$7)/$H139*OFFSET(ORÇAMENTO!$X$15,ROW(AC139)-ROW(AC$15),0),
              ROUND(ROUND(OFFSET($P139,0,AC$13),15-13*ORÇAMENTO!$AF$7)*OFFSET(ORÇAMENTO!$W$15,ROW(AC139)-ROW(AC$15),0),15-13*ORÇAMENTO!$AF$11)),
         0)</f>
        <v>0</v>
      </c>
      <c r="AD139" s="454">
        <f ca="1">IF(AND($D139="Serviço",AD$12&lt;&gt;0,$H139&gt;0,OR(AUTOEVENTO&lt;&gt;"manual",$M139&lt;&gt;$A$15)),
        IF(Import.TipoArredondamento&lt;&gt;"TransfereGOV",
              ROUND(OFFSET($P139,0,AD$13),15-13*ORÇAMENTO!$AF$7)/$H139*OFFSET(ORÇAMENTO!$X$15,ROW(AD139)-ROW(AD$15),0),
              ROUND(ROUND(OFFSET($P139,0,AD$13),15-13*ORÇAMENTO!$AF$7)*OFFSET(ORÇAMENTO!$W$15,ROW(AD139)-ROW(AD$15),0),15-13*ORÇAMENTO!$AF$11)),
         0)</f>
        <v>0</v>
      </c>
      <c r="AE139" s="454">
        <f ca="1">IF(AND($D139="Serviço",AE$12&lt;&gt;0,$H139&gt;0,OR(AUTOEVENTO&lt;&gt;"manual",$M139&lt;&gt;$A$15)),
        IF(Import.TipoArredondamento&lt;&gt;"TransfereGOV",
              ROUND(OFFSET($P139,0,AE$13),15-13*ORÇAMENTO!$AF$7)/$H139*OFFSET(ORÇAMENTO!$X$15,ROW(AE139)-ROW(AE$15),0),
              ROUND(ROUND(OFFSET($P139,0,AE$13),15-13*ORÇAMENTO!$AF$7)*OFFSET(ORÇAMENTO!$W$15,ROW(AE139)-ROW(AE$15),0),15-13*ORÇAMENTO!$AF$11)),
         0)</f>
        <v>0</v>
      </c>
      <c r="AF139" s="454">
        <f ca="1">IF(AND($D139="Serviço",AF$12&lt;&gt;0,$H139&gt;0,OR(AUTOEVENTO&lt;&gt;"manual",$M139&lt;&gt;$A$15)),
        IF(Import.TipoArredondamento&lt;&gt;"TransfereGOV",
              ROUND(OFFSET($P139,0,AF$13),15-13*ORÇAMENTO!$AF$7)/$H139*OFFSET(ORÇAMENTO!$X$15,ROW(AF139)-ROW(AF$15),0),
              ROUND(ROUND(OFFSET($P139,0,AF$13),15-13*ORÇAMENTO!$AF$7)*OFFSET(ORÇAMENTO!$W$15,ROW(AF139)-ROW(AF$15),0),15-13*ORÇAMENTO!$AF$11)),
         0)</f>
        <v>0</v>
      </c>
      <c r="AG139" s="454">
        <f ca="1">IF(AND($D139="Serviço",AG$12&lt;&gt;0,$H139&gt;0,OR(AUTOEVENTO&lt;&gt;"manual",$M139&lt;&gt;$A$15)),
        IF(Import.TipoArredondamento&lt;&gt;"TransfereGOV",
              ROUND(OFFSET($P139,0,AG$13),15-13*ORÇAMENTO!$AF$7)/$H139*OFFSET(ORÇAMENTO!$X$15,ROW(AG139)-ROW(AG$15),0),
              ROUND(ROUND(OFFSET($P139,0,AG$13),15-13*ORÇAMENTO!$AF$7)*OFFSET(ORÇAMENTO!$W$15,ROW(AG139)-ROW(AG$15),0),15-13*ORÇAMENTO!$AF$11)),
         0)</f>
        <v>0</v>
      </c>
      <c r="AH139" s="454">
        <f ca="1">IF(AND($D139="Serviço",AH$12&lt;&gt;0,$H139&gt;0,OR(AUTOEVENTO&lt;&gt;"manual",$M139&lt;&gt;$A$15)),
        IF(Import.TipoArredondamento&lt;&gt;"TransfereGOV",
              ROUND(OFFSET($P139,0,AH$13),15-13*ORÇAMENTO!$AF$7)/$H139*OFFSET(ORÇAMENTO!$X$15,ROW(AH139)-ROW(AH$15),0),
              ROUND(ROUND(OFFSET($P139,0,AH$13),15-13*ORÇAMENTO!$AF$7)*OFFSET(ORÇAMENTO!$W$15,ROW(AH139)-ROW(AH$15),0),15-13*ORÇAMENTO!$AF$11)),
         0)</f>
        <v>0</v>
      </c>
      <c r="AI139" s="454">
        <f ca="1">IF(AND($D139="Serviço",AI$12&lt;&gt;0,$H139&gt;0,OR(AUTOEVENTO&lt;&gt;"manual",$M139&lt;&gt;$A$15)),
        IF(Import.TipoArredondamento&lt;&gt;"TransfereGOV",
              ROUND(OFFSET($P139,0,AI$13),15-13*ORÇAMENTO!$AF$7)/$H139*OFFSET(ORÇAMENTO!$X$15,ROW(AI139)-ROW(AI$15),0),
              ROUND(ROUND(OFFSET($P139,0,AI$13),15-13*ORÇAMENTO!$AF$7)*OFFSET(ORÇAMENTO!$W$15,ROW(AI139)-ROW(AI$15),0),15-13*ORÇAMENTO!$AF$11)),
         0)</f>
        <v>0</v>
      </c>
      <c r="AJ139" s="454">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4">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M139" s="172">
        <f ca="1">IF(OR($D139&lt;&gt;"Serviço",AND(AUTOEVENTO="Manual",$M139=$A$15)),0,
         IF(OFFSET(CRONOPLE!$F$15,$M139-$A$15,AM$13)=0,10^12,OFFSET(CRONOPLE!$F$15,$M139-$A$15,AM$13)))</f>
        <v>1000000000000</v>
      </c>
      <c r="AN139" s="172">
        <f ca="1">IF(OR($D139&lt;&gt;"Serviço",AND(AUTOEVENTO="Manual",$M139=$A$15)),0,
         IF(OFFSET(CRONOPLE!$F$15,$M139-$A$15,AN$13)=0,10^12,OFFSET(CRONOPLE!$F$15,$M139-$A$15,AN$13)))</f>
        <v>1000000000000</v>
      </c>
      <c r="AO139" s="172">
        <f ca="1">IF(OR($D139&lt;&gt;"Serviço",AND(AUTOEVENTO="Manual",$M139=$A$15)),0,
         IF(OFFSET(CRONOPLE!$F$15,$M139-$A$15,AO$13)=0,10^12,OFFSET(CRONOPLE!$F$15,$M139-$A$15,AO$13)))</f>
        <v>1000000000000</v>
      </c>
      <c r="AP139" s="172">
        <f ca="1">IF(OR($D139&lt;&gt;"Serviço",AND(AUTOEVENTO="Manual",$M139=$A$15)),0,
         IF(OFFSET(CRONOPLE!$F$15,$M139-$A$15,AP$13)=0,10^12,OFFSET(CRONOPLE!$F$15,$M139-$A$15,AP$13)))</f>
        <v>1000000000000</v>
      </c>
      <c r="AQ139" s="172">
        <f ca="1">IF(OR($D139&lt;&gt;"Serviço",AND(AUTOEVENTO="Manual",$M139=$A$15)),0,
         IF(OFFSET(CRONOPLE!$F$15,$M139-$A$15,AQ$13)=0,10^12,OFFSET(CRONOPLE!$F$15,$M139-$A$15,AQ$13)))</f>
        <v>1000000000000</v>
      </c>
      <c r="AR139" s="172">
        <f ca="1">IF(OR($D139&lt;&gt;"Serviço",AND(AUTOEVENTO="Manual",$M139=$A$15)),0,
         IF(OFFSET(CRONOPLE!$F$15,$M139-$A$15,AR$13)=0,10^12,OFFSET(CRONOPLE!$F$15,$M139-$A$15,AR$13)))</f>
        <v>1000000000000</v>
      </c>
      <c r="AS139" s="172">
        <f ca="1">IF(OR($D139&lt;&gt;"Serviço",AND(AUTOEVENTO="Manual",$M139=$A$15)),0,
         IF(OFFSET(CRONOPLE!$F$15,$M139-$A$15,AS$13)=0,10^12,OFFSET(CRONOPLE!$F$15,$M139-$A$15,AS$13)))</f>
        <v>1000000000000</v>
      </c>
      <c r="AT139" s="172">
        <f ca="1">IF(OR($D139&lt;&gt;"Serviço",AND(AUTOEVENTO="Manual",$M139=$A$15)),0,
         IF(OFFSET(CRONOPLE!$F$15,$M139-$A$15,AT$13)=0,10^12,OFFSET(CRONOPLE!$F$15,$M139-$A$15,AT$13)))</f>
        <v>1000000000000</v>
      </c>
      <c r="AU139" s="172">
        <f ca="1">IF(OR($D139&lt;&gt;"Serviço",AND(AUTOEVENTO="Manual",$M139=$A$15)),0,
         IF(OFFSET(CRONOPLE!$F$15,$M139-$A$15,AU$13)=0,10^12,OFFSET(CRONOPLE!$F$15,$M139-$A$15,AU$13)))</f>
        <v>1000000000000</v>
      </c>
      <c r="AV139" s="172">
        <f ca="1">IF(OR($D139&lt;&gt;"Serviço",AND(AUTOEVENTO="Manual",$M139=$A$15)),0,
         IF(OFFSET(CRONOPLE!$F$15,$M139-$A$15,AV$13)=0,10^12,OFFSET(CRONOPLE!$F$15,$M139-$A$15,AV$13)))</f>
        <v>1000000000000</v>
      </c>
      <c r="AX139" s="173">
        <f ca="1">IF(OR($D139&lt;&gt;"Serviço",AND(AUTOEVENTO="Manual",$M139=$A$15),$M139&gt;(ROW(PLE.lastrow)-ROW(PLE.firstrow))),0,
           IF(OFFSET(PLE!$G$15,$M139-$A$15,AX$13)="",10^12,OFFSET(PLE!$G$15,$M139-$A$15,AX$13)))</f>
        <v>1000000000000</v>
      </c>
      <c r="AY139" s="173">
        <f ca="1">IF(OR($D139&lt;&gt;"Serviço",AND(AUTOEVENTO="Manual",$M139=$A$15),$M139&gt;(ROW(PLE.lastrow)-ROW(PLE.firstrow))),0,
           IF(OFFSET(PLE!$G$15,$M139-$A$15,AY$13)="",10^12,OFFSET(PLE!$G$15,$M139-$A$15,AY$13)))</f>
        <v>1000000000000</v>
      </c>
      <c r="AZ139" s="173">
        <f ca="1">IF(OR($D139&lt;&gt;"Serviço",AND(AUTOEVENTO="Manual",$M139=$A$15),$M139&gt;(ROW(PLE.lastrow)-ROW(PLE.firstrow))),0,
           IF(OFFSET(PLE!$G$15,$M139-$A$15,AZ$13)="",10^12,OFFSET(PLE!$G$15,$M139-$A$15,AZ$13)))</f>
        <v>1000000000000</v>
      </c>
      <c r="BA139" s="173">
        <f ca="1">IF(OR($D139&lt;&gt;"Serviço",AND(AUTOEVENTO="Manual",$M139=$A$15),$M139&gt;(ROW(PLE.lastrow)-ROW(PLE.firstrow))),0,
           IF(OFFSET(PLE!$G$15,$M139-$A$15,BA$13)="",10^12,OFFSET(PLE!$G$15,$M139-$A$15,BA$13)))</f>
        <v>1000000000000</v>
      </c>
      <c r="BB139" s="173">
        <f ca="1">IF(OR($D139&lt;&gt;"Serviço",AND(AUTOEVENTO="Manual",$M139=$A$15),$M139&gt;(ROW(PLE.lastrow)-ROW(PLE.firstrow))),0,
           IF(OFFSET(PLE!$G$15,$M139-$A$15,BB$13)="",10^12,OFFSET(PLE!$G$15,$M139-$A$15,BB$13)))</f>
        <v>1000000000000</v>
      </c>
      <c r="BC139" s="173">
        <f ca="1">IF(OR($D139&lt;&gt;"Serviço",AND(AUTOEVENTO="Manual",$M139=$A$15),$M139&gt;(ROW(PLE.lastrow)-ROW(PLE.firstrow))),0,
           IF(OFFSET(PLE!$G$15,$M139-$A$15,BC$13)="",10^12,OFFSET(PLE!$G$15,$M139-$A$15,BC$13)))</f>
        <v>1000000000000</v>
      </c>
      <c r="BD139" s="173">
        <f ca="1">IF(OR($D139&lt;&gt;"Serviço",AND(AUTOEVENTO="Manual",$M139=$A$15),$M139&gt;(ROW(PLE.lastrow)-ROW(PLE.firstrow))),0,
           IF(OFFSET(PLE!$G$15,$M139-$A$15,BD$13)="",10^12,OFFSET(PLE!$G$15,$M139-$A$15,BD$13)))</f>
        <v>1000000000000</v>
      </c>
      <c r="BE139" s="173">
        <f ca="1">IF(OR($D139&lt;&gt;"Serviço",AND(AUTOEVENTO="Manual",$M139=$A$15),$M139&gt;(ROW(PLE.lastrow)-ROW(PLE.firstrow))),0,
           IF(OFFSET(PLE!$G$15,$M139-$A$15,BE$13)="",10^12,OFFSET(PLE!$G$15,$M139-$A$15,BE$13)))</f>
        <v>1000000000000</v>
      </c>
      <c r="BF139" s="173">
        <f ca="1">IF(OR($D139&lt;&gt;"Serviço",AND(AUTOEVENTO="Manual",$M139=$A$15),$M139&gt;(ROW(PLE.lastrow)-ROW(PLE.firstrow))),0,
           IF(OFFSET(PLE!$G$15,$M139-$A$15,BF$13)="",10^12,OFFSET(PLE!$G$15,$M139-$A$15,BF$13)))</f>
        <v>1000000000000</v>
      </c>
      <c r="BG139" s="173">
        <f ca="1">IF(OR($D139&lt;&gt;"Serviço",AND(AUTOEVENTO="Manual",$M139=$A$15),$M139&gt;(ROW(PLE.lastrow)-ROW(PLE.firstrow))),0,
           IF(OFFSET(PLE!$G$15,$M139-$A$15,BG$13)="",10^12,OFFSET(PLE!$G$15,$M139-$A$15,BG$13)))</f>
        <v>1000000000000</v>
      </c>
    </row>
    <row r="140" spans="1:59" s="675" customFormat="1" ht="12.75" x14ac:dyDescent="0.2">
      <c r="A140" s="671" t="str">
        <f t="shared" ca="1" si="10"/>
        <v>125.</v>
      </c>
      <c r="B140" s="671">
        <f ca="1">OFFSET(ORÇAMENTO!C$15,ROW(B140)-ROW(B$15),0)</f>
        <v>2</v>
      </c>
      <c r="C140" s="671" t="str">
        <f ca="1">OFFSET(ORÇAMENTO!L$15,ROW(C140)-ROW(C$15),0)</f>
        <v>F</v>
      </c>
      <c r="D140" s="117" t="str">
        <f ca="1">OFFSET(ORÇAMENTO!N$15,ROW(D140)-ROW(D$15),0)</f>
        <v>Nível 2</v>
      </c>
      <c r="E140" s="118" t="str">
        <f ca="1">OFFSET(ORÇAMENTO!O$15,ROW(E140)-ROW(E$15),0)</f>
        <v>1.18.</v>
      </c>
      <c r="F140" s="164" t="str">
        <f ca="1">OFFSET(ORÇAMENTO!R$15,ROW(F140)-ROW(F$15),0)</f>
        <v>EMISSÁRIO DE ESGOTO - MATERIAIS</v>
      </c>
      <c r="G140" s="165" t="str">
        <f ca="1">IF($D140&lt;&gt;"Serviço","",OFFSET(ORÇAMENTO!S$15,ROW(G140)-ROW(G$15),0))</f>
        <v/>
      </c>
      <c r="H140" s="123">
        <f ca="1">IF($D140&lt;&gt;"Serviço",0,IF(ACOMPANHAMENTO="BM",ROUND(OFFSET(ORÇAMENTO!AJ$15,ROW(H140)-ROW(H$15),0),15-13*ORÇAMENTO!$AF$7),SUMPRODUCT(($Q$1:$AA$1=1)*ROUND($Q140:$AA140,15-13*ORÇAMENTO!$AF$7))))</f>
        <v>0</v>
      </c>
      <c r="I140" s="469"/>
      <c r="J140" s="667" t="str">
        <f ca="1">IF(OR(B140&lt;&gt;"S",CÁLCULO.FrentesPreenchidas=0),"",IF(AND(ACOMPANHAMENTO="PLE",AUTOEVENTO="Manual",OR(H140&gt;0,ORÇAMENTO!AC140="QUANT."),OR(K140="",M140=0,N140="")),"►",IF(AND(ACOMPANHAMENTO="PLE",ORÇAMENTO!AC140="QUANT."),"►►",IF(AND(COUNTIF($P$11:$AA$11,"▼")=0,H140&gt;0,I140=""),"◄",""))))</f>
        <v/>
      </c>
      <c r="K140" s="668"/>
      <c r="L140" s="166" t="s">
        <v>765</v>
      </c>
      <c r="M140" s="167" t="str">
        <f ca="1">IF($D140&lt;&gt;"Serviço","",
          IF(AUTOEVENTO="manual",$A140,
                IF(ISERROR(MATCH($A140,$A$15:OFFSET($A140,-1,0),0)),MAX($M$15:OFFSET(M140,-1,0))+1,
                      INDEX($M$15:OFFSET(M140,-1,0),MATCH($A140,$A$15:OFFSET($A140,-1,0),0)))))</f>
        <v/>
      </c>
      <c r="N140" s="168" t="str">
        <f ca="1">IF($D140&lt;&gt;"Serviço","",
         IF(AUTOEVENTO="Manual",
                IF($A140=0,"&lt;-- defina o número do agrupador",
                       OFFSET(EVENTOS!$D$15,$A140-$A$15,0)),
                OFFSET($F$15,$A140,0)))</f>
        <v/>
      </c>
      <c r="O140" s="169"/>
      <c r="Q140" s="169"/>
      <c r="R140" s="170"/>
      <c r="S140" s="170"/>
      <c r="T140" s="170"/>
      <c r="U140" s="170"/>
      <c r="V140" s="170"/>
      <c r="W140" s="170"/>
      <c r="X140" s="170"/>
      <c r="Y140" s="170"/>
      <c r="Z140" s="171"/>
      <c r="AB140" s="454">
        <f ca="1">IF(AND($D140="Serviço",AB$12&lt;&gt;0,$H140&gt;0,OR(AUTOEVENTO&lt;&gt;"manual",$M140&lt;&gt;$A$15)),
        IF(Import.TipoArredondamento&lt;&gt;"TransfereGOV",
              ROUND(OFFSET($P140,0,AB$13),15-13*ORÇAMENTO!$AF$7)/$H140*OFFSET(ORÇAMENTO!$X$15,ROW(AB140)-ROW(AB$15),0),
              ROUND(ROUND(OFFSET($P140,0,AB$13),15-13*ORÇAMENTO!$AF$7)*OFFSET(ORÇAMENTO!$W$15,ROW(AB140)-ROW(AB$15),0),15-13*ORÇAMENTO!$AF$11)),
         0)</f>
        <v>0</v>
      </c>
      <c r="AC140" s="454">
        <f ca="1">IF(AND($D140="Serviço",AC$12&lt;&gt;0,$H140&gt;0,OR(AUTOEVENTO&lt;&gt;"manual",$M140&lt;&gt;$A$15)),
        IF(Import.TipoArredondamento&lt;&gt;"TransfereGOV",
              ROUND(OFFSET($P140,0,AC$13),15-13*ORÇAMENTO!$AF$7)/$H140*OFFSET(ORÇAMENTO!$X$15,ROW(AC140)-ROW(AC$15),0),
              ROUND(ROUND(OFFSET($P140,0,AC$13),15-13*ORÇAMENTO!$AF$7)*OFFSET(ORÇAMENTO!$W$15,ROW(AC140)-ROW(AC$15),0),15-13*ORÇAMENTO!$AF$11)),
         0)</f>
        <v>0</v>
      </c>
      <c r="AD140" s="454">
        <f ca="1">IF(AND($D140="Serviço",AD$12&lt;&gt;0,$H140&gt;0,OR(AUTOEVENTO&lt;&gt;"manual",$M140&lt;&gt;$A$15)),
        IF(Import.TipoArredondamento&lt;&gt;"TransfereGOV",
              ROUND(OFFSET($P140,0,AD$13),15-13*ORÇAMENTO!$AF$7)/$H140*OFFSET(ORÇAMENTO!$X$15,ROW(AD140)-ROW(AD$15),0),
              ROUND(ROUND(OFFSET($P140,0,AD$13),15-13*ORÇAMENTO!$AF$7)*OFFSET(ORÇAMENTO!$W$15,ROW(AD140)-ROW(AD$15),0),15-13*ORÇAMENTO!$AF$11)),
         0)</f>
        <v>0</v>
      </c>
      <c r="AE140" s="454">
        <f ca="1">IF(AND($D140="Serviço",AE$12&lt;&gt;0,$H140&gt;0,OR(AUTOEVENTO&lt;&gt;"manual",$M140&lt;&gt;$A$15)),
        IF(Import.TipoArredondamento&lt;&gt;"TransfereGOV",
              ROUND(OFFSET($P140,0,AE$13),15-13*ORÇAMENTO!$AF$7)/$H140*OFFSET(ORÇAMENTO!$X$15,ROW(AE140)-ROW(AE$15),0),
              ROUND(ROUND(OFFSET($P140,0,AE$13),15-13*ORÇAMENTO!$AF$7)*OFFSET(ORÇAMENTO!$W$15,ROW(AE140)-ROW(AE$15),0),15-13*ORÇAMENTO!$AF$11)),
         0)</f>
        <v>0</v>
      </c>
      <c r="AF140" s="454">
        <f ca="1">IF(AND($D140="Serviço",AF$12&lt;&gt;0,$H140&gt;0,OR(AUTOEVENTO&lt;&gt;"manual",$M140&lt;&gt;$A$15)),
        IF(Import.TipoArredondamento&lt;&gt;"TransfereGOV",
              ROUND(OFFSET($P140,0,AF$13),15-13*ORÇAMENTO!$AF$7)/$H140*OFFSET(ORÇAMENTO!$X$15,ROW(AF140)-ROW(AF$15),0),
              ROUND(ROUND(OFFSET($P140,0,AF$13),15-13*ORÇAMENTO!$AF$7)*OFFSET(ORÇAMENTO!$W$15,ROW(AF140)-ROW(AF$15),0),15-13*ORÇAMENTO!$AF$11)),
         0)</f>
        <v>0</v>
      </c>
      <c r="AG140" s="454">
        <f ca="1">IF(AND($D140="Serviço",AG$12&lt;&gt;0,$H140&gt;0,OR(AUTOEVENTO&lt;&gt;"manual",$M140&lt;&gt;$A$15)),
        IF(Import.TipoArredondamento&lt;&gt;"TransfereGOV",
              ROUND(OFFSET($P140,0,AG$13),15-13*ORÇAMENTO!$AF$7)/$H140*OFFSET(ORÇAMENTO!$X$15,ROW(AG140)-ROW(AG$15),0),
              ROUND(ROUND(OFFSET($P140,0,AG$13),15-13*ORÇAMENTO!$AF$7)*OFFSET(ORÇAMENTO!$W$15,ROW(AG140)-ROW(AG$15),0),15-13*ORÇAMENTO!$AF$11)),
         0)</f>
        <v>0</v>
      </c>
      <c r="AH140" s="454">
        <f ca="1">IF(AND($D140="Serviço",AH$12&lt;&gt;0,$H140&gt;0,OR(AUTOEVENTO&lt;&gt;"manual",$M140&lt;&gt;$A$15)),
        IF(Import.TipoArredondamento&lt;&gt;"TransfereGOV",
              ROUND(OFFSET($P140,0,AH$13),15-13*ORÇAMENTO!$AF$7)/$H140*OFFSET(ORÇAMENTO!$X$15,ROW(AH140)-ROW(AH$15),0),
              ROUND(ROUND(OFFSET($P140,0,AH$13),15-13*ORÇAMENTO!$AF$7)*OFFSET(ORÇAMENTO!$W$15,ROW(AH140)-ROW(AH$15),0),15-13*ORÇAMENTO!$AF$11)),
         0)</f>
        <v>0</v>
      </c>
      <c r="AI140" s="454">
        <f ca="1">IF(AND($D140="Serviço",AI$12&lt;&gt;0,$H140&gt;0,OR(AUTOEVENTO&lt;&gt;"manual",$M140&lt;&gt;$A$15)),
        IF(Import.TipoArredondamento&lt;&gt;"TransfereGOV",
              ROUND(OFFSET($P140,0,AI$13),15-13*ORÇAMENTO!$AF$7)/$H140*OFFSET(ORÇAMENTO!$X$15,ROW(AI140)-ROW(AI$15),0),
              ROUND(ROUND(OFFSET($P140,0,AI$13),15-13*ORÇAMENTO!$AF$7)*OFFSET(ORÇAMENTO!$W$15,ROW(AI140)-ROW(AI$15),0),15-13*ORÇAMENTO!$AF$11)),
         0)</f>
        <v>0</v>
      </c>
      <c r="AJ140" s="454">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4">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M140" s="172">
        <f ca="1">IF(OR($D140&lt;&gt;"Serviço",AND(AUTOEVENTO="Manual",$M140=$A$15)),0,
         IF(OFFSET(CRONOPLE!$F$15,$M140-$A$15,AM$13)=0,10^12,OFFSET(CRONOPLE!$F$15,$M140-$A$15,AM$13)))</f>
        <v>0</v>
      </c>
      <c r="AN140" s="172">
        <f ca="1">IF(OR($D140&lt;&gt;"Serviço",AND(AUTOEVENTO="Manual",$M140=$A$15)),0,
         IF(OFFSET(CRONOPLE!$F$15,$M140-$A$15,AN$13)=0,10^12,OFFSET(CRONOPLE!$F$15,$M140-$A$15,AN$13)))</f>
        <v>0</v>
      </c>
      <c r="AO140" s="172">
        <f ca="1">IF(OR($D140&lt;&gt;"Serviço",AND(AUTOEVENTO="Manual",$M140=$A$15)),0,
         IF(OFFSET(CRONOPLE!$F$15,$M140-$A$15,AO$13)=0,10^12,OFFSET(CRONOPLE!$F$15,$M140-$A$15,AO$13)))</f>
        <v>0</v>
      </c>
      <c r="AP140" s="172">
        <f ca="1">IF(OR($D140&lt;&gt;"Serviço",AND(AUTOEVENTO="Manual",$M140=$A$15)),0,
         IF(OFFSET(CRONOPLE!$F$15,$M140-$A$15,AP$13)=0,10^12,OFFSET(CRONOPLE!$F$15,$M140-$A$15,AP$13)))</f>
        <v>0</v>
      </c>
      <c r="AQ140" s="172">
        <f ca="1">IF(OR($D140&lt;&gt;"Serviço",AND(AUTOEVENTO="Manual",$M140=$A$15)),0,
         IF(OFFSET(CRONOPLE!$F$15,$M140-$A$15,AQ$13)=0,10^12,OFFSET(CRONOPLE!$F$15,$M140-$A$15,AQ$13)))</f>
        <v>0</v>
      </c>
      <c r="AR140" s="172">
        <f ca="1">IF(OR($D140&lt;&gt;"Serviço",AND(AUTOEVENTO="Manual",$M140=$A$15)),0,
         IF(OFFSET(CRONOPLE!$F$15,$M140-$A$15,AR$13)=0,10^12,OFFSET(CRONOPLE!$F$15,$M140-$A$15,AR$13)))</f>
        <v>0</v>
      </c>
      <c r="AS140" s="172">
        <f ca="1">IF(OR($D140&lt;&gt;"Serviço",AND(AUTOEVENTO="Manual",$M140=$A$15)),0,
         IF(OFFSET(CRONOPLE!$F$15,$M140-$A$15,AS$13)=0,10^12,OFFSET(CRONOPLE!$F$15,$M140-$A$15,AS$13)))</f>
        <v>0</v>
      </c>
      <c r="AT140" s="172">
        <f ca="1">IF(OR($D140&lt;&gt;"Serviço",AND(AUTOEVENTO="Manual",$M140=$A$15)),0,
         IF(OFFSET(CRONOPLE!$F$15,$M140-$A$15,AT$13)=0,10^12,OFFSET(CRONOPLE!$F$15,$M140-$A$15,AT$13)))</f>
        <v>0</v>
      </c>
      <c r="AU140" s="172">
        <f ca="1">IF(OR($D140&lt;&gt;"Serviço",AND(AUTOEVENTO="Manual",$M140=$A$15)),0,
         IF(OFFSET(CRONOPLE!$F$15,$M140-$A$15,AU$13)=0,10^12,OFFSET(CRONOPLE!$F$15,$M140-$A$15,AU$13)))</f>
        <v>0</v>
      </c>
      <c r="AV140" s="172">
        <f ca="1">IF(OR($D140&lt;&gt;"Serviço",AND(AUTOEVENTO="Manual",$M140=$A$15)),0,
         IF(OFFSET(CRONOPLE!$F$15,$M140-$A$15,AV$13)=0,10^12,OFFSET(CRONOPLE!$F$15,$M140-$A$15,AV$13)))</f>
        <v>0</v>
      </c>
      <c r="AX140" s="173">
        <f ca="1">IF(OR($D140&lt;&gt;"Serviço",AND(AUTOEVENTO="Manual",$M140=$A$15),$M140&gt;(ROW(PLE.lastrow)-ROW(PLE.firstrow))),0,
           IF(OFFSET(PLE!$G$15,$M140-$A$15,AX$13)="",10^12,OFFSET(PLE!$G$15,$M140-$A$15,AX$13)))</f>
        <v>0</v>
      </c>
      <c r="AY140" s="173">
        <f ca="1">IF(OR($D140&lt;&gt;"Serviço",AND(AUTOEVENTO="Manual",$M140=$A$15),$M140&gt;(ROW(PLE.lastrow)-ROW(PLE.firstrow))),0,
           IF(OFFSET(PLE!$G$15,$M140-$A$15,AY$13)="",10^12,OFFSET(PLE!$G$15,$M140-$A$15,AY$13)))</f>
        <v>0</v>
      </c>
      <c r="AZ140" s="173">
        <f ca="1">IF(OR($D140&lt;&gt;"Serviço",AND(AUTOEVENTO="Manual",$M140=$A$15),$M140&gt;(ROW(PLE.lastrow)-ROW(PLE.firstrow))),0,
           IF(OFFSET(PLE!$G$15,$M140-$A$15,AZ$13)="",10^12,OFFSET(PLE!$G$15,$M140-$A$15,AZ$13)))</f>
        <v>0</v>
      </c>
      <c r="BA140" s="173">
        <f ca="1">IF(OR($D140&lt;&gt;"Serviço",AND(AUTOEVENTO="Manual",$M140=$A$15),$M140&gt;(ROW(PLE.lastrow)-ROW(PLE.firstrow))),0,
           IF(OFFSET(PLE!$G$15,$M140-$A$15,BA$13)="",10^12,OFFSET(PLE!$G$15,$M140-$A$15,BA$13)))</f>
        <v>0</v>
      </c>
      <c r="BB140" s="173">
        <f ca="1">IF(OR($D140&lt;&gt;"Serviço",AND(AUTOEVENTO="Manual",$M140=$A$15),$M140&gt;(ROW(PLE.lastrow)-ROW(PLE.firstrow))),0,
           IF(OFFSET(PLE!$G$15,$M140-$A$15,BB$13)="",10^12,OFFSET(PLE!$G$15,$M140-$A$15,BB$13)))</f>
        <v>0</v>
      </c>
      <c r="BC140" s="173">
        <f ca="1">IF(OR($D140&lt;&gt;"Serviço",AND(AUTOEVENTO="Manual",$M140=$A$15),$M140&gt;(ROW(PLE.lastrow)-ROW(PLE.firstrow))),0,
           IF(OFFSET(PLE!$G$15,$M140-$A$15,BC$13)="",10^12,OFFSET(PLE!$G$15,$M140-$A$15,BC$13)))</f>
        <v>0</v>
      </c>
      <c r="BD140" s="173">
        <f ca="1">IF(OR($D140&lt;&gt;"Serviço",AND(AUTOEVENTO="Manual",$M140=$A$15),$M140&gt;(ROW(PLE.lastrow)-ROW(PLE.firstrow))),0,
           IF(OFFSET(PLE!$G$15,$M140-$A$15,BD$13)="",10^12,OFFSET(PLE!$G$15,$M140-$A$15,BD$13)))</f>
        <v>0</v>
      </c>
      <c r="BE140" s="173">
        <f ca="1">IF(OR($D140&lt;&gt;"Serviço",AND(AUTOEVENTO="Manual",$M140=$A$15),$M140&gt;(ROW(PLE.lastrow)-ROW(PLE.firstrow))),0,
           IF(OFFSET(PLE!$G$15,$M140-$A$15,BE$13)="",10^12,OFFSET(PLE!$G$15,$M140-$A$15,BE$13)))</f>
        <v>0</v>
      </c>
      <c r="BF140" s="173">
        <f ca="1">IF(OR($D140&lt;&gt;"Serviço",AND(AUTOEVENTO="Manual",$M140=$A$15),$M140&gt;(ROW(PLE.lastrow)-ROW(PLE.firstrow))),0,
           IF(OFFSET(PLE!$G$15,$M140-$A$15,BF$13)="",10^12,OFFSET(PLE!$G$15,$M140-$A$15,BF$13)))</f>
        <v>0</v>
      </c>
      <c r="BG140" s="173">
        <f ca="1">IF(OR($D140&lt;&gt;"Serviço",AND(AUTOEVENTO="Manual",$M140=$A$15),$M140&gt;(ROW(PLE.lastrow)-ROW(PLE.firstrow))),0,
           IF(OFFSET(PLE!$G$15,$M140-$A$15,BG$13)="",10^12,OFFSET(PLE!$G$15,$M140-$A$15,BG$13)))</f>
        <v>0</v>
      </c>
    </row>
    <row r="141" spans="1:59" s="675" customFormat="1" ht="25.5" x14ac:dyDescent="0.2">
      <c r="A141" s="671" t="str">
        <f t="shared" ca="1" si="10"/>
        <v>125</v>
      </c>
      <c r="B141" s="671" t="str">
        <f ca="1">OFFSET(ORÇAMENTO!C$15,ROW(B141)-ROW(B$15),0)</f>
        <v>S</v>
      </c>
      <c r="C141" s="671" t="str">
        <f ca="1">OFFSET(ORÇAMENTO!L$15,ROW(C141)-ROW(C$15),0)</f>
        <v/>
      </c>
      <c r="D141" s="117" t="str">
        <f ca="1">OFFSET(ORÇAMENTO!N$15,ROW(D141)-ROW(D$15),0)</f>
        <v>Serviço</v>
      </c>
      <c r="E141" s="118" t="str">
        <f ca="1">OFFSET(ORÇAMENTO!O$15,ROW(E141)-ROW(E$15),0)</f>
        <v>-</v>
      </c>
      <c r="F141" s="164" t="str">
        <f ca="1">OFFSET(ORÇAMENTO!R$15,ROW(F141)-ROW(F$15),0)</f>
        <v>(abra o arquivo 'Referência 09-2025.xlsm)</v>
      </c>
      <c r="G141" s="165" t="str">
        <f ca="1">IF($D141&lt;&gt;"Serviço","",OFFSET(ORÇAMENTO!S$15,ROW(G141)-ROW(G$15),0))</f>
        <v>-</v>
      </c>
      <c r="H141" s="123">
        <f ca="1">IF($D141&lt;&gt;"Serviço",0,IF(ACOMPANHAMENTO="BM",ROUND(OFFSET(ORÇAMENTO!AJ$15,ROW(H141)-ROW(H$15),0),15-13*ORÇAMENTO!$AF$7),SUMPRODUCT(($Q$1:$AA$1=1)*ROUND($Q141:$AA141,15-13*ORÇAMENTO!$AF$7))))</f>
        <v>1192</v>
      </c>
      <c r="I141" s="469" t="s">
        <v>1150</v>
      </c>
      <c r="J141" s="667" t="str">
        <f ca="1">IF(OR(B141&lt;&gt;"S",CÁLCULO.FrentesPreenchidas=0),"",IF(AND(ACOMPANHAMENTO="PLE",AUTOEVENTO="Manual",OR(H141&gt;0,ORÇAMENTO!AC141="QUANT."),OR(K141="",M141=0,N141="")),"►",IF(AND(ACOMPANHAMENTO="PLE",ORÇAMENTO!AC141="QUANT."),"►►",IF(AND(COUNTIF($P$11:$AA$11,"▼")=0,H141&gt;0,I141=""),"◄",""))))</f>
        <v/>
      </c>
      <c r="K141" s="668"/>
      <c r="L141" s="166" t="s">
        <v>765</v>
      </c>
      <c r="M141" s="167">
        <f ca="1">IF($D141&lt;&gt;"Serviço","",
          IF(AUTOEVENTO="manual",$A141,
                IF(ISERROR(MATCH($A141,$A$15:OFFSET($A141,-1,0),0)),MAX($M$15:OFFSET(M141,-1,0))+1,
                      INDEX($M$15:OFFSET(M141,-1,0),MATCH($A141,$A$15:OFFSET($A141,-1,0),0)))))</f>
        <v>15</v>
      </c>
      <c r="N141" s="168" t="str">
        <f ca="1">IF($D141&lt;&gt;"Serviço","",
         IF(AUTOEVENTO="Manual",
                IF($A141=0,"&lt;-- defina o número do agrupador",
                       OFFSET(EVENTOS!$D$15,$A141-$A$15,0)),
                OFFSET($F$15,$A141,0)))</f>
        <v>EMISSÁRIO DE ESGOTO - MATERIAIS</v>
      </c>
      <c r="O141" s="169"/>
      <c r="Q141" s="169"/>
      <c r="R141" s="170"/>
      <c r="S141" s="170"/>
      <c r="T141" s="170"/>
      <c r="U141" s="170"/>
      <c r="V141" s="170"/>
      <c r="W141" s="170"/>
      <c r="X141" s="170"/>
      <c r="Y141" s="170"/>
      <c r="Z141" s="171"/>
      <c r="AB141" s="454">
        <f ca="1">IF(AND($D141="Serviço",AB$12&lt;&gt;0,$H141&gt;0,OR(AUTOEVENTO&lt;&gt;"manual",$M141&lt;&gt;$A$15)),
        IF(Import.TipoArredondamento&lt;&gt;"TransfereGOV",
              ROUND(OFFSET($P141,0,AB$13),15-13*ORÇAMENTO!$AF$7)/$H141*OFFSET(ORÇAMENTO!$X$15,ROW(AB141)-ROW(AB$15),0),
              ROUND(ROUND(OFFSET($P141,0,AB$13),15-13*ORÇAMENTO!$AF$7)*OFFSET(ORÇAMENTO!$W$15,ROW(AB141)-ROW(AB$15),0),15-13*ORÇAMENTO!$AF$11)),
         0)</f>
        <v>0</v>
      </c>
      <c r="AC141" s="454">
        <f ca="1">IF(AND($D141="Serviço",AC$12&lt;&gt;0,$H141&gt;0,OR(AUTOEVENTO&lt;&gt;"manual",$M141&lt;&gt;$A$15)),
        IF(Import.TipoArredondamento&lt;&gt;"TransfereGOV",
              ROUND(OFFSET($P141,0,AC$13),15-13*ORÇAMENTO!$AF$7)/$H141*OFFSET(ORÇAMENTO!$X$15,ROW(AC141)-ROW(AC$15),0),
              ROUND(ROUND(OFFSET($P141,0,AC$13),15-13*ORÇAMENTO!$AF$7)*OFFSET(ORÇAMENTO!$W$15,ROW(AC141)-ROW(AC$15),0),15-13*ORÇAMENTO!$AF$11)),
         0)</f>
        <v>0</v>
      </c>
      <c r="AD141" s="454">
        <f ca="1">IF(AND($D141="Serviço",AD$12&lt;&gt;0,$H141&gt;0,OR(AUTOEVENTO&lt;&gt;"manual",$M141&lt;&gt;$A$15)),
        IF(Import.TipoArredondamento&lt;&gt;"TransfereGOV",
              ROUND(OFFSET($P141,0,AD$13),15-13*ORÇAMENTO!$AF$7)/$H141*OFFSET(ORÇAMENTO!$X$15,ROW(AD141)-ROW(AD$15),0),
              ROUND(ROUND(OFFSET($P141,0,AD$13),15-13*ORÇAMENTO!$AF$7)*OFFSET(ORÇAMENTO!$W$15,ROW(AD141)-ROW(AD$15),0),15-13*ORÇAMENTO!$AF$11)),
         0)</f>
        <v>0</v>
      </c>
      <c r="AE141" s="454">
        <f ca="1">IF(AND($D141="Serviço",AE$12&lt;&gt;0,$H141&gt;0,OR(AUTOEVENTO&lt;&gt;"manual",$M141&lt;&gt;$A$15)),
        IF(Import.TipoArredondamento&lt;&gt;"TransfereGOV",
              ROUND(OFFSET($P141,0,AE$13),15-13*ORÇAMENTO!$AF$7)/$H141*OFFSET(ORÇAMENTO!$X$15,ROW(AE141)-ROW(AE$15),0),
              ROUND(ROUND(OFFSET($P141,0,AE$13),15-13*ORÇAMENTO!$AF$7)*OFFSET(ORÇAMENTO!$W$15,ROW(AE141)-ROW(AE$15),0),15-13*ORÇAMENTO!$AF$11)),
         0)</f>
        <v>0</v>
      </c>
      <c r="AF141" s="454">
        <f ca="1">IF(AND($D141="Serviço",AF$12&lt;&gt;0,$H141&gt;0,OR(AUTOEVENTO&lt;&gt;"manual",$M141&lt;&gt;$A$15)),
        IF(Import.TipoArredondamento&lt;&gt;"TransfereGOV",
              ROUND(OFFSET($P141,0,AF$13),15-13*ORÇAMENTO!$AF$7)/$H141*OFFSET(ORÇAMENTO!$X$15,ROW(AF141)-ROW(AF$15),0),
              ROUND(ROUND(OFFSET($P141,0,AF$13),15-13*ORÇAMENTO!$AF$7)*OFFSET(ORÇAMENTO!$W$15,ROW(AF141)-ROW(AF$15),0),15-13*ORÇAMENTO!$AF$11)),
         0)</f>
        <v>0</v>
      </c>
      <c r="AG141" s="454">
        <f ca="1">IF(AND($D141="Serviço",AG$12&lt;&gt;0,$H141&gt;0,OR(AUTOEVENTO&lt;&gt;"manual",$M141&lt;&gt;$A$15)),
        IF(Import.TipoArredondamento&lt;&gt;"TransfereGOV",
              ROUND(OFFSET($P141,0,AG$13),15-13*ORÇAMENTO!$AF$7)/$H141*OFFSET(ORÇAMENTO!$X$15,ROW(AG141)-ROW(AG$15),0),
              ROUND(ROUND(OFFSET($P141,0,AG$13),15-13*ORÇAMENTO!$AF$7)*OFFSET(ORÇAMENTO!$W$15,ROW(AG141)-ROW(AG$15),0),15-13*ORÇAMENTO!$AF$11)),
         0)</f>
        <v>0</v>
      </c>
      <c r="AH141" s="454">
        <f ca="1">IF(AND($D141="Serviço",AH$12&lt;&gt;0,$H141&gt;0,OR(AUTOEVENTO&lt;&gt;"manual",$M141&lt;&gt;$A$15)),
        IF(Import.TipoArredondamento&lt;&gt;"TransfereGOV",
              ROUND(OFFSET($P141,0,AH$13),15-13*ORÇAMENTO!$AF$7)/$H141*OFFSET(ORÇAMENTO!$X$15,ROW(AH141)-ROW(AH$15),0),
              ROUND(ROUND(OFFSET($P141,0,AH$13),15-13*ORÇAMENTO!$AF$7)*OFFSET(ORÇAMENTO!$W$15,ROW(AH141)-ROW(AH$15),0),15-13*ORÇAMENTO!$AF$11)),
         0)</f>
        <v>0</v>
      </c>
      <c r="AI141" s="454">
        <f ca="1">IF(AND($D141="Serviço",AI$12&lt;&gt;0,$H141&gt;0,OR(AUTOEVENTO&lt;&gt;"manual",$M141&lt;&gt;$A$15)),
        IF(Import.TipoArredondamento&lt;&gt;"TransfereGOV",
              ROUND(OFFSET($P141,0,AI$13),15-13*ORÇAMENTO!$AF$7)/$H141*OFFSET(ORÇAMENTO!$X$15,ROW(AI141)-ROW(AI$15),0),
              ROUND(ROUND(OFFSET($P141,0,AI$13),15-13*ORÇAMENTO!$AF$7)*OFFSET(ORÇAMENTO!$W$15,ROW(AI141)-ROW(AI$15),0),15-13*ORÇAMENTO!$AF$11)),
         0)</f>
        <v>0</v>
      </c>
      <c r="AJ141" s="454">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4">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M141" s="172">
        <f ca="1">IF(OR($D141&lt;&gt;"Serviço",AND(AUTOEVENTO="Manual",$M141=$A$15)),0,
         IF(OFFSET(CRONOPLE!$F$15,$M141-$A$15,AM$13)=0,10^12,OFFSET(CRONOPLE!$F$15,$M141-$A$15,AM$13)))</f>
        <v>1000000000000</v>
      </c>
      <c r="AN141" s="172">
        <f ca="1">IF(OR($D141&lt;&gt;"Serviço",AND(AUTOEVENTO="Manual",$M141=$A$15)),0,
         IF(OFFSET(CRONOPLE!$F$15,$M141-$A$15,AN$13)=0,10^12,OFFSET(CRONOPLE!$F$15,$M141-$A$15,AN$13)))</f>
        <v>1000000000000</v>
      </c>
      <c r="AO141" s="172">
        <f ca="1">IF(OR($D141&lt;&gt;"Serviço",AND(AUTOEVENTO="Manual",$M141=$A$15)),0,
         IF(OFFSET(CRONOPLE!$F$15,$M141-$A$15,AO$13)=0,10^12,OFFSET(CRONOPLE!$F$15,$M141-$A$15,AO$13)))</f>
        <v>1000000000000</v>
      </c>
      <c r="AP141" s="172">
        <f ca="1">IF(OR($D141&lt;&gt;"Serviço",AND(AUTOEVENTO="Manual",$M141=$A$15)),0,
         IF(OFFSET(CRONOPLE!$F$15,$M141-$A$15,AP$13)=0,10^12,OFFSET(CRONOPLE!$F$15,$M141-$A$15,AP$13)))</f>
        <v>1000000000000</v>
      </c>
      <c r="AQ141" s="172">
        <f ca="1">IF(OR($D141&lt;&gt;"Serviço",AND(AUTOEVENTO="Manual",$M141=$A$15)),0,
         IF(OFFSET(CRONOPLE!$F$15,$M141-$A$15,AQ$13)=0,10^12,OFFSET(CRONOPLE!$F$15,$M141-$A$15,AQ$13)))</f>
        <v>1000000000000</v>
      </c>
      <c r="AR141" s="172">
        <f ca="1">IF(OR($D141&lt;&gt;"Serviço",AND(AUTOEVENTO="Manual",$M141=$A$15)),0,
         IF(OFFSET(CRONOPLE!$F$15,$M141-$A$15,AR$13)=0,10^12,OFFSET(CRONOPLE!$F$15,$M141-$A$15,AR$13)))</f>
        <v>1000000000000</v>
      </c>
      <c r="AS141" s="172">
        <f ca="1">IF(OR($D141&lt;&gt;"Serviço",AND(AUTOEVENTO="Manual",$M141=$A$15)),0,
         IF(OFFSET(CRONOPLE!$F$15,$M141-$A$15,AS$13)=0,10^12,OFFSET(CRONOPLE!$F$15,$M141-$A$15,AS$13)))</f>
        <v>1000000000000</v>
      </c>
      <c r="AT141" s="172">
        <f ca="1">IF(OR($D141&lt;&gt;"Serviço",AND(AUTOEVENTO="Manual",$M141=$A$15)),0,
         IF(OFFSET(CRONOPLE!$F$15,$M141-$A$15,AT$13)=0,10^12,OFFSET(CRONOPLE!$F$15,$M141-$A$15,AT$13)))</f>
        <v>1000000000000</v>
      </c>
      <c r="AU141" s="172">
        <f ca="1">IF(OR($D141&lt;&gt;"Serviço",AND(AUTOEVENTO="Manual",$M141=$A$15)),0,
         IF(OFFSET(CRONOPLE!$F$15,$M141-$A$15,AU$13)=0,10^12,OFFSET(CRONOPLE!$F$15,$M141-$A$15,AU$13)))</f>
        <v>1000000000000</v>
      </c>
      <c r="AV141" s="172">
        <f ca="1">IF(OR($D141&lt;&gt;"Serviço",AND(AUTOEVENTO="Manual",$M141=$A$15)),0,
         IF(OFFSET(CRONOPLE!$F$15,$M141-$A$15,AV$13)=0,10^12,OFFSET(CRONOPLE!$F$15,$M141-$A$15,AV$13)))</f>
        <v>1000000000000</v>
      </c>
      <c r="AX141" s="173">
        <f ca="1">IF(OR($D141&lt;&gt;"Serviço",AND(AUTOEVENTO="Manual",$M141=$A$15),$M141&gt;(ROW(PLE.lastrow)-ROW(PLE.firstrow))),0,
           IF(OFFSET(PLE!$G$15,$M141-$A$15,AX$13)="",10^12,OFFSET(PLE!$G$15,$M141-$A$15,AX$13)))</f>
        <v>1000000000000</v>
      </c>
      <c r="AY141" s="173">
        <f ca="1">IF(OR($D141&lt;&gt;"Serviço",AND(AUTOEVENTO="Manual",$M141=$A$15),$M141&gt;(ROW(PLE.lastrow)-ROW(PLE.firstrow))),0,
           IF(OFFSET(PLE!$G$15,$M141-$A$15,AY$13)="",10^12,OFFSET(PLE!$G$15,$M141-$A$15,AY$13)))</f>
        <v>1000000000000</v>
      </c>
      <c r="AZ141" s="173">
        <f ca="1">IF(OR($D141&lt;&gt;"Serviço",AND(AUTOEVENTO="Manual",$M141=$A$15),$M141&gt;(ROW(PLE.lastrow)-ROW(PLE.firstrow))),0,
           IF(OFFSET(PLE!$G$15,$M141-$A$15,AZ$13)="",10^12,OFFSET(PLE!$G$15,$M141-$A$15,AZ$13)))</f>
        <v>1000000000000</v>
      </c>
      <c r="BA141" s="173">
        <f ca="1">IF(OR($D141&lt;&gt;"Serviço",AND(AUTOEVENTO="Manual",$M141=$A$15),$M141&gt;(ROW(PLE.lastrow)-ROW(PLE.firstrow))),0,
           IF(OFFSET(PLE!$G$15,$M141-$A$15,BA$13)="",10^12,OFFSET(PLE!$G$15,$M141-$A$15,BA$13)))</f>
        <v>1000000000000</v>
      </c>
      <c r="BB141" s="173">
        <f ca="1">IF(OR($D141&lt;&gt;"Serviço",AND(AUTOEVENTO="Manual",$M141=$A$15),$M141&gt;(ROW(PLE.lastrow)-ROW(PLE.firstrow))),0,
           IF(OFFSET(PLE!$G$15,$M141-$A$15,BB$13)="",10^12,OFFSET(PLE!$G$15,$M141-$A$15,BB$13)))</f>
        <v>1000000000000</v>
      </c>
      <c r="BC141" s="173">
        <f ca="1">IF(OR($D141&lt;&gt;"Serviço",AND(AUTOEVENTO="Manual",$M141=$A$15),$M141&gt;(ROW(PLE.lastrow)-ROW(PLE.firstrow))),0,
           IF(OFFSET(PLE!$G$15,$M141-$A$15,BC$13)="",10^12,OFFSET(PLE!$G$15,$M141-$A$15,BC$13)))</f>
        <v>1000000000000</v>
      </c>
      <c r="BD141" s="173">
        <f ca="1">IF(OR($D141&lt;&gt;"Serviço",AND(AUTOEVENTO="Manual",$M141=$A$15),$M141&gt;(ROW(PLE.lastrow)-ROW(PLE.firstrow))),0,
           IF(OFFSET(PLE!$G$15,$M141-$A$15,BD$13)="",10^12,OFFSET(PLE!$G$15,$M141-$A$15,BD$13)))</f>
        <v>1000000000000</v>
      </c>
      <c r="BE141" s="173">
        <f ca="1">IF(OR($D141&lt;&gt;"Serviço",AND(AUTOEVENTO="Manual",$M141=$A$15),$M141&gt;(ROW(PLE.lastrow)-ROW(PLE.firstrow))),0,
           IF(OFFSET(PLE!$G$15,$M141-$A$15,BE$13)="",10^12,OFFSET(PLE!$G$15,$M141-$A$15,BE$13)))</f>
        <v>1000000000000</v>
      </c>
      <c r="BF141" s="173">
        <f ca="1">IF(OR($D141&lt;&gt;"Serviço",AND(AUTOEVENTO="Manual",$M141=$A$15),$M141&gt;(ROW(PLE.lastrow)-ROW(PLE.firstrow))),0,
           IF(OFFSET(PLE!$G$15,$M141-$A$15,BF$13)="",10^12,OFFSET(PLE!$G$15,$M141-$A$15,BF$13)))</f>
        <v>1000000000000</v>
      </c>
      <c r="BG141" s="173">
        <f ca="1">IF(OR($D141&lt;&gt;"Serviço",AND(AUTOEVENTO="Manual",$M141=$A$15),$M141&gt;(ROW(PLE.lastrow)-ROW(PLE.firstrow))),0,
           IF(OFFSET(PLE!$G$15,$M141-$A$15,BG$13)="",10^12,OFFSET(PLE!$G$15,$M141-$A$15,BG$13)))</f>
        <v>1000000000000</v>
      </c>
    </row>
    <row r="142" spans="1:59" s="705" customFormat="1" ht="25.5" x14ac:dyDescent="0.2">
      <c r="A142" s="703" t="str">
        <f t="shared" ca="1" si="10"/>
        <v>125</v>
      </c>
      <c r="B142" s="703" t="str">
        <f ca="1">OFFSET(ORÇAMENTO!C$15,ROW(B142)-ROW(B$15),0)</f>
        <v>S</v>
      </c>
      <c r="C142" s="703" t="str">
        <f ca="1">OFFSET(ORÇAMENTO!L$15,ROW(C142)-ROW(C$15),0)</f>
        <v/>
      </c>
      <c r="D142" s="117" t="str">
        <f ca="1">OFFSET(ORÇAMENTO!N$15,ROW(D142)-ROW(D$15),0)</f>
        <v>Serviço</v>
      </c>
      <c r="E142" s="118" t="str">
        <f ca="1">OFFSET(ORÇAMENTO!O$15,ROW(E142)-ROW(E$15),0)</f>
        <v>-</v>
      </c>
      <c r="F142" s="164" t="str">
        <f ca="1">OFFSET(ORÇAMENTO!R$15,ROW(F142)-ROW(F$15),0)</f>
        <v>(abra o arquivo 'Referência 09-2025.xlsm)</v>
      </c>
      <c r="G142" s="165" t="str">
        <f ca="1">IF($D142&lt;&gt;"Serviço","",OFFSET(ORÇAMENTO!S$15,ROW(G142)-ROW(G$15),0))</f>
        <v>-</v>
      </c>
      <c r="H142" s="123">
        <f ca="1">IF($D142&lt;&gt;"Serviço",0,IF(ACOMPANHAMENTO="BM",ROUND(OFFSET(ORÇAMENTO!AJ$15,ROW(H142)-ROW(H$15),0),15-13*ORÇAMENTO!$AF$7),SUMPRODUCT(($Q$1:$AA$1=1)*ROUND($Q142:$AA142,15-13*ORÇAMENTO!$AF$7))))</f>
        <v>1698</v>
      </c>
      <c r="I142" s="469" t="s">
        <v>1149</v>
      </c>
      <c r="J142" s="667" t="str">
        <f ca="1">IF(OR(B142&lt;&gt;"S",CÁLCULO.FrentesPreenchidas=0),"",IF(AND(ACOMPANHAMENTO="PLE",AUTOEVENTO="Manual",OR(H142&gt;0,ORÇAMENTO!AC142="QUANT."),OR(K142="",M142=0,N142="")),"►",IF(AND(ACOMPANHAMENTO="PLE",ORÇAMENTO!AC142="QUANT."),"►►",IF(AND(COUNTIF($P$11:$AA$11,"▼")=0,H142&gt;0,I142=""),"◄",""))))</f>
        <v/>
      </c>
      <c r="K142" s="668"/>
      <c r="L142" s="166" t="s">
        <v>765</v>
      </c>
      <c r="M142" s="167">
        <f ca="1">IF($D142&lt;&gt;"Serviço","",
          IF(AUTOEVENTO="manual",$A142,
                IF(ISERROR(MATCH($A142,$A$15:OFFSET($A142,-1,0),0)),MAX($M$15:OFFSET(M142,-1,0))+1,
                      INDEX($M$15:OFFSET(M142,-1,0),MATCH($A142,$A$15:OFFSET($A142,-1,0),0)))))</f>
        <v>15</v>
      </c>
      <c r="N142" s="168" t="str">
        <f ca="1">IF($D142&lt;&gt;"Serviço","",
         IF(AUTOEVENTO="Manual",
                IF($A142=0,"&lt;-- defina o número do agrupador",
                       OFFSET(EVENTOS!$D$15,$A142-$A$15,0)),
                OFFSET($F$15,$A142,0)))</f>
        <v>EMISSÁRIO DE ESGOTO - MATERIAIS</v>
      </c>
      <c r="O142" s="169"/>
      <c r="Q142" s="169"/>
      <c r="R142" s="170"/>
      <c r="S142" s="170"/>
      <c r="T142" s="170"/>
      <c r="U142" s="170"/>
      <c r="V142" s="170"/>
      <c r="W142" s="170"/>
      <c r="X142" s="170"/>
      <c r="Y142" s="170"/>
      <c r="Z142" s="171"/>
      <c r="AB142" s="454">
        <f ca="1">IF(AND($D142="Serviço",AB$12&lt;&gt;0,$H142&gt;0,OR(AUTOEVENTO&lt;&gt;"manual",$M142&lt;&gt;$A$15)),
        IF(Import.TipoArredondamento&lt;&gt;"TransfereGOV",
              ROUND(OFFSET($P142,0,AB$13),15-13*ORÇAMENTO!$AF$7)/$H142*OFFSET(ORÇAMENTO!$X$15,ROW(AB142)-ROW(AB$15),0),
              ROUND(ROUND(OFFSET($P142,0,AB$13),15-13*ORÇAMENTO!$AF$7)*OFFSET(ORÇAMENTO!$W$15,ROW(AB142)-ROW(AB$15),0),15-13*ORÇAMENTO!$AF$11)),
         0)</f>
        <v>0</v>
      </c>
      <c r="AC142" s="454">
        <f ca="1">IF(AND($D142="Serviço",AC$12&lt;&gt;0,$H142&gt;0,OR(AUTOEVENTO&lt;&gt;"manual",$M142&lt;&gt;$A$15)),
        IF(Import.TipoArredondamento&lt;&gt;"TransfereGOV",
              ROUND(OFFSET($P142,0,AC$13),15-13*ORÇAMENTO!$AF$7)/$H142*OFFSET(ORÇAMENTO!$X$15,ROW(AC142)-ROW(AC$15),0),
              ROUND(ROUND(OFFSET($P142,0,AC$13),15-13*ORÇAMENTO!$AF$7)*OFFSET(ORÇAMENTO!$W$15,ROW(AC142)-ROW(AC$15),0),15-13*ORÇAMENTO!$AF$11)),
         0)</f>
        <v>0</v>
      </c>
      <c r="AD142" s="454">
        <f ca="1">IF(AND($D142="Serviço",AD$12&lt;&gt;0,$H142&gt;0,OR(AUTOEVENTO&lt;&gt;"manual",$M142&lt;&gt;$A$15)),
        IF(Import.TipoArredondamento&lt;&gt;"TransfereGOV",
              ROUND(OFFSET($P142,0,AD$13),15-13*ORÇAMENTO!$AF$7)/$H142*OFFSET(ORÇAMENTO!$X$15,ROW(AD142)-ROW(AD$15),0),
              ROUND(ROUND(OFFSET($P142,0,AD$13),15-13*ORÇAMENTO!$AF$7)*OFFSET(ORÇAMENTO!$W$15,ROW(AD142)-ROW(AD$15),0),15-13*ORÇAMENTO!$AF$11)),
         0)</f>
        <v>0</v>
      </c>
      <c r="AE142" s="454">
        <f ca="1">IF(AND($D142="Serviço",AE$12&lt;&gt;0,$H142&gt;0,OR(AUTOEVENTO&lt;&gt;"manual",$M142&lt;&gt;$A$15)),
        IF(Import.TipoArredondamento&lt;&gt;"TransfereGOV",
              ROUND(OFFSET($P142,0,AE$13),15-13*ORÇAMENTO!$AF$7)/$H142*OFFSET(ORÇAMENTO!$X$15,ROW(AE142)-ROW(AE$15),0),
              ROUND(ROUND(OFFSET($P142,0,AE$13),15-13*ORÇAMENTO!$AF$7)*OFFSET(ORÇAMENTO!$W$15,ROW(AE142)-ROW(AE$15),0),15-13*ORÇAMENTO!$AF$11)),
         0)</f>
        <v>0</v>
      </c>
      <c r="AF142" s="454">
        <f ca="1">IF(AND($D142="Serviço",AF$12&lt;&gt;0,$H142&gt;0,OR(AUTOEVENTO&lt;&gt;"manual",$M142&lt;&gt;$A$15)),
        IF(Import.TipoArredondamento&lt;&gt;"TransfereGOV",
              ROUND(OFFSET($P142,0,AF$13),15-13*ORÇAMENTO!$AF$7)/$H142*OFFSET(ORÇAMENTO!$X$15,ROW(AF142)-ROW(AF$15),0),
              ROUND(ROUND(OFFSET($P142,0,AF$13),15-13*ORÇAMENTO!$AF$7)*OFFSET(ORÇAMENTO!$W$15,ROW(AF142)-ROW(AF$15),0),15-13*ORÇAMENTO!$AF$11)),
         0)</f>
        <v>0</v>
      </c>
      <c r="AG142" s="454">
        <f ca="1">IF(AND($D142="Serviço",AG$12&lt;&gt;0,$H142&gt;0,OR(AUTOEVENTO&lt;&gt;"manual",$M142&lt;&gt;$A$15)),
        IF(Import.TipoArredondamento&lt;&gt;"TransfereGOV",
              ROUND(OFFSET($P142,0,AG$13),15-13*ORÇAMENTO!$AF$7)/$H142*OFFSET(ORÇAMENTO!$X$15,ROW(AG142)-ROW(AG$15),0),
              ROUND(ROUND(OFFSET($P142,0,AG$13),15-13*ORÇAMENTO!$AF$7)*OFFSET(ORÇAMENTO!$W$15,ROW(AG142)-ROW(AG$15),0),15-13*ORÇAMENTO!$AF$11)),
         0)</f>
        <v>0</v>
      </c>
      <c r="AH142" s="454">
        <f ca="1">IF(AND($D142="Serviço",AH$12&lt;&gt;0,$H142&gt;0,OR(AUTOEVENTO&lt;&gt;"manual",$M142&lt;&gt;$A$15)),
        IF(Import.TipoArredondamento&lt;&gt;"TransfereGOV",
              ROUND(OFFSET($P142,0,AH$13),15-13*ORÇAMENTO!$AF$7)/$H142*OFFSET(ORÇAMENTO!$X$15,ROW(AH142)-ROW(AH$15),0),
              ROUND(ROUND(OFFSET($P142,0,AH$13),15-13*ORÇAMENTO!$AF$7)*OFFSET(ORÇAMENTO!$W$15,ROW(AH142)-ROW(AH$15),0),15-13*ORÇAMENTO!$AF$11)),
         0)</f>
        <v>0</v>
      </c>
      <c r="AI142" s="454">
        <f ca="1">IF(AND($D142="Serviço",AI$12&lt;&gt;0,$H142&gt;0,OR(AUTOEVENTO&lt;&gt;"manual",$M142&lt;&gt;$A$15)),
        IF(Import.TipoArredondamento&lt;&gt;"TransfereGOV",
              ROUND(OFFSET($P142,0,AI$13),15-13*ORÇAMENTO!$AF$7)/$H142*OFFSET(ORÇAMENTO!$X$15,ROW(AI142)-ROW(AI$15),0),
              ROUND(ROUND(OFFSET($P142,0,AI$13),15-13*ORÇAMENTO!$AF$7)*OFFSET(ORÇAMENTO!$W$15,ROW(AI142)-ROW(AI$15),0),15-13*ORÇAMENTO!$AF$11)),
         0)</f>
        <v>0</v>
      </c>
      <c r="AJ142" s="454">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4">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M142" s="172">
        <f ca="1">IF(OR($D142&lt;&gt;"Serviço",AND(AUTOEVENTO="Manual",$M142=$A$15)),0,
         IF(OFFSET(CRONOPLE!$F$15,$M142-$A$15,AM$13)=0,10^12,OFFSET(CRONOPLE!$F$15,$M142-$A$15,AM$13)))</f>
        <v>1000000000000</v>
      </c>
      <c r="AN142" s="172">
        <f ca="1">IF(OR($D142&lt;&gt;"Serviço",AND(AUTOEVENTO="Manual",$M142=$A$15)),0,
         IF(OFFSET(CRONOPLE!$F$15,$M142-$A$15,AN$13)=0,10^12,OFFSET(CRONOPLE!$F$15,$M142-$A$15,AN$13)))</f>
        <v>1000000000000</v>
      </c>
      <c r="AO142" s="172">
        <f ca="1">IF(OR($D142&lt;&gt;"Serviço",AND(AUTOEVENTO="Manual",$M142=$A$15)),0,
         IF(OFFSET(CRONOPLE!$F$15,$M142-$A$15,AO$13)=0,10^12,OFFSET(CRONOPLE!$F$15,$M142-$A$15,AO$13)))</f>
        <v>1000000000000</v>
      </c>
      <c r="AP142" s="172">
        <f ca="1">IF(OR($D142&lt;&gt;"Serviço",AND(AUTOEVENTO="Manual",$M142=$A$15)),0,
         IF(OFFSET(CRONOPLE!$F$15,$M142-$A$15,AP$13)=0,10^12,OFFSET(CRONOPLE!$F$15,$M142-$A$15,AP$13)))</f>
        <v>1000000000000</v>
      </c>
      <c r="AQ142" s="172">
        <f ca="1">IF(OR($D142&lt;&gt;"Serviço",AND(AUTOEVENTO="Manual",$M142=$A$15)),0,
         IF(OFFSET(CRONOPLE!$F$15,$M142-$A$15,AQ$13)=0,10^12,OFFSET(CRONOPLE!$F$15,$M142-$A$15,AQ$13)))</f>
        <v>1000000000000</v>
      </c>
      <c r="AR142" s="172">
        <f ca="1">IF(OR($D142&lt;&gt;"Serviço",AND(AUTOEVENTO="Manual",$M142=$A$15)),0,
         IF(OFFSET(CRONOPLE!$F$15,$M142-$A$15,AR$13)=0,10^12,OFFSET(CRONOPLE!$F$15,$M142-$A$15,AR$13)))</f>
        <v>1000000000000</v>
      </c>
      <c r="AS142" s="172">
        <f ca="1">IF(OR($D142&lt;&gt;"Serviço",AND(AUTOEVENTO="Manual",$M142=$A$15)),0,
         IF(OFFSET(CRONOPLE!$F$15,$M142-$A$15,AS$13)=0,10^12,OFFSET(CRONOPLE!$F$15,$M142-$A$15,AS$13)))</f>
        <v>1000000000000</v>
      </c>
      <c r="AT142" s="172">
        <f ca="1">IF(OR($D142&lt;&gt;"Serviço",AND(AUTOEVENTO="Manual",$M142=$A$15)),0,
         IF(OFFSET(CRONOPLE!$F$15,$M142-$A$15,AT$13)=0,10^12,OFFSET(CRONOPLE!$F$15,$M142-$A$15,AT$13)))</f>
        <v>1000000000000</v>
      </c>
      <c r="AU142" s="172">
        <f ca="1">IF(OR($D142&lt;&gt;"Serviço",AND(AUTOEVENTO="Manual",$M142=$A$15)),0,
         IF(OFFSET(CRONOPLE!$F$15,$M142-$A$15,AU$13)=0,10^12,OFFSET(CRONOPLE!$F$15,$M142-$A$15,AU$13)))</f>
        <v>1000000000000</v>
      </c>
      <c r="AV142" s="172">
        <f ca="1">IF(OR($D142&lt;&gt;"Serviço",AND(AUTOEVENTO="Manual",$M142=$A$15)),0,
         IF(OFFSET(CRONOPLE!$F$15,$M142-$A$15,AV$13)=0,10^12,OFFSET(CRONOPLE!$F$15,$M142-$A$15,AV$13)))</f>
        <v>1000000000000</v>
      </c>
      <c r="AX142" s="173">
        <f ca="1">IF(OR($D142&lt;&gt;"Serviço",AND(AUTOEVENTO="Manual",$M142=$A$15),$M142&gt;(ROW(PLE.lastrow)-ROW(PLE.firstrow))),0,
           IF(OFFSET(PLE!$G$15,$M142-$A$15,AX$13)="",10^12,OFFSET(PLE!$G$15,$M142-$A$15,AX$13)))</f>
        <v>1000000000000</v>
      </c>
      <c r="AY142" s="173">
        <f ca="1">IF(OR($D142&lt;&gt;"Serviço",AND(AUTOEVENTO="Manual",$M142=$A$15),$M142&gt;(ROW(PLE.lastrow)-ROW(PLE.firstrow))),0,
           IF(OFFSET(PLE!$G$15,$M142-$A$15,AY$13)="",10^12,OFFSET(PLE!$G$15,$M142-$A$15,AY$13)))</f>
        <v>1000000000000</v>
      </c>
      <c r="AZ142" s="173">
        <f ca="1">IF(OR($D142&lt;&gt;"Serviço",AND(AUTOEVENTO="Manual",$M142=$A$15),$M142&gt;(ROW(PLE.lastrow)-ROW(PLE.firstrow))),0,
           IF(OFFSET(PLE!$G$15,$M142-$A$15,AZ$13)="",10^12,OFFSET(PLE!$G$15,$M142-$A$15,AZ$13)))</f>
        <v>1000000000000</v>
      </c>
      <c r="BA142" s="173">
        <f ca="1">IF(OR($D142&lt;&gt;"Serviço",AND(AUTOEVENTO="Manual",$M142=$A$15),$M142&gt;(ROW(PLE.lastrow)-ROW(PLE.firstrow))),0,
           IF(OFFSET(PLE!$G$15,$M142-$A$15,BA$13)="",10^12,OFFSET(PLE!$G$15,$M142-$A$15,BA$13)))</f>
        <v>1000000000000</v>
      </c>
      <c r="BB142" s="173">
        <f ca="1">IF(OR($D142&lt;&gt;"Serviço",AND(AUTOEVENTO="Manual",$M142=$A$15),$M142&gt;(ROW(PLE.lastrow)-ROW(PLE.firstrow))),0,
           IF(OFFSET(PLE!$G$15,$M142-$A$15,BB$13)="",10^12,OFFSET(PLE!$G$15,$M142-$A$15,BB$13)))</f>
        <v>1000000000000</v>
      </c>
      <c r="BC142" s="173">
        <f ca="1">IF(OR($D142&lt;&gt;"Serviço",AND(AUTOEVENTO="Manual",$M142=$A$15),$M142&gt;(ROW(PLE.lastrow)-ROW(PLE.firstrow))),0,
           IF(OFFSET(PLE!$G$15,$M142-$A$15,BC$13)="",10^12,OFFSET(PLE!$G$15,$M142-$A$15,BC$13)))</f>
        <v>1000000000000</v>
      </c>
      <c r="BD142" s="173">
        <f ca="1">IF(OR($D142&lt;&gt;"Serviço",AND(AUTOEVENTO="Manual",$M142=$A$15),$M142&gt;(ROW(PLE.lastrow)-ROW(PLE.firstrow))),0,
           IF(OFFSET(PLE!$G$15,$M142-$A$15,BD$13)="",10^12,OFFSET(PLE!$G$15,$M142-$A$15,BD$13)))</f>
        <v>1000000000000</v>
      </c>
      <c r="BE142" s="173">
        <f ca="1">IF(OR($D142&lt;&gt;"Serviço",AND(AUTOEVENTO="Manual",$M142=$A$15),$M142&gt;(ROW(PLE.lastrow)-ROW(PLE.firstrow))),0,
           IF(OFFSET(PLE!$G$15,$M142-$A$15,BE$13)="",10^12,OFFSET(PLE!$G$15,$M142-$A$15,BE$13)))</f>
        <v>1000000000000</v>
      </c>
      <c r="BF142" s="173">
        <f ca="1">IF(OR($D142&lt;&gt;"Serviço",AND(AUTOEVENTO="Manual",$M142=$A$15),$M142&gt;(ROW(PLE.lastrow)-ROW(PLE.firstrow))),0,
           IF(OFFSET(PLE!$G$15,$M142-$A$15,BF$13)="",10^12,OFFSET(PLE!$G$15,$M142-$A$15,BF$13)))</f>
        <v>1000000000000</v>
      </c>
      <c r="BG142" s="173">
        <f ca="1">IF(OR($D142&lt;&gt;"Serviço",AND(AUTOEVENTO="Manual",$M142=$A$15),$M142&gt;(ROW(PLE.lastrow)-ROW(PLE.firstrow))),0,
           IF(OFFSET(PLE!$G$15,$M142-$A$15,BG$13)="",10^12,OFFSET(PLE!$G$15,$M142-$A$15,BG$13)))</f>
        <v>1000000000000</v>
      </c>
    </row>
    <row r="143" spans="1:59" s="675" customFormat="1" ht="38.25" x14ac:dyDescent="0.2">
      <c r="A143" s="671" t="str">
        <f t="shared" ref="A143:A230" ca="1" si="11">IFERROR(IF(AUTOEVENTO="Manual",IF(K143&lt;&gt;"",MIN(VALUE(LEFT(K143,FIND(".",K143)-1)),COUNTA(EVENTOS.Lista)),0),IF(OR($B143&gt;AUTOEVENTO,$B143="S",$B143=0),SUBSTITUTE(OFFSET($A143,-1,0),IF($D143="Serviço",".",""),""),ROW(A143)-ROW($A$15)&amp;".")),0)</f>
        <v>125</v>
      </c>
      <c r="B143" s="671" t="str">
        <f ca="1">OFFSET(ORÇAMENTO!C$15,ROW(B143)-ROW(B$15),0)</f>
        <v>S</v>
      </c>
      <c r="C143" s="671" t="str">
        <f ca="1">OFFSET(ORÇAMENTO!L$15,ROW(C143)-ROW(C$15),0)</f>
        <v/>
      </c>
      <c r="D143" s="117" t="str">
        <f ca="1">OFFSET(ORÇAMENTO!N$15,ROW(D143)-ROW(D$15),0)</f>
        <v>Serviço</v>
      </c>
      <c r="E143" s="118" t="str">
        <f ca="1">OFFSET(ORÇAMENTO!O$15,ROW(E143)-ROW(E$15),0)</f>
        <v>-</v>
      </c>
      <c r="F143" s="164" t="str">
        <f ca="1">OFFSET(ORÇAMENTO!R$15,ROW(F143)-ROW(F$15),0)</f>
        <v>(abra o arquivo 'Referência 09-2025.xlsm)</v>
      </c>
      <c r="G143" s="165" t="str">
        <f ca="1">IF($D143&lt;&gt;"Serviço","",OFFSET(ORÇAMENTO!S$15,ROW(G143)-ROW(G$15),0))</f>
        <v>-</v>
      </c>
      <c r="H143" s="123">
        <f ca="1">IF($D143&lt;&gt;"Serviço",0,IF(ACOMPANHAMENTO="BM",ROUND(OFFSET(ORÇAMENTO!AJ$15,ROW(H143)-ROW(H$15),0),15-13*ORÇAMENTO!$AF$7),SUMPRODUCT(($Q$1:$AA$1=1)*ROUND($Q143:$AA143,15-13*ORÇAMENTO!$AF$7))))</f>
        <v>35</v>
      </c>
      <c r="I143" s="469" t="s">
        <v>1170</v>
      </c>
      <c r="J143" s="667" t="str">
        <f ca="1">IF(OR(B143&lt;&gt;"S",CÁLCULO.FrentesPreenchidas=0),"",IF(AND(ACOMPANHAMENTO="PLE",AUTOEVENTO="Manual",OR(H143&gt;0,ORÇAMENTO!AC143="QUANT."),OR(K143="",M143=0,N143="")),"►",IF(AND(ACOMPANHAMENTO="PLE",ORÇAMENTO!AC143="QUANT."),"►►",IF(AND(COUNTIF($P$11:$AA$11,"▼")=0,H143&gt;0,I143=""),"◄",""))))</f>
        <v/>
      </c>
      <c r="K143" s="668"/>
      <c r="L143" s="166" t="s">
        <v>765</v>
      </c>
      <c r="M143" s="167">
        <f ca="1">IF($D143&lt;&gt;"Serviço","",
          IF(AUTOEVENTO="manual",$A143,
                IF(ISERROR(MATCH($A143,$A$15:OFFSET($A143,-1,0),0)),MAX($M$15:OFFSET(M143,-1,0))+1,
                      INDEX($M$15:OFFSET(M143,-1,0),MATCH($A143,$A$15:OFFSET($A143,-1,0),0)))))</f>
        <v>15</v>
      </c>
      <c r="N143" s="168" t="str">
        <f ca="1">IF($D143&lt;&gt;"Serviço","",
         IF(AUTOEVENTO="Manual",
                IF($A143=0,"&lt;-- defina o número do agrupador",
                       OFFSET(EVENTOS!$D$15,$A143-$A$15,0)),
                OFFSET($F$15,$A143,0)))</f>
        <v>EMISSÁRIO DE ESGOTO - MATERIAIS</v>
      </c>
      <c r="O143" s="169"/>
      <c r="Q143" s="169"/>
      <c r="R143" s="170"/>
      <c r="S143" s="170"/>
      <c r="T143" s="170"/>
      <c r="U143" s="170"/>
      <c r="V143" s="170"/>
      <c r="W143" s="170"/>
      <c r="X143" s="170"/>
      <c r="Y143" s="170"/>
      <c r="Z143" s="171"/>
      <c r="AB143" s="454">
        <f ca="1">IF(AND($D143="Serviço",AB$12&lt;&gt;0,$H143&gt;0,OR(AUTOEVENTO&lt;&gt;"manual",$M143&lt;&gt;$A$15)),
        IF(Import.TipoArredondamento&lt;&gt;"TransfereGOV",
              ROUND(OFFSET($P143,0,AB$13),15-13*ORÇAMENTO!$AF$7)/$H143*OFFSET(ORÇAMENTO!$X$15,ROW(AB143)-ROW(AB$15),0),
              ROUND(ROUND(OFFSET($P143,0,AB$13),15-13*ORÇAMENTO!$AF$7)*OFFSET(ORÇAMENTO!$W$15,ROW(AB143)-ROW(AB$15),0),15-13*ORÇAMENTO!$AF$11)),
         0)</f>
        <v>0</v>
      </c>
      <c r="AC143" s="454">
        <f ca="1">IF(AND($D143="Serviço",AC$12&lt;&gt;0,$H143&gt;0,OR(AUTOEVENTO&lt;&gt;"manual",$M143&lt;&gt;$A$15)),
        IF(Import.TipoArredondamento&lt;&gt;"TransfereGOV",
              ROUND(OFFSET($P143,0,AC$13),15-13*ORÇAMENTO!$AF$7)/$H143*OFFSET(ORÇAMENTO!$X$15,ROW(AC143)-ROW(AC$15),0),
              ROUND(ROUND(OFFSET($P143,0,AC$13),15-13*ORÇAMENTO!$AF$7)*OFFSET(ORÇAMENTO!$W$15,ROW(AC143)-ROW(AC$15),0),15-13*ORÇAMENTO!$AF$11)),
         0)</f>
        <v>0</v>
      </c>
      <c r="AD143" s="454">
        <f ca="1">IF(AND($D143="Serviço",AD$12&lt;&gt;0,$H143&gt;0,OR(AUTOEVENTO&lt;&gt;"manual",$M143&lt;&gt;$A$15)),
        IF(Import.TipoArredondamento&lt;&gt;"TransfereGOV",
              ROUND(OFFSET($P143,0,AD$13),15-13*ORÇAMENTO!$AF$7)/$H143*OFFSET(ORÇAMENTO!$X$15,ROW(AD143)-ROW(AD$15),0),
              ROUND(ROUND(OFFSET($P143,0,AD$13),15-13*ORÇAMENTO!$AF$7)*OFFSET(ORÇAMENTO!$W$15,ROW(AD143)-ROW(AD$15),0),15-13*ORÇAMENTO!$AF$11)),
         0)</f>
        <v>0</v>
      </c>
      <c r="AE143" s="454">
        <f ca="1">IF(AND($D143="Serviço",AE$12&lt;&gt;0,$H143&gt;0,OR(AUTOEVENTO&lt;&gt;"manual",$M143&lt;&gt;$A$15)),
        IF(Import.TipoArredondamento&lt;&gt;"TransfereGOV",
              ROUND(OFFSET($P143,0,AE$13),15-13*ORÇAMENTO!$AF$7)/$H143*OFFSET(ORÇAMENTO!$X$15,ROW(AE143)-ROW(AE$15),0),
              ROUND(ROUND(OFFSET($P143,0,AE$13),15-13*ORÇAMENTO!$AF$7)*OFFSET(ORÇAMENTO!$W$15,ROW(AE143)-ROW(AE$15),0),15-13*ORÇAMENTO!$AF$11)),
         0)</f>
        <v>0</v>
      </c>
      <c r="AF143" s="454">
        <f ca="1">IF(AND($D143="Serviço",AF$12&lt;&gt;0,$H143&gt;0,OR(AUTOEVENTO&lt;&gt;"manual",$M143&lt;&gt;$A$15)),
        IF(Import.TipoArredondamento&lt;&gt;"TransfereGOV",
              ROUND(OFFSET($P143,0,AF$13),15-13*ORÇAMENTO!$AF$7)/$H143*OFFSET(ORÇAMENTO!$X$15,ROW(AF143)-ROW(AF$15),0),
              ROUND(ROUND(OFFSET($P143,0,AF$13),15-13*ORÇAMENTO!$AF$7)*OFFSET(ORÇAMENTO!$W$15,ROW(AF143)-ROW(AF$15),0),15-13*ORÇAMENTO!$AF$11)),
         0)</f>
        <v>0</v>
      </c>
      <c r="AG143" s="454">
        <f ca="1">IF(AND($D143="Serviço",AG$12&lt;&gt;0,$H143&gt;0,OR(AUTOEVENTO&lt;&gt;"manual",$M143&lt;&gt;$A$15)),
        IF(Import.TipoArredondamento&lt;&gt;"TransfereGOV",
              ROUND(OFFSET($P143,0,AG$13),15-13*ORÇAMENTO!$AF$7)/$H143*OFFSET(ORÇAMENTO!$X$15,ROW(AG143)-ROW(AG$15),0),
              ROUND(ROUND(OFFSET($P143,0,AG$13),15-13*ORÇAMENTO!$AF$7)*OFFSET(ORÇAMENTO!$W$15,ROW(AG143)-ROW(AG$15),0),15-13*ORÇAMENTO!$AF$11)),
         0)</f>
        <v>0</v>
      </c>
      <c r="AH143" s="454">
        <f ca="1">IF(AND($D143="Serviço",AH$12&lt;&gt;0,$H143&gt;0,OR(AUTOEVENTO&lt;&gt;"manual",$M143&lt;&gt;$A$15)),
        IF(Import.TipoArredondamento&lt;&gt;"TransfereGOV",
              ROUND(OFFSET($P143,0,AH$13),15-13*ORÇAMENTO!$AF$7)/$H143*OFFSET(ORÇAMENTO!$X$15,ROW(AH143)-ROW(AH$15),0),
              ROUND(ROUND(OFFSET($P143,0,AH$13),15-13*ORÇAMENTO!$AF$7)*OFFSET(ORÇAMENTO!$W$15,ROW(AH143)-ROW(AH$15),0),15-13*ORÇAMENTO!$AF$11)),
         0)</f>
        <v>0</v>
      </c>
      <c r="AI143" s="454">
        <f ca="1">IF(AND($D143="Serviço",AI$12&lt;&gt;0,$H143&gt;0,OR(AUTOEVENTO&lt;&gt;"manual",$M143&lt;&gt;$A$15)),
        IF(Import.TipoArredondamento&lt;&gt;"TransfereGOV",
              ROUND(OFFSET($P143,0,AI$13),15-13*ORÇAMENTO!$AF$7)/$H143*OFFSET(ORÇAMENTO!$X$15,ROW(AI143)-ROW(AI$15),0),
              ROUND(ROUND(OFFSET($P143,0,AI$13),15-13*ORÇAMENTO!$AF$7)*OFFSET(ORÇAMENTO!$W$15,ROW(AI143)-ROW(AI$15),0),15-13*ORÇAMENTO!$AF$11)),
         0)</f>
        <v>0</v>
      </c>
      <c r="AJ143" s="454">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4">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M143" s="172">
        <f ca="1">IF(OR($D143&lt;&gt;"Serviço",AND(AUTOEVENTO="Manual",$M143=$A$15)),0,
         IF(OFFSET(CRONOPLE!$F$15,$M143-$A$15,AM$13)=0,10^12,OFFSET(CRONOPLE!$F$15,$M143-$A$15,AM$13)))</f>
        <v>1000000000000</v>
      </c>
      <c r="AN143" s="172">
        <f ca="1">IF(OR($D143&lt;&gt;"Serviço",AND(AUTOEVENTO="Manual",$M143=$A$15)),0,
         IF(OFFSET(CRONOPLE!$F$15,$M143-$A$15,AN$13)=0,10^12,OFFSET(CRONOPLE!$F$15,$M143-$A$15,AN$13)))</f>
        <v>1000000000000</v>
      </c>
      <c r="AO143" s="172">
        <f ca="1">IF(OR($D143&lt;&gt;"Serviço",AND(AUTOEVENTO="Manual",$M143=$A$15)),0,
         IF(OFFSET(CRONOPLE!$F$15,$M143-$A$15,AO$13)=0,10^12,OFFSET(CRONOPLE!$F$15,$M143-$A$15,AO$13)))</f>
        <v>1000000000000</v>
      </c>
      <c r="AP143" s="172">
        <f ca="1">IF(OR($D143&lt;&gt;"Serviço",AND(AUTOEVENTO="Manual",$M143=$A$15)),0,
         IF(OFFSET(CRONOPLE!$F$15,$M143-$A$15,AP$13)=0,10^12,OFFSET(CRONOPLE!$F$15,$M143-$A$15,AP$13)))</f>
        <v>1000000000000</v>
      </c>
      <c r="AQ143" s="172">
        <f ca="1">IF(OR($D143&lt;&gt;"Serviço",AND(AUTOEVENTO="Manual",$M143=$A$15)),0,
         IF(OFFSET(CRONOPLE!$F$15,$M143-$A$15,AQ$13)=0,10^12,OFFSET(CRONOPLE!$F$15,$M143-$A$15,AQ$13)))</f>
        <v>1000000000000</v>
      </c>
      <c r="AR143" s="172">
        <f ca="1">IF(OR($D143&lt;&gt;"Serviço",AND(AUTOEVENTO="Manual",$M143=$A$15)),0,
         IF(OFFSET(CRONOPLE!$F$15,$M143-$A$15,AR$13)=0,10^12,OFFSET(CRONOPLE!$F$15,$M143-$A$15,AR$13)))</f>
        <v>1000000000000</v>
      </c>
      <c r="AS143" s="172">
        <f ca="1">IF(OR($D143&lt;&gt;"Serviço",AND(AUTOEVENTO="Manual",$M143=$A$15)),0,
         IF(OFFSET(CRONOPLE!$F$15,$M143-$A$15,AS$13)=0,10^12,OFFSET(CRONOPLE!$F$15,$M143-$A$15,AS$13)))</f>
        <v>1000000000000</v>
      </c>
      <c r="AT143" s="172">
        <f ca="1">IF(OR($D143&lt;&gt;"Serviço",AND(AUTOEVENTO="Manual",$M143=$A$15)),0,
         IF(OFFSET(CRONOPLE!$F$15,$M143-$A$15,AT$13)=0,10^12,OFFSET(CRONOPLE!$F$15,$M143-$A$15,AT$13)))</f>
        <v>1000000000000</v>
      </c>
      <c r="AU143" s="172">
        <f ca="1">IF(OR($D143&lt;&gt;"Serviço",AND(AUTOEVENTO="Manual",$M143=$A$15)),0,
         IF(OFFSET(CRONOPLE!$F$15,$M143-$A$15,AU$13)=0,10^12,OFFSET(CRONOPLE!$F$15,$M143-$A$15,AU$13)))</f>
        <v>1000000000000</v>
      </c>
      <c r="AV143" s="172">
        <f ca="1">IF(OR($D143&lt;&gt;"Serviço",AND(AUTOEVENTO="Manual",$M143=$A$15)),0,
         IF(OFFSET(CRONOPLE!$F$15,$M143-$A$15,AV$13)=0,10^12,OFFSET(CRONOPLE!$F$15,$M143-$A$15,AV$13)))</f>
        <v>1000000000000</v>
      </c>
      <c r="AX143" s="173">
        <f ca="1">IF(OR($D143&lt;&gt;"Serviço",AND(AUTOEVENTO="Manual",$M143=$A$15),$M143&gt;(ROW(PLE.lastrow)-ROW(PLE.firstrow))),0,
           IF(OFFSET(PLE!$G$15,$M143-$A$15,AX$13)="",10^12,OFFSET(PLE!$G$15,$M143-$A$15,AX$13)))</f>
        <v>1000000000000</v>
      </c>
      <c r="AY143" s="173">
        <f ca="1">IF(OR($D143&lt;&gt;"Serviço",AND(AUTOEVENTO="Manual",$M143=$A$15),$M143&gt;(ROW(PLE.lastrow)-ROW(PLE.firstrow))),0,
           IF(OFFSET(PLE!$G$15,$M143-$A$15,AY$13)="",10^12,OFFSET(PLE!$G$15,$M143-$A$15,AY$13)))</f>
        <v>1000000000000</v>
      </c>
      <c r="AZ143" s="173">
        <f ca="1">IF(OR($D143&lt;&gt;"Serviço",AND(AUTOEVENTO="Manual",$M143=$A$15),$M143&gt;(ROW(PLE.lastrow)-ROW(PLE.firstrow))),0,
           IF(OFFSET(PLE!$G$15,$M143-$A$15,AZ$13)="",10^12,OFFSET(PLE!$G$15,$M143-$A$15,AZ$13)))</f>
        <v>1000000000000</v>
      </c>
      <c r="BA143" s="173">
        <f ca="1">IF(OR($D143&lt;&gt;"Serviço",AND(AUTOEVENTO="Manual",$M143=$A$15),$M143&gt;(ROW(PLE.lastrow)-ROW(PLE.firstrow))),0,
           IF(OFFSET(PLE!$G$15,$M143-$A$15,BA$13)="",10^12,OFFSET(PLE!$G$15,$M143-$A$15,BA$13)))</f>
        <v>1000000000000</v>
      </c>
      <c r="BB143" s="173">
        <f ca="1">IF(OR($D143&lt;&gt;"Serviço",AND(AUTOEVENTO="Manual",$M143=$A$15),$M143&gt;(ROW(PLE.lastrow)-ROW(PLE.firstrow))),0,
           IF(OFFSET(PLE!$G$15,$M143-$A$15,BB$13)="",10^12,OFFSET(PLE!$G$15,$M143-$A$15,BB$13)))</f>
        <v>1000000000000</v>
      </c>
      <c r="BC143" s="173">
        <f ca="1">IF(OR($D143&lt;&gt;"Serviço",AND(AUTOEVENTO="Manual",$M143=$A$15),$M143&gt;(ROW(PLE.lastrow)-ROW(PLE.firstrow))),0,
           IF(OFFSET(PLE!$G$15,$M143-$A$15,BC$13)="",10^12,OFFSET(PLE!$G$15,$M143-$A$15,BC$13)))</f>
        <v>1000000000000</v>
      </c>
      <c r="BD143" s="173">
        <f ca="1">IF(OR($D143&lt;&gt;"Serviço",AND(AUTOEVENTO="Manual",$M143=$A$15),$M143&gt;(ROW(PLE.lastrow)-ROW(PLE.firstrow))),0,
           IF(OFFSET(PLE!$G$15,$M143-$A$15,BD$13)="",10^12,OFFSET(PLE!$G$15,$M143-$A$15,BD$13)))</f>
        <v>1000000000000</v>
      </c>
      <c r="BE143" s="173">
        <f ca="1">IF(OR($D143&lt;&gt;"Serviço",AND(AUTOEVENTO="Manual",$M143=$A$15),$M143&gt;(ROW(PLE.lastrow)-ROW(PLE.firstrow))),0,
           IF(OFFSET(PLE!$G$15,$M143-$A$15,BE$13)="",10^12,OFFSET(PLE!$G$15,$M143-$A$15,BE$13)))</f>
        <v>1000000000000</v>
      </c>
      <c r="BF143" s="173">
        <f ca="1">IF(OR($D143&lt;&gt;"Serviço",AND(AUTOEVENTO="Manual",$M143=$A$15),$M143&gt;(ROW(PLE.lastrow)-ROW(PLE.firstrow))),0,
           IF(OFFSET(PLE!$G$15,$M143-$A$15,BF$13)="",10^12,OFFSET(PLE!$G$15,$M143-$A$15,BF$13)))</f>
        <v>1000000000000</v>
      </c>
      <c r="BG143" s="173">
        <f ca="1">IF(OR($D143&lt;&gt;"Serviço",AND(AUTOEVENTO="Manual",$M143=$A$15),$M143&gt;(ROW(PLE.lastrow)-ROW(PLE.firstrow))),0,
           IF(OFFSET(PLE!$G$15,$M143-$A$15,BG$13)="",10^12,OFFSET(PLE!$G$15,$M143-$A$15,BG$13)))</f>
        <v>1000000000000</v>
      </c>
    </row>
    <row r="144" spans="1:59" s="675" customFormat="1" ht="38.25" x14ac:dyDescent="0.2">
      <c r="A144" s="671" t="str">
        <f t="shared" ca="1" si="11"/>
        <v>125</v>
      </c>
      <c r="B144" s="671" t="str">
        <f ca="1">OFFSET(ORÇAMENTO!C$15,ROW(B144)-ROW(B$15),0)</f>
        <v>S</v>
      </c>
      <c r="C144" s="671" t="str">
        <f ca="1">OFFSET(ORÇAMENTO!L$15,ROW(C144)-ROW(C$15),0)</f>
        <v/>
      </c>
      <c r="D144" s="117" t="str">
        <f ca="1">OFFSET(ORÇAMENTO!N$15,ROW(D144)-ROW(D$15),0)</f>
        <v>Serviço</v>
      </c>
      <c r="E144" s="118" t="str">
        <f ca="1">OFFSET(ORÇAMENTO!O$15,ROW(E144)-ROW(E$15),0)</f>
        <v>-</v>
      </c>
      <c r="F144" s="164" t="str">
        <f ca="1">OFFSET(ORÇAMENTO!R$15,ROW(F144)-ROW(F$15),0)</f>
        <v>(abra o arquivo 'Referência 09-2025.xlsm)</v>
      </c>
      <c r="G144" s="165" t="str">
        <f ca="1">IF($D144&lt;&gt;"Serviço","",OFFSET(ORÇAMENTO!S$15,ROW(G144)-ROW(G$15),0))</f>
        <v>-</v>
      </c>
      <c r="H144" s="123">
        <f ca="1">IF($D144&lt;&gt;"Serviço",0,IF(ACOMPANHAMENTO="BM",ROUND(OFFSET(ORÇAMENTO!AJ$15,ROW(H144)-ROW(H$15),0),15-13*ORÇAMENTO!$AF$7),SUMPRODUCT(($Q$1:$AA$1=1)*ROUND($Q144:$AA144,15-13*ORÇAMENTO!$AF$7))))</f>
        <v>9</v>
      </c>
      <c r="I144" s="469" t="s">
        <v>1170</v>
      </c>
      <c r="J144" s="667" t="str">
        <f ca="1">IF(OR(B144&lt;&gt;"S",CÁLCULO.FrentesPreenchidas=0),"",IF(AND(ACOMPANHAMENTO="PLE",AUTOEVENTO="Manual",OR(H144&gt;0,ORÇAMENTO!AC144="QUANT."),OR(K144="",M144=0,N144="")),"►",IF(AND(ACOMPANHAMENTO="PLE",ORÇAMENTO!AC144="QUANT."),"►►",IF(AND(COUNTIF($P$11:$AA$11,"▼")=0,H144&gt;0,I144=""),"◄",""))))</f>
        <v/>
      </c>
      <c r="K144" s="668"/>
      <c r="L144" s="166" t="s">
        <v>765</v>
      </c>
      <c r="M144" s="167">
        <f ca="1">IF($D144&lt;&gt;"Serviço","",
          IF(AUTOEVENTO="manual",$A144,
                IF(ISERROR(MATCH($A144,$A$15:OFFSET($A144,-1,0),0)),MAX($M$15:OFFSET(M144,-1,0))+1,
                      INDEX($M$15:OFFSET(M144,-1,0),MATCH($A144,$A$15:OFFSET($A144,-1,0),0)))))</f>
        <v>15</v>
      </c>
      <c r="N144" s="168" t="str">
        <f ca="1">IF($D144&lt;&gt;"Serviço","",
         IF(AUTOEVENTO="Manual",
                IF($A144=0,"&lt;-- defina o número do agrupador",
                       OFFSET(EVENTOS!$D$15,$A144-$A$15,0)),
                OFFSET($F$15,$A144,0)))</f>
        <v>EMISSÁRIO DE ESGOTO - MATERIAIS</v>
      </c>
      <c r="O144" s="169"/>
      <c r="Q144" s="169"/>
      <c r="R144" s="170"/>
      <c r="S144" s="170"/>
      <c r="T144" s="170"/>
      <c r="U144" s="170"/>
      <c r="V144" s="170"/>
      <c r="W144" s="170"/>
      <c r="X144" s="170"/>
      <c r="Y144" s="170"/>
      <c r="Z144" s="171"/>
      <c r="AB144" s="454">
        <f ca="1">IF(AND($D144="Serviço",AB$12&lt;&gt;0,$H144&gt;0,OR(AUTOEVENTO&lt;&gt;"manual",$M144&lt;&gt;$A$15)),
        IF(Import.TipoArredondamento&lt;&gt;"TransfereGOV",
              ROUND(OFFSET($P144,0,AB$13),15-13*ORÇAMENTO!$AF$7)/$H144*OFFSET(ORÇAMENTO!$X$15,ROW(AB144)-ROW(AB$15),0),
              ROUND(ROUND(OFFSET($P144,0,AB$13),15-13*ORÇAMENTO!$AF$7)*OFFSET(ORÇAMENTO!$W$15,ROW(AB144)-ROW(AB$15),0),15-13*ORÇAMENTO!$AF$11)),
         0)</f>
        <v>0</v>
      </c>
      <c r="AC144" s="454">
        <f ca="1">IF(AND($D144="Serviço",AC$12&lt;&gt;0,$H144&gt;0,OR(AUTOEVENTO&lt;&gt;"manual",$M144&lt;&gt;$A$15)),
        IF(Import.TipoArredondamento&lt;&gt;"TransfereGOV",
              ROUND(OFFSET($P144,0,AC$13),15-13*ORÇAMENTO!$AF$7)/$H144*OFFSET(ORÇAMENTO!$X$15,ROW(AC144)-ROW(AC$15),0),
              ROUND(ROUND(OFFSET($P144,0,AC$13),15-13*ORÇAMENTO!$AF$7)*OFFSET(ORÇAMENTO!$W$15,ROW(AC144)-ROW(AC$15),0),15-13*ORÇAMENTO!$AF$11)),
         0)</f>
        <v>0</v>
      </c>
      <c r="AD144" s="454">
        <f ca="1">IF(AND($D144="Serviço",AD$12&lt;&gt;0,$H144&gt;0,OR(AUTOEVENTO&lt;&gt;"manual",$M144&lt;&gt;$A$15)),
        IF(Import.TipoArredondamento&lt;&gt;"TransfereGOV",
              ROUND(OFFSET($P144,0,AD$13),15-13*ORÇAMENTO!$AF$7)/$H144*OFFSET(ORÇAMENTO!$X$15,ROW(AD144)-ROW(AD$15),0),
              ROUND(ROUND(OFFSET($P144,0,AD$13),15-13*ORÇAMENTO!$AF$7)*OFFSET(ORÇAMENTO!$W$15,ROW(AD144)-ROW(AD$15),0),15-13*ORÇAMENTO!$AF$11)),
         0)</f>
        <v>0</v>
      </c>
      <c r="AE144" s="454">
        <f ca="1">IF(AND($D144="Serviço",AE$12&lt;&gt;0,$H144&gt;0,OR(AUTOEVENTO&lt;&gt;"manual",$M144&lt;&gt;$A$15)),
        IF(Import.TipoArredondamento&lt;&gt;"TransfereGOV",
              ROUND(OFFSET($P144,0,AE$13),15-13*ORÇAMENTO!$AF$7)/$H144*OFFSET(ORÇAMENTO!$X$15,ROW(AE144)-ROW(AE$15),0),
              ROUND(ROUND(OFFSET($P144,0,AE$13),15-13*ORÇAMENTO!$AF$7)*OFFSET(ORÇAMENTO!$W$15,ROW(AE144)-ROW(AE$15),0),15-13*ORÇAMENTO!$AF$11)),
         0)</f>
        <v>0</v>
      </c>
      <c r="AF144" s="454">
        <f ca="1">IF(AND($D144="Serviço",AF$12&lt;&gt;0,$H144&gt;0,OR(AUTOEVENTO&lt;&gt;"manual",$M144&lt;&gt;$A$15)),
        IF(Import.TipoArredondamento&lt;&gt;"TransfereGOV",
              ROUND(OFFSET($P144,0,AF$13),15-13*ORÇAMENTO!$AF$7)/$H144*OFFSET(ORÇAMENTO!$X$15,ROW(AF144)-ROW(AF$15),0),
              ROUND(ROUND(OFFSET($P144,0,AF$13),15-13*ORÇAMENTO!$AF$7)*OFFSET(ORÇAMENTO!$W$15,ROW(AF144)-ROW(AF$15),0),15-13*ORÇAMENTO!$AF$11)),
         0)</f>
        <v>0</v>
      </c>
      <c r="AG144" s="454">
        <f ca="1">IF(AND($D144="Serviço",AG$12&lt;&gt;0,$H144&gt;0,OR(AUTOEVENTO&lt;&gt;"manual",$M144&lt;&gt;$A$15)),
        IF(Import.TipoArredondamento&lt;&gt;"TransfereGOV",
              ROUND(OFFSET($P144,0,AG$13),15-13*ORÇAMENTO!$AF$7)/$H144*OFFSET(ORÇAMENTO!$X$15,ROW(AG144)-ROW(AG$15),0),
              ROUND(ROUND(OFFSET($P144,0,AG$13),15-13*ORÇAMENTO!$AF$7)*OFFSET(ORÇAMENTO!$W$15,ROW(AG144)-ROW(AG$15),0),15-13*ORÇAMENTO!$AF$11)),
         0)</f>
        <v>0</v>
      </c>
      <c r="AH144" s="454">
        <f ca="1">IF(AND($D144="Serviço",AH$12&lt;&gt;0,$H144&gt;0,OR(AUTOEVENTO&lt;&gt;"manual",$M144&lt;&gt;$A$15)),
        IF(Import.TipoArredondamento&lt;&gt;"TransfereGOV",
              ROUND(OFFSET($P144,0,AH$13),15-13*ORÇAMENTO!$AF$7)/$H144*OFFSET(ORÇAMENTO!$X$15,ROW(AH144)-ROW(AH$15),0),
              ROUND(ROUND(OFFSET($P144,0,AH$13),15-13*ORÇAMENTO!$AF$7)*OFFSET(ORÇAMENTO!$W$15,ROW(AH144)-ROW(AH$15),0),15-13*ORÇAMENTO!$AF$11)),
         0)</f>
        <v>0</v>
      </c>
      <c r="AI144" s="454">
        <f ca="1">IF(AND($D144="Serviço",AI$12&lt;&gt;0,$H144&gt;0,OR(AUTOEVENTO&lt;&gt;"manual",$M144&lt;&gt;$A$15)),
        IF(Import.TipoArredondamento&lt;&gt;"TransfereGOV",
              ROUND(OFFSET($P144,0,AI$13),15-13*ORÇAMENTO!$AF$7)/$H144*OFFSET(ORÇAMENTO!$X$15,ROW(AI144)-ROW(AI$15),0),
              ROUND(ROUND(OFFSET($P144,0,AI$13),15-13*ORÇAMENTO!$AF$7)*OFFSET(ORÇAMENTO!$W$15,ROW(AI144)-ROW(AI$15),0),15-13*ORÇAMENTO!$AF$11)),
         0)</f>
        <v>0</v>
      </c>
      <c r="AJ144" s="454">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4">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M144" s="172">
        <f ca="1">IF(OR($D144&lt;&gt;"Serviço",AND(AUTOEVENTO="Manual",$M144=$A$15)),0,
         IF(OFFSET(CRONOPLE!$F$15,$M144-$A$15,AM$13)=0,10^12,OFFSET(CRONOPLE!$F$15,$M144-$A$15,AM$13)))</f>
        <v>1000000000000</v>
      </c>
      <c r="AN144" s="172">
        <f ca="1">IF(OR($D144&lt;&gt;"Serviço",AND(AUTOEVENTO="Manual",$M144=$A$15)),0,
         IF(OFFSET(CRONOPLE!$F$15,$M144-$A$15,AN$13)=0,10^12,OFFSET(CRONOPLE!$F$15,$M144-$A$15,AN$13)))</f>
        <v>1000000000000</v>
      </c>
      <c r="AO144" s="172">
        <f ca="1">IF(OR($D144&lt;&gt;"Serviço",AND(AUTOEVENTO="Manual",$M144=$A$15)),0,
         IF(OFFSET(CRONOPLE!$F$15,$M144-$A$15,AO$13)=0,10^12,OFFSET(CRONOPLE!$F$15,$M144-$A$15,AO$13)))</f>
        <v>1000000000000</v>
      </c>
      <c r="AP144" s="172">
        <f ca="1">IF(OR($D144&lt;&gt;"Serviço",AND(AUTOEVENTO="Manual",$M144=$A$15)),0,
         IF(OFFSET(CRONOPLE!$F$15,$M144-$A$15,AP$13)=0,10^12,OFFSET(CRONOPLE!$F$15,$M144-$A$15,AP$13)))</f>
        <v>1000000000000</v>
      </c>
      <c r="AQ144" s="172">
        <f ca="1">IF(OR($D144&lt;&gt;"Serviço",AND(AUTOEVENTO="Manual",$M144=$A$15)),0,
         IF(OFFSET(CRONOPLE!$F$15,$M144-$A$15,AQ$13)=0,10^12,OFFSET(CRONOPLE!$F$15,$M144-$A$15,AQ$13)))</f>
        <v>1000000000000</v>
      </c>
      <c r="AR144" s="172">
        <f ca="1">IF(OR($D144&lt;&gt;"Serviço",AND(AUTOEVENTO="Manual",$M144=$A$15)),0,
         IF(OFFSET(CRONOPLE!$F$15,$M144-$A$15,AR$13)=0,10^12,OFFSET(CRONOPLE!$F$15,$M144-$A$15,AR$13)))</f>
        <v>1000000000000</v>
      </c>
      <c r="AS144" s="172">
        <f ca="1">IF(OR($D144&lt;&gt;"Serviço",AND(AUTOEVENTO="Manual",$M144=$A$15)),0,
         IF(OFFSET(CRONOPLE!$F$15,$M144-$A$15,AS$13)=0,10^12,OFFSET(CRONOPLE!$F$15,$M144-$A$15,AS$13)))</f>
        <v>1000000000000</v>
      </c>
      <c r="AT144" s="172">
        <f ca="1">IF(OR($D144&lt;&gt;"Serviço",AND(AUTOEVENTO="Manual",$M144=$A$15)),0,
         IF(OFFSET(CRONOPLE!$F$15,$M144-$A$15,AT$13)=0,10^12,OFFSET(CRONOPLE!$F$15,$M144-$A$15,AT$13)))</f>
        <v>1000000000000</v>
      </c>
      <c r="AU144" s="172">
        <f ca="1">IF(OR($D144&lt;&gt;"Serviço",AND(AUTOEVENTO="Manual",$M144=$A$15)),0,
         IF(OFFSET(CRONOPLE!$F$15,$M144-$A$15,AU$13)=0,10^12,OFFSET(CRONOPLE!$F$15,$M144-$A$15,AU$13)))</f>
        <v>1000000000000</v>
      </c>
      <c r="AV144" s="172">
        <f ca="1">IF(OR($D144&lt;&gt;"Serviço",AND(AUTOEVENTO="Manual",$M144=$A$15)),0,
         IF(OFFSET(CRONOPLE!$F$15,$M144-$A$15,AV$13)=0,10^12,OFFSET(CRONOPLE!$F$15,$M144-$A$15,AV$13)))</f>
        <v>1000000000000</v>
      </c>
      <c r="AX144" s="173">
        <f ca="1">IF(OR($D144&lt;&gt;"Serviço",AND(AUTOEVENTO="Manual",$M144=$A$15),$M144&gt;(ROW(PLE.lastrow)-ROW(PLE.firstrow))),0,
           IF(OFFSET(PLE!$G$15,$M144-$A$15,AX$13)="",10^12,OFFSET(PLE!$G$15,$M144-$A$15,AX$13)))</f>
        <v>1000000000000</v>
      </c>
      <c r="AY144" s="173">
        <f ca="1">IF(OR($D144&lt;&gt;"Serviço",AND(AUTOEVENTO="Manual",$M144=$A$15),$M144&gt;(ROW(PLE.lastrow)-ROW(PLE.firstrow))),0,
           IF(OFFSET(PLE!$G$15,$M144-$A$15,AY$13)="",10^12,OFFSET(PLE!$G$15,$M144-$A$15,AY$13)))</f>
        <v>1000000000000</v>
      </c>
      <c r="AZ144" s="173">
        <f ca="1">IF(OR($D144&lt;&gt;"Serviço",AND(AUTOEVENTO="Manual",$M144=$A$15),$M144&gt;(ROW(PLE.lastrow)-ROW(PLE.firstrow))),0,
           IF(OFFSET(PLE!$G$15,$M144-$A$15,AZ$13)="",10^12,OFFSET(PLE!$G$15,$M144-$A$15,AZ$13)))</f>
        <v>1000000000000</v>
      </c>
      <c r="BA144" s="173">
        <f ca="1">IF(OR($D144&lt;&gt;"Serviço",AND(AUTOEVENTO="Manual",$M144=$A$15),$M144&gt;(ROW(PLE.lastrow)-ROW(PLE.firstrow))),0,
           IF(OFFSET(PLE!$G$15,$M144-$A$15,BA$13)="",10^12,OFFSET(PLE!$G$15,$M144-$A$15,BA$13)))</f>
        <v>1000000000000</v>
      </c>
      <c r="BB144" s="173">
        <f ca="1">IF(OR($D144&lt;&gt;"Serviço",AND(AUTOEVENTO="Manual",$M144=$A$15),$M144&gt;(ROW(PLE.lastrow)-ROW(PLE.firstrow))),0,
           IF(OFFSET(PLE!$G$15,$M144-$A$15,BB$13)="",10^12,OFFSET(PLE!$G$15,$M144-$A$15,BB$13)))</f>
        <v>1000000000000</v>
      </c>
      <c r="BC144" s="173">
        <f ca="1">IF(OR($D144&lt;&gt;"Serviço",AND(AUTOEVENTO="Manual",$M144=$A$15),$M144&gt;(ROW(PLE.lastrow)-ROW(PLE.firstrow))),0,
           IF(OFFSET(PLE!$G$15,$M144-$A$15,BC$13)="",10^12,OFFSET(PLE!$G$15,$M144-$A$15,BC$13)))</f>
        <v>1000000000000</v>
      </c>
      <c r="BD144" s="173">
        <f ca="1">IF(OR($D144&lt;&gt;"Serviço",AND(AUTOEVENTO="Manual",$M144=$A$15),$M144&gt;(ROW(PLE.lastrow)-ROW(PLE.firstrow))),0,
           IF(OFFSET(PLE!$G$15,$M144-$A$15,BD$13)="",10^12,OFFSET(PLE!$G$15,$M144-$A$15,BD$13)))</f>
        <v>1000000000000</v>
      </c>
      <c r="BE144" s="173">
        <f ca="1">IF(OR($D144&lt;&gt;"Serviço",AND(AUTOEVENTO="Manual",$M144=$A$15),$M144&gt;(ROW(PLE.lastrow)-ROW(PLE.firstrow))),0,
           IF(OFFSET(PLE!$G$15,$M144-$A$15,BE$13)="",10^12,OFFSET(PLE!$G$15,$M144-$A$15,BE$13)))</f>
        <v>1000000000000</v>
      </c>
      <c r="BF144" s="173">
        <f ca="1">IF(OR($D144&lt;&gt;"Serviço",AND(AUTOEVENTO="Manual",$M144=$A$15),$M144&gt;(ROW(PLE.lastrow)-ROW(PLE.firstrow))),0,
           IF(OFFSET(PLE!$G$15,$M144-$A$15,BF$13)="",10^12,OFFSET(PLE!$G$15,$M144-$A$15,BF$13)))</f>
        <v>1000000000000</v>
      </c>
      <c r="BG144" s="173">
        <f ca="1">IF(OR($D144&lt;&gt;"Serviço",AND(AUTOEVENTO="Manual",$M144=$A$15),$M144&gt;(ROW(PLE.lastrow)-ROW(PLE.firstrow))),0,
           IF(OFFSET(PLE!$G$15,$M144-$A$15,BG$13)="",10^12,OFFSET(PLE!$G$15,$M144-$A$15,BG$13)))</f>
        <v>1000000000000</v>
      </c>
    </row>
    <row r="145" spans="1:59" s="675" customFormat="1" ht="12.75" x14ac:dyDescent="0.2">
      <c r="A145" s="671" t="str">
        <f t="shared" ca="1" si="11"/>
        <v>130.</v>
      </c>
      <c r="B145" s="671">
        <f ca="1">OFFSET(ORÇAMENTO!C$15,ROW(B145)-ROW(B$15),0)</f>
        <v>2</v>
      </c>
      <c r="C145" s="671" t="str">
        <f ca="1">OFFSET(ORÇAMENTO!L$15,ROW(C145)-ROW(C$15),0)</f>
        <v>F</v>
      </c>
      <c r="D145" s="117" t="str">
        <f ca="1">OFFSET(ORÇAMENTO!N$15,ROW(D145)-ROW(D$15),0)</f>
        <v>Nível 2</v>
      </c>
      <c r="E145" s="118" t="str">
        <f ca="1">OFFSET(ORÇAMENTO!O$15,ROW(E145)-ROW(E$15),0)</f>
        <v>1.19.</v>
      </c>
      <c r="F145" s="164" t="str">
        <f ca="1">OFFSET(ORÇAMENTO!R$15,ROW(F145)-ROW(F$15),0)</f>
        <v>ELEVATÓRIA DE ESGOTO</v>
      </c>
      <c r="G145" s="165" t="str">
        <f ca="1">IF($D145&lt;&gt;"Serviço","",OFFSET(ORÇAMENTO!S$15,ROW(G145)-ROW(G$15),0))</f>
        <v/>
      </c>
      <c r="H145" s="123">
        <f ca="1">IF($D145&lt;&gt;"Serviço",0,IF(ACOMPANHAMENTO="BM",ROUND(OFFSET(ORÇAMENTO!AJ$15,ROW(H145)-ROW(H$15),0),15-13*ORÇAMENTO!$AF$7),SUMPRODUCT(($Q$1:$AA$1=1)*ROUND($Q145:$AA145,15-13*ORÇAMENTO!$AF$7))))</f>
        <v>0</v>
      </c>
      <c r="I145" s="469"/>
      <c r="J145" s="667" t="str">
        <f ca="1">IF(OR(B145&lt;&gt;"S",CÁLCULO.FrentesPreenchidas=0),"",IF(AND(ACOMPANHAMENTO="PLE",AUTOEVENTO="Manual",OR(H145&gt;0,ORÇAMENTO!AC145="QUANT."),OR(K145="",M145=0,N145="")),"►",IF(AND(ACOMPANHAMENTO="PLE",ORÇAMENTO!AC145="QUANT."),"►►",IF(AND(COUNTIF($P$11:$AA$11,"▼")=0,H145&gt;0,I145=""),"◄",""))))</f>
        <v/>
      </c>
      <c r="K145" s="668"/>
      <c r="L145" s="166" t="s">
        <v>765</v>
      </c>
      <c r="M145" s="167" t="str">
        <f ca="1">IF($D145&lt;&gt;"Serviço","",
          IF(AUTOEVENTO="manual",$A145,
                IF(ISERROR(MATCH($A145,$A$15:OFFSET($A145,-1,0),0)),MAX($M$15:OFFSET(M145,-1,0))+1,
                      INDEX($M$15:OFFSET(M145,-1,0),MATCH($A145,$A$15:OFFSET($A145,-1,0),0)))))</f>
        <v/>
      </c>
      <c r="N145" s="168" t="str">
        <f ca="1">IF($D145&lt;&gt;"Serviço","",
         IF(AUTOEVENTO="Manual",
                IF($A145=0,"&lt;-- defina o número do agrupador",
                       OFFSET(EVENTOS!$D$15,$A145-$A$15,0)),
                OFFSET($F$15,$A145,0)))</f>
        <v/>
      </c>
      <c r="O145" s="169"/>
      <c r="Q145" s="169"/>
      <c r="R145" s="170"/>
      <c r="S145" s="170"/>
      <c r="T145" s="170"/>
      <c r="U145" s="170"/>
      <c r="V145" s="170"/>
      <c r="W145" s="170"/>
      <c r="X145" s="170"/>
      <c r="Y145" s="170"/>
      <c r="Z145" s="171"/>
      <c r="AB145" s="454">
        <f ca="1">IF(AND($D145="Serviço",AB$12&lt;&gt;0,$H145&gt;0,OR(AUTOEVENTO&lt;&gt;"manual",$M145&lt;&gt;$A$15)),
        IF(Import.TipoArredondamento&lt;&gt;"TransfereGOV",
              ROUND(OFFSET($P145,0,AB$13),15-13*ORÇAMENTO!$AF$7)/$H145*OFFSET(ORÇAMENTO!$X$15,ROW(AB145)-ROW(AB$15),0),
              ROUND(ROUND(OFFSET($P145,0,AB$13),15-13*ORÇAMENTO!$AF$7)*OFFSET(ORÇAMENTO!$W$15,ROW(AB145)-ROW(AB$15),0),15-13*ORÇAMENTO!$AF$11)),
         0)</f>
        <v>0</v>
      </c>
      <c r="AC145" s="454">
        <f ca="1">IF(AND($D145="Serviço",AC$12&lt;&gt;0,$H145&gt;0,OR(AUTOEVENTO&lt;&gt;"manual",$M145&lt;&gt;$A$15)),
        IF(Import.TipoArredondamento&lt;&gt;"TransfereGOV",
              ROUND(OFFSET($P145,0,AC$13),15-13*ORÇAMENTO!$AF$7)/$H145*OFFSET(ORÇAMENTO!$X$15,ROW(AC145)-ROW(AC$15),0),
              ROUND(ROUND(OFFSET($P145,0,AC$13),15-13*ORÇAMENTO!$AF$7)*OFFSET(ORÇAMENTO!$W$15,ROW(AC145)-ROW(AC$15),0),15-13*ORÇAMENTO!$AF$11)),
         0)</f>
        <v>0</v>
      </c>
      <c r="AD145" s="454">
        <f ca="1">IF(AND($D145="Serviço",AD$12&lt;&gt;0,$H145&gt;0,OR(AUTOEVENTO&lt;&gt;"manual",$M145&lt;&gt;$A$15)),
        IF(Import.TipoArredondamento&lt;&gt;"TransfereGOV",
              ROUND(OFFSET($P145,0,AD$13),15-13*ORÇAMENTO!$AF$7)/$H145*OFFSET(ORÇAMENTO!$X$15,ROW(AD145)-ROW(AD$15),0),
              ROUND(ROUND(OFFSET($P145,0,AD$13),15-13*ORÇAMENTO!$AF$7)*OFFSET(ORÇAMENTO!$W$15,ROW(AD145)-ROW(AD$15),0),15-13*ORÇAMENTO!$AF$11)),
         0)</f>
        <v>0</v>
      </c>
      <c r="AE145" s="454">
        <f ca="1">IF(AND($D145="Serviço",AE$12&lt;&gt;0,$H145&gt;0,OR(AUTOEVENTO&lt;&gt;"manual",$M145&lt;&gt;$A$15)),
        IF(Import.TipoArredondamento&lt;&gt;"TransfereGOV",
              ROUND(OFFSET($P145,0,AE$13),15-13*ORÇAMENTO!$AF$7)/$H145*OFFSET(ORÇAMENTO!$X$15,ROW(AE145)-ROW(AE$15),0),
              ROUND(ROUND(OFFSET($P145,0,AE$13),15-13*ORÇAMENTO!$AF$7)*OFFSET(ORÇAMENTO!$W$15,ROW(AE145)-ROW(AE$15),0),15-13*ORÇAMENTO!$AF$11)),
         0)</f>
        <v>0</v>
      </c>
      <c r="AF145" s="454">
        <f ca="1">IF(AND($D145="Serviço",AF$12&lt;&gt;0,$H145&gt;0,OR(AUTOEVENTO&lt;&gt;"manual",$M145&lt;&gt;$A$15)),
        IF(Import.TipoArredondamento&lt;&gt;"TransfereGOV",
              ROUND(OFFSET($P145,0,AF$13),15-13*ORÇAMENTO!$AF$7)/$H145*OFFSET(ORÇAMENTO!$X$15,ROW(AF145)-ROW(AF$15),0),
              ROUND(ROUND(OFFSET($P145,0,AF$13),15-13*ORÇAMENTO!$AF$7)*OFFSET(ORÇAMENTO!$W$15,ROW(AF145)-ROW(AF$15),0),15-13*ORÇAMENTO!$AF$11)),
         0)</f>
        <v>0</v>
      </c>
      <c r="AG145" s="454">
        <f ca="1">IF(AND($D145="Serviço",AG$12&lt;&gt;0,$H145&gt;0,OR(AUTOEVENTO&lt;&gt;"manual",$M145&lt;&gt;$A$15)),
        IF(Import.TipoArredondamento&lt;&gt;"TransfereGOV",
              ROUND(OFFSET($P145,0,AG$13),15-13*ORÇAMENTO!$AF$7)/$H145*OFFSET(ORÇAMENTO!$X$15,ROW(AG145)-ROW(AG$15),0),
              ROUND(ROUND(OFFSET($P145,0,AG$13),15-13*ORÇAMENTO!$AF$7)*OFFSET(ORÇAMENTO!$W$15,ROW(AG145)-ROW(AG$15),0),15-13*ORÇAMENTO!$AF$11)),
         0)</f>
        <v>0</v>
      </c>
      <c r="AH145" s="454">
        <f ca="1">IF(AND($D145="Serviço",AH$12&lt;&gt;0,$H145&gt;0,OR(AUTOEVENTO&lt;&gt;"manual",$M145&lt;&gt;$A$15)),
        IF(Import.TipoArredondamento&lt;&gt;"TransfereGOV",
              ROUND(OFFSET($P145,0,AH$13),15-13*ORÇAMENTO!$AF$7)/$H145*OFFSET(ORÇAMENTO!$X$15,ROW(AH145)-ROW(AH$15),0),
              ROUND(ROUND(OFFSET($P145,0,AH$13),15-13*ORÇAMENTO!$AF$7)*OFFSET(ORÇAMENTO!$W$15,ROW(AH145)-ROW(AH$15),0),15-13*ORÇAMENTO!$AF$11)),
         0)</f>
        <v>0</v>
      </c>
      <c r="AI145" s="454">
        <f ca="1">IF(AND($D145="Serviço",AI$12&lt;&gt;0,$H145&gt;0,OR(AUTOEVENTO&lt;&gt;"manual",$M145&lt;&gt;$A$15)),
        IF(Import.TipoArredondamento&lt;&gt;"TransfereGOV",
              ROUND(OFFSET($P145,0,AI$13),15-13*ORÇAMENTO!$AF$7)/$H145*OFFSET(ORÇAMENTO!$X$15,ROW(AI145)-ROW(AI$15),0),
              ROUND(ROUND(OFFSET($P145,0,AI$13),15-13*ORÇAMENTO!$AF$7)*OFFSET(ORÇAMENTO!$W$15,ROW(AI145)-ROW(AI$15),0),15-13*ORÇAMENTO!$AF$11)),
         0)</f>
        <v>0</v>
      </c>
      <c r="AJ145" s="454">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4">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M145" s="172">
        <f ca="1">IF(OR($D145&lt;&gt;"Serviço",AND(AUTOEVENTO="Manual",$M145=$A$15)),0,
         IF(OFFSET(CRONOPLE!$F$15,$M145-$A$15,AM$13)=0,10^12,OFFSET(CRONOPLE!$F$15,$M145-$A$15,AM$13)))</f>
        <v>0</v>
      </c>
      <c r="AN145" s="172">
        <f ca="1">IF(OR($D145&lt;&gt;"Serviço",AND(AUTOEVENTO="Manual",$M145=$A$15)),0,
         IF(OFFSET(CRONOPLE!$F$15,$M145-$A$15,AN$13)=0,10^12,OFFSET(CRONOPLE!$F$15,$M145-$A$15,AN$13)))</f>
        <v>0</v>
      </c>
      <c r="AO145" s="172">
        <f ca="1">IF(OR($D145&lt;&gt;"Serviço",AND(AUTOEVENTO="Manual",$M145=$A$15)),0,
         IF(OFFSET(CRONOPLE!$F$15,$M145-$A$15,AO$13)=0,10^12,OFFSET(CRONOPLE!$F$15,$M145-$A$15,AO$13)))</f>
        <v>0</v>
      </c>
      <c r="AP145" s="172">
        <f ca="1">IF(OR($D145&lt;&gt;"Serviço",AND(AUTOEVENTO="Manual",$M145=$A$15)),0,
         IF(OFFSET(CRONOPLE!$F$15,$M145-$A$15,AP$13)=0,10^12,OFFSET(CRONOPLE!$F$15,$M145-$A$15,AP$13)))</f>
        <v>0</v>
      </c>
      <c r="AQ145" s="172">
        <f ca="1">IF(OR($D145&lt;&gt;"Serviço",AND(AUTOEVENTO="Manual",$M145=$A$15)),0,
         IF(OFFSET(CRONOPLE!$F$15,$M145-$A$15,AQ$13)=0,10^12,OFFSET(CRONOPLE!$F$15,$M145-$A$15,AQ$13)))</f>
        <v>0</v>
      </c>
      <c r="AR145" s="172">
        <f ca="1">IF(OR($D145&lt;&gt;"Serviço",AND(AUTOEVENTO="Manual",$M145=$A$15)),0,
         IF(OFFSET(CRONOPLE!$F$15,$M145-$A$15,AR$13)=0,10^12,OFFSET(CRONOPLE!$F$15,$M145-$A$15,AR$13)))</f>
        <v>0</v>
      </c>
      <c r="AS145" s="172">
        <f ca="1">IF(OR($D145&lt;&gt;"Serviço",AND(AUTOEVENTO="Manual",$M145=$A$15)),0,
         IF(OFFSET(CRONOPLE!$F$15,$M145-$A$15,AS$13)=0,10^12,OFFSET(CRONOPLE!$F$15,$M145-$A$15,AS$13)))</f>
        <v>0</v>
      </c>
      <c r="AT145" s="172">
        <f ca="1">IF(OR($D145&lt;&gt;"Serviço",AND(AUTOEVENTO="Manual",$M145=$A$15)),0,
         IF(OFFSET(CRONOPLE!$F$15,$M145-$A$15,AT$13)=0,10^12,OFFSET(CRONOPLE!$F$15,$M145-$A$15,AT$13)))</f>
        <v>0</v>
      </c>
      <c r="AU145" s="172">
        <f ca="1">IF(OR($D145&lt;&gt;"Serviço",AND(AUTOEVENTO="Manual",$M145=$A$15)),0,
         IF(OFFSET(CRONOPLE!$F$15,$M145-$A$15,AU$13)=0,10^12,OFFSET(CRONOPLE!$F$15,$M145-$A$15,AU$13)))</f>
        <v>0</v>
      </c>
      <c r="AV145" s="172">
        <f ca="1">IF(OR($D145&lt;&gt;"Serviço",AND(AUTOEVENTO="Manual",$M145=$A$15)),0,
         IF(OFFSET(CRONOPLE!$F$15,$M145-$A$15,AV$13)=0,10^12,OFFSET(CRONOPLE!$F$15,$M145-$A$15,AV$13)))</f>
        <v>0</v>
      </c>
      <c r="AX145" s="173">
        <f ca="1">IF(OR($D145&lt;&gt;"Serviço",AND(AUTOEVENTO="Manual",$M145=$A$15),$M145&gt;(ROW(PLE.lastrow)-ROW(PLE.firstrow))),0,
           IF(OFFSET(PLE!$G$15,$M145-$A$15,AX$13)="",10^12,OFFSET(PLE!$G$15,$M145-$A$15,AX$13)))</f>
        <v>0</v>
      </c>
      <c r="AY145" s="173">
        <f ca="1">IF(OR($D145&lt;&gt;"Serviço",AND(AUTOEVENTO="Manual",$M145=$A$15),$M145&gt;(ROW(PLE.lastrow)-ROW(PLE.firstrow))),0,
           IF(OFFSET(PLE!$G$15,$M145-$A$15,AY$13)="",10^12,OFFSET(PLE!$G$15,$M145-$A$15,AY$13)))</f>
        <v>0</v>
      </c>
      <c r="AZ145" s="173">
        <f ca="1">IF(OR($D145&lt;&gt;"Serviço",AND(AUTOEVENTO="Manual",$M145=$A$15),$M145&gt;(ROW(PLE.lastrow)-ROW(PLE.firstrow))),0,
           IF(OFFSET(PLE!$G$15,$M145-$A$15,AZ$13)="",10^12,OFFSET(PLE!$G$15,$M145-$A$15,AZ$13)))</f>
        <v>0</v>
      </c>
      <c r="BA145" s="173">
        <f ca="1">IF(OR($D145&lt;&gt;"Serviço",AND(AUTOEVENTO="Manual",$M145=$A$15),$M145&gt;(ROW(PLE.lastrow)-ROW(PLE.firstrow))),0,
           IF(OFFSET(PLE!$G$15,$M145-$A$15,BA$13)="",10^12,OFFSET(PLE!$G$15,$M145-$A$15,BA$13)))</f>
        <v>0</v>
      </c>
      <c r="BB145" s="173">
        <f ca="1">IF(OR($D145&lt;&gt;"Serviço",AND(AUTOEVENTO="Manual",$M145=$A$15),$M145&gt;(ROW(PLE.lastrow)-ROW(PLE.firstrow))),0,
           IF(OFFSET(PLE!$G$15,$M145-$A$15,BB$13)="",10^12,OFFSET(PLE!$G$15,$M145-$A$15,BB$13)))</f>
        <v>0</v>
      </c>
      <c r="BC145" s="173">
        <f ca="1">IF(OR($D145&lt;&gt;"Serviço",AND(AUTOEVENTO="Manual",$M145=$A$15),$M145&gt;(ROW(PLE.lastrow)-ROW(PLE.firstrow))),0,
           IF(OFFSET(PLE!$G$15,$M145-$A$15,BC$13)="",10^12,OFFSET(PLE!$G$15,$M145-$A$15,BC$13)))</f>
        <v>0</v>
      </c>
      <c r="BD145" s="173">
        <f ca="1">IF(OR($D145&lt;&gt;"Serviço",AND(AUTOEVENTO="Manual",$M145=$A$15),$M145&gt;(ROW(PLE.lastrow)-ROW(PLE.firstrow))),0,
           IF(OFFSET(PLE!$G$15,$M145-$A$15,BD$13)="",10^12,OFFSET(PLE!$G$15,$M145-$A$15,BD$13)))</f>
        <v>0</v>
      </c>
      <c r="BE145" s="173">
        <f ca="1">IF(OR($D145&lt;&gt;"Serviço",AND(AUTOEVENTO="Manual",$M145=$A$15),$M145&gt;(ROW(PLE.lastrow)-ROW(PLE.firstrow))),0,
           IF(OFFSET(PLE!$G$15,$M145-$A$15,BE$13)="",10^12,OFFSET(PLE!$G$15,$M145-$A$15,BE$13)))</f>
        <v>0</v>
      </c>
      <c r="BF145" s="173">
        <f ca="1">IF(OR($D145&lt;&gt;"Serviço",AND(AUTOEVENTO="Manual",$M145=$A$15),$M145&gt;(ROW(PLE.lastrow)-ROW(PLE.firstrow))),0,
           IF(OFFSET(PLE!$G$15,$M145-$A$15,BF$13)="",10^12,OFFSET(PLE!$G$15,$M145-$A$15,BF$13)))</f>
        <v>0</v>
      </c>
      <c r="BG145" s="173">
        <f ca="1">IF(OR($D145&lt;&gt;"Serviço",AND(AUTOEVENTO="Manual",$M145=$A$15),$M145&gt;(ROW(PLE.lastrow)-ROW(PLE.firstrow))),0,
           IF(OFFSET(PLE!$G$15,$M145-$A$15,BG$13)="",10^12,OFFSET(PLE!$G$15,$M145-$A$15,BG$13)))</f>
        <v>0</v>
      </c>
    </row>
    <row r="146" spans="1:59" s="702" customFormat="1" ht="12.75" x14ac:dyDescent="0.2">
      <c r="A146" s="700" t="str">
        <f t="shared" ca="1" si="11"/>
        <v>131.</v>
      </c>
      <c r="B146" s="700">
        <f ca="1">OFFSET(ORÇAMENTO!C$15,ROW(B146)-ROW(B$15),0)</f>
        <v>2</v>
      </c>
      <c r="C146" s="700" t="str">
        <f ca="1">OFFSET(ORÇAMENTO!L$15,ROW(C146)-ROW(C$15),0)</f>
        <v>F</v>
      </c>
      <c r="D146" s="117" t="str">
        <f ca="1">OFFSET(ORÇAMENTO!N$15,ROW(D146)-ROW(D$15),0)</f>
        <v>Nível 2</v>
      </c>
      <c r="E146" s="118" t="str">
        <f ca="1">OFFSET(ORÇAMENTO!O$15,ROW(E146)-ROW(E$15),0)</f>
        <v>1.20.</v>
      </c>
      <c r="F146" s="164" t="str">
        <f ca="1">OFFSET(ORÇAMENTO!R$15,ROW(F146)-ROW(F$15),0)</f>
        <v>ELEVATÓRIA DE ESGOTO - MATERIAIS</v>
      </c>
      <c r="G146" s="165" t="str">
        <f ca="1">IF($D146&lt;&gt;"Serviço","",OFFSET(ORÇAMENTO!S$15,ROW(G146)-ROW(G$15),0))</f>
        <v/>
      </c>
      <c r="H146" s="123">
        <f ca="1">IF($D146&lt;&gt;"Serviço",0,IF(ACOMPANHAMENTO="BM",ROUND(OFFSET(ORÇAMENTO!AJ$15,ROW(H146)-ROW(H$15),0),15-13*ORÇAMENTO!$AF$7),SUMPRODUCT(($Q$1:$AA$1=1)*ROUND($Q146:$AA146,15-13*ORÇAMENTO!$AF$7))))</f>
        <v>0</v>
      </c>
      <c r="I146" s="469"/>
      <c r="J146" s="667" t="str">
        <f ca="1">IF(OR(B146&lt;&gt;"S",CÁLCULO.FrentesPreenchidas=0),"",IF(AND(ACOMPANHAMENTO="PLE",AUTOEVENTO="Manual",OR(H146&gt;0,ORÇAMENTO!AC146="QUANT."),OR(K146="",M146=0,N146="")),"►",IF(AND(ACOMPANHAMENTO="PLE",ORÇAMENTO!AC146="QUANT."),"►►",IF(AND(COUNTIF($P$11:$AA$11,"▼")=0,H146&gt;0,I146=""),"◄",""))))</f>
        <v/>
      </c>
      <c r="K146" s="668"/>
      <c r="L146" s="166" t="s">
        <v>765</v>
      </c>
      <c r="M146" s="167" t="str">
        <f ca="1">IF($D146&lt;&gt;"Serviço","",
          IF(AUTOEVENTO="manual",$A146,
                IF(ISERROR(MATCH($A146,$A$15:OFFSET($A146,-1,0),0)),MAX($M$15:OFFSET(M146,-1,0))+1,
                      INDEX($M$15:OFFSET(M146,-1,0),MATCH($A146,$A$15:OFFSET($A146,-1,0),0)))))</f>
        <v/>
      </c>
      <c r="N146" s="168" t="str">
        <f ca="1">IF($D146&lt;&gt;"Serviço","",
         IF(AUTOEVENTO="Manual",
                IF($A146=0,"&lt;-- defina o número do agrupador",
                       OFFSET(EVENTOS!$D$15,$A146-$A$15,0)),
                OFFSET($F$15,$A146,0)))</f>
        <v/>
      </c>
      <c r="O146" s="169"/>
      <c r="Q146" s="169"/>
      <c r="R146" s="170"/>
      <c r="S146" s="170"/>
      <c r="T146" s="170"/>
      <c r="U146" s="170"/>
      <c r="V146" s="170"/>
      <c r="W146" s="170"/>
      <c r="X146" s="170"/>
      <c r="Y146" s="170"/>
      <c r="Z146" s="171"/>
      <c r="AB146" s="454">
        <f ca="1">IF(AND($D146="Serviço",AB$12&lt;&gt;0,$H146&gt;0,OR(AUTOEVENTO&lt;&gt;"manual",$M146&lt;&gt;$A$15)),
        IF(Import.TipoArredondamento&lt;&gt;"TransfereGOV",
              ROUND(OFFSET($P146,0,AB$13),15-13*ORÇAMENTO!$AF$7)/$H146*OFFSET(ORÇAMENTO!$X$15,ROW(AB146)-ROW(AB$15),0),
              ROUND(ROUND(OFFSET($P146,0,AB$13),15-13*ORÇAMENTO!$AF$7)*OFFSET(ORÇAMENTO!$W$15,ROW(AB146)-ROW(AB$15),0),15-13*ORÇAMENTO!$AF$11)),
         0)</f>
        <v>0</v>
      </c>
      <c r="AC146" s="454">
        <f ca="1">IF(AND($D146="Serviço",AC$12&lt;&gt;0,$H146&gt;0,OR(AUTOEVENTO&lt;&gt;"manual",$M146&lt;&gt;$A$15)),
        IF(Import.TipoArredondamento&lt;&gt;"TransfereGOV",
              ROUND(OFFSET($P146,0,AC$13),15-13*ORÇAMENTO!$AF$7)/$H146*OFFSET(ORÇAMENTO!$X$15,ROW(AC146)-ROW(AC$15),0),
              ROUND(ROUND(OFFSET($P146,0,AC$13),15-13*ORÇAMENTO!$AF$7)*OFFSET(ORÇAMENTO!$W$15,ROW(AC146)-ROW(AC$15),0),15-13*ORÇAMENTO!$AF$11)),
         0)</f>
        <v>0</v>
      </c>
      <c r="AD146" s="454">
        <f ca="1">IF(AND($D146="Serviço",AD$12&lt;&gt;0,$H146&gt;0,OR(AUTOEVENTO&lt;&gt;"manual",$M146&lt;&gt;$A$15)),
        IF(Import.TipoArredondamento&lt;&gt;"TransfereGOV",
              ROUND(OFFSET($P146,0,AD$13),15-13*ORÇAMENTO!$AF$7)/$H146*OFFSET(ORÇAMENTO!$X$15,ROW(AD146)-ROW(AD$15),0),
              ROUND(ROUND(OFFSET($P146,0,AD$13),15-13*ORÇAMENTO!$AF$7)*OFFSET(ORÇAMENTO!$W$15,ROW(AD146)-ROW(AD$15),0),15-13*ORÇAMENTO!$AF$11)),
         0)</f>
        <v>0</v>
      </c>
      <c r="AE146" s="454">
        <f ca="1">IF(AND($D146="Serviço",AE$12&lt;&gt;0,$H146&gt;0,OR(AUTOEVENTO&lt;&gt;"manual",$M146&lt;&gt;$A$15)),
        IF(Import.TipoArredondamento&lt;&gt;"TransfereGOV",
              ROUND(OFFSET($P146,0,AE$13),15-13*ORÇAMENTO!$AF$7)/$H146*OFFSET(ORÇAMENTO!$X$15,ROW(AE146)-ROW(AE$15),0),
              ROUND(ROUND(OFFSET($P146,0,AE$13),15-13*ORÇAMENTO!$AF$7)*OFFSET(ORÇAMENTO!$W$15,ROW(AE146)-ROW(AE$15),0),15-13*ORÇAMENTO!$AF$11)),
         0)</f>
        <v>0</v>
      </c>
      <c r="AF146" s="454">
        <f ca="1">IF(AND($D146="Serviço",AF$12&lt;&gt;0,$H146&gt;0,OR(AUTOEVENTO&lt;&gt;"manual",$M146&lt;&gt;$A$15)),
        IF(Import.TipoArredondamento&lt;&gt;"TransfereGOV",
              ROUND(OFFSET($P146,0,AF$13),15-13*ORÇAMENTO!$AF$7)/$H146*OFFSET(ORÇAMENTO!$X$15,ROW(AF146)-ROW(AF$15),0),
              ROUND(ROUND(OFFSET($P146,0,AF$13),15-13*ORÇAMENTO!$AF$7)*OFFSET(ORÇAMENTO!$W$15,ROW(AF146)-ROW(AF$15),0),15-13*ORÇAMENTO!$AF$11)),
         0)</f>
        <v>0</v>
      </c>
      <c r="AG146" s="454">
        <f ca="1">IF(AND($D146="Serviço",AG$12&lt;&gt;0,$H146&gt;0,OR(AUTOEVENTO&lt;&gt;"manual",$M146&lt;&gt;$A$15)),
        IF(Import.TipoArredondamento&lt;&gt;"TransfereGOV",
              ROUND(OFFSET($P146,0,AG$13),15-13*ORÇAMENTO!$AF$7)/$H146*OFFSET(ORÇAMENTO!$X$15,ROW(AG146)-ROW(AG$15),0),
              ROUND(ROUND(OFFSET($P146,0,AG$13),15-13*ORÇAMENTO!$AF$7)*OFFSET(ORÇAMENTO!$W$15,ROW(AG146)-ROW(AG$15),0),15-13*ORÇAMENTO!$AF$11)),
         0)</f>
        <v>0</v>
      </c>
      <c r="AH146" s="454">
        <f ca="1">IF(AND($D146="Serviço",AH$12&lt;&gt;0,$H146&gt;0,OR(AUTOEVENTO&lt;&gt;"manual",$M146&lt;&gt;$A$15)),
        IF(Import.TipoArredondamento&lt;&gt;"TransfereGOV",
              ROUND(OFFSET($P146,0,AH$13),15-13*ORÇAMENTO!$AF$7)/$H146*OFFSET(ORÇAMENTO!$X$15,ROW(AH146)-ROW(AH$15),0),
              ROUND(ROUND(OFFSET($P146,0,AH$13),15-13*ORÇAMENTO!$AF$7)*OFFSET(ORÇAMENTO!$W$15,ROW(AH146)-ROW(AH$15),0),15-13*ORÇAMENTO!$AF$11)),
         0)</f>
        <v>0</v>
      </c>
      <c r="AI146" s="454">
        <f ca="1">IF(AND($D146="Serviço",AI$12&lt;&gt;0,$H146&gt;0,OR(AUTOEVENTO&lt;&gt;"manual",$M146&lt;&gt;$A$15)),
        IF(Import.TipoArredondamento&lt;&gt;"TransfereGOV",
              ROUND(OFFSET($P146,0,AI$13),15-13*ORÇAMENTO!$AF$7)/$H146*OFFSET(ORÇAMENTO!$X$15,ROW(AI146)-ROW(AI$15),0),
              ROUND(ROUND(OFFSET($P146,0,AI$13),15-13*ORÇAMENTO!$AF$7)*OFFSET(ORÇAMENTO!$W$15,ROW(AI146)-ROW(AI$15),0),15-13*ORÇAMENTO!$AF$11)),
         0)</f>
        <v>0</v>
      </c>
      <c r="AJ146" s="454">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4">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M146" s="172">
        <f ca="1">IF(OR($D146&lt;&gt;"Serviço",AND(AUTOEVENTO="Manual",$M146=$A$15)),0,
         IF(OFFSET(CRONOPLE!$F$15,$M146-$A$15,AM$13)=0,10^12,OFFSET(CRONOPLE!$F$15,$M146-$A$15,AM$13)))</f>
        <v>0</v>
      </c>
      <c r="AN146" s="172">
        <f ca="1">IF(OR($D146&lt;&gt;"Serviço",AND(AUTOEVENTO="Manual",$M146=$A$15)),0,
         IF(OFFSET(CRONOPLE!$F$15,$M146-$A$15,AN$13)=0,10^12,OFFSET(CRONOPLE!$F$15,$M146-$A$15,AN$13)))</f>
        <v>0</v>
      </c>
      <c r="AO146" s="172">
        <f ca="1">IF(OR($D146&lt;&gt;"Serviço",AND(AUTOEVENTO="Manual",$M146=$A$15)),0,
         IF(OFFSET(CRONOPLE!$F$15,$M146-$A$15,AO$13)=0,10^12,OFFSET(CRONOPLE!$F$15,$M146-$A$15,AO$13)))</f>
        <v>0</v>
      </c>
      <c r="AP146" s="172">
        <f ca="1">IF(OR($D146&lt;&gt;"Serviço",AND(AUTOEVENTO="Manual",$M146=$A$15)),0,
         IF(OFFSET(CRONOPLE!$F$15,$M146-$A$15,AP$13)=0,10^12,OFFSET(CRONOPLE!$F$15,$M146-$A$15,AP$13)))</f>
        <v>0</v>
      </c>
      <c r="AQ146" s="172">
        <f ca="1">IF(OR($D146&lt;&gt;"Serviço",AND(AUTOEVENTO="Manual",$M146=$A$15)),0,
         IF(OFFSET(CRONOPLE!$F$15,$M146-$A$15,AQ$13)=0,10^12,OFFSET(CRONOPLE!$F$15,$M146-$A$15,AQ$13)))</f>
        <v>0</v>
      </c>
      <c r="AR146" s="172">
        <f ca="1">IF(OR($D146&lt;&gt;"Serviço",AND(AUTOEVENTO="Manual",$M146=$A$15)),0,
         IF(OFFSET(CRONOPLE!$F$15,$M146-$A$15,AR$13)=0,10^12,OFFSET(CRONOPLE!$F$15,$M146-$A$15,AR$13)))</f>
        <v>0</v>
      </c>
      <c r="AS146" s="172">
        <f ca="1">IF(OR($D146&lt;&gt;"Serviço",AND(AUTOEVENTO="Manual",$M146=$A$15)),0,
         IF(OFFSET(CRONOPLE!$F$15,$M146-$A$15,AS$13)=0,10^12,OFFSET(CRONOPLE!$F$15,$M146-$A$15,AS$13)))</f>
        <v>0</v>
      </c>
      <c r="AT146" s="172">
        <f ca="1">IF(OR($D146&lt;&gt;"Serviço",AND(AUTOEVENTO="Manual",$M146=$A$15)),0,
         IF(OFFSET(CRONOPLE!$F$15,$M146-$A$15,AT$13)=0,10^12,OFFSET(CRONOPLE!$F$15,$M146-$A$15,AT$13)))</f>
        <v>0</v>
      </c>
      <c r="AU146" s="172">
        <f ca="1">IF(OR($D146&lt;&gt;"Serviço",AND(AUTOEVENTO="Manual",$M146=$A$15)),0,
         IF(OFFSET(CRONOPLE!$F$15,$M146-$A$15,AU$13)=0,10^12,OFFSET(CRONOPLE!$F$15,$M146-$A$15,AU$13)))</f>
        <v>0</v>
      </c>
      <c r="AV146" s="172">
        <f ca="1">IF(OR($D146&lt;&gt;"Serviço",AND(AUTOEVENTO="Manual",$M146=$A$15)),0,
         IF(OFFSET(CRONOPLE!$F$15,$M146-$A$15,AV$13)=0,10^12,OFFSET(CRONOPLE!$F$15,$M146-$A$15,AV$13)))</f>
        <v>0</v>
      </c>
      <c r="AX146" s="173">
        <f ca="1">IF(OR($D146&lt;&gt;"Serviço",AND(AUTOEVENTO="Manual",$M146=$A$15),$M146&gt;(ROW(PLE.lastrow)-ROW(PLE.firstrow))),0,
           IF(OFFSET(PLE!$G$15,$M146-$A$15,AX$13)="",10^12,OFFSET(PLE!$G$15,$M146-$A$15,AX$13)))</f>
        <v>0</v>
      </c>
      <c r="AY146" s="173">
        <f ca="1">IF(OR($D146&lt;&gt;"Serviço",AND(AUTOEVENTO="Manual",$M146=$A$15),$M146&gt;(ROW(PLE.lastrow)-ROW(PLE.firstrow))),0,
           IF(OFFSET(PLE!$G$15,$M146-$A$15,AY$13)="",10^12,OFFSET(PLE!$G$15,$M146-$A$15,AY$13)))</f>
        <v>0</v>
      </c>
      <c r="AZ146" s="173">
        <f ca="1">IF(OR($D146&lt;&gt;"Serviço",AND(AUTOEVENTO="Manual",$M146=$A$15),$M146&gt;(ROW(PLE.lastrow)-ROW(PLE.firstrow))),0,
           IF(OFFSET(PLE!$G$15,$M146-$A$15,AZ$13)="",10^12,OFFSET(PLE!$G$15,$M146-$A$15,AZ$13)))</f>
        <v>0</v>
      </c>
      <c r="BA146" s="173">
        <f ca="1">IF(OR($D146&lt;&gt;"Serviço",AND(AUTOEVENTO="Manual",$M146=$A$15),$M146&gt;(ROW(PLE.lastrow)-ROW(PLE.firstrow))),0,
           IF(OFFSET(PLE!$G$15,$M146-$A$15,BA$13)="",10^12,OFFSET(PLE!$G$15,$M146-$A$15,BA$13)))</f>
        <v>0</v>
      </c>
      <c r="BB146" s="173">
        <f ca="1">IF(OR($D146&lt;&gt;"Serviço",AND(AUTOEVENTO="Manual",$M146=$A$15),$M146&gt;(ROW(PLE.lastrow)-ROW(PLE.firstrow))),0,
           IF(OFFSET(PLE!$G$15,$M146-$A$15,BB$13)="",10^12,OFFSET(PLE!$G$15,$M146-$A$15,BB$13)))</f>
        <v>0</v>
      </c>
      <c r="BC146" s="173">
        <f ca="1">IF(OR($D146&lt;&gt;"Serviço",AND(AUTOEVENTO="Manual",$M146=$A$15),$M146&gt;(ROW(PLE.lastrow)-ROW(PLE.firstrow))),0,
           IF(OFFSET(PLE!$G$15,$M146-$A$15,BC$13)="",10^12,OFFSET(PLE!$G$15,$M146-$A$15,BC$13)))</f>
        <v>0</v>
      </c>
      <c r="BD146" s="173">
        <f ca="1">IF(OR($D146&lt;&gt;"Serviço",AND(AUTOEVENTO="Manual",$M146=$A$15),$M146&gt;(ROW(PLE.lastrow)-ROW(PLE.firstrow))),0,
           IF(OFFSET(PLE!$G$15,$M146-$A$15,BD$13)="",10^12,OFFSET(PLE!$G$15,$M146-$A$15,BD$13)))</f>
        <v>0</v>
      </c>
      <c r="BE146" s="173">
        <f ca="1">IF(OR($D146&lt;&gt;"Serviço",AND(AUTOEVENTO="Manual",$M146=$A$15),$M146&gt;(ROW(PLE.lastrow)-ROW(PLE.firstrow))),0,
           IF(OFFSET(PLE!$G$15,$M146-$A$15,BE$13)="",10^12,OFFSET(PLE!$G$15,$M146-$A$15,BE$13)))</f>
        <v>0</v>
      </c>
      <c r="BF146" s="173">
        <f ca="1">IF(OR($D146&lt;&gt;"Serviço",AND(AUTOEVENTO="Manual",$M146=$A$15),$M146&gt;(ROW(PLE.lastrow)-ROW(PLE.firstrow))),0,
           IF(OFFSET(PLE!$G$15,$M146-$A$15,BF$13)="",10^12,OFFSET(PLE!$G$15,$M146-$A$15,BF$13)))</f>
        <v>0</v>
      </c>
      <c r="BG146" s="173">
        <f ca="1">IF(OR($D146&lt;&gt;"Serviço",AND(AUTOEVENTO="Manual",$M146=$A$15),$M146&gt;(ROW(PLE.lastrow)-ROW(PLE.firstrow))),0,
           IF(OFFSET(PLE!$G$15,$M146-$A$15,BG$13)="",10^12,OFFSET(PLE!$G$15,$M146-$A$15,BG$13)))</f>
        <v>0</v>
      </c>
    </row>
    <row r="147" spans="1:59" s="702" customFormat="1" ht="25.5" x14ac:dyDescent="0.2">
      <c r="A147" s="700" t="str">
        <f t="shared" ca="1" si="11"/>
        <v>131</v>
      </c>
      <c r="B147" s="700" t="str">
        <f ca="1">OFFSET(ORÇAMENTO!C$15,ROW(B147)-ROW(B$15),0)</f>
        <v>S</v>
      </c>
      <c r="C147" s="700" t="str">
        <f ca="1">OFFSET(ORÇAMENTO!L$15,ROW(C147)-ROW(C$15),0)</f>
        <v/>
      </c>
      <c r="D147" s="117" t="str">
        <f ca="1">OFFSET(ORÇAMENTO!N$15,ROW(D147)-ROW(D$15),0)</f>
        <v>Serviço</v>
      </c>
      <c r="E147" s="118" t="str">
        <f ca="1">OFFSET(ORÇAMENTO!O$15,ROW(E147)-ROW(E$15),0)</f>
        <v>-</v>
      </c>
      <c r="F147" s="164" t="str">
        <f ca="1">OFFSET(ORÇAMENTO!R$15,ROW(F147)-ROW(F$15),0)</f>
        <v>(abra o arquivo 'Referência 09-2025.xlsm)</v>
      </c>
      <c r="G147" s="165" t="str">
        <f ca="1">IF($D147&lt;&gt;"Serviço","",OFFSET(ORÇAMENTO!S$15,ROW(G147)-ROW(G$15),0))</f>
        <v>-</v>
      </c>
      <c r="H147" s="123">
        <f ca="1">IF($D147&lt;&gt;"Serviço",0,IF(ACOMPANHAMENTO="BM",ROUND(OFFSET(ORÇAMENTO!AJ$15,ROW(H147)-ROW(H$15),0),15-13*ORÇAMENTO!$AF$7),SUMPRODUCT(($Q$1:$AA$1=1)*ROUND($Q147:$AA147,15-13*ORÇAMENTO!$AF$7))))</f>
        <v>1</v>
      </c>
      <c r="I147" s="469"/>
      <c r="J147" s="667" t="str">
        <f ca="1">IF(OR(B147&lt;&gt;"S",CÁLCULO.FrentesPreenchidas=0),"",IF(AND(ACOMPANHAMENTO="PLE",AUTOEVENTO="Manual",OR(H147&gt;0,ORÇAMENTO!AC147="QUANT."),OR(K147="",M147=0,N147="")),"►",IF(AND(ACOMPANHAMENTO="PLE",ORÇAMENTO!AC147="QUANT."),"►►",IF(AND(COUNTIF($P$11:$AA$11,"▼")=0,H147&gt;0,I147=""),"◄",""))))</f>
        <v/>
      </c>
      <c r="K147" s="668"/>
      <c r="L147" s="166" t="s">
        <v>765</v>
      </c>
      <c r="M147" s="167">
        <f ca="1">IF($D147&lt;&gt;"Serviço","",
          IF(AUTOEVENTO="manual",$A147,
                IF(ISERROR(MATCH($A147,$A$15:OFFSET($A147,-1,0),0)),MAX($M$15:OFFSET(M147,-1,0))+1,
                      INDEX($M$15:OFFSET(M147,-1,0),MATCH($A147,$A$15:OFFSET($A147,-1,0),0)))))</f>
        <v>16</v>
      </c>
      <c r="N147" s="168" t="str">
        <f ca="1">IF($D147&lt;&gt;"Serviço","",
         IF(AUTOEVENTO="Manual",
                IF($A147=0,"&lt;-- defina o número do agrupador",
                       OFFSET(EVENTOS!$D$15,$A147-$A$15,0)),
                OFFSET($F$15,$A147,0)))</f>
        <v>ELEVATÓRIA DE ESGOTO - MATERIAIS</v>
      </c>
      <c r="O147" s="169"/>
      <c r="Q147" s="169"/>
      <c r="R147" s="170"/>
      <c r="S147" s="170"/>
      <c r="T147" s="170"/>
      <c r="U147" s="170"/>
      <c r="V147" s="170"/>
      <c r="W147" s="170"/>
      <c r="X147" s="170"/>
      <c r="Y147" s="170"/>
      <c r="Z147" s="171"/>
      <c r="AB147" s="454">
        <f ca="1">IF(AND($D147="Serviço",AB$12&lt;&gt;0,$H147&gt;0,OR(AUTOEVENTO&lt;&gt;"manual",$M147&lt;&gt;$A$15)),
        IF(Import.TipoArredondamento&lt;&gt;"TransfereGOV",
              ROUND(OFFSET($P147,0,AB$13),15-13*ORÇAMENTO!$AF$7)/$H147*OFFSET(ORÇAMENTO!$X$15,ROW(AB147)-ROW(AB$15),0),
              ROUND(ROUND(OFFSET($P147,0,AB$13),15-13*ORÇAMENTO!$AF$7)*OFFSET(ORÇAMENTO!$W$15,ROW(AB147)-ROW(AB$15),0),15-13*ORÇAMENTO!$AF$11)),
         0)</f>
        <v>0</v>
      </c>
      <c r="AC147" s="454">
        <f ca="1">IF(AND($D147="Serviço",AC$12&lt;&gt;0,$H147&gt;0,OR(AUTOEVENTO&lt;&gt;"manual",$M147&lt;&gt;$A$15)),
        IF(Import.TipoArredondamento&lt;&gt;"TransfereGOV",
              ROUND(OFFSET($P147,0,AC$13),15-13*ORÇAMENTO!$AF$7)/$H147*OFFSET(ORÇAMENTO!$X$15,ROW(AC147)-ROW(AC$15),0),
              ROUND(ROUND(OFFSET($P147,0,AC$13),15-13*ORÇAMENTO!$AF$7)*OFFSET(ORÇAMENTO!$W$15,ROW(AC147)-ROW(AC$15),0),15-13*ORÇAMENTO!$AF$11)),
         0)</f>
        <v>0</v>
      </c>
      <c r="AD147" s="454">
        <f ca="1">IF(AND($D147="Serviço",AD$12&lt;&gt;0,$H147&gt;0,OR(AUTOEVENTO&lt;&gt;"manual",$M147&lt;&gt;$A$15)),
        IF(Import.TipoArredondamento&lt;&gt;"TransfereGOV",
              ROUND(OFFSET($P147,0,AD$13),15-13*ORÇAMENTO!$AF$7)/$H147*OFFSET(ORÇAMENTO!$X$15,ROW(AD147)-ROW(AD$15),0),
              ROUND(ROUND(OFFSET($P147,0,AD$13),15-13*ORÇAMENTO!$AF$7)*OFFSET(ORÇAMENTO!$W$15,ROW(AD147)-ROW(AD$15),0),15-13*ORÇAMENTO!$AF$11)),
         0)</f>
        <v>0</v>
      </c>
      <c r="AE147" s="454">
        <f ca="1">IF(AND($D147="Serviço",AE$12&lt;&gt;0,$H147&gt;0,OR(AUTOEVENTO&lt;&gt;"manual",$M147&lt;&gt;$A$15)),
        IF(Import.TipoArredondamento&lt;&gt;"TransfereGOV",
              ROUND(OFFSET($P147,0,AE$13),15-13*ORÇAMENTO!$AF$7)/$H147*OFFSET(ORÇAMENTO!$X$15,ROW(AE147)-ROW(AE$15),0),
              ROUND(ROUND(OFFSET($P147,0,AE$13),15-13*ORÇAMENTO!$AF$7)*OFFSET(ORÇAMENTO!$W$15,ROW(AE147)-ROW(AE$15),0),15-13*ORÇAMENTO!$AF$11)),
         0)</f>
        <v>0</v>
      </c>
      <c r="AF147" s="454">
        <f ca="1">IF(AND($D147="Serviço",AF$12&lt;&gt;0,$H147&gt;0,OR(AUTOEVENTO&lt;&gt;"manual",$M147&lt;&gt;$A$15)),
        IF(Import.TipoArredondamento&lt;&gt;"TransfereGOV",
              ROUND(OFFSET($P147,0,AF$13),15-13*ORÇAMENTO!$AF$7)/$H147*OFFSET(ORÇAMENTO!$X$15,ROW(AF147)-ROW(AF$15),0),
              ROUND(ROUND(OFFSET($P147,0,AF$13),15-13*ORÇAMENTO!$AF$7)*OFFSET(ORÇAMENTO!$W$15,ROW(AF147)-ROW(AF$15),0),15-13*ORÇAMENTO!$AF$11)),
         0)</f>
        <v>0</v>
      </c>
      <c r="AG147" s="454">
        <f ca="1">IF(AND($D147="Serviço",AG$12&lt;&gt;0,$H147&gt;0,OR(AUTOEVENTO&lt;&gt;"manual",$M147&lt;&gt;$A$15)),
        IF(Import.TipoArredondamento&lt;&gt;"TransfereGOV",
              ROUND(OFFSET($P147,0,AG$13),15-13*ORÇAMENTO!$AF$7)/$H147*OFFSET(ORÇAMENTO!$X$15,ROW(AG147)-ROW(AG$15),0),
              ROUND(ROUND(OFFSET($P147,0,AG$13),15-13*ORÇAMENTO!$AF$7)*OFFSET(ORÇAMENTO!$W$15,ROW(AG147)-ROW(AG$15),0),15-13*ORÇAMENTO!$AF$11)),
         0)</f>
        <v>0</v>
      </c>
      <c r="AH147" s="454">
        <f ca="1">IF(AND($D147="Serviço",AH$12&lt;&gt;0,$H147&gt;0,OR(AUTOEVENTO&lt;&gt;"manual",$M147&lt;&gt;$A$15)),
        IF(Import.TipoArredondamento&lt;&gt;"TransfereGOV",
              ROUND(OFFSET($P147,0,AH$13),15-13*ORÇAMENTO!$AF$7)/$H147*OFFSET(ORÇAMENTO!$X$15,ROW(AH147)-ROW(AH$15),0),
              ROUND(ROUND(OFFSET($P147,0,AH$13),15-13*ORÇAMENTO!$AF$7)*OFFSET(ORÇAMENTO!$W$15,ROW(AH147)-ROW(AH$15),0),15-13*ORÇAMENTO!$AF$11)),
         0)</f>
        <v>0</v>
      </c>
      <c r="AI147" s="454">
        <f ca="1">IF(AND($D147="Serviço",AI$12&lt;&gt;0,$H147&gt;0,OR(AUTOEVENTO&lt;&gt;"manual",$M147&lt;&gt;$A$15)),
        IF(Import.TipoArredondamento&lt;&gt;"TransfereGOV",
              ROUND(OFFSET($P147,0,AI$13),15-13*ORÇAMENTO!$AF$7)/$H147*OFFSET(ORÇAMENTO!$X$15,ROW(AI147)-ROW(AI$15),0),
              ROUND(ROUND(OFFSET($P147,0,AI$13),15-13*ORÇAMENTO!$AF$7)*OFFSET(ORÇAMENTO!$W$15,ROW(AI147)-ROW(AI$15),0),15-13*ORÇAMENTO!$AF$11)),
         0)</f>
        <v>0</v>
      </c>
      <c r="AJ147" s="454">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4">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M147" s="172">
        <f ca="1">IF(OR($D147&lt;&gt;"Serviço",AND(AUTOEVENTO="Manual",$M147=$A$15)),0,
         IF(OFFSET(CRONOPLE!$F$15,$M147-$A$15,AM$13)=0,10^12,OFFSET(CRONOPLE!$F$15,$M147-$A$15,AM$13)))</f>
        <v>1000000000000</v>
      </c>
      <c r="AN147" s="172">
        <f ca="1">IF(OR($D147&lt;&gt;"Serviço",AND(AUTOEVENTO="Manual",$M147=$A$15)),0,
         IF(OFFSET(CRONOPLE!$F$15,$M147-$A$15,AN$13)=0,10^12,OFFSET(CRONOPLE!$F$15,$M147-$A$15,AN$13)))</f>
        <v>1000000000000</v>
      </c>
      <c r="AO147" s="172">
        <f ca="1">IF(OR($D147&lt;&gt;"Serviço",AND(AUTOEVENTO="Manual",$M147=$A$15)),0,
         IF(OFFSET(CRONOPLE!$F$15,$M147-$A$15,AO$13)=0,10^12,OFFSET(CRONOPLE!$F$15,$M147-$A$15,AO$13)))</f>
        <v>1000000000000</v>
      </c>
      <c r="AP147" s="172">
        <f ca="1">IF(OR($D147&lt;&gt;"Serviço",AND(AUTOEVENTO="Manual",$M147=$A$15)),0,
         IF(OFFSET(CRONOPLE!$F$15,$M147-$A$15,AP$13)=0,10^12,OFFSET(CRONOPLE!$F$15,$M147-$A$15,AP$13)))</f>
        <v>1000000000000</v>
      </c>
      <c r="AQ147" s="172">
        <f ca="1">IF(OR($D147&lt;&gt;"Serviço",AND(AUTOEVENTO="Manual",$M147=$A$15)),0,
         IF(OFFSET(CRONOPLE!$F$15,$M147-$A$15,AQ$13)=0,10^12,OFFSET(CRONOPLE!$F$15,$M147-$A$15,AQ$13)))</f>
        <v>1000000000000</v>
      </c>
      <c r="AR147" s="172">
        <f ca="1">IF(OR($D147&lt;&gt;"Serviço",AND(AUTOEVENTO="Manual",$M147=$A$15)),0,
         IF(OFFSET(CRONOPLE!$F$15,$M147-$A$15,AR$13)=0,10^12,OFFSET(CRONOPLE!$F$15,$M147-$A$15,AR$13)))</f>
        <v>1000000000000</v>
      </c>
      <c r="AS147" s="172">
        <f ca="1">IF(OR($D147&lt;&gt;"Serviço",AND(AUTOEVENTO="Manual",$M147=$A$15)),0,
         IF(OFFSET(CRONOPLE!$F$15,$M147-$A$15,AS$13)=0,10^12,OFFSET(CRONOPLE!$F$15,$M147-$A$15,AS$13)))</f>
        <v>1000000000000</v>
      </c>
      <c r="AT147" s="172">
        <f ca="1">IF(OR($D147&lt;&gt;"Serviço",AND(AUTOEVENTO="Manual",$M147=$A$15)),0,
         IF(OFFSET(CRONOPLE!$F$15,$M147-$A$15,AT$13)=0,10^12,OFFSET(CRONOPLE!$F$15,$M147-$A$15,AT$13)))</f>
        <v>1000000000000</v>
      </c>
      <c r="AU147" s="172">
        <f ca="1">IF(OR($D147&lt;&gt;"Serviço",AND(AUTOEVENTO="Manual",$M147=$A$15)),0,
         IF(OFFSET(CRONOPLE!$F$15,$M147-$A$15,AU$13)=0,10^12,OFFSET(CRONOPLE!$F$15,$M147-$A$15,AU$13)))</f>
        <v>1000000000000</v>
      </c>
      <c r="AV147" s="172">
        <f ca="1">IF(OR($D147&lt;&gt;"Serviço",AND(AUTOEVENTO="Manual",$M147=$A$15)),0,
         IF(OFFSET(CRONOPLE!$F$15,$M147-$A$15,AV$13)=0,10^12,OFFSET(CRONOPLE!$F$15,$M147-$A$15,AV$13)))</f>
        <v>1000000000000</v>
      </c>
      <c r="AX147" s="173">
        <f ca="1">IF(OR($D147&lt;&gt;"Serviço",AND(AUTOEVENTO="Manual",$M147=$A$15),$M147&gt;(ROW(PLE.lastrow)-ROW(PLE.firstrow))),0,
           IF(OFFSET(PLE!$G$15,$M147-$A$15,AX$13)="",10^12,OFFSET(PLE!$G$15,$M147-$A$15,AX$13)))</f>
        <v>1000000000000</v>
      </c>
      <c r="AY147" s="173">
        <f ca="1">IF(OR($D147&lt;&gt;"Serviço",AND(AUTOEVENTO="Manual",$M147=$A$15),$M147&gt;(ROW(PLE.lastrow)-ROW(PLE.firstrow))),0,
           IF(OFFSET(PLE!$G$15,$M147-$A$15,AY$13)="",10^12,OFFSET(PLE!$G$15,$M147-$A$15,AY$13)))</f>
        <v>1000000000000</v>
      </c>
      <c r="AZ147" s="173">
        <f ca="1">IF(OR($D147&lt;&gt;"Serviço",AND(AUTOEVENTO="Manual",$M147=$A$15),$M147&gt;(ROW(PLE.lastrow)-ROW(PLE.firstrow))),0,
           IF(OFFSET(PLE!$G$15,$M147-$A$15,AZ$13)="",10^12,OFFSET(PLE!$G$15,$M147-$A$15,AZ$13)))</f>
        <v>1000000000000</v>
      </c>
      <c r="BA147" s="173">
        <f ca="1">IF(OR($D147&lt;&gt;"Serviço",AND(AUTOEVENTO="Manual",$M147=$A$15),$M147&gt;(ROW(PLE.lastrow)-ROW(PLE.firstrow))),0,
           IF(OFFSET(PLE!$G$15,$M147-$A$15,BA$13)="",10^12,OFFSET(PLE!$G$15,$M147-$A$15,BA$13)))</f>
        <v>1000000000000</v>
      </c>
      <c r="BB147" s="173">
        <f ca="1">IF(OR($D147&lt;&gt;"Serviço",AND(AUTOEVENTO="Manual",$M147=$A$15),$M147&gt;(ROW(PLE.lastrow)-ROW(PLE.firstrow))),0,
           IF(OFFSET(PLE!$G$15,$M147-$A$15,BB$13)="",10^12,OFFSET(PLE!$G$15,$M147-$A$15,BB$13)))</f>
        <v>1000000000000</v>
      </c>
      <c r="BC147" s="173">
        <f ca="1">IF(OR($D147&lt;&gt;"Serviço",AND(AUTOEVENTO="Manual",$M147=$A$15),$M147&gt;(ROW(PLE.lastrow)-ROW(PLE.firstrow))),0,
           IF(OFFSET(PLE!$G$15,$M147-$A$15,BC$13)="",10^12,OFFSET(PLE!$G$15,$M147-$A$15,BC$13)))</f>
        <v>1000000000000</v>
      </c>
      <c r="BD147" s="173">
        <f ca="1">IF(OR($D147&lt;&gt;"Serviço",AND(AUTOEVENTO="Manual",$M147=$A$15),$M147&gt;(ROW(PLE.lastrow)-ROW(PLE.firstrow))),0,
           IF(OFFSET(PLE!$G$15,$M147-$A$15,BD$13)="",10^12,OFFSET(PLE!$G$15,$M147-$A$15,BD$13)))</f>
        <v>1000000000000</v>
      </c>
      <c r="BE147" s="173">
        <f ca="1">IF(OR($D147&lt;&gt;"Serviço",AND(AUTOEVENTO="Manual",$M147=$A$15),$M147&gt;(ROW(PLE.lastrow)-ROW(PLE.firstrow))),0,
           IF(OFFSET(PLE!$G$15,$M147-$A$15,BE$13)="",10^12,OFFSET(PLE!$G$15,$M147-$A$15,BE$13)))</f>
        <v>1000000000000</v>
      </c>
      <c r="BF147" s="173">
        <f ca="1">IF(OR($D147&lt;&gt;"Serviço",AND(AUTOEVENTO="Manual",$M147=$A$15),$M147&gt;(ROW(PLE.lastrow)-ROW(PLE.firstrow))),0,
           IF(OFFSET(PLE!$G$15,$M147-$A$15,BF$13)="",10^12,OFFSET(PLE!$G$15,$M147-$A$15,BF$13)))</f>
        <v>1000000000000</v>
      </c>
      <c r="BG147" s="173">
        <f ca="1">IF(OR($D147&lt;&gt;"Serviço",AND(AUTOEVENTO="Manual",$M147=$A$15),$M147&gt;(ROW(PLE.lastrow)-ROW(PLE.firstrow))),0,
           IF(OFFSET(PLE!$G$15,$M147-$A$15,BG$13)="",10^12,OFFSET(PLE!$G$15,$M147-$A$15,BG$13)))</f>
        <v>1000000000000</v>
      </c>
    </row>
    <row r="148" spans="1:59" s="702" customFormat="1" ht="25.5" x14ac:dyDescent="0.2">
      <c r="A148" s="700" t="str">
        <f t="shared" ca="1" si="11"/>
        <v>131</v>
      </c>
      <c r="B148" s="700" t="str">
        <f ca="1">OFFSET(ORÇAMENTO!C$15,ROW(B148)-ROW(B$15),0)</f>
        <v>S</v>
      </c>
      <c r="C148" s="700" t="str">
        <f ca="1">OFFSET(ORÇAMENTO!L$15,ROW(C148)-ROW(C$15),0)</f>
        <v/>
      </c>
      <c r="D148" s="117" t="str">
        <f ca="1">OFFSET(ORÇAMENTO!N$15,ROW(D148)-ROW(D$15),0)</f>
        <v>Serviço</v>
      </c>
      <c r="E148" s="118" t="str">
        <f ca="1">OFFSET(ORÇAMENTO!O$15,ROW(E148)-ROW(E$15),0)</f>
        <v>-</v>
      </c>
      <c r="F148" s="164" t="str">
        <f ca="1">OFFSET(ORÇAMENTO!R$15,ROW(F148)-ROW(F$15),0)</f>
        <v>(abra o arquivo 'Referência 09-2025.xlsm)</v>
      </c>
      <c r="G148" s="165" t="str">
        <f ca="1">IF($D148&lt;&gt;"Serviço","",OFFSET(ORÇAMENTO!S$15,ROW(G148)-ROW(G$15),0))</f>
        <v>-</v>
      </c>
      <c r="H148" s="123">
        <f ca="1">IF($D148&lt;&gt;"Serviço",0,IF(ACOMPANHAMENTO="BM",ROUND(OFFSET(ORÇAMENTO!AJ$15,ROW(H148)-ROW(H$15),0),15-13*ORÇAMENTO!$AF$7),SUMPRODUCT(($Q$1:$AA$1=1)*ROUND($Q148:$AA148,15-13*ORÇAMENTO!$AF$7))))</f>
        <v>1</v>
      </c>
      <c r="I148" s="469"/>
      <c r="J148" s="667" t="str">
        <f ca="1">IF(OR(B148&lt;&gt;"S",CÁLCULO.FrentesPreenchidas=0),"",IF(AND(ACOMPANHAMENTO="PLE",AUTOEVENTO="Manual",OR(H148&gt;0,ORÇAMENTO!AC148="QUANT."),OR(K148="",M148=0,N148="")),"►",IF(AND(ACOMPANHAMENTO="PLE",ORÇAMENTO!AC148="QUANT."),"►►",IF(AND(COUNTIF($P$11:$AA$11,"▼")=0,H148&gt;0,I148=""),"◄",""))))</f>
        <v/>
      </c>
      <c r="K148" s="668"/>
      <c r="L148" s="166" t="s">
        <v>765</v>
      </c>
      <c r="M148" s="167">
        <f ca="1">IF($D148&lt;&gt;"Serviço","",
          IF(AUTOEVENTO="manual",$A148,
                IF(ISERROR(MATCH($A148,$A$15:OFFSET($A148,-1,0),0)),MAX($M$15:OFFSET(M148,-1,0))+1,
                      INDEX($M$15:OFFSET(M148,-1,0),MATCH($A148,$A$15:OFFSET($A148,-1,0),0)))))</f>
        <v>16</v>
      </c>
      <c r="N148" s="168" t="str">
        <f ca="1">IF($D148&lt;&gt;"Serviço","",
         IF(AUTOEVENTO="Manual",
                IF($A148=0,"&lt;-- defina o número do agrupador",
                       OFFSET(EVENTOS!$D$15,$A148-$A$15,0)),
                OFFSET($F$15,$A148,0)))</f>
        <v>ELEVATÓRIA DE ESGOTO - MATERIAIS</v>
      </c>
      <c r="O148" s="169"/>
      <c r="Q148" s="169"/>
      <c r="R148" s="170"/>
      <c r="S148" s="170"/>
      <c r="T148" s="170"/>
      <c r="U148" s="170"/>
      <c r="V148" s="170"/>
      <c r="W148" s="170"/>
      <c r="X148" s="170"/>
      <c r="Y148" s="170"/>
      <c r="Z148" s="171"/>
      <c r="AB148" s="454">
        <f ca="1">IF(AND($D148="Serviço",AB$12&lt;&gt;0,$H148&gt;0,OR(AUTOEVENTO&lt;&gt;"manual",$M148&lt;&gt;$A$15)),
        IF(Import.TipoArredondamento&lt;&gt;"TransfereGOV",
              ROUND(OFFSET($P148,0,AB$13),15-13*ORÇAMENTO!$AF$7)/$H148*OFFSET(ORÇAMENTO!$X$15,ROW(AB148)-ROW(AB$15),0),
              ROUND(ROUND(OFFSET($P148,0,AB$13),15-13*ORÇAMENTO!$AF$7)*OFFSET(ORÇAMENTO!$W$15,ROW(AB148)-ROW(AB$15),0),15-13*ORÇAMENTO!$AF$11)),
         0)</f>
        <v>0</v>
      </c>
      <c r="AC148" s="454">
        <f ca="1">IF(AND($D148="Serviço",AC$12&lt;&gt;0,$H148&gt;0,OR(AUTOEVENTO&lt;&gt;"manual",$M148&lt;&gt;$A$15)),
        IF(Import.TipoArredondamento&lt;&gt;"TransfereGOV",
              ROUND(OFFSET($P148,0,AC$13),15-13*ORÇAMENTO!$AF$7)/$H148*OFFSET(ORÇAMENTO!$X$15,ROW(AC148)-ROW(AC$15),0),
              ROUND(ROUND(OFFSET($P148,0,AC$13),15-13*ORÇAMENTO!$AF$7)*OFFSET(ORÇAMENTO!$W$15,ROW(AC148)-ROW(AC$15),0),15-13*ORÇAMENTO!$AF$11)),
         0)</f>
        <v>0</v>
      </c>
      <c r="AD148" s="454">
        <f ca="1">IF(AND($D148="Serviço",AD$12&lt;&gt;0,$H148&gt;0,OR(AUTOEVENTO&lt;&gt;"manual",$M148&lt;&gt;$A$15)),
        IF(Import.TipoArredondamento&lt;&gt;"TransfereGOV",
              ROUND(OFFSET($P148,0,AD$13),15-13*ORÇAMENTO!$AF$7)/$H148*OFFSET(ORÇAMENTO!$X$15,ROW(AD148)-ROW(AD$15),0),
              ROUND(ROUND(OFFSET($P148,0,AD$13),15-13*ORÇAMENTO!$AF$7)*OFFSET(ORÇAMENTO!$W$15,ROW(AD148)-ROW(AD$15),0),15-13*ORÇAMENTO!$AF$11)),
         0)</f>
        <v>0</v>
      </c>
      <c r="AE148" s="454">
        <f ca="1">IF(AND($D148="Serviço",AE$12&lt;&gt;0,$H148&gt;0,OR(AUTOEVENTO&lt;&gt;"manual",$M148&lt;&gt;$A$15)),
        IF(Import.TipoArredondamento&lt;&gt;"TransfereGOV",
              ROUND(OFFSET($P148,0,AE$13),15-13*ORÇAMENTO!$AF$7)/$H148*OFFSET(ORÇAMENTO!$X$15,ROW(AE148)-ROW(AE$15),0),
              ROUND(ROUND(OFFSET($P148,0,AE$13),15-13*ORÇAMENTO!$AF$7)*OFFSET(ORÇAMENTO!$W$15,ROW(AE148)-ROW(AE$15),0),15-13*ORÇAMENTO!$AF$11)),
         0)</f>
        <v>0</v>
      </c>
      <c r="AF148" s="454">
        <f ca="1">IF(AND($D148="Serviço",AF$12&lt;&gt;0,$H148&gt;0,OR(AUTOEVENTO&lt;&gt;"manual",$M148&lt;&gt;$A$15)),
        IF(Import.TipoArredondamento&lt;&gt;"TransfereGOV",
              ROUND(OFFSET($P148,0,AF$13),15-13*ORÇAMENTO!$AF$7)/$H148*OFFSET(ORÇAMENTO!$X$15,ROW(AF148)-ROW(AF$15),0),
              ROUND(ROUND(OFFSET($P148,0,AF$13),15-13*ORÇAMENTO!$AF$7)*OFFSET(ORÇAMENTO!$W$15,ROW(AF148)-ROW(AF$15),0),15-13*ORÇAMENTO!$AF$11)),
         0)</f>
        <v>0</v>
      </c>
      <c r="AG148" s="454">
        <f ca="1">IF(AND($D148="Serviço",AG$12&lt;&gt;0,$H148&gt;0,OR(AUTOEVENTO&lt;&gt;"manual",$M148&lt;&gt;$A$15)),
        IF(Import.TipoArredondamento&lt;&gt;"TransfereGOV",
              ROUND(OFFSET($P148,0,AG$13),15-13*ORÇAMENTO!$AF$7)/$H148*OFFSET(ORÇAMENTO!$X$15,ROW(AG148)-ROW(AG$15),0),
              ROUND(ROUND(OFFSET($P148,0,AG$13),15-13*ORÇAMENTO!$AF$7)*OFFSET(ORÇAMENTO!$W$15,ROW(AG148)-ROW(AG$15),0),15-13*ORÇAMENTO!$AF$11)),
         0)</f>
        <v>0</v>
      </c>
      <c r="AH148" s="454">
        <f ca="1">IF(AND($D148="Serviço",AH$12&lt;&gt;0,$H148&gt;0,OR(AUTOEVENTO&lt;&gt;"manual",$M148&lt;&gt;$A$15)),
        IF(Import.TipoArredondamento&lt;&gt;"TransfereGOV",
              ROUND(OFFSET($P148,0,AH$13),15-13*ORÇAMENTO!$AF$7)/$H148*OFFSET(ORÇAMENTO!$X$15,ROW(AH148)-ROW(AH$15),0),
              ROUND(ROUND(OFFSET($P148,0,AH$13),15-13*ORÇAMENTO!$AF$7)*OFFSET(ORÇAMENTO!$W$15,ROW(AH148)-ROW(AH$15),0),15-13*ORÇAMENTO!$AF$11)),
         0)</f>
        <v>0</v>
      </c>
      <c r="AI148" s="454">
        <f ca="1">IF(AND($D148="Serviço",AI$12&lt;&gt;0,$H148&gt;0,OR(AUTOEVENTO&lt;&gt;"manual",$M148&lt;&gt;$A$15)),
        IF(Import.TipoArredondamento&lt;&gt;"TransfereGOV",
              ROUND(OFFSET($P148,0,AI$13),15-13*ORÇAMENTO!$AF$7)/$H148*OFFSET(ORÇAMENTO!$X$15,ROW(AI148)-ROW(AI$15),0),
              ROUND(ROUND(OFFSET($P148,0,AI$13),15-13*ORÇAMENTO!$AF$7)*OFFSET(ORÇAMENTO!$W$15,ROW(AI148)-ROW(AI$15),0),15-13*ORÇAMENTO!$AF$11)),
         0)</f>
        <v>0</v>
      </c>
      <c r="AJ148" s="454">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4">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M148" s="172">
        <f ca="1">IF(OR($D148&lt;&gt;"Serviço",AND(AUTOEVENTO="Manual",$M148=$A$15)),0,
         IF(OFFSET(CRONOPLE!$F$15,$M148-$A$15,AM$13)=0,10^12,OFFSET(CRONOPLE!$F$15,$M148-$A$15,AM$13)))</f>
        <v>1000000000000</v>
      </c>
      <c r="AN148" s="172">
        <f ca="1">IF(OR($D148&lt;&gt;"Serviço",AND(AUTOEVENTO="Manual",$M148=$A$15)),0,
         IF(OFFSET(CRONOPLE!$F$15,$M148-$A$15,AN$13)=0,10^12,OFFSET(CRONOPLE!$F$15,$M148-$A$15,AN$13)))</f>
        <v>1000000000000</v>
      </c>
      <c r="AO148" s="172">
        <f ca="1">IF(OR($D148&lt;&gt;"Serviço",AND(AUTOEVENTO="Manual",$M148=$A$15)),0,
         IF(OFFSET(CRONOPLE!$F$15,$M148-$A$15,AO$13)=0,10^12,OFFSET(CRONOPLE!$F$15,$M148-$A$15,AO$13)))</f>
        <v>1000000000000</v>
      </c>
      <c r="AP148" s="172">
        <f ca="1">IF(OR($D148&lt;&gt;"Serviço",AND(AUTOEVENTO="Manual",$M148=$A$15)),0,
         IF(OFFSET(CRONOPLE!$F$15,$M148-$A$15,AP$13)=0,10^12,OFFSET(CRONOPLE!$F$15,$M148-$A$15,AP$13)))</f>
        <v>1000000000000</v>
      </c>
      <c r="AQ148" s="172">
        <f ca="1">IF(OR($D148&lt;&gt;"Serviço",AND(AUTOEVENTO="Manual",$M148=$A$15)),0,
         IF(OFFSET(CRONOPLE!$F$15,$M148-$A$15,AQ$13)=0,10^12,OFFSET(CRONOPLE!$F$15,$M148-$A$15,AQ$13)))</f>
        <v>1000000000000</v>
      </c>
      <c r="AR148" s="172">
        <f ca="1">IF(OR($D148&lt;&gt;"Serviço",AND(AUTOEVENTO="Manual",$M148=$A$15)),0,
         IF(OFFSET(CRONOPLE!$F$15,$M148-$A$15,AR$13)=0,10^12,OFFSET(CRONOPLE!$F$15,$M148-$A$15,AR$13)))</f>
        <v>1000000000000</v>
      </c>
      <c r="AS148" s="172">
        <f ca="1">IF(OR($D148&lt;&gt;"Serviço",AND(AUTOEVENTO="Manual",$M148=$A$15)),0,
         IF(OFFSET(CRONOPLE!$F$15,$M148-$A$15,AS$13)=0,10^12,OFFSET(CRONOPLE!$F$15,$M148-$A$15,AS$13)))</f>
        <v>1000000000000</v>
      </c>
      <c r="AT148" s="172">
        <f ca="1">IF(OR($D148&lt;&gt;"Serviço",AND(AUTOEVENTO="Manual",$M148=$A$15)),0,
         IF(OFFSET(CRONOPLE!$F$15,$M148-$A$15,AT$13)=0,10^12,OFFSET(CRONOPLE!$F$15,$M148-$A$15,AT$13)))</f>
        <v>1000000000000</v>
      </c>
      <c r="AU148" s="172">
        <f ca="1">IF(OR($D148&lt;&gt;"Serviço",AND(AUTOEVENTO="Manual",$M148=$A$15)),0,
         IF(OFFSET(CRONOPLE!$F$15,$M148-$A$15,AU$13)=0,10^12,OFFSET(CRONOPLE!$F$15,$M148-$A$15,AU$13)))</f>
        <v>1000000000000</v>
      </c>
      <c r="AV148" s="172">
        <f ca="1">IF(OR($D148&lt;&gt;"Serviço",AND(AUTOEVENTO="Manual",$M148=$A$15)),0,
         IF(OFFSET(CRONOPLE!$F$15,$M148-$A$15,AV$13)=0,10^12,OFFSET(CRONOPLE!$F$15,$M148-$A$15,AV$13)))</f>
        <v>1000000000000</v>
      </c>
      <c r="AX148" s="173">
        <f ca="1">IF(OR($D148&lt;&gt;"Serviço",AND(AUTOEVENTO="Manual",$M148=$A$15),$M148&gt;(ROW(PLE.lastrow)-ROW(PLE.firstrow))),0,
           IF(OFFSET(PLE!$G$15,$M148-$A$15,AX$13)="",10^12,OFFSET(PLE!$G$15,$M148-$A$15,AX$13)))</f>
        <v>1000000000000</v>
      </c>
      <c r="AY148" s="173">
        <f ca="1">IF(OR($D148&lt;&gt;"Serviço",AND(AUTOEVENTO="Manual",$M148=$A$15),$M148&gt;(ROW(PLE.lastrow)-ROW(PLE.firstrow))),0,
           IF(OFFSET(PLE!$G$15,$M148-$A$15,AY$13)="",10^12,OFFSET(PLE!$G$15,$M148-$A$15,AY$13)))</f>
        <v>1000000000000</v>
      </c>
      <c r="AZ148" s="173">
        <f ca="1">IF(OR($D148&lt;&gt;"Serviço",AND(AUTOEVENTO="Manual",$M148=$A$15),$M148&gt;(ROW(PLE.lastrow)-ROW(PLE.firstrow))),0,
           IF(OFFSET(PLE!$G$15,$M148-$A$15,AZ$13)="",10^12,OFFSET(PLE!$G$15,$M148-$A$15,AZ$13)))</f>
        <v>1000000000000</v>
      </c>
      <c r="BA148" s="173">
        <f ca="1">IF(OR($D148&lt;&gt;"Serviço",AND(AUTOEVENTO="Manual",$M148=$A$15),$M148&gt;(ROW(PLE.lastrow)-ROW(PLE.firstrow))),0,
           IF(OFFSET(PLE!$G$15,$M148-$A$15,BA$13)="",10^12,OFFSET(PLE!$G$15,$M148-$A$15,BA$13)))</f>
        <v>1000000000000</v>
      </c>
      <c r="BB148" s="173">
        <f ca="1">IF(OR($D148&lt;&gt;"Serviço",AND(AUTOEVENTO="Manual",$M148=$A$15),$M148&gt;(ROW(PLE.lastrow)-ROW(PLE.firstrow))),0,
           IF(OFFSET(PLE!$G$15,$M148-$A$15,BB$13)="",10^12,OFFSET(PLE!$G$15,$M148-$A$15,BB$13)))</f>
        <v>1000000000000</v>
      </c>
      <c r="BC148" s="173">
        <f ca="1">IF(OR($D148&lt;&gt;"Serviço",AND(AUTOEVENTO="Manual",$M148=$A$15),$M148&gt;(ROW(PLE.lastrow)-ROW(PLE.firstrow))),0,
           IF(OFFSET(PLE!$G$15,$M148-$A$15,BC$13)="",10^12,OFFSET(PLE!$G$15,$M148-$A$15,BC$13)))</f>
        <v>1000000000000</v>
      </c>
      <c r="BD148" s="173">
        <f ca="1">IF(OR($D148&lt;&gt;"Serviço",AND(AUTOEVENTO="Manual",$M148=$A$15),$M148&gt;(ROW(PLE.lastrow)-ROW(PLE.firstrow))),0,
           IF(OFFSET(PLE!$G$15,$M148-$A$15,BD$13)="",10^12,OFFSET(PLE!$G$15,$M148-$A$15,BD$13)))</f>
        <v>1000000000000</v>
      </c>
      <c r="BE148" s="173">
        <f ca="1">IF(OR($D148&lt;&gt;"Serviço",AND(AUTOEVENTO="Manual",$M148=$A$15),$M148&gt;(ROW(PLE.lastrow)-ROW(PLE.firstrow))),0,
           IF(OFFSET(PLE!$G$15,$M148-$A$15,BE$13)="",10^12,OFFSET(PLE!$G$15,$M148-$A$15,BE$13)))</f>
        <v>1000000000000</v>
      </c>
      <c r="BF148" s="173">
        <f ca="1">IF(OR($D148&lt;&gt;"Serviço",AND(AUTOEVENTO="Manual",$M148=$A$15),$M148&gt;(ROW(PLE.lastrow)-ROW(PLE.firstrow))),0,
           IF(OFFSET(PLE!$G$15,$M148-$A$15,BF$13)="",10^12,OFFSET(PLE!$G$15,$M148-$A$15,BF$13)))</f>
        <v>1000000000000</v>
      </c>
      <c r="BG148" s="173">
        <f ca="1">IF(OR($D148&lt;&gt;"Serviço",AND(AUTOEVENTO="Manual",$M148=$A$15),$M148&gt;(ROW(PLE.lastrow)-ROW(PLE.firstrow))),0,
           IF(OFFSET(PLE!$G$15,$M148-$A$15,BG$13)="",10^12,OFFSET(PLE!$G$15,$M148-$A$15,BG$13)))</f>
        <v>1000000000000</v>
      </c>
    </row>
    <row r="149" spans="1:59" s="702" customFormat="1" ht="25.5" x14ac:dyDescent="0.2">
      <c r="A149" s="700" t="str">
        <f t="shared" ca="1" si="11"/>
        <v>131</v>
      </c>
      <c r="B149" s="700" t="str">
        <f ca="1">OFFSET(ORÇAMENTO!C$15,ROW(B149)-ROW(B$15),0)</f>
        <v>S</v>
      </c>
      <c r="C149" s="700" t="str">
        <f ca="1">OFFSET(ORÇAMENTO!L$15,ROW(C149)-ROW(C$15),0)</f>
        <v/>
      </c>
      <c r="D149" s="117" t="str">
        <f ca="1">OFFSET(ORÇAMENTO!N$15,ROW(D149)-ROW(D$15),0)</f>
        <v>Serviço</v>
      </c>
      <c r="E149" s="118" t="str">
        <f ca="1">OFFSET(ORÇAMENTO!O$15,ROW(E149)-ROW(E$15),0)</f>
        <v>-</v>
      </c>
      <c r="F149" s="164" t="str">
        <f ca="1">OFFSET(ORÇAMENTO!R$15,ROW(F149)-ROW(F$15),0)</f>
        <v>(abra o arquivo 'Referência 09-2025.xlsm)</v>
      </c>
      <c r="G149" s="165" t="str">
        <f ca="1">IF($D149&lt;&gt;"Serviço","",OFFSET(ORÇAMENTO!S$15,ROW(G149)-ROW(G$15),0))</f>
        <v>-</v>
      </c>
      <c r="H149" s="123">
        <f ca="1">IF($D149&lt;&gt;"Serviço",0,IF(ACOMPANHAMENTO="BM",ROUND(OFFSET(ORÇAMENTO!AJ$15,ROW(H149)-ROW(H$15),0),15-13*ORÇAMENTO!$AF$7),SUMPRODUCT(($Q$1:$AA$1=1)*ROUND($Q149:$AA149,15-13*ORÇAMENTO!$AF$7))))</f>
        <v>1</v>
      </c>
      <c r="I149" s="469"/>
      <c r="J149" s="667" t="str">
        <f ca="1">IF(OR(B149&lt;&gt;"S",CÁLCULO.FrentesPreenchidas=0),"",IF(AND(ACOMPANHAMENTO="PLE",AUTOEVENTO="Manual",OR(H149&gt;0,ORÇAMENTO!AC149="QUANT."),OR(K149="",M149=0,N149="")),"►",IF(AND(ACOMPANHAMENTO="PLE",ORÇAMENTO!AC149="QUANT."),"►►",IF(AND(COUNTIF($P$11:$AA$11,"▼")=0,H149&gt;0,I149=""),"◄",""))))</f>
        <v/>
      </c>
      <c r="K149" s="668"/>
      <c r="L149" s="166" t="s">
        <v>765</v>
      </c>
      <c r="M149" s="167">
        <f ca="1">IF($D149&lt;&gt;"Serviço","",
          IF(AUTOEVENTO="manual",$A149,
                IF(ISERROR(MATCH($A149,$A$15:OFFSET($A149,-1,0),0)),MAX($M$15:OFFSET(M149,-1,0))+1,
                      INDEX($M$15:OFFSET(M149,-1,0),MATCH($A149,$A$15:OFFSET($A149,-1,0),0)))))</f>
        <v>16</v>
      </c>
      <c r="N149" s="168" t="str">
        <f ca="1">IF($D149&lt;&gt;"Serviço","",
         IF(AUTOEVENTO="Manual",
                IF($A149=0,"&lt;-- defina o número do agrupador",
                       OFFSET(EVENTOS!$D$15,$A149-$A$15,0)),
                OFFSET($F$15,$A149,0)))</f>
        <v>ELEVATÓRIA DE ESGOTO - MATERIAIS</v>
      </c>
      <c r="O149" s="169"/>
      <c r="Q149" s="169"/>
      <c r="R149" s="170"/>
      <c r="S149" s="170"/>
      <c r="T149" s="170"/>
      <c r="U149" s="170"/>
      <c r="V149" s="170"/>
      <c r="W149" s="170"/>
      <c r="X149" s="170"/>
      <c r="Y149" s="170"/>
      <c r="Z149" s="171"/>
      <c r="AB149" s="454">
        <f ca="1">IF(AND($D149="Serviço",AB$12&lt;&gt;0,$H149&gt;0,OR(AUTOEVENTO&lt;&gt;"manual",$M149&lt;&gt;$A$15)),
        IF(Import.TipoArredondamento&lt;&gt;"TransfereGOV",
              ROUND(OFFSET($P149,0,AB$13),15-13*ORÇAMENTO!$AF$7)/$H149*OFFSET(ORÇAMENTO!$X$15,ROW(AB149)-ROW(AB$15),0),
              ROUND(ROUND(OFFSET($P149,0,AB$13),15-13*ORÇAMENTO!$AF$7)*OFFSET(ORÇAMENTO!$W$15,ROW(AB149)-ROW(AB$15),0),15-13*ORÇAMENTO!$AF$11)),
         0)</f>
        <v>0</v>
      </c>
      <c r="AC149" s="454">
        <f ca="1">IF(AND($D149="Serviço",AC$12&lt;&gt;0,$H149&gt;0,OR(AUTOEVENTO&lt;&gt;"manual",$M149&lt;&gt;$A$15)),
        IF(Import.TipoArredondamento&lt;&gt;"TransfereGOV",
              ROUND(OFFSET($P149,0,AC$13),15-13*ORÇAMENTO!$AF$7)/$H149*OFFSET(ORÇAMENTO!$X$15,ROW(AC149)-ROW(AC$15),0),
              ROUND(ROUND(OFFSET($P149,0,AC$13),15-13*ORÇAMENTO!$AF$7)*OFFSET(ORÇAMENTO!$W$15,ROW(AC149)-ROW(AC$15),0),15-13*ORÇAMENTO!$AF$11)),
         0)</f>
        <v>0</v>
      </c>
      <c r="AD149" s="454">
        <f ca="1">IF(AND($D149="Serviço",AD$12&lt;&gt;0,$H149&gt;0,OR(AUTOEVENTO&lt;&gt;"manual",$M149&lt;&gt;$A$15)),
        IF(Import.TipoArredondamento&lt;&gt;"TransfereGOV",
              ROUND(OFFSET($P149,0,AD$13),15-13*ORÇAMENTO!$AF$7)/$H149*OFFSET(ORÇAMENTO!$X$15,ROW(AD149)-ROW(AD$15),0),
              ROUND(ROUND(OFFSET($P149,0,AD$13),15-13*ORÇAMENTO!$AF$7)*OFFSET(ORÇAMENTO!$W$15,ROW(AD149)-ROW(AD$15),0),15-13*ORÇAMENTO!$AF$11)),
         0)</f>
        <v>0</v>
      </c>
      <c r="AE149" s="454">
        <f ca="1">IF(AND($D149="Serviço",AE$12&lt;&gt;0,$H149&gt;0,OR(AUTOEVENTO&lt;&gt;"manual",$M149&lt;&gt;$A$15)),
        IF(Import.TipoArredondamento&lt;&gt;"TransfereGOV",
              ROUND(OFFSET($P149,0,AE$13),15-13*ORÇAMENTO!$AF$7)/$H149*OFFSET(ORÇAMENTO!$X$15,ROW(AE149)-ROW(AE$15),0),
              ROUND(ROUND(OFFSET($P149,0,AE$13),15-13*ORÇAMENTO!$AF$7)*OFFSET(ORÇAMENTO!$W$15,ROW(AE149)-ROW(AE$15),0),15-13*ORÇAMENTO!$AF$11)),
         0)</f>
        <v>0</v>
      </c>
      <c r="AF149" s="454">
        <f ca="1">IF(AND($D149="Serviço",AF$12&lt;&gt;0,$H149&gt;0,OR(AUTOEVENTO&lt;&gt;"manual",$M149&lt;&gt;$A$15)),
        IF(Import.TipoArredondamento&lt;&gt;"TransfereGOV",
              ROUND(OFFSET($P149,0,AF$13),15-13*ORÇAMENTO!$AF$7)/$H149*OFFSET(ORÇAMENTO!$X$15,ROW(AF149)-ROW(AF$15),0),
              ROUND(ROUND(OFFSET($P149,0,AF$13),15-13*ORÇAMENTO!$AF$7)*OFFSET(ORÇAMENTO!$W$15,ROW(AF149)-ROW(AF$15),0),15-13*ORÇAMENTO!$AF$11)),
         0)</f>
        <v>0</v>
      </c>
      <c r="AG149" s="454">
        <f ca="1">IF(AND($D149="Serviço",AG$12&lt;&gt;0,$H149&gt;0,OR(AUTOEVENTO&lt;&gt;"manual",$M149&lt;&gt;$A$15)),
        IF(Import.TipoArredondamento&lt;&gt;"TransfereGOV",
              ROUND(OFFSET($P149,0,AG$13),15-13*ORÇAMENTO!$AF$7)/$H149*OFFSET(ORÇAMENTO!$X$15,ROW(AG149)-ROW(AG$15),0),
              ROUND(ROUND(OFFSET($P149,0,AG$13),15-13*ORÇAMENTO!$AF$7)*OFFSET(ORÇAMENTO!$W$15,ROW(AG149)-ROW(AG$15),0),15-13*ORÇAMENTO!$AF$11)),
         0)</f>
        <v>0</v>
      </c>
      <c r="AH149" s="454">
        <f ca="1">IF(AND($D149="Serviço",AH$12&lt;&gt;0,$H149&gt;0,OR(AUTOEVENTO&lt;&gt;"manual",$M149&lt;&gt;$A$15)),
        IF(Import.TipoArredondamento&lt;&gt;"TransfereGOV",
              ROUND(OFFSET($P149,0,AH$13),15-13*ORÇAMENTO!$AF$7)/$H149*OFFSET(ORÇAMENTO!$X$15,ROW(AH149)-ROW(AH$15),0),
              ROUND(ROUND(OFFSET($P149,0,AH$13),15-13*ORÇAMENTO!$AF$7)*OFFSET(ORÇAMENTO!$W$15,ROW(AH149)-ROW(AH$15),0),15-13*ORÇAMENTO!$AF$11)),
         0)</f>
        <v>0</v>
      </c>
      <c r="AI149" s="454">
        <f ca="1">IF(AND($D149="Serviço",AI$12&lt;&gt;0,$H149&gt;0,OR(AUTOEVENTO&lt;&gt;"manual",$M149&lt;&gt;$A$15)),
        IF(Import.TipoArredondamento&lt;&gt;"TransfereGOV",
              ROUND(OFFSET($P149,0,AI$13),15-13*ORÇAMENTO!$AF$7)/$H149*OFFSET(ORÇAMENTO!$X$15,ROW(AI149)-ROW(AI$15),0),
              ROUND(ROUND(OFFSET($P149,0,AI$13),15-13*ORÇAMENTO!$AF$7)*OFFSET(ORÇAMENTO!$W$15,ROW(AI149)-ROW(AI$15),0),15-13*ORÇAMENTO!$AF$11)),
         0)</f>
        <v>0</v>
      </c>
      <c r="AJ149" s="454">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4">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M149" s="172">
        <f ca="1">IF(OR($D149&lt;&gt;"Serviço",AND(AUTOEVENTO="Manual",$M149=$A$15)),0,
         IF(OFFSET(CRONOPLE!$F$15,$M149-$A$15,AM$13)=0,10^12,OFFSET(CRONOPLE!$F$15,$M149-$A$15,AM$13)))</f>
        <v>1000000000000</v>
      </c>
      <c r="AN149" s="172">
        <f ca="1">IF(OR($D149&lt;&gt;"Serviço",AND(AUTOEVENTO="Manual",$M149=$A$15)),0,
         IF(OFFSET(CRONOPLE!$F$15,$M149-$A$15,AN$13)=0,10^12,OFFSET(CRONOPLE!$F$15,$M149-$A$15,AN$13)))</f>
        <v>1000000000000</v>
      </c>
      <c r="AO149" s="172">
        <f ca="1">IF(OR($D149&lt;&gt;"Serviço",AND(AUTOEVENTO="Manual",$M149=$A$15)),0,
         IF(OFFSET(CRONOPLE!$F$15,$M149-$A$15,AO$13)=0,10^12,OFFSET(CRONOPLE!$F$15,$M149-$A$15,AO$13)))</f>
        <v>1000000000000</v>
      </c>
      <c r="AP149" s="172">
        <f ca="1">IF(OR($D149&lt;&gt;"Serviço",AND(AUTOEVENTO="Manual",$M149=$A$15)),0,
         IF(OFFSET(CRONOPLE!$F$15,$M149-$A$15,AP$13)=0,10^12,OFFSET(CRONOPLE!$F$15,$M149-$A$15,AP$13)))</f>
        <v>1000000000000</v>
      </c>
      <c r="AQ149" s="172">
        <f ca="1">IF(OR($D149&lt;&gt;"Serviço",AND(AUTOEVENTO="Manual",$M149=$A$15)),0,
         IF(OFFSET(CRONOPLE!$F$15,$M149-$A$15,AQ$13)=0,10^12,OFFSET(CRONOPLE!$F$15,$M149-$A$15,AQ$13)))</f>
        <v>1000000000000</v>
      </c>
      <c r="AR149" s="172">
        <f ca="1">IF(OR($D149&lt;&gt;"Serviço",AND(AUTOEVENTO="Manual",$M149=$A$15)),0,
         IF(OFFSET(CRONOPLE!$F$15,$M149-$A$15,AR$13)=0,10^12,OFFSET(CRONOPLE!$F$15,$M149-$A$15,AR$13)))</f>
        <v>1000000000000</v>
      </c>
      <c r="AS149" s="172">
        <f ca="1">IF(OR($D149&lt;&gt;"Serviço",AND(AUTOEVENTO="Manual",$M149=$A$15)),0,
         IF(OFFSET(CRONOPLE!$F$15,$M149-$A$15,AS$13)=0,10^12,OFFSET(CRONOPLE!$F$15,$M149-$A$15,AS$13)))</f>
        <v>1000000000000</v>
      </c>
      <c r="AT149" s="172">
        <f ca="1">IF(OR($D149&lt;&gt;"Serviço",AND(AUTOEVENTO="Manual",$M149=$A$15)),0,
         IF(OFFSET(CRONOPLE!$F$15,$M149-$A$15,AT$13)=0,10^12,OFFSET(CRONOPLE!$F$15,$M149-$A$15,AT$13)))</f>
        <v>1000000000000</v>
      </c>
      <c r="AU149" s="172">
        <f ca="1">IF(OR($D149&lt;&gt;"Serviço",AND(AUTOEVENTO="Manual",$M149=$A$15)),0,
         IF(OFFSET(CRONOPLE!$F$15,$M149-$A$15,AU$13)=0,10^12,OFFSET(CRONOPLE!$F$15,$M149-$A$15,AU$13)))</f>
        <v>1000000000000</v>
      </c>
      <c r="AV149" s="172">
        <f ca="1">IF(OR($D149&lt;&gt;"Serviço",AND(AUTOEVENTO="Manual",$M149=$A$15)),0,
         IF(OFFSET(CRONOPLE!$F$15,$M149-$A$15,AV$13)=0,10^12,OFFSET(CRONOPLE!$F$15,$M149-$A$15,AV$13)))</f>
        <v>1000000000000</v>
      </c>
      <c r="AX149" s="173">
        <f ca="1">IF(OR($D149&lt;&gt;"Serviço",AND(AUTOEVENTO="Manual",$M149=$A$15),$M149&gt;(ROW(PLE.lastrow)-ROW(PLE.firstrow))),0,
           IF(OFFSET(PLE!$G$15,$M149-$A$15,AX$13)="",10^12,OFFSET(PLE!$G$15,$M149-$A$15,AX$13)))</f>
        <v>1000000000000</v>
      </c>
      <c r="AY149" s="173">
        <f ca="1">IF(OR($D149&lt;&gt;"Serviço",AND(AUTOEVENTO="Manual",$M149=$A$15),$M149&gt;(ROW(PLE.lastrow)-ROW(PLE.firstrow))),0,
           IF(OFFSET(PLE!$G$15,$M149-$A$15,AY$13)="",10^12,OFFSET(PLE!$G$15,$M149-$A$15,AY$13)))</f>
        <v>1000000000000</v>
      </c>
      <c r="AZ149" s="173">
        <f ca="1">IF(OR($D149&lt;&gt;"Serviço",AND(AUTOEVENTO="Manual",$M149=$A$15),$M149&gt;(ROW(PLE.lastrow)-ROW(PLE.firstrow))),0,
           IF(OFFSET(PLE!$G$15,$M149-$A$15,AZ$13)="",10^12,OFFSET(PLE!$G$15,$M149-$A$15,AZ$13)))</f>
        <v>1000000000000</v>
      </c>
      <c r="BA149" s="173">
        <f ca="1">IF(OR($D149&lt;&gt;"Serviço",AND(AUTOEVENTO="Manual",$M149=$A$15),$M149&gt;(ROW(PLE.lastrow)-ROW(PLE.firstrow))),0,
           IF(OFFSET(PLE!$G$15,$M149-$A$15,BA$13)="",10^12,OFFSET(PLE!$G$15,$M149-$A$15,BA$13)))</f>
        <v>1000000000000</v>
      </c>
      <c r="BB149" s="173">
        <f ca="1">IF(OR($D149&lt;&gt;"Serviço",AND(AUTOEVENTO="Manual",$M149=$A$15),$M149&gt;(ROW(PLE.lastrow)-ROW(PLE.firstrow))),0,
           IF(OFFSET(PLE!$G$15,$M149-$A$15,BB$13)="",10^12,OFFSET(PLE!$G$15,$M149-$A$15,BB$13)))</f>
        <v>1000000000000</v>
      </c>
      <c r="BC149" s="173">
        <f ca="1">IF(OR($D149&lt;&gt;"Serviço",AND(AUTOEVENTO="Manual",$M149=$A$15),$M149&gt;(ROW(PLE.lastrow)-ROW(PLE.firstrow))),0,
           IF(OFFSET(PLE!$G$15,$M149-$A$15,BC$13)="",10^12,OFFSET(PLE!$G$15,$M149-$A$15,BC$13)))</f>
        <v>1000000000000</v>
      </c>
      <c r="BD149" s="173">
        <f ca="1">IF(OR($D149&lt;&gt;"Serviço",AND(AUTOEVENTO="Manual",$M149=$A$15),$M149&gt;(ROW(PLE.lastrow)-ROW(PLE.firstrow))),0,
           IF(OFFSET(PLE!$G$15,$M149-$A$15,BD$13)="",10^12,OFFSET(PLE!$G$15,$M149-$A$15,BD$13)))</f>
        <v>1000000000000</v>
      </c>
      <c r="BE149" s="173">
        <f ca="1">IF(OR($D149&lt;&gt;"Serviço",AND(AUTOEVENTO="Manual",$M149=$A$15),$M149&gt;(ROW(PLE.lastrow)-ROW(PLE.firstrow))),0,
           IF(OFFSET(PLE!$G$15,$M149-$A$15,BE$13)="",10^12,OFFSET(PLE!$G$15,$M149-$A$15,BE$13)))</f>
        <v>1000000000000</v>
      </c>
      <c r="BF149" s="173">
        <f ca="1">IF(OR($D149&lt;&gt;"Serviço",AND(AUTOEVENTO="Manual",$M149=$A$15),$M149&gt;(ROW(PLE.lastrow)-ROW(PLE.firstrow))),0,
           IF(OFFSET(PLE!$G$15,$M149-$A$15,BF$13)="",10^12,OFFSET(PLE!$G$15,$M149-$A$15,BF$13)))</f>
        <v>1000000000000</v>
      </c>
      <c r="BG149" s="173">
        <f ca="1">IF(OR($D149&lt;&gt;"Serviço",AND(AUTOEVENTO="Manual",$M149=$A$15),$M149&gt;(ROW(PLE.lastrow)-ROW(PLE.firstrow))),0,
           IF(OFFSET(PLE!$G$15,$M149-$A$15,BG$13)="",10^12,OFFSET(PLE!$G$15,$M149-$A$15,BG$13)))</f>
        <v>1000000000000</v>
      </c>
    </row>
    <row r="150" spans="1:59" s="702" customFormat="1" ht="25.5" x14ac:dyDescent="0.2">
      <c r="A150" s="700" t="str">
        <f t="shared" ca="1" si="11"/>
        <v>131</v>
      </c>
      <c r="B150" s="700" t="str">
        <f ca="1">OFFSET(ORÇAMENTO!C$15,ROW(B150)-ROW(B$15),0)</f>
        <v>S</v>
      </c>
      <c r="C150" s="700" t="str">
        <f ca="1">OFFSET(ORÇAMENTO!L$15,ROW(C150)-ROW(C$15),0)</f>
        <v/>
      </c>
      <c r="D150" s="117" t="str">
        <f ca="1">OFFSET(ORÇAMENTO!N$15,ROW(D150)-ROW(D$15),0)</f>
        <v>Serviço</v>
      </c>
      <c r="E150" s="118" t="str">
        <f ca="1">OFFSET(ORÇAMENTO!O$15,ROW(E150)-ROW(E$15),0)</f>
        <v>-</v>
      </c>
      <c r="F150" s="164" t="str">
        <f ca="1">OFFSET(ORÇAMENTO!R$15,ROW(F150)-ROW(F$15),0)</f>
        <v>(abra o arquivo 'Referência 09-2025.xlsm)</v>
      </c>
      <c r="G150" s="165" t="str">
        <f ca="1">IF($D150&lt;&gt;"Serviço","",OFFSET(ORÇAMENTO!S$15,ROW(G150)-ROW(G$15),0))</f>
        <v>-</v>
      </c>
      <c r="H150" s="123">
        <f ca="1">IF($D150&lt;&gt;"Serviço",0,IF(ACOMPANHAMENTO="BM",ROUND(OFFSET(ORÇAMENTO!AJ$15,ROW(H150)-ROW(H$15),0),15-13*ORÇAMENTO!$AF$7),SUMPRODUCT(($Q$1:$AA$1=1)*ROUND($Q150:$AA150,15-13*ORÇAMENTO!$AF$7))))</f>
        <v>2</v>
      </c>
      <c r="I150" s="469"/>
      <c r="J150" s="667" t="str">
        <f ca="1">IF(OR(B150&lt;&gt;"S",CÁLCULO.FrentesPreenchidas=0),"",IF(AND(ACOMPANHAMENTO="PLE",AUTOEVENTO="Manual",OR(H150&gt;0,ORÇAMENTO!AC150="QUANT."),OR(K150="",M150=0,N150="")),"►",IF(AND(ACOMPANHAMENTO="PLE",ORÇAMENTO!AC150="QUANT."),"►►",IF(AND(COUNTIF($P$11:$AA$11,"▼")=0,H150&gt;0,I150=""),"◄",""))))</f>
        <v/>
      </c>
      <c r="K150" s="668"/>
      <c r="L150" s="166" t="s">
        <v>765</v>
      </c>
      <c r="M150" s="167">
        <f ca="1">IF($D150&lt;&gt;"Serviço","",
          IF(AUTOEVENTO="manual",$A150,
                IF(ISERROR(MATCH($A150,$A$15:OFFSET($A150,-1,0),0)),MAX($M$15:OFFSET(M150,-1,0))+1,
                      INDEX($M$15:OFFSET(M150,-1,0),MATCH($A150,$A$15:OFFSET($A150,-1,0),0)))))</f>
        <v>16</v>
      </c>
      <c r="N150" s="168" t="str">
        <f ca="1">IF($D150&lt;&gt;"Serviço","",
         IF(AUTOEVENTO="Manual",
                IF($A150=0,"&lt;-- defina o número do agrupador",
                       OFFSET(EVENTOS!$D$15,$A150-$A$15,0)),
                OFFSET($F$15,$A150,0)))</f>
        <v>ELEVATÓRIA DE ESGOTO - MATERIAIS</v>
      </c>
      <c r="O150" s="169"/>
      <c r="Q150" s="169"/>
      <c r="R150" s="170"/>
      <c r="S150" s="170"/>
      <c r="T150" s="170"/>
      <c r="U150" s="170"/>
      <c r="V150" s="170"/>
      <c r="W150" s="170"/>
      <c r="X150" s="170"/>
      <c r="Y150" s="170"/>
      <c r="Z150" s="171"/>
      <c r="AB150" s="454">
        <f ca="1">IF(AND($D150="Serviço",AB$12&lt;&gt;0,$H150&gt;0,OR(AUTOEVENTO&lt;&gt;"manual",$M150&lt;&gt;$A$15)),
        IF(Import.TipoArredondamento&lt;&gt;"TransfereGOV",
              ROUND(OFFSET($P150,0,AB$13),15-13*ORÇAMENTO!$AF$7)/$H150*OFFSET(ORÇAMENTO!$X$15,ROW(AB150)-ROW(AB$15),0),
              ROUND(ROUND(OFFSET($P150,0,AB$13),15-13*ORÇAMENTO!$AF$7)*OFFSET(ORÇAMENTO!$W$15,ROW(AB150)-ROW(AB$15),0),15-13*ORÇAMENTO!$AF$11)),
         0)</f>
        <v>0</v>
      </c>
      <c r="AC150" s="454">
        <f ca="1">IF(AND($D150="Serviço",AC$12&lt;&gt;0,$H150&gt;0,OR(AUTOEVENTO&lt;&gt;"manual",$M150&lt;&gt;$A$15)),
        IF(Import.TipoArredondamento&lt;&gt;"TransfereGOV",
              ROUND(OFFSET($P150,0,AC$13),15-13*ORÇAMENTO!$AF$7)/$H150*OFFSET(ORÇAMENTO!$X$15,ROW(AC150)-ROW(AC$15),0),
              ROUND(ROUND(OFFSET($P150,0,AC$13),15-13*ORÇAMENTO!$AF$7)*OFFSET(ORÇAMENTO!$W$15,ROW(AC150)-ROW(AC$15),0),15-13*ORÇAMENTO!$AF$11)),
         0)</f>
        <v>0</v>
      </c>
      <c r="AD150" s="454">
        <f ca="1">IF(AND($D150="Serviço",AD$12&lt;&gt;0,$H150&gt;0,OR(AUTOEVENTO&lt;&gt;"manual",$M150&lt;&gt;$A$15)),
        IF(Import.TipoArredondamento&lt;&gt;"TransfereGOV",
              ROUND(OFFSET($P150,0,AD$13),15-13*ORÇAMENTO!$AF$7)/$H150*OFFSET(ORÇAMENTO!$X$15,ROW(AD150)-ROW(AD$15),0),
              ROUND(ROUND(OFFSET($P150,0,AD$13),15-13*ORÇAMENTO!$AF$7)*OFFSET(ORÇAMENTO!$W$15,ROW(AD150)-ROW(AD$15),0),15-13*ORÇAMENTO!$AF$11)),
         0)</f>
        <v>0</v>
      </c>
      <c r="AE150" s="454">
        <f ca="1">IF(AND($D150="Serviço",AE$12&lt;&gt;0,$H150&gt;0,OR(AUTOEVENTO&lt;&gt;"manual",$M150&lt;&gt;$A$15)),
        IF(Import.TipoArredondamento&lt;&gt;"TransfereGOV",
              ROUND(OFFSET($P150,0,AE$13),15-13*ORÇAMENTO!$AF$7)/$H150*OFFSET(ORÇAMENTO!$X$15,ROW(AE150)-ROW(AE$15),0),
              ROUND(ROUND(OFFSET($P150,0,AE$13),15-13*ORÇAMENTO!$AF$7)*OFFSET(ORÇAMENTO!$W$15,ROW(AE150)-ROW(AE$15),0),15-13*ORÇAMENTO!$AF$11)),
         0)</f>
        <v>0</v>
      </c>
      <c r="AF150" s="454">
        <f ca="1">IF(AND($D150="Serviço",AF$12&lt;&gt;0,$H150&gt;0,OR(AUTOEVENTO&lt;&gt;"manual",$M150&lt;&gt;$A$15)),
        IF(Import.TipoArredondamento&lt;&gt;"TransfereGOV",
              ROUND(OFFSET($P150,0,AF$13),15-13*ORÇAMENTO!$AF$7)/$H150*OFFSET(ORÇAMENTO!$X$15,ROW(AF150)-ROW(AF$15),0),
              ROUND(ROUND(OFFSET($P150,0,AF$13),15-13*ORÇAMENTO!$AF$7)*OFFSET(ORÇAMENTO!$W$15,ROW(AF150)-ROW(AF$15),0),15-13*ORÇAMENTO!$AF$11)),
         0)</f>
        <v>0</v>
      </c>
      <c r="AG150" s="454">
        <f ca="1">IF(AND($D150="Serviço",AG$12&lt;&gt;0,$H150&gt;0,OR(AUTOEVENTO&lt;&gt;"manual",$M150&lt;&gt;$A$15)),
        IF(Import.TipoArredondamento&lt;&gt;"TransfereGOV",
              ROUND(OFFSET($P150,0,AG$13),15-13*ORÇAMENTO!$AF$7)/$H150*OFFSET(ORÇAMENTO!$X$15,ROW(AG150)-ROW(AG$15),0),
              ROUND(ROUND(OFFSET($P150,0,AG$13),15-13*ORÇAMENTO!$AF$7)*OFFSET(ORÇAMENTO!$W$15,ROW(AG150)-ROW(AG$15),0),15-13*ORÇAMENTO!$AF$11)),
         0)</f>
        <v>0</v>
      </c>
      <c r="AH150" s="454">
        <f ca="1">IF(AND($D150="Serviço",AH$12&lt;&gt;0,$H150&gt;0,OR(AUTOEVENTO&lt;&gt;"manual",$M150&lt;&gt;$A$15)),
        IF(Import.TipoArredondamento&lt;&gt;"TransfereGOV",
              ROUND(OFFSET($P150,0,AH$13),15-13*ORÇAMENTO!$AF$7)/$H150*OFFSET(ORÇAMENTO!$X$15,ROW(AH150)-ROW(AH$15),0),
              ROUND(ROUND(OFFSET($P150,0,AH$13),15-13*ORÇAMENTO!$AF$7)*OFFSET(ORÇAMENTO!$W$15,ROW(AH150)-ROW(AH$15),0),15-13*ORÇAMENTO!$AF$11)),
         0)</f>
        <v>0</v>
      </c>
      <c r="AI150" s="454">
        <f ca="1">IF(AND($D150="Serviço",AI$12&lt;&gt;0,$H150&gt;0,OR(AUTOEVENTO&lt;&gt;"manual",$M150&lt;&gt;$A$15)),
        IF(Import.TipoArredondamento&lt;&gt;"TransfereGOV",
              ROUND(OFFSET($P150,0,AI$13),15-13*ORÇAMENTO!$AF$7)/$H150*OFFSET(ORÇAMENTO!$X$15,ROW(AI150)-ROW(AI$15),0),
              ROUND(ROUND(OFFSET($P150,0,AI$13),15-13*ORÇAMENTO!$AF$7)*OFFSET(ORÇAMENTO!$W$15,ROW(AI150)-ROW(AI$15),0),15-13*ORÇAMENTO!$AF$11)),
         0)</f>
        <v>0</v>
      </c>
      <c r="AJ150" s="454">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4">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M150" s="172">
        <f ca="1">IF(OR($D150&lt;&gt;"Serviço",AND(AUTOEVENTO="Manual",$M150=$A$15)),0,
         IF(OFFSET(CRONOPLE!$F$15,$M150-$A$15,AM$13)=0,10^12,OFFSET(CRONOPLE!$F$15,$M150-$A$15,AM$13)))</f>
        <v>1000000000000</v>
      </c>
      <c r="AN150" s="172">
        <f ca="1">IF(OR($D150&lt;&gt;"Serviço",AND(AUTOEVENTO="Manual",$M150=$A$15)),0,
         IF(OFFSET(CRONOPLE!$F$15,$M150-$A$15,AN$13)=0,10^12,OFFSET(CRONOPLE!$F$15,$M150-$A$15,AN$13)))</f>
        <v>1000000000000</v>
      </c>
      <c r="AO150" s="172">
        <f ca="1">IF(OR($D150&lt;&gt;"Serviço",AND(AUTOEVENTO="Manual",$M150=$A$15)),0,
         IF(OFFSET(CRONOPLE!$F$15,$M150-$A$15,AO$13)=0,10^12,OFFSET(CRONOPLE!$F$15,$M150-$A$15,AO$13)))</f>
        <v>1000000000000</v>
      </c>
      <c r="AP150" s="172">
        <f ca="1">IF(OR($D150&lt;&gt;"Serviço",AND(AUTOEVENTO="Manual",$M150=$A$15)),0,
         IF(OFFSET(CRONOPLE!$F$15,$M150-$A$15,AP$13)=0,10^12,OFFSET(CRONOPLE!$F$15,$M150-$A$15,AP$13)))</f>
        <v>1000000000000</v>
      </c>
      <c r="AQ150" s="172">
        <f ca="1">IF(OR($D150&lt;&gt;"Serviço",AND(AUTOEVENTO="Manual",$M150=$A$15)),0,
         IF(OFFSET(CRONOPLE!$F$15,$M150-$A$15,AQ$13)=0,10^12,OFFSET(CRONOPLE!$F$15,$M150-$A$15,AQ$13)))</f>
        <v>1000000000000</v>
      </c>
      <c r="AR150" s="172">
        <f ca="1">IF(OR($D150&lt;&gt;"Serviço",AND(AUTOEVENTO="Manual",$M150=$A$15)),0,
         IF(OFFSET(CRONOPLE!$F$15,$M150-$A$15,AR$13)=0,10^12,OFFSET(CRONOPLE!$F$15,$M150-$A$15,AR$13)))</f>
        <v>1000000000000</v>
      </c>
      <c r="AS150" s="172">
        <f ca="1">IF(OR($D150&lt;&gt;"Serviço",AND(AUTOEVENTO="Manual",$M150=$A$15)),0,
         IF(OFFSET(CRONOPLE!$F$15,$M150-$A$15,AS$13)=0,10^12,OFFSET(CRONOPLE!$F$15,$M150-$A$15,AS$13)))</f>
        <v>1000000000000</v>
      </c>
      <c r="AT150" s="172">
        <f ca="1">IF(OR($D150&lt;&gt;"Serviço",AND(AUTOEVENTO="Manual",$M150=$A$15)),0,
         IF(OFFSET(CRONOPLE!$F$15,$M150-$A$15,AT$13)=0,10^12,OFFSET(CRONOPLE!$F$15,$M150-$A$15,AT$13)))</f>
        <v>1000000000000</v>
      </c>
      <c r="AU150" s="172">
        <f ca="1">IF(OR($D150&lt;&gt;"Serviço",AND(AUTOEVENTO="Manual",$M150=$A$15)),0,
         IF(OFFSET(CRONOPLE!$F$15,$M150-$A$15,AU$13)=0,10^12,OFFSET(CRONOPLE!$F$15,$M150-$A$15,AU$13)))</f>
        <v>1000000000000</v>
      </c>
      <c r="AV150" s="172">
        <f ca="1">IF(OR($D150&lt;&gt;"Serviço",AND(AUTOEVENTO="Manual",$M150=$A$15)),0,
         IF(OFFSET(CRONOPLE!$F$15,$M150-$A$15,AV$13)=0,10^12,OFFSET(CRONOPLE!$F$15,$M150-$A$15,AV$13)))</f>
        <v>1000000000000</v>
      </c>
      <c r="AX150" s="173">
        <f ca="1">IF(OR($D150&lt;&gt;"Serviço",AND(AUTOEVENTO="Manual",$M150=$A$15),$M150&gt;(ROW(PLE.lastrow)-ROW(PLE.firstrow))),0,
           IF(OFFSET(PLE!$G$15,$M150-$A$15,AX$13)="",10^12,OFFSET(PLE!$G$15,$M150-$A$15,AX$13)))</f>
        <v>1000000000000</v>
      </c>
      <c r="AY150" s="173">
        <f ca="1">IF(OR($D150&lt;&gt;"Serviço",AND(AUTOEVENTO="Manual",$M150=$A$15),$M150&gt;(ROW(PLE.lastrow)-ROW(PLE.firstrow))),0,
           IF(OFFSET(PLE!$G$15,$M150-$A$15,AY$13)="",10^12,OFFSET(PLE!$G$15,$M150-$A$15,AY$13)))</f>
        <v>1000000000000</v>
      </c>
      <c r="AZ150" s="173">
        <f ca="1">IF(OR($D150&lt;&gt;"Serviço",AND(AUTOEVENTO="Manual",$M150=$A$15),$M150&gt;(ROW(PLE.lastrow)-ROW(PLE.firstrow))),0,
           IF(OFFSET(PLE!$G$15,$M150-$A$15,AZ$13)="",10^12,OFFSET(PLE!$G$15,$M150-$A$15,AZ$13)))</f>
        <v>1000000000000</v>
      </c>
      <c r="BA150" s="173">
        <f ca="1">IF(OR($D150&lt;&gt;"Serviço",AND(AUTOEVENTO="Manual",$M150=$A$15),$M150&gt;(ROW(PLE.lastrow)-ROW(PLE.firstrow))),0,
           IF(OFFSET(PLE!$G$15,$M150-$A$15,BA$13)="",10^12,OFFSET(PLE!$G$15,$M150-$A$15,BA$13)))</f>
        <v>1000000000000</v>
      </c>
      <c r="BB150" s="173">
        <f ca="1">IF(OR($D150&lt;&gt;"Serviço",AND(AUTOEVENTO="Manual",$M150=$A$15),$M150&gt;(ROW(PLE.lastrow)-ROW(PLE.firstrow))),0,
           IF(OFFSET(PLE!$G$15,$M150-$A$15,BB$13)="",10^12,OFFSET(PLE!$G$15,$M150-$A$15,BB$13)))</f>
        <v>1000000000000</v>
      </c>
      <c r="BC150" s="173">
        <f ca="1">IF(OR($D150&lt;&gt;"Serviço",AND(AUTOEVENTO="Manual",$M150=$A$15),$M150&gt;(ROW(PLE.lastrow)-ROW(PLE.firstrow))),0,
           IF(OFFSET(PLE!$G$15,$M150-$A$15,BC$13)="",10^12,OFFSET(PLE!$G$15,$M150-$A$15,BC$13)))</f>
        <v>1000000000000</v>
      </c>
      <c r="BD150" s="173">
        <f ca="1">IF(OR($D150&lt;&gt;"Serviço",AND(AUTOEVENTO="Manual",$M150=$A$15),$M150&gt;(ROW(PLE.lastrow)-ROW(PLE.firstrow))),0,
           IF(OFFSET(PLE!$G$15,$M150-$A$15,BD$13)="",10^12,OFFSET(PLE!$G$15,$M150-$A$15,BD$13)))</f>
        <v>1000000000000</v>
      </c>
      <c r="BE150" s="173">
        <f ca="1">IF(OR($D150&lt;&gt;"Serviço",AND(AUTOEVENTO="Manual",$M150=$A$15),$M150&gt;(ROW(PLE.lastrow)-ROW(PLE.firstrow))),0,
           IF(OFFSET(PLE!$G$15,$M150-$A$15,BE$13)="",10^12,OFFSET(PLE!$G$15,$M150-$A$15,BE$13)))</f>
        <v>1000000000000</v>
      </c>
      <c r="BF150" s="173">
        <f ca="1">IF(OR($D150&lt;&gt;"Serviço",AND(AUTOEVENTO="Manual",$M150=$A$15),$M150&gt;(ROW(PLE.lastrow)-ROW(PLE.firstrow))),0,
           IF(OFFSET(PLE!$G$15,$M150-$A$15,BF$13)="",10^12,OFFSET(PLE!$G$15,$M150-$A$15,BF$13)))</f>
        <v>1000000000000</v>
      </c>
      <c r="BG150" s="173">
        <f ca="1">IF(OR($D150&lt;&gt;"Serviço",AND(AUTOEVENTO="Manual",$M150=$A$15),$M150&gt;(ROW(PLE.lastrow)-ROW(PLE.firstrow))),0,
           IF(OFFSET(PLE!$G$15,$M150-$A$15,BG$13)="",10^12,OFFSET(PLE!$G$15,$M150-$A$15,BG$13)))</f>
        <v>1000000000000</v>
      </c>
    </row>
    <row r="151" spans="1:59" s="702" customFormat="1" ht="25.5" x14ac:dyDescent="0.2">
      <c r="A151" s="700" t="str">
        <f t="shared" ca="1" si="11"/>
        <v>131</v>
      </c>
      <c r="B151" s="700" t="str">
        <f ca="1">OFFSET(ORÇAMENTO!C$15,ROW(B151)-ROW(B$15),0)</f>
        <v>S</v>
      </c>
      <c r="C151" s="700" t="str">
        <f ca="1">OFFSET(ORÇAMENTO!L$15,ROW(C151)-ROW(C$15),0)</f>
        <v/>
      </c>
      <c r="D151" s="117" t="str">
        <f ca="1">OFFSET(ORÇAMENTO!N$15,ROW(D151)-ROW(D$15),0)</f>
        <v>Serviço</v>
      </c>
      <c r="E151" s="118" t="str">
        <f ca="1">OFFSET(ORÇAMENTO!O$15,ROW(E151)-ROW(E$15),0)</f>
        <v>-</v>
      </c>
      <c r="F151" s="164" t="str">
        <f ca="1">OFFSET(ORÇAMENTO!R$15,ROW(F151)-ROW(F$15),0)</f>
        <v>(abra o arquivo 'Referência 09-2025.xlsm)</v>
      </c>
      <c r="G151" s="165" t="str">
        <f ca="1">IF($D151&lt;&gt;"Serviço","",OFFSET(ORÇAMENTO!S$15,ROW(G151)-ROW(G$15),0))</f>
        <v>-</v>
      </c>
      <c r="H151" s="123">
        <f ca="1">IF($D151&lt;&gt;"Serviço",0,IF(ACOMPANHAMENTO="BM",ROUND(OFFSET(ORÇAMENTO!AJ$15,ROW(H151)-ROW(H$15),0),15-13*ORÇAMENTO!$AF$7),SUMPRODUCT(($Q$1:$AA$1=1)*ROUND($Q151:$AA151,15-13*ORÇAMENTO!$AF$7))))</f>
        <v>1</v>
      </c>
      <c r="I151" s="469"/>
      <c r="J151" s="667" t="str">
        <f ca="1">IF(OR(B151&lt;&gt;"S",CÁLCULO.FrentesPreenchidas=0),"",IF(AND(ACOMPANHAMENTO="PLE",AUTOEVENTO="Manual",OR(H151&gt;0,ORÇAMENTO!AC151="QUANT."),OR(K151="",M151=0,N151="")),"►",IF(AND(ACOMPANHAMENTO="PLE",ORÇAMENTO!AC151="QUANT."),"►►",IF(AND(COUNTIF($P$11:$AA$11,"▼")=0,H151&gt;0,I151=""),"◄",""))))</f>
        <v/>
      </c>
      <c r="K151" s="668"/>
      <c r="L151" s="166" t="s">
        <v>765</v>
      </c>
      <c r="M151" s="167">
        <f ca="1">IF($D151&lt;&gt;"Serviço","",
          IF(AUTOEVENTO="manual",$A151,
                IF(ISERROR(MATCH($A151,$A$15:OFFSET($A151,-1,0),0)),MAX($M$15:OFFSET(M151,-1,0))+1,
                      INDEX($M$15:OFFSET(M151,-1,0),MATCH($A151,$A$15:OFFSET($A151,-1,0),0)))))</f>
        <v>16</v>
      </c>
      <c r="N151" s="168" t="str">
        <f ca="1">IF($D151&lt;&gt;"Serviço","",
         IF(AUTOEVENTO="Manual",
                IF($A151=0,"&lt;-- defina o número do agrupador",
                       OFFSET(EVENTOS!$D$15,$A151-$A$15,0)),
                OFFSET($F$15,$A151,0)))</f>
        <v>ELEVATÓRIA DE ESGOTO - MATERIAIS</v>
      </c>
      <c r="O151" s="169"/>
      <c r="Q151" s="169"/>
      <c r="R151" s="170"/>
      <c r="S151" s="170"/>
      <c r="T151" s="170"/>
      <c r="U151" s="170"/>
      <c r="V151" s="170"/>
      <c r="W151" s="170"/>
      <c r="X151" s="170"/>
      <c r="Y151" s="170"/>
      <c r="Z151" s="171"/>
      <c r="AB151" s="454">
        <f ca="1">IF(AND($D151="Serviço",AB$12&lt;&gt;0,$H151&gt;0,OR(AUTOEVENTO&lt;&gt;"manual",$M151&lt;&gt;$A$15)),
        IF(Import.TipoArredondamento&lt;&gt;"TransfereGOV",
              ROUND(OFFSET($P151,0,AB$13),15-13*ORÇAMENTO!$AF$7)/$H151*OFFSET(ORÇAMENTO!$X$15,ROW(AB151)-ROW(AB$15),0),
              ROUND(ROUND(OFFSET($P151,0,AB$13),15-13*ORÇAMENTO!$AF$7)*OFFSET(ORÇAMENTO!$W$15,ROW(AB151)-ROW(AB$15),0),15-13*ORÇAMENTO!$AF$11)),
         0)</f>
        <v>0</v>
      </c>
      <c r="AC151" s="454">
        <f ca="1">IF(AND($D151="Serviço",AC$12&lt;&gt;0,$H151&gt;0,OR(AUTOEVENTO&lt;&gt;"manual",$M151&lt;&gt;$A$15)),
        IF(Import.TipoArredondamento&lt;&gt;"TransfereGOV",
              ROUND(OFFSET($P151,0,AC$13),15-13*ORÇAMENTO!$AF$7)/$H151*OFFSET(ORÇAMENTO!$X$15,ROW(AC151)-ROW(AC$15),0),
              ROUND(ROUND(OFFSET($P151,0,AC$13),15-13*ORÇAMENTO!$AF$7)*OFFSET(ORÇAMENTO!$W$15,ROW(AC151)-ROW(AC$15),0),15-13*ORÇAMENTO!$AF$11)),
         0)</f>
        <v>0</v>
      </c>
      <c r="AD151" s="454">
        <f ca="1">IF(AND($D151="Serviço",AD$12&lt;&gt;0,$H151&gt;0,OR(AUTOEVENTO&lt;&gt;"manual",$M151&lt;&gt;$A$15)),
        IF(Import.TipoArredondamento&lt;&gt;"TransfereGOV",
              ROUND(OFFSET($P151,0,AD$13),15-13*ORÇAMENTO!$AF$7)/$H151*OFFSET(ORÇAMENTO!$X$15,ROW(AD151)-ROW(AD$15),0),
              ROUND(ROUND(OFFSET($P151,0,AD$13),15-13*ORÇAMENTO!$AF$7)*OFFSET(ORÇAMENTO!$W$15,ROW(AD151)-ROW(AD$15),0),15-13*ORÇAMENTO!$AF$11)),
         0)</f>
        <v>0</v>
      </c>
      <c r="AE151" s="454">
        <f ca="1">IF(AND($D151="Serviço",AE$12&lt;&gt;0,$H151&gt;0,OR(AUTOEVENTO&lt;&gt;"manual",$M151&lt;&gt;$A$15)),
        IF(Import.TipoArredondamento&lt;&gt;"TransfereGOV",
              ROUND(OFFSET($P151,0,AE$13),15-13*ORÇAMENTO!$AF$7)/$H151*OFFSET(ORÇAMENTO!$X$15,ROW(AE151)-ROW(AE$15),0),
              ROUND(ROUND(OFFSET($P151,0,AE$13),15-13*ORÇAMENTO!$AF$7)*OFFSET(ORÇAMENTO!$W$15,ROW(AE151)-ROW(AE$15),0),15-13*ORÇAMENTO!$AF$11)),
         0)</f>
        <v>0</v>
      </c>
      <c r="AF151" s="454">
        <f ca="1">IF(AND($D151="Serviço",AF$12&lt;&gt;0,$H151&gt;0,OR(AUTOEVENTO&lt;&gt;"manual",$M151&lt;&gt;$A$15)),
        IF(Import.TipoArredondamento&lt;&gt;"TransfereGOV",
              ROUND(OFFSET($P151,0,AF$13),15-13*ORÇAMENTO!$AF$7)/$H151*OFFSET(ORÇAMENTO!$X$15,ROW(AF151)-ROW(AF$15),0),
              ROUND(ROUND(OFFSET($P151,0,AF$13),15-13*ORÇAMENTO!$AF$7)*OFFSET(ORÇAMENTO!$W$15,ROW(AF151)-ROW(AF$15),0),15-13*ORÇAMENTO!$AF$11)),
         0)</f>
        <v>0</v>
      </c>
      <c r="AG151" s="454">
        <f ca="1">IF(AND($D151="Serviço",AG$12&lt;&gt;0,$H151&gt;0,OR(AUTOEVENTO&lt;&gt;"manual",$M151&lt;&gt;$A$15)),
        IF(Import.TipoArredondamento&lt;&gt;"TransfereGOV",
              ROUND(OFFSET($P151,0,AG$13),15-13*ORÇAMENTO!$AF$7)/$H151*OFFSET(ORÇAMENTO!$X$15,ROW(AG151)-ROW(AG$15),0),
              ROUND(ROUND(OFFSET($P151,0,AG$13),15-13*ORÇAMENTO!$AF$7)*OFFSET(ORÇAMENTO!$W$15,ROW(AG151)-ROW(AG$15),0),15-13*ORÇAMENTO!$AF$11)),
         0)</f>
        <v>0</v>
      </c>
      <c r="AH151" s="454">
        <f ca="1">IF(AND($D151="Serviço",AH$12&lt;&gt;0,$H151&gt;0,OR(AUTOEVENTO&lt;&gt;"manual",$M151&lt;&gt;$A$15)),
        IF(Import.TipoArredondamento&lt;&gt;"TransfereGOV",
              ROUND(OFFSET($P151,0,AH$13),15-13*ORÇAMENTO!$AF$7)/$H151*OFFSET(ORÇAMENTO!$X$15,ROW(AH151)-ROW(AH$15),0),
              ROUND(ROUND(OFFSET($P151,0,AH$13),15-13*ORÇAMENTO!$AF$7)*OFFSET(ORÇAMENTO!$W$15,ROW(AH151)-ROW(AH$15),0),15-13*ORÇAMENTO!$AF$11)),
         0)</f>
        <v>0</v>
      </c>
      <c r="AI151" s="454">
        <f ca="1">IF(AND($D151="Serviço",AI$12&lt;&gt;0,$H151&gt;0,OR(AUTOEVENTO&lt;&gt;"manual",$M151&lt;&gt;$A$15)),
        IF(Import.TipoArredondamento&lt;&gt;"TransfereGOV",
              ROUND(OFFSET($P151,0,AI$13),15-13*ORÇAMENTO!$AF$7)/$H151*OFFSET(ORÇAMENTO!$X$15,ROW(AI151)-ROW(AI$15),0),
              ROUND(ROUND(OFFSET($P151,0,AI$13),15-13*ORÇAMENTO!$AF$7)*OFFSET(ORÇAMENTO!$W$15,ROW(AI151)-ROW(AI$15),0),15-13*ORÇAMENTO!$AF$11)),
         0)</f>
        <v>0</v>
      </c>
      <c r="AJ151" s="454">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4">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M151" s="172">
        <f ca="1">IF(OR($D151&lt;&gt;"Serviço",AND(AUTOEVENTO="Manual",$M151=$A$15)),0,
         IF(OFFSET(CRONOPLE!$F$15,$M151-$A$15,AM$13)=0,10^12,OFFSET(CRONOPLE!$F$15,$M151-$A$15,AM$13)))</f>
        <v>1000000000000</v>
      </c>
      <c r="AN151" s="172">
        <f ca="1">IF(OR($D151&lt;&gt;"Serviço",AND(AUTOEVENTO="Manual",$M151=$A$15)),0,
         IF(OFFSET(CRONOPLE!$F$15,$M151-$A$15,AN$13)=0,10^12,OFFSET(CRONOPLE!$F$15,$M151-$A$15,AN$13)))</f>
        <v>1000000000000</v>
      </c>
      <c r="AO151" s="172">
        <f ca="1">IF(OR($D151&lt;&gt;"Serviço",AND(AUTOEVENTO="Manual",$M151=$A$15)),0,
         IF(OFFSET(CRONOPLE!$F$15,$M151-$A$15,AO$13)=0,10^12,OFFSET(CRONOPLE!$F$15,$M151-$A$15,AO$13)))</f>
        <v>1000000000000</v>
      </c>
      <c r="AP151" s="172">
        <f ca="1">IF(OR($D151&lt;&gt;"Serviço",AND(AUTOEVENTO="Manual",$M151=$A$15)),0,
         IF(OFFSET(CRONOPLE!$F$15,$M151-$A$15,AP$13)=0,10^12,OFFSET(CRONOPLE!$F$15,$M151-$A$15,AP$13)))</f>
        <v>1000000000000</v>
      </c>
      <c r="AQ151" s="172">
        <f ca="1">IF(OR($D151&lt;&gt;"Serviço",AND(AUTOEVENTO="Manual",$M151=$A$15)),0,
         IF(OFFSET(CRONOPLE!$F$15,$M151-$A$15,AQ$13)=0,10^12,OFFSET(CRONOPLE!$F$15,$M151-$A$15,AQ$13)))</f>
        <v>1000000000000</v>
      </c>
      <c r="AR151" s="172">
        <f ca="1">IF(OR($D151&lt;&gt;"Serviço",AND(AUTOEVENTO="Manual",$M151=$A$15)),0,
         IF(OFFSET(CRONOPLE!$F$15,$M151-$A$15,AR$13)=0,10^12,OFFSET(CRONOPLE!$F$15,$M151-$A$15,AR$13)))</f>
        <v>1000000000000</v>
      </c>
      <c r="AS151" s="172">
        <f ca="1">IF(OR($D151&lt;&gt;"Serviço",AND(AUTOEVENTO="Manual",$M151=$A$15)),0,
         IF(OFFSET(CRONOPLE!$F$15,$M151-$A$15,AS$13)=0,10^12,OFFSET(CRONOPLE!$F$15,$M151-$A$15,AS$13)))</f>
        <v>1000000000000</v>
      </c>
      <c r="AT151" s="172">
        <f ca="1">IF(OR($D151&lt;&gt;"Serviço",AND(AUTOEVENTO="Manual",$M151=$A$15)),0,
         IF(OFFSET(CRONOPLE!$F$15,$M151-$A$15,AT$13)=0,10^12,OFFSET(CRONOPLE!$F$15,$M151-$A$15,AT$13)))</f>
        <v>1000000000000</v>
      </c>
      <c r="AU151" s="172">
        <f ca="1">IF(OR($D151&lt;&gt;"Serviço",AND(AUTOEVENTO="Manual",$M151=$A$15)),0,
         IF(OFFSET(CRONOPLE!$F$15,$M151-$A$15,AU$13)=0,10^12,OFFSET(CRONOPLE!$F$15,$M151-$A$15,AU$13)))</f>
        <v>1000000000000</v>
      </c>
      <c r="AV151" s="172">
        <f ca="1">IF(OR($D151&lt;&gt;"Serviço",AND(AUTOEVENTO="Manual",$M151=$A$15)),0,
         IF(OFFSET(CRONOPLE!$F$15,$M151-$A$15,AV$13)=0,10^12,OFFSET(CRONOPLE!$F$15,$M151-$A$15,AV$13)))</f>
        <v>1000000000000</v>
      </c>
      <c r="AX151" s="173">
        <f ca="1">IF(OR($D151&lt;&gt;"Serviço",AND(AUTOEVENTO="Manual",$M151=$A$15),$M151&gt;(ROW(PLE.lastrow)-ROW(PLE.firstrow))),0,
           IF(OFFSET(PLE!$G$15,$M151-$A$15,AX$13)="",10^12,OFFSET(PLE!$G$15,$M151-$A$15,AX$13)))</f>
        <v>1000000000000</v>
      </c>
      <c r="AY151" s="173">
        <f ca="1">IF(OR($D151&lt;&gt;"Serviço",AND(AUTOEVENTO="Manual",$M151=$A$15),$M151&gt;(ROW(PLE.lastrow)-ROW(PLE.firstrow))),0,
           IF(OFFSET(PLE!$G$15,$M151-$A$15,AY$13)="",10^12,OFFSET(PLE!$G$15,$M151-$A$15,AY$13)))</f>
        <v>1000000000000</v>
      </c>
      <c r="AZ151" s="173">
        <f ca="1">IF(OR($D151&lt;&gt;"Serviço",AND(AUTOEVENTO="Manual",$M151=$A$15),$M151&gt;(ROW(PLE.lastrow)-ROW(PLE.firstrow))),0,
           IF(OFFSET(PLE!$G$15,$M151-$A$15,AZ$13)="",10^12,OFFSET(PLE!$G$15,$M151-$A$15,AZ$13)))</f>
        <v>1000000000000</v>
      </c>
      <c r="BA151" s="173">
        <f ca="1">IF(OR($D151&lt;&gt;"Serviço",AND(AUTOEVENTO="Manual",$M151=$A$15),$M151&gt;(ROW(PLE.lastrow)-ROW(PLE.firstrow))),0,
           IF(OFFSET(PLE!$G$15,$M151-$A$15,BA$13)="",10^12,OFFSET(PLE!$G$15,$M151-$A$15,BA$13)))</f>
        <v>1000000000000</v>
      </c>
      <c r="BB151" s="173">
        <f ca="1">IF(OR($D151&lt;&gt;"Serviço",AND(AUTOEVENTO="Manual",$M151=$A$15),$M151&gt;(ROW(PLE.lastrow)-ROW(PLE.firstrow))),0,
           IF(OFFSET(PLE!$G$15,$M151-$A$15,BB$13)="",10^12,OFFSET(PLE!$G$15,$M151-$A$15,BB$13)))</f>
        <v>1000000000000</v>
      </c>
      <c r="BC151" s="173">
        <f ca="1">IF(OR($D151&lt;&gt;"Serviço",AND(AUTOEVENTO="Manual",$M151=$A$15),$M151&gt;(ROW(PLE.lastrow)-ROW(PLE.firstrow))),0,
           IF(OFFSET(PLE!$G$15,$M151-$A$15,BC$13)="",10^12,OFFSET(PLE!$G$15,$M151-$A$15,BC$13)))</f>
        <v>1000000000000</v>
      </c>
      <c r="BD151" s="173">
        <f ca="1">IF(OR($D151&lt;&gt;"Serviço",AND(AUTOEVENTO="Manual",$M151=$A$15),$M151&gt;(ROW(PLE.lastrow)-ROW(PLE.firstrow))),0,
           IF(OFFSET(PLE!$G$15,$M151-$A$15,BD$13)="",10^12,OFFSET(PLE!$G$15,$M151-$A$15,BD$13)))</f>
        <v>1000000000000</v>
      </c>
      <c r="BE151" s="173">
        <f ca="1">IF(OR($D151&lt;&gt;"Serviço",AND(AUTOEVENTO="Manual",$M151=$A$15),$M151&gt;(ROW(PLE.lastrow)-ROW(PLE.firstrow))),0,
           IF(OFFSET(PLE!$G$15,$M151-$A$15,BE$13)="",10^12,OFFSET(PLE!$G$15,$M151-$A$15,BE$13)))</f>
        <v>1000000000000</v>
      </c>
      <c r="BF151" s="173">
        <f ca="1">IF(OR($D151&lt;&gt;"Serviço",AND(AUTOEVENTO="Manual",$M151=$A$15),$M151&gt;(ROW(PLE.lastrow)-ROW(PLE.firstrow))),0,
           IF(OFFSET(PLE!$G$15,$M151-$A$15,BF$13)="",10^12,OFFSET(PLE!$G$15,$M151-$A$15,BF$13)))</f>
        <v>1000000000000</v>
      </c>
      <c r="BG151" s="173">
        <f ca="1">IF(OR($D151&lt;&gt;"Serviço",AND(AUTOEVENTO="Manual",$M151=$A$15),$M151&gt;(ROW(PLE.lastrow)-ROW(PLE.firstrow))),0,
           IF(OFFSET(PLE!$G$15,$M151-$A$15,BG$13)="",10^12,OFFSET(PLE!$G$15,$M151-$A$15,BG$13)))</f>
        <v>1000000000000</v>
      </c>
    </row>
    <row r="152" spans="1:59" s="702" customFormat="1" ht="25.5" x14ac:dyDescent="0.2">
      <c r="A152" s="700" t="str">
        <f t="shared" ca="1" si="11"/>
        <v>131</v>
      </c>
      <c r="B152" s="700" t="str">
        <f ca="1">OFFSET(ORÇAMENTO!C$15,ROW(B152)-ROW(B$15),0)</f>
        <v>S</v>
      </c>
      <c r="C152" s="700" t="str">
        <f ca="1">OFFSET(ORÇAMENTO!L$15,ROW(C152)-ROW(C$15),0)</f>
        <v/>
      </c>
      <c r="D152" s="117" t="str">
        <f ca="1">OFFSET(ORÇAMENTO!N$15,ROW(D152)-ROW(D$15),0)</f>
        <v>Serviço</v>
      </c>
      <c r="E152" s="118" t="str">
        <f ca="1">OFFSET(ORÇAMENTO!O$15,ROW(E152)-ROW(E$15),0)</f>
        <v>-</v>
      </c>
      <c r="F152" s="164" t="str">
        <f ca="1">OFFSET(ORÇAMENTO!R$15,ROW(F152)-ROW(F$15),0)</f>
        <v>(abra o arquivo 'Referência 09-2025.xlsm)</v>
      </c>
      <c r="G152" s="165" t="str">
        <f ca="1">IF($D152&lt;&gt;"Serviço","",OFFSET(ORÇAMENTO!S$15,ROW(G152)-ROW(G$15),0))</f>
        <v>-</v>
      </c>
      <c r="H152" s="123">
        <f ca="1">IF($D152&lt;&gt;"Serviço",0,IF(ACOMPANHAMENTO="BM",ROUND(OFFSET(ORÇAMENTO!AJ$15,ROW(H152)-ROW(H$15),0),15-13*ORÇAMENTO!$AF$7),SUMPRODUCT(($Q$1:$AA$1=1)*ROUND($Q152:$AA152,15-13*ORÇAMENTO!$AF$7))))</f>
        <v>1</v>
      </c>
      <c r="I152" s="469"/>
      <c r="J152" s="667" t="str">
        <f ca="1">IF(OR(B152&lt;&gt;"S",CÁLCULO.FrentesPreenchidas=0),"",IF(AND(ACOMPANHAMENTO="PLE",AUTOEVENTO="Manual",OR(H152&gt;0,ORÇAMENTO!AC152="QUANT."),OR(K152="",M152=0,N152="")),"►",IF(AND(ACOMPANHAMENTO="PLE",ORÇAMENTO!AC152="QUANT."),"►►",IF(AND(COUNTIF($P$11:$AA$11,"▼")=0,H152&gt;0,I152=""),"◄",""))))</f>
        <v/>
      </c>
      <c r="K152" s="668"/>
      <c r="L152" s="166" t="s">
        <v>765</v>
      </c>
      <c r="M152" s="167">
        <f ca="1">IF($D152&lt;&gt;"Serviço","",
          IF(AUTOEVENTO="manual",$A152,
                IF(ISERROR(MATCH($A152,$A$15:OFFSET($A152,-1,0),0)),MAX($M$15:OFFSET(M152,-1,0))+1,
                      INDEX($M$15:OFFSET(M152,-1,0),MATCH($A152,$A$15:OFFSET($A152,-1,0),0)))))</f>
        <v>16</v>
      </c>
      <c r="N152" s="168" t="str">
        <f ca="1">IF($D152&lt;&gt;"Serviço","",
         IF(AUTOEVENTO="Manual",
                IF($A152=0,"&lt;-- defina o número do agrupador",
                       OFFSET(EVENTOS!$D$15,$A152-$A$15,0)),
                OFFSET($F$15,$A152,0)))</f>
        <v>ELEVATÓRIA DE ESGOTO - MATERIAIS</v>
      </c>
      <c r="O152" s="169"/>
      <c r="Q152" s="169"/>
      <c r="R152" s="170"/>
      <c r="S152" s="170"/>
      <c r="T152" s="170"/>
      <c r="U152" s="170"/>
      <c r="V152" s="170"/>
      <c r="W152" s="170"/>
      <c r="X152" s="170"/>
      <c r="Y152" s="170"/>
      <c r="Z152" s="171"/>
      <c r="AB152" s="454">
        <f ca="1">IF(AND($D152="Serviço",AB$12&lt;&gt;0,$H152&gt;0,OR(AUTOEVENTO&lt;&gt;"manual",$M152&lt;&gt;$A$15)),
        IF(Import.TipoArredondamento&lt;&gt;"TransfereGOV",
              ROUND(OFFSET($P152,0,AB$13),15-13*ORÇAMENTO!$AF$7)/$H152*OFFSET(ORÇAMENTO!$X$15,ROW(AB152)-ROW(AB$15),0),
              ROUND(ROUND(OFFSET($P152,0,AB$13),15-13*ORÇAMENTO!$AF$7)*OFFSET(ORÇAMENTO!$W$15,ROW(AB152)-ROW(AB$15),0),15-13*ORÇAMENTO!$AF$11)),
         0)</f>
        <v>0</v>
      </c>
      <c r="AC152" s="454">
        <f ca="1">IF(AND($D152="Serviço",AC$12&lt;&gt;0,$H152&gt;0,OR(AUTOEVENTO&lt;&gt;"manual",$M152&lt;&gt;$A$15)),
        IF(Import.TipoArredondamento&lt;&gt;"TransfereGOV",
              ROUND(OFFSET($P152,0,AC$13),15-13*ORÇAMENTO!$AF$7)/$H152*OFFSET(ORÇAMENTO!$X$15,ROW(AC152)-ROW(AC$15),0),
              ROUND(ROUND(OFFSET($P152,0,AC$13),15-13*ORÇAMENTO!$AF$7)*OFFSET(ORÇAMENTO!$W$15,ROW(AC152)-ROW(AC$15),0),15-13*ORÇAMENTO!$AF$11)),
         0)</f>
        <v>0</v>
      </c>
      <c r="AD152" s="454">
        <f ca="1">IF(AND($D152="Serviço",AD$12&lt;&gt;0,$H152&gt;0,OR(AUTOEVENTO&lt;&gt;"manual",$M152&lt;&gt;$A$15)),
        IF(Import.TipoArredondamento&lt;&gt;"TransfereGOV",
              ROUND(OFFSET($P152,0,AD$13),15-13*ORÇAMENTO!$AF$7)/$H152*OFFSET(ORÇAMENTO!$X$15,ROW(AD152)-ROW(AD$15),0),
              ROUND(ROUND(OFFSET($P152,0,AD$13),15-13*ORÇAMENTO!$AF$7)*OFFSET(ORÇAMENTO!$W$15,ROW(AD152)-ROW(AD$15),0),15-13*ORÇAMENTO!$AF$11)),
         0)</f>
        <v>0</v>
      </c>
      <c r="AE152" s="454">
        <f ca="1">IF(AND($D152="Serviço",AE$12&lt;&gt;0,$H152&gt;0,OR(AUTOEVENTO&lt;&gt;"manual",$M152&lt;&gt;$A$15)),
        IF(Import.TipoArredondamento&lt;&gt;"TransfereGOV",
              ROUND(OFFSET($P152,0,AE$13),15-13*ORÇAMENTO!$AF$7)/$H152*OFFSET(ORÇAMENTO!$X$15,ROW(AE152)-ROW(AE$15),0),
              ROUND(ROUND(OFFSET($P152,0,AE$13),15-13*ORÇAMENTO!$AF$7)*OFFSET(ORÇAMENTO!$W$15,ROW(AE152)-ROW(AE$15),0),15-13*ORÇAMENTO!$AF$11)),
         0)</f>
        <v>0</v>
      </c>
      <c r="AF152" s="454">
        <f ca="1">IF(AND($D152="Serviço",AF$12&lt;&gt;0,$H152&gt;0,OR(AUTOEVENTO&lt;&gt;"manual",$M152&lt;&gt;$A$15)),
        IF(Import.TipoArredondamento&lt;&gt;"TransfereGOV",
              ROUND(OFFSET($P152,0,AF$13),15-13*ORÇAMENTO!$AF$7)/$H152*OFFSET(ORÇAMENTO!$X$15,ROW(AF152)-ROW(AF$15),0),
              ROUND(ROUND(OFFSET($P152,0,AF$13),15-13*ORÇAMENTO!$AF$7)*OFFSET(ORÇAMENTO!$W$15,ROW(AF152)-ROW(AF$15),0),15-13*ORÇAMENTO!$AF$11)),
         0)</f>
        <v>0</v>
      </c>
      <c r="AG152" s="454">
        <f ca="1">IF(AND($D152="Serviço",AG$12&lt;&gt;0,$H152&gt;0,OR(AUTOEVENTO&lt;&gt;"manual",$M152&lt;&gt;$A$15)),
        IF(Import.TipoArredondamento&lt;&gt;"TransfereGOV",
              ROUND(OFFSET($P152,0,AG$13),15-13*ORÇAMENTO!$AF$7)/$H152*OFFSET(ORÇAMENTO!$X$15,ROW(AG152)-ROW(AG$15),0),
              ROUND(ROUND(OFFSET($P152,0,AG$13),15-13*ORÇAMENTO!$AF$7)*OFFSET(ORÇAMENTO!$W$15,ROW(AG152)-ROW(AG$15),0),15-13*ORÇAMENTO!$AF$11)),
         0)</f>
        <v>0</v>
      </c>
      <c r="AH152" s="454">
        <f ca="1">IF(AND($D152="Serviço",AH$12&lt;&gt;0,$H152&gt;0,OR(AUTOEVENTO&lt;&gt;"manual",$M152&lt;&gt;$A$15)),
        IF(Import.TipoArredondamento&lt;&gt;"TransfereGOV",
              ROUND(OFFSET($P152,0,AH$13),15-13*ORÇAMENTO!$AF$7)/$H152*OFFSET(ORÇAMENTO!$X$15,ROW(AH152)-ROW(AH$15),0),
              ROUND(ROUND(OFFSET($P152,0,AH$13),15-13*ORÇAMENTO!$AF$7)*OFFSET(ORÇAMENTO!$W$15,ROW(AH152)-ROW(AH$15),0),15-13*ORÇAMENTO!$AF$11)),
         0)</f>
        <v>0</v>
      </c>
      <c r="AI152" s="454">
        <f ca="1">IF(AND($D152="Serviço",AI$12&lt;&gt;0,$H152&gt;0,OR(AUTOEVENTO&lt;&gt;"manual",$M152&lt;&gt;$A$15)),
        IF(Import.TipoArredondamento&lt;&gt;"TransfereGOV",
              ROUND(OFFSET($P152,0,AI$13),15-13*ORÇAMENTO!$AF$7)/$H152*OFFSET(ORÇAMENTO!$X$15,ROW(AI152)-ROW(AI$15),0),
              ROUND(ROUND(OFFSET($P152,0,AI$13),15-13*ORÇAMENTO!$AF$7)*OFFSET(ORÇAMENTO!$W$15,ROW(AI152)-ROW(AI$15),0),15-13*ORÇAMENTO!$AF$11)),
         0)</f>
        <v>0</v>
      </c>
      <c r="AJ152" s="454">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4">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M152" s="172">
        <f ca="1">IF(OR($D152&lt;&gt;"Serviço",AND(AUTOEVENTO="Manual",$M152=$A$15)),0,
         IF(OFFSET(CRONOPLE!$F$15,$M152-$A$15,AM$13)=0,10^12,OFFSET(CRONOPLE!$F$15,$M152-$A$15,AM$13)))</f>
        <v>1000000000000</v>
      </c>
      <c r="AN152" s="172">
        <f ca="1">IF(OR($D152&lt;&gt;"Serviço",AND(AUTOEVENTO="Manual",$M152=$A$15)),0,
         IF(OFFSET(CRONOPLE!$F$15,$M152-$A$15,AN$13)=0,10^12,OFFSET(CRONOPLE!$F$15,$M152-$A$15,AN$13)))</f>
        <v>1000000000000</v>
      </c>
      <c r="AO152" s="172">
        <f ca="1">IF(OR($D152&lt;&gt;"Serviço",AND(AUTOEVENTO="Manual",$M152=$A$15)),0,
         IF(OFFSET(CRONOPLE!$F$15,$M152-$A$15,AO$13)=0,10^12,OFFSET(CRONOPLE!$F$15,$M152-$A$15,AO$13)))</f>
        <v>1000000000000</v>
      </c>
      <c r="AP152" s="172">
        <f ca="1">IF(OR($D152&lt;&gt;"Serviço",AND(AUTOEVENTO="Manual",$M152=$A$15)),0,
         IF(OFFSET(CRONOPLE!$F$15,$M152-$A$15,AP$13)=0,10^12,OFFSET(CRONOPLE!$F$15,$M152-$A$15,AP$13)))</f>
        <v>1000000000000</v>
      </c>
      <c r="AQ152" s="172">
        <f ca="1">IF(OR($D152&lt;&gt;"Serviço",AND(AUTOEVENTO="Manual",$M152=$A$15)),0,
         IF(OFFSET(CRONOPLE!$F$15,$M152-$A$15,AQ$13)=0,10^12,OFFSET(CRONOPLE!$F$15,$M152-$A$15,AQ$13)))</f>
        <v>1000000000000</v>
      </c>
      <c r="AR152" s="172">
        <f ca="1">IF(OR($D152&lt;&gt;"Serviço",AND(AUTOEVENTO="Manual",$M152=$A$15)),0,
         IF(OFFSET(CRONOPLE!$F$15,$M152-$A$15,AR$13)=0,10^12,OFFSET(CRONOPLE!$F$15,$M152-$A$15,AR$13)))</f>
        <v>1000000000000</v>
      </c>
      <c r="AS152" s="172">
        <f ca="1">IF(OR($D152&lt;&gt;"Serviço",AND(AUTOEVENTO="Manual",$M152=$A$15)),0,
         IF(OFFSET(CRONOPLE!$F$15,$M152-$A$15,AS$13)=0,10^12,OFFSET(CRONOPLE!$F$15,$M152-$A$15,AS$13)))</f>
        <v>1000000000000</v>
      </c>
      <c r="AT152" s="172">
        <f ca="1">IF(OR($D152&lt;&gt;"Serviço",AND(AUTOEVENTO="Manual",$M152=$A$15)),0,
         IF(OFFSET(CRONOPLE!$F$15,$M152-$A$15,AT$13)=0,10^12,OFFSET(CRONOPLE!$F$15,$M152-$A$15,AT$13)))</f>
        <v>1000000000000</v>
      </c>
      <c r="AU152" s="172">
        <f ca="1">IF(OR($D152&lt;&gt;"Serviço",AND(AUTOEVENTO="Manual",$M152=$A$15)),0,
         IF(OFFSET(CRONOPLE!$F$15,$M152-$A$15,AU$13)=0,10^12,OFFSET(CRONOPLE!$F$15,$M152-$A$15,AU$13)))</f>
        <v>1000000000000</v>
      </c>
      <c r="AV152" s="172">
        <f ca="1">IF(OR($D152&lt;&gt;"Serviço",AND(AUTOEVENTO="Manual",$M152=$A$15)),0,
         IF(OFFSET(CRONOPLE!$F$15,$M152-$A$15,AV$13)=0,10^12,OFFSET(CRONOPLE!$F$15,$M152-$A$15,AV$13)))</f>
        <v>1000000000000</v>
      </c>
      <c r="AX152" s="173">
        <f ca="1">IF(OR($D152&lt;&gt;"Serviço",AND(AUTOEVENTO="Manual",$M152=$A$15),$M152&gt;(ROW(PLE.lastrow)-ROW(PLE.firstrow))),0,
           IF(OFFSET(PLE!$G$15,$M152-$A$15,AX$13)="",10^12,OFFSET(PLE!$G$15,$M152-$A$15,AX$13)))</f>
        <v>1000000000000</v>
      </c>
      <c r="AY152" s="173">
        <f ca="1">IF(OR($D152&lt;&gt;"Serviço",AND(AUTOEVENTO="Manual",$M152=$A$15),$M152&gt;(ROW(PLE.lastrow)-ROW(PLE.firstrow))),0,
           IF(OFFSET(PLE!$G$15,$M152-$A$15,AY$13)="",10^12,OFFSET(PLE!$G$15,$M152-$A$15,AY$13)))</f>
        <v>1000000000000</v>
      </c>
      <c r="AZ152" s="173">
        <f ca="1">IF(OR($D152&lt;&gt;"Serviço",AND(AUTOEVENTO="Manual",$M152=$A$15),$M152&gt;(ROW(PLE.lastrow)-ROW(PLE.firstrow))),0,
           IF(OFFSET(PLE!$G$15,$M152-$A$15,AZ$13)="",10^12,OFFSET(PLE!$G$15,$M152-$A$15,AZ$13)))</f>
        <v>1000000000000</v>
      </c>
      <c r="BA152" s="173">
        <f ca="1">IF(OR($D152&lt;&gt;"Serviço",AND(AUTOEVENTO="Manual",$M152=$A$15),$M152&gt;(ROW(PLE.lastrow)-ROW(PLE.firstrow))),0,
           IF(OFFSET(PLE!$G$15,$M152-$A$15,BA$13)="",10^12,OFFSET(PLE!$G$15,$M152-$A$15,BA$13)))</f>
        <v>1000000000000</v>
      </c>
      <c r="BB152" s="173">
        <f ca="1">IF(OR($D152&lt;&gt;"Serviço",AND(AUTOEVENTO="Manual",$M152=$A$15),$M152&gt;(ROW(PLE.lastrow)-ROW(PLE.firstrow))),0,
           IF(OFFSET(PLE!$G$15,$M152-$A$15,BB$13)="",10^12,OFFSET(PLE!$G$15,$M152-$A$15,BB$13)))</f>
        <v>1000000000000</v>
      </c>
      <c r="BC152" s="173">
        <f ca="1">IF(OR($D152&lt;&gt;"Serviço",AND(AUTOEVENTO="Manual",$M152=$A$15),$M152&gt;(ROW(PLE.lastrow)-ROW(PLE.firstrow))),0,
           IF(OFFSET(PLE!$G$15,$M152-$A$15,BC$13)="",10^12,OFFSET(PLE!$G$15,$M152-$A$15,BC$13)))</f>
        <v>1000000000000</v>
      </c>
      <c r="BD152" s="173">
        <f ca="1">IF(OR($D152&lt;&gt;"Serviço",AND(AUTOEVENTO="Manual",$M152=$A$15),$M152&gt;(ROW(PLE.lastrow)-ROW(PLE.firstrow))),0,
           IF(OFFSET(PLE!$G$15,$M152-$A$15,BD$13)="",10^12,OFFSET(PLE!$G$15,$M152-$A$15,BD$13)))</f>
        <v>1000000000000</v>
      </c>
      <c r="BE152" s="173">
        <f ca="1">IF(OR($D152&lt;&gt;"Serviço",AND(AUTOEVENTO="Manual",$M152=$A$15),$M152&gt;(ROW(PLE.lastrow)-ROW(PLE.firstrow))),0,
           IF(OFFSET(PLE!$G$15,$M152-$A$15,BE$13)="",10^12,OFFSET(PLE!$G$15,$M152-$A$15,BE$13)))</f>
        <v>1000000000000</v>
      </c>
      <c r="BF152" s="173">
        <f ca="1">IF(OR($D152&lt;&gt;"Serviço",AND(AUTOEVENTO="Manual",$M152=$A$15),$M152&gt;(ROW(PLE.lastrow)-ROW(PLE.firstrow))),0,
           IF(OFFSET(PLE!$G$15,$M152-$A$15,BF$13)="",10^12,OFFSET(PLE!$G$15,$M152-$A$15,BF$13)))</f>
        <v>1000000000000</v>
      </c>
      <c r="BG152" s="173">
        <f ca="1">IF(OR($D152&lt;&gt;"Serviço",AND(AUTOEVENTO="Manual",$M152=$A$15),$M152&gt;(ROW(PLE.lastrow)-ROW(PLE.firstrow))),0,
           IF(OFFSET(PLE!$G$15,$M152-$A$15,BG$13)="",10^12,OFFSET(PLE!$G$15,$M152-$A$15,BG$13)))</f>
        <v>1000000000000</v>
      </c>
    </row>
    <row r="153" spans="1:59" s="702" customFormat="1" ht="25.5" x14ac:dyDescent="0.2">
      <c r="A153" s="700" t="str">
        <f t="shared" ca="1" si="11"/>
        <v>131</v>
      </c>
      <c r="B153" s="700" t="str">
        <f ca="1">OFFSET(ORÇAMENTO!C$15,ROW(B153)-ROW(B$15),0)</f>
        <v>S</v>
      </c>
      <c r="C153" s="700" t="str">
        <f ca="1">OFFSET(ORÇAMENTO!L$15,ROW(C153)-ROW(C$15),0)</f>
        <v/>
      </c>
      <c r="D153" s="117" t="str">
        <f ca="1">OFFSET(ORÇAMENTO!N$15,ROW(D153)-ROW(D$15),0)</f>
        <v>Serviço</v>
      </c>
      <c r="E153" s="118" t="str">
        <f ca="1">OFFSET(ORÇAMENTO!O$15,ROW(E153)-ROW(E$15),0)</f>
        <v>-</v>
      </c>
      <c r="F153" s="164" t="str">
        <f ca="1">OFFSET(ORÇAMENTO!R$15,ROW(F153)-ROW(F$15),0)</f>
        <v>(abra o arquivo 'Referência 09-2025.xlsm)</v>
      </c>
      <c r="G153" s="165" t="str">
        <f ca="1">IF($D153&lt;&gt;"Serviço","",OFFSET(ORÇAMENTO!S$15,ROW(G153)-ROW(G$15),0))</f>
        <v>-</v>
      </c>
      <c r="H153" s="123">
        <f ca="1">IF($D153&lt;&gt;"Serviço",0,IF(ACOMPANHAMENTO="BM",ROUND(OFFSET(ORÇAMENTO!AJ$15,ROW(H153)-ROW(H$15),0),15-13*ORÇAMENTO!$AF$7),SUMPRODUCT(($Q$1:$AA$1=1)*ROUND($Q153:$AA153,15-13*ORÇAMENTO!$AF$7))))</f>
        <v>1</v>
      </c>
      <c r="I153" s="469"/>
      <c r="J153" s="667" t="str">
        <f ca="1">IF(OR(B153&lt;&gt;"S",CÁLCULO.FrentesPreenchidas=0),"",IF(AND(ACOMPANHAMENTO="PLE",AUTOEVENTO="Manual",OR(H153&gt;0,ORÇAMENTO!AC153="QUANT."),OR(K153="",M153=0,N153="")),"►",IF(AND(ACOMPANHAMENTO="PLE",ORÇAMENTO!AC153="QUANT."),"►►",IF(AND(COUNTIF($P$11:$AA$11,"▼")=0,H153&gt;0,I153=""),"◄",""))))</f>
        <v/>
      </c>
      <c r="K153" s="668"/>
      <c r="L153" s="166" t="s">
        <v>765</v>
      </c>
      <c r="M153" s="167">
        <f ca="1">IF($D153&lt;&gt;"Serviço","",
          IF(AUTOEVENTO="manual",$A153,
                IF(ISERROR(MATCH($A153,$A$15:OFFSET($A153,-1,0),0)),MAX($M$15:OFFSET(M153,-1,0))+1,
                      INDEX($M$15:OFFSET(M153,-1,0),MATCH($A153,$A$15:OFFSET($A153,-1,0),0)))))</f>
        <v>16</v>
      </c>
      <c r="N153" s="168" t="str">
        <f ca="1">IF($D153&lt;&gt;"Serviço","",
         IF(AUTOEVENTO="Manual",
                IF($A153=0,"&lt;-- defina o número do agrupador",
                       OFFSET(EVENTOS!$D$15,$A153-$A$15,0)),
                OFFSET($F$15,$A153,0)))</f>
        <v>ELEVATÓRIA DE ESGOTO - MATERIAIS</v>
      </c>
      <c r="O153" s="169"/>
      <c r="Q153" s="169"/>
      <c r="R153" s="170"/>
      <c r="S153" s="170"/>
      <c r="T153" s="170"/>
      <c r="U153" s="170"/>
      <c r="V153" s="170"/>
      <c r="W153" s="170"/>
      <c r="X153" s="170"/>
      <c r="Y153" s="170"/>
      <c r="Z153" s="171"/>
      <c r="AB153" s="454">
        <f ca="1">IF(AND($D153="Serviço",AB$12&lt;&gt;0,$H153&gt;0,OR(AUTOEVENTO&lt;&gt;"manual",$M153&lt;&gt;$A$15)),
        IF(Import.TipoArredondamento&lt;&gt;"TransfereGOV",
              ROUND(OFFSET($P153,0,AB$13),15-13*ORÇAMENTO!$AF$7)/$H153*OFFSET(ORÇAMENTO!$X$15,ROW(AB153)-ROW(AB$15),0),
              ROUND(ROUND(OFFSET($P153,0,AB$13),15-13*ORÇAMENTO!$AF$7)*OFFSET(ORÇAMENTO!$W$15,ROW(AB153)-ROW(AB$15),0),15-13*ORÇAMENTO!$AF$11)),
         0)</f>
        <v>0</v>
      </c>
      <c r="AC153" s="454">
        <f ca="1">IF(AND($D153="Serviço",AC$12&lt;&gt;0,$H153&gt;0,OR(AUTOEVENTO&lt;&gt;"manual",$M153&lt;&gt;$A$15)),
        IF(Import.TipoArredondamento&lt;&gt;"TransfereGOV",
              ROUND(OFFSET($P153,0,AC$13),15-13*ORÇAMENTO!$AF$7)/$H153*OFFSET(ORÇAMENTO!$X$15,ROW(AC153)-ROW(AC$15),0),
              ROUND(ROUND(OFFSET($P153,0,AC$13),15-13*ORÇAMENTO!$AF$7)*OFFSET(ORÇAMENTO!$W$15,ROW(AC153)-ROW(AC$15),0),15-13*ORÇAMENTO!$AF$11)),
         0)</f>
        <v>0</v>
      </c>
      <c r="AD153" s="454">
        <f ca="1">IF(AND($D153="Serviço",AD$12&lt;&gt;0,$H153&gt;0,OR(AUTOEVENTO&lt;&gt;"manual",$M153&lt;&gt;$A$15)),
        IF(Import.TipoArredondamento&lt;&gt;"TransfereGOV",
              ROUND(OFFSET($P153,0,AD$13),15-13*ORÇAMENTO!$AF$7)/$H153*OFFSET(ORÇAMENTO!$X$15,ROW(AD153)-ROW(AD$15),0),
              ROUND(ROUND(OFFSET($P153,0,AD$13),15-13*ORÇAMENTO!$AF$7)*OFFSET(ORÇAMENTO!$W$15,ROW(AD153)-ROW(AD$15),0),15-13*ORÇAMENTO!$AF$11)),
         0)</f>
        <v>0</v>
      </c>
      <c r="AE153" s="454">
        <f ca="1">IF(AND($D153="Serviço",AE$12&lt;&gt;0,$H153&gt;0,OR(AUTOEVENTO&lt;&gt;"manual",$M153&lt;&gt;$A$15)),
        IF(Import.TipoArredondamento&lt;&gt;"TransfereGOV",
              ROUND(OFFSET($P153,0,AE$13),15-13*ORÇAMENTO!$AF$7)/$H153*OFFSET(ORÇAMENTO!$X$15,ROW(AE153)-ROW(AE$15),0),
              ROUND(ROUND(OFFSET($P153,0,AE$13),15-13*ORÇAMENTO!$AF$7)*OFFSET(ORÇAMENTO!$W$15,ROW(AE153)-ROW(AE$15),0),15-13*ORÇAMENTO!$AF$11)),
         0)</f>
        <v>0</v>
      </c>
      <c r="AF153" s="454">
        <f ca="1">IF(AND($D153="Serviço",AF$12&lt;&gt;0,$H153&gt;0,OR(AUTOEVENTO&lt;&gt;"manual",$M153&lt;&gt;$A$15)),
        IF(Import.TipoArredondamento&lt;&gt;"TransfereGOV",
              ROUND(OFFSET($P153,0,AF$13),15-13*ORÇAMENTO!$AF$7)/$H153*OFFSET(ORÇAMENTO!$X$15,ROW(AF153)-ROW(AF$15),0),
              ROUND(ROUND(OFFSET($P153,0,AF$13),15-13*ORÇAMENTO!$AF$7)*OFFSET(ORÇAMENTO!$W$15,ROW(AF153)-ROW(AF$15),0),15-13*ORÇAMENTO!$AF$11)),
         0)</f>
        <v>0</v>
      </c>
      <c r="AG153" s="454">
        <f ca="1">IF(AND($D153="Serviço",AG$12&lt;&gt;0,$H153&gt;0,OR(AUTOEVENTO&lt;&gt;"manual",$M153&lt;&gt;$A$15)),
        IF(Import.TipoArredondamento&lt;&gt;"TransfereGOV",
              ROUND(OFFSET($P153,0,AG$13),15-13*ORÇAMENTO!$AF$7)/$H153*OFFSET(ORÇAMENTO!$X$15,ROW(AG153)-ROW(AG$15),0),
              ROUND(ROUND(OFFSET($P153,0,AG$13),15-13*ORÇAMENTO!$AF$7)*OFFSET(ORÇAMENTO!$W$15,ROW(AG153)-ROW(AG$15),0),15-13*ORÇAMENTO!$AF$11)),
         0)</f>
        <v>0</v>
      </c>
      <c r="AH153" s="454">
        <f ca="1">IF(AND($D153="Serviço",AH$12&lt;&gt;0,$H153&gt;0,OR(AUTOEVENTO&lt;&gt;"manual",$M153&lt;&gt;$A$15)),
        IF(Import.TipoArredondamento&lt;&gt;"TransfereGOV",
              ROUND(OFFSET($P153,0,AH$13),15-13*ORÇAMENTO!$AF$7)/$H153*OFFSET(ORÇAMENTO!$X$15,ROW(AH153)-ROW(AH$15),0),
              ROUND(ROUND(OFFSET($P153,0,AH$13),15-13*ORÇAMENTO!$AF$7)*OFFSET(ORÇAMENTO!$W$15,ROW(AH153)-ROW(AH$15),0),15-13*ORÇAMENTO!$AF$11)),
         0)</f>
        <v>0</v>
      </c>
      <c r="AI153" s="454">
        <f ca="1">IF(AND($D153="Serviço",AI$12&lt;&gt;0,$H153&gt;0,OR(AUTOEVENTO&lt;&gt;"manual",$M153&lt;&gt;$A$15)),
        IF(Import.TipoArredondamento&lt;&gt;"TransfereGOV",
              ROUND(OFFSET($P153,0,AI$13),15-13*ORÇAMENTO!$AF$7)/$H153*OFFSET(ORÇAMENTO!$X$15,ROW(AI153)-ROW(AI$15),0),
              ROUND(ROUND(OFFSET($P153,0,AI$13),15-13*ORÇAMENTO!$AF$7)*OFFSET(ORÇAMENTO!$W$15,ROW(AI153)-ROW(AI$15),0),15-13*ORÇAMENTO!$AF$11)),
         0)</f>
        <v>0</v>
      </c>
      <c r="AJ153" s="454">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4">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M153" s="172">
        <f ca="1">IF(OR($D153&lt;&gt;"Serviço",AND(AUTOEVENTO="Manual",$M153=$A$15)),0,
         IF(OFFSET(CRONOPLE!$F$15,$M153-$A$15,AM$13)=0,10^12,OFFSET(CRONOPLE!$F$15,$M153-$A$15,AM$13)))</f>
        <v>1000000000000</v>
      </c>
      <c r="AN153" s="172">
        <f ca="1">IF(OR($D153&lt;&gt;"Serviço",AND(AUTOEVENTO="Manual",$M153=$A$15)),0,
         IF(OFFSET(CRONOPLE!$F$15,$M153-$A$15,AN$13)=0,10^12,OFFSET(CRONOPLE!$F$15,$M153-$A$15,AN$13)))</f>
        <v>1000000000000</v>
      </c>
      <c r="AO153" s="172">
        <f ca="1">IF(OR($D153&lt;&gt;"Serviço",AND(AUTOEVENTO="Manual",$M153=$A$15)),0,
         IF(OFFSET(CRONOPLE!$F$15,$M153-$A$15,AO$13)=0,10^12,OFFSET(CRONOPLE!$F$15,$M153-$A$15,AO$13)))</f>
        <v>1000000000000</v>
      </c>
      <c r="AP153" s="172">
        <f ca="1">IF(OR($D153&lt;&gt;"Serviço",AND(AUTOEVENTO="Manual",$M153=$A$15)),0,
         IF(OFFSET(CRONOPLE!$F$15,$M153-$A$15,AP$13)=0,10^12,OFFSET(CRONOPLE!$F$15,$M153-$A$15,AP$13)))</f>
        <v>1000000000000</v>
      </c>
      <c r="AQ153" s="172">
        <f ca="1">IF(OR($D153&lt;&gt;"Serviço",AND(AUTOEVENTO="Manual",$M153=$A$15)),0,
         IF(OFFSET(CRONOPLE!$F$15,$M153-$A$15,AQ$13)=0,10^12,OFFSET(CRONOPLE!$F$15,$M153-$A$15,AQ$13)))</f>
        <v>1000000000000</v>
      </c>
      <c r="AR153" s="172">
        <f ca="1">IF(OR($D153&lt;&gt;"Serviço",AND(AUTOEVENTO="Manual",$M153=$A$15)),0,
         IF(OFFSET(CRONOPLE!$F$15,$M153-$A$15,AR$13)=0,10^12,OFFSET(CRONOPLE!$F$15,$M153-$A$15,AR$13)))</f>
        <v>1000000000000</v>
      </c>
      <c r="AS153" s="172">
        <f ca="1">IF(OR($D153&lt;&gt;"Serviço",AND(AUTOEVENTO="Manual",$M153=$A$15)),0,
         IF(OFFSET(CRONOPLE!$F$15,$M153-$A$15,AS$13)=0,10^12,OFFSET(CRONOPLE!$F$15,$M153-$A$15,AS$13)))</f>
        <v>1000000000000</v>
      </c>
      <c r="AT153" s="172">
        <f ca="1">IF(OR($D153&lt;&gt;"Serviço",AND(AUTOEVENTO="Manual",$M153=$A$15)),0,
         IF(OFFSET(CRONOPLE!$F$15,$M153-$A$15,AT$13)=0,10^12,OFFSET(CRONOPLE!$F$15,$M153-$A$15,AT$13)))</f>
        <v>1000000000000</v>
      </c>
      <c r="AU153" s="172">
        <f ca="1">IF(OR($D153&lt;&gt;"Serviço",AND(AUTOEVENTO="Manual",$M153=$A$15)),0,
         IF(OFFSET(CRONOPLE!$F$15,$M153-$A$15,AU$13)=0,10^12,OFFSET(CRONOPLE!$F$15,$M153-$A$15,AU$13)))</f>
        <v>1000000000000</v>
      </c>
      <c r="AV153" s="172">
        <f ca="1">IF(OR($D153&lt;&gt;"Serviço",AND(AUTOEVENTO="Manual",$M153=$A$15)),0,
         IF(OFFSET(CRONOPLE!$F$15,$M153-$A$15,AV$13)=0,10^12,OFFSET(CRONOPLE!$F$15,$M153-$A$15,AV$13)))</f>
        <v>1000000000000</v>
      </c>
      <c r="AX153" s="173">
        <f ca="1">IF(OR($D153&lt;&gt;"Serviço",AND(AUTOEVENTO="Manual",$M153=$A$15),$M153&gt;(ROW(PLE.lastrow)-ROW(PLE.firstrow))),0,
           IF(OFFSET(PLE!$G$15,$M153-$A$15,AX$13)="",10^12,OFFSET(PLE!$G$15,$M153-$A$15,AX$13)))</f>
        <v>1000000000000</v>
      </c>
      <c r="AY153" s="173">
        <f ca="1">IF(OR($D153&lt;&gt;"Serviço",AND(AUTOEVENTO="Manual",$M153=$A$15),$M153&gt;(ROW(PLE.lastrow)-ROW(PLE.firstrow))),0,
           IF(OFFSET(PLE!$G$15,$M153-$A$15,AY$13)="",10^12,OFFSET(PLE!$G$15,$M153-$A$15,AY$13)))</f>
        <v>1000000000000</v>
      </c>
      <c r="AZ153" s="173">
        <f ca="1">IF(OR($D153&lt;&gt;"Serviço",AND(AUTOEVENTO="Manual",$M153=$A$15),$M153&gt;(ROW(PLE.lastrow)-ROW(PLE.firstrow))),0,
           IF(OFFSET(PLE!$G$15,$M153-$A$15,AZ$13)="",10^12,OFFSET(PLE!$G$15,$M153-$A$15,AZ$13)))</f>
        <v>1000000000000</v>
      </c>
      <c r="BA153" s="173">
        <f ca="1">IF(OR($D153&lt;&gt;"Serviço",AND(AUTOEVENTO="Manual",$M153=$A$15),$M153&gt;(ROW(PLE.lastrow)-ROW(PLE.firstrow))),0,
           IF(OFFSET(PLE!$G$15,$M153-$A$15,BA$13)="",10^12,OFFSET(PLE!$G$15,$M153-$A$15,BA$13)))</f>
        <v>1000000000000</v>
      </c>
      <c r="BB153" s="173">
        <f ca="1">IF(OR($D153&lt;&gt;"Serviço",AND(AUTOEVENTO="Manual",$M153=$A$15),$M153&gt;(ROW(PLE.lastrow)-ROW(PLE.firstrow))),0,
           IF(OFFSET(PLE!$G$15,$M153-$A$15,BB$13)="",10^12,OFFSET(PLE!$G$15,$M153-$A$15,BB$13)))</f>
        <v>1000000000000</v>
      </c>
      <c r="BC153" s="173">
        <f ca="1">IF(OR($D153&lt;&gt;"Serviço",AND(AUTOEVENTO="Manual",$M153=$A$15),$M153&gt;(ROW(PLE.lastrow)-ROW(PLE.firstrow))),0,
           IF(OFFSET(PLE!$G$15,$M153-$A$15,BC$13)="",10^12,OFFSET(PLE!$G$15,$M153-$A$15,BC$13)))</f>
        <v>1000000000000</v>
      </c>
      <c r="BD153" s="173">
        <f ca="1">IF(OR($D153&lt;&gt;"Serviço",AND(AUTOEVENTO="Manual",$M153=$A$15),$M153&gt;(ROW(PLE.lastrow)-ROW(PLE.firstrow))),0,
           IF(OFFSET(PLE!$G$15,$M153-$A$15,BD$13)="",10^12,OFFSET(PLE!$G$15,$M153-$A$15,BD$13)))</f>
        <v>1000000000000</v>
      </c>
      <c r="BE153" s="173">
        <f ca="1">IF(OR($D153&lt;&gt;"Serviço",AND(AUTOEVENTO="Manual",$M153=$A$15),$M153&gt;(ROW(PLE.lastrow)-ROW(PLE.firstrow))),0,
           IF(OFFSET(PLE!$G$15,$M153-$A$15,BE$13)="",10^12,OFFSET(PLE!$G$15,$M153-$A$15,BE$13)))</f>
        <v>1000000000000</v>
      </c>
      <c r="BF153" s="173">
        <f ca="1">IF(OR($D153&lt;&gt;"Serviço",AND(AUTOEVENTO="Manual",$M153=$A$15),$M153&gt;(ROW(PLE.lastrow)-ROW(PLE.firstrow))),0,
           IF(OFFSET(PLE!$G$15,$M153-$A$15,BF$13)="",10^12,OFFSET(PLE!$G$15,$M153-$A$15,BF$13)))</f>
        <v>1000000000000</v>
      </c>
      <c r="BG153" s="173">
        <f ca="1">IF(OR($D153&lt;&gt;"Serviço",AND(AUTOEVENTO="Manual",$M153=$A$15),$M153&gt;(ROW(PLE.lastrow)-ROW(PLE.firstrow))),0,
           IF(OFFSET(PLE!$G$15,$M153-$A$15,BG$13)="",10^12,OFFSET(PLE!$G$15,$M153-$A$15,BG$13)))</f>
        <v>1000000000000</v>
      </c>
    </row>
    <row r="154" spans="1:59" s="702" customFormat="1" ht="25.5" x14ac:dyDescent="0.2">
      <c r="A154" s="700" t="str">
        <f t="shared" ca="1" si="11"/>
        <v>131</v>
      </c>
      <c r="B154" s="700" t="str">
        <f ca="1">OFFSET(ORÇAMENTO!C$15,ROW(B154)-ROW(B$15),0)</f>
        <v>S</v>
      </c>
      <c r="C154" s="700" t="str">
        <f ca="1">OFFSET(ORÇAMENTO!L$15,ROW(C154)-ROW(C$15),0)</f>
        <v/>
      </c>
      <c r="D154" s="117" t="str">
        <f ca="1">OFFSET(ORÇAMENTO!N$15,ROW(D154)-ROW(D$15),0)</f>
        <v>Serviço</v>
      </c>
      <c r="E154" s="118" t="str">
        <f ca="1">OFFSET(ORÇAMENTO!O$15,ROW(E154)-ROW(E$15),0)</f>
        <v>-</v>
      </c>
      <c r="F154" s="164" t="str">
        <f ca="1">OFFSET(ORÇAMENTO!R$15,ROW(F154)-ROW(F$15),0)</f>
        <v>(abra o arquivo 'Referência 09-2025.xlsm)</v>
      </c>
      <c r="G154" s="165" t="str">
        <f ca="1">IF($D154&lt;&gt;"Serviço","",OFFSET(ORÇAMENTO!S$15,ROW(G154)-ROW(G$15),0))</f>
        <v>-</v>
      </c>
      <c r="H154" s="123">
        <f ca="1">IF($D154&lt;&gt;"Serviço",0,IF(ACOMPANHAMENTO="BM",ROUND(OFFSET(ORÇAMENTO!AJ$15,ROW(H154)-ROW(H$15),0),15-13*ORÇAMENTO!$AF$7),SUMPRODUCT(($Q$1:$AA$1=1)*ROUND($Q154:$AA154,15-13*ORÇAMENTO!$AF$7))))</f>
        <v>1</v>
      </c>
      <c r="I154" s="469"/>
      <c r="J154" s="667" t="str">
        <f ca="1">IF(OR(B154&lt;&gt;"S",CÁLCULO.FrentesPreenchidas=0),"",IF(AND(ACOMPANHAMENTO="PLE",AUTOEVENTO="Manual",OR(H154&gt;0,ORÇAMENTO!AC154="QUANT."),OR(K154="",M154=0,N154="")),"►",IF(AND(ACOMPANHAMENTO="PLE",ORÇAMENTO!AC154="QUANT."),"►►",IF(AND(COUNTIF($P$11:$AA$11,"▼")=0,H154&gt;0,I154=""),"◄",""))))</f>
        <v/>
      </c>
      <c r="K154" s="668"/>
      <c r="L154" s="166" t="s">
        <v>765</v>
      </c>
      <c r="M154" s="167">
        <f ca="1">IF($D154&lt;&gt;"Serviço","",
          IF(AUTOEVENTO="manual",$A154,
                IF(ISERROR(MATCH($A154,$A$15:OFFSET($A154,-1,0),0)),MAX($M$15:OFFSET(M154,-1,0))+1,
                      INDEX($M$15:OFFSET(M154,-1,0),MATCH($A154,$A$15:OFFSET($A154,-1,0),0)))))</f>
        <v>16</v>
      </c>
      <c r="N154" s="168" t="str">
        <f ca="1">IF($D154&lt;&gt;"Serviço","",
         IF(AUTOEVENTO="Manual",
                IF($A154=0,"&lt;-- defina o número do agrupador",
                       OFFSET(EVENTOS!$D$15,$A154-$A$15,0)),
                OFFSET($F$15,$A154,0)))</f>
        <v>ELEVATÓRIA DE ESGOTO - MATERIAIS</v>
      </c>
      <c r="O154" s="169"/>
      <c r="Q154" s="169"/>
      <c r="R154" s="170"/>
      <c r="S154" s="170"/>
      <c r="T154" s="170"/>
      <c r="U154" s="170"/>
      <c r="V154" s="170"/>
      <c r="W154" s="170"/>
      <c r="X154" s="170"/>
      <c r="Y154" s="170"/>
      <c r="Z154" s="171"/>
      <c r="AB154" s="454">
        <f ca="1">IF(AND($D154="Serviço",AB$12&lt;&gt;0,$H154&gt;0,OR(AUTOEVENTO&lt;&gt;"manual",$M154&lt;&gt;$A$15)),
        IF(Import.TipoArredondamento&lt;&gt;"TransfereGOV",
              ROUND(OFFSET($P154,0,AB$13),15-13*ORÇAMENTO!$AF$7)/$H154*OFFSET(ORÇAMENTO!$X$15,ROW(AB154)-ROW(AB$15),0),
              ROUND(ROUND(OFFSET($P154,0,AB$13),15-13*ORÇAMENTO!$AF$7)*OFFSET(ORÇAMENTO!$W$15,ROW(AB154)-ROW(AB$15),0),15-13*ORÇAMENTO!$AF$11)),
         0)</f>
        <v>0</v>
      </c>
      <c r="AC154" s="454">
        <f ca="1">IF(AND($D154="Serviço",AC$12&lt;&gt;0,$H154&gt;0,OR(AUTOEVENTO&lt;&gt;"manual",$M154&lt;&gt;$A$15)),
        IF(Import.TipoArredondamento&lt;&gt;"TransfereGOV",
              ROUND(OFFSET($P154,0,AC$13),15-13*ORÇAMENTO!$AF$7)/$H154*OFFSET(ORÇAMENTO!$X$15,ROW(AC154)-ROW(AC$15),0),
              ROUND(ROUND(OFFSET($P154,0,AC$13),15-13*ORÇAMENTO!$AF$7)*OFFSET(ORÇAMENTO!$W$15,ROW(AC154)-ROW(AC$15),0),15-13*ORÇAMENTO!$AF$11)),
         0)</f>
        <v>0</v>
      </c>
      <c r="AD154" s="454">
        <f ca="1">IF(AND($D154="Serviço",AD$12&lt;&gt;0,$H154&gt;0,OR(AUTOEVENTO&lt;&gt;"manual",$M154&lt;&gt;$A$15)),
        IF(Import.TipoArredondamento&lt;&gt;"TransfereGOV",
              ROUND(OFFSET($P154,0,AD$13),15-13*ORÇAMENTO!$AF$7)/$H154*OFFSET(ORÇAMENTO!$X$15,ROW(AD154)-ROW(AD$15),0),
              ROUND(ROUND(OFFSET($P154,0,AD$13),15-13*ORÇAMENTO!$AF$7)*OFFSET(ORÇAMENTO!$W$15,ROW(AD154)-ROW(AD$15),0),15-13*ORÇAMENTO!$AF$11)),
         0)</f>
        <v>0</v>
      </c>
      <c r="AE154" s="454">
        <f ca="1">IF(AND($D154="Serviço",AE$12&lt;&gt;0,$H154&gt;0,OR(AUTOEVENTO&lt;&gt;"manual",$M154&lt;&gt;$A$15)),
        IF(Import.TipoArredondamento&lt;&gt;"TransfereGOV",
              ROUND(OFFSET($P154,0,AE$13),15-13*ORÇAMENTO!$AF$7)/$H154*OFFSET(ORÇAMENTO!$X$15,ROW(AE154)-ROW(AE$15),0),
              ROUND(ROUND(OFFSET($P154,0,AE$13),15-13*ORÇAMENTO!$AF$7)*OFFSET(ORÇAMENTO!$W$15,ROW(AE154)-ROW(AE$15),0),15-13*ORÇAMENTO!$AF$11)),
         0)</f>
        <v>0</v>
      </c>
      <c r="AF154" s="454">
        <f ca="1">IF(AND($D154="Serviço",AF$12&lt;&gt;0,$H154&gt;0,OR(AUTOEVENTO&lt;&gt;"manual",$M154&lt;&gt;$A$15)),
        IF(Import.TipoArredondamento&lt;&gt;"TransfereGOV",
              ROUND(OFFSET($P154,0,AF$13),15-13*ORÇAMENTO!$AF$7)/$H154*OFFSET(ORÇAMENTO!$X$15,ROW(AF154)-ROW(AF$15),0),
              ROUND(ROUND(OFFSET($P154,0,AF$13),15-13*ORÇAMENTO!$AF$7)*OFFSET(ORÇAMENTO!$W$15,ROW(AF154)-ROW(AF$15),0),15-13*ORÇAMENTO!$AF$11)),
         0)</f>
        <v>0</v>
      </c>
      <c r="AG154" s="454">
        <f ca="1">IF(AND($D154="Serviço",AG$12&lt;&gt;0,$H154&gt;0,OR(AUTOEVENTO&lt;&gt;"manual",$M154&lt;&gt;$A$15)),
        IF(Import.TipoArredondamento&lt;&gt;"TransfereGOV",
              ROUND(OFFSET($P154,0,AG$13),15-13*ORÇAMENTO!$AF$7)/$H154*OFFSET(ORÇAMENTO!$X$15,ROW(AG154)-ROW(AG$15),0),
              ROUND(ROUND(OFFSET($P154,0,AG$13),15-13*ORÇAMENTO!$AF$7)*OFFSET(ORÇAMENTO!$W$15,ROW(AG154)-ROW(AG$15),0),15-13*ORÇAMENTO!$AF$11)),
         0)</f>
        <v>0</v>
      </c>
      <c r="AH154" s="454">
        <f ca="1">IF(AND($D154="Serviço",AH$12&lt;&gt;0,$H154&gt;0,OR(AUTOEVENTO&lt;&gt;"manual",$M154&lt;&gt;$A$15)),
        IF(Import.TipoArredondamento&lt;&gt;"TransfereGOV",
              ROUND(OFFSET($P154,0,AH$13),15-13*ORÇAMENTO!$AF$7)/$H154*OFFSET(ORÇAMENTO!$X$15,ROW(AH154)-ROW(AH$15),0),
              ROUND(ROUND(OFFSET($P154,0,AH$13),15-13*ORÇAMENTO!$AF$7)*OFFSET(ORÇAMENTO!$W$15,ROW(AH154)-ROW(AH$15),0),15-13*ORÇAMENTO!$AF$11)),
         0)</f>
        <v>0</v>
      </c>
      <c r="AI154" s="454">
        <f ca="1">IF(AND($D154="Serviço",AI$12&lt;&gt;0,$H154&gt;0,OR(AUTOEVENTO&lt;&gt;"manual",$M154&lt;&gt;$A$15)),
        IF(Import.TipoArredondamento&lt;&gt;"TransfereGOV",
              ROUND(OFFSET($P154,0,AI$13),15-13*ORÇAMENTO!$AF$7)/$H154*OFFSET(ORÇAMENTO!$X$15,ROW(AI154)-ROW(AI$15),0),
              ROUND(ROUND(OFFSET($P154,0,AI$13),15-13*ORÇAMENTO!$AF$7)*OFFSET(ORÇAMENTO!$W$15,ROW(AI154)-ROW(AI$15),0),15-13*ORÇAMENTO!$AF$11)),
         0)</f>
        <v>0</v>
      </c>
      <c r="AJ154" s="454">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4">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M154" s="172">
        <f ca="1">IF(OR($D154&lt;&gt;"Serviço",AND(AUTOEVENTO="Manual",$M154=$A$15)),0,
         IF(OFFSET(CRONOPLE!$F$15,$M154-$A$15,AM$13)=0,10^12,OFFSET(CRONOPLE!$F$15,$M154-$A$15,AM$13)))</f>
        <v>1000000000000</v>
      </c>
      <c r="AN154" s="172">
        <f ca="1">IF(OR($D154&lt;&gt;"Serviço",AND(AUTOEVENTO="Manual",$M154=$A$15)),0,
         IF(OFFSET(CRONOPLE!$F$15,$M154-$A$15,AN$13)=0,10^12,OFFSET(CRONOPLE!$F$15,$M154-$A$15,AN$13)))</f>
        <v>1000000000000</v>
      </c>
      <c r="AO154" s="172">
        <f ca="1">IF(OR($D154&lt;&gt;"Serviço",AND(AUTOEVENTO="Manual",$M154=$A$15)),0,
         IF(OFFSET(CRONOPLE!$F$15,$M154-$A$15,AO$13)=0,10^12,OFFSET(CRONOPLE!$F$15,$M154-$A$15,AO$13)))</f>
        <v>1000000000000</v>
      </c>
      <c r="AP154" s="172">
        <f ca="1">IF(OR($D154&lt;&gt;"Serviço",AND(AUTOEVENTO="Manual",$M154=$A$15)),0,
         IF(OFFSET(CRONOPLE!$F$15,$M154-$A$15,AP$13)=0,10^12,OFFSET(CRONOPLE!$F$15,$M154-$A$15,AP$13)))</f>
        <v>1000000000000</v>
      </c>
      <c r="AQ154" s="172">
        <f ca="1">IF(OR($D154&lt;&gt;"Serviço",AND(AUTOEVENTO="Manual",$M154=$A$15)),0,
         IF(OFFSET(CRONOPLE!$F$15,$M154-$A$15,AQ$13)=0,10^12,OFFSET(CRONOPLE!$F$15,$M154-$A$15,AQ$13)))</f>
        <v>1000000000000</v>
      </c>
      <c r="AR154" s="172">
        <f ca="1">IF(OR($D154&lt;&gt;"Serviço",AND(AUTOEVENTO="Manual",$M154=$A$15)),0,
         IF(OFFSET(CRONOPLE!$F$15,$M154-$A$15,AR$13)=0,10^12,OFFSET(CRONOPLE!$F$15,$M154-$A$15,AR$13)))</f>
        <v>1000000000000</v>
      </c>
      <c r="AS154" s="172">
        <f ca="1">IF(OR($D154&lt;&gt;"Serviço",AND(AUTOEVENTO="Manual",$M154=$A$15)),0,
         IF(OFFSET(CRONOPLE!$F$15,$M154-$A$15,AS$13)=0,10^12,OFFSET(CRONOPLE!$F$15,$M154-$A$15,AS$13)))</f>
        <v>1000000000000</v>
      </c>
      <c r="AT154" s="172">
        <f ca="1">IF(OR($D154&lt;&gt;"Serviço",AND(AUTOEVENTO="Manual",$M154=$A$15)),0,
         IF(OFFSET(CRONOPLE!$F$15,$M154-$A$15,AT$13)=0,10^12,OFFSET(CRONOPLE!$F$15,$M154-$A$15,AT$13)))</f>
        <v>1000000000000</v>
      </c>
      <c r="AU154" s="172">
        <f ca="1">IF(OR($D154&lt;&gt;"Serviço",AND(AUTOEVENTO="Manual",$M154=$A$15)),0,
         IF(OFFSET(CRONOPLE!$F$15,$M154-$A$15,AU$13)=0,10^12,OFFSET(CRONOPLE!$F$15,$M154-$A$15,AU$13)))</f>
        <v>1000000000000</v>
      </c>
      <c r="AV154" s="172">
        <f ca="1">IF(OR($D154&lt;&gt;"Serviço",AND(AUTOEVENTO="Manual",$M154=$A$15)),0,
         IF(OFFSET(CRONOPLE!$F$15,$M154-$A$15,AV$13)=0,10^12,OFFSET(CRONOPLE!$F$15,$M154-$A$15,AV$13)))</f>
        <v>1000000000000</v>
      </c>
      <c r="AX154" s="173">
        <f ca="1">IF(OR($D154&lt;&gt;"Serviço",AND(AUTOEVENTO="Manual",$M154=$A$15),$M154&gt;(ROW(PLE.lastrow)-ROW(PLE.firstrow))),0,
           IF(OFFSET(PLE!$G$15,$M154-$A$15,AX$13)="",10^12,OFFSET(PLE!$G$15,$M154-$A$15,AX$13)))</f>
        <v>1000000000000</v>
      </c>
      <c r="AY154" s="173">
        <f ca="1">IF(OR($D154&lt;&gt;"Serviço",AND(AUTOEVENTO="Manual",$M154=$A$15),$M154&gt;(ROW(PLE.lastrow)-ROW(PLE.firstrow))),0,
           IF(OFFSET(PLE!$G$15,$M154-$A$15,AY$13)="",10^12,OFFSET(PLE!$G$15,$M154-$A$15,AY$13)))</f>
        <v>1000000000000</v>
      </c>
      <c r="AZ154" s="173">
        <f ca="1">IF(OR($D154&lt;&gt;"Serviço",AND(AUTOEVENTO="Manual",$M154=$A$15),$M154&gt;(ROW(PLE.lastrow)-ROW(PLE.firstrow))),0,
           IF(OFFSET(PLE!$G$15,$M154-$A$15,AZ$13)="",10^12,OFFSET(PLE!$G$15,$M154-$A$15,AZ$13)))</f>
        <v>1000000000000</v>
      </c>
      <c r="BA154" s="173">
        <f ca="1">IF(OR($D154&lt;&gt;"Serviço",AND(AUTOEVENTO="Manual",$M154=$A$15),$M154&gt;(ROW(PLE.lastrow)-ROW(PLE.firstrow))),0,
           IF(OFFSET(PLE!$G$15,$M154-$A$15,BA$13)="",10^12,OFFSET(PLE!$G$15,$M154-$A$15,BA$13)))</f>
        <v>1000000000000</v>
      </c>
      <c r="BB154" s="173">
        <f ca="1">IF(OR($D154&lt;&gt;"Serviço",AND(AUTOEVENTO="Manual",$M154=$A$15),$M154&gt;(ROW(PLE.lastrow)-ROW(PLE.firstrow))),0,
           IF(OFFSET(PLE!$G$15,$M154-$A$15,BB$13)="",10^12,OFFSET(PLE!$G$15,$M154-$A$15,BB$13)))</f>
        <v>1000000000000</v>
      </c>
      <c r="BC154" s="173">
        <f ca="1">IF(OR($D154&lt;&gt;"Serviço",AND(AUTOEVENTO="Manual",$M154=$A$15),$M154&gt;(ROW(PLE.lastrow)-ROW(PLE.firstrow))),0,
           IF(OFFSET(PLE!$G$15,$M154-$A$15,BC$13)="",10^12,OFFSET(PLE!$G$15,$M154-$A$15,BC$13)))</f>
        <v>1000000000000</v>
      </c>
      <c r="BD154" s="173">
        <f ca="1">IF(OR($D154&lt;&gt;"Serviço",AND(AUTOEVENTO="Manual",$M154=$A$15),$M154&gt;(ROW(PLE.lastrow)-ROW(PLE.firstrow))),0,
           IF(OFFSET(PLE!$G$15,$M154-$A$15,BD$13)="",10^12,OFFSET(PLE!$G$15,$M154-$A$15,BD$13)))</f>
        <v>1000000000000</v>
      </c>
      <c r="BE154" s="173">
        <f ca="1">IF(OR($D154&lt;&gt;"Serviço",AND(AUTOEVENTO="Manual",$M154=$A$15),$M154&gt;(ROW(PLE.lastrow)-ROW(PLE.firstrow))),0,
           IF(OFFSET(PLE!$G$15,$M154-$A$15,BE$13)="",10^12,OFFSET(PLE!$G$15,$M154-$A$15,BE$13)))</f>
        <v>1000000000000</v>
      </c>
      <c r="BF154" s="173">
        <f ca="1">IF(OR($D154&lt;&gt;"Serviço",AND(AUTOEVENTO="Manual",$M154=$A$15),$M154&gt;(ROW(PLE.lastrow)-ROW(PLE.firstrow))),0,
           IF(OFFSET(PLE!$G$15,$M154-$A$15,BF$13)="",10^12,OFFSET(PLE!$G$15,$M154-$A$15,BF$13)))</f>
        <v>1000000000000</v>
      </c>
      <c r="BG154" s="173">
        <f ca="1">IF(OR($D154&lt;&gt;"Serviço",AND(AUTOEVENTO="Manual",$M154=$A$15),$M154&gt;(ROW(PLE.lastrow)-ROW(PLE.firstrow))),0,
           IF(OFFSET(PLE!$G$15,$M154-$A$15,BG$13)="",10^12,OFFSET(PLE!$G$15,$M154-$A$15,BG$13)))</f>
        <v>1000000000000</v>
      </c>
    </row>
    <row r="155" spans="1:59" s="702" customFormat="1" ht="25.5" x14ac:dyDescent="0.2">
      <c r="A155" s="700" t="str">
        <f t="shared" ca="1" si="11"/>
        <v>131</v>
      </c>
      <c r="B155" s="700" t="str">
        <f ca="1">OFFSET(ORÇAMENTO!C$15,ROW(B155)-ROW(B$15),0)</f>
        <v>S</v>
      </c>
      <c r="C155" s="700" t="str">
        <f ca="1">OFFSET(ORÇAMENTO!L$15,ROW(C155)-ROW(C$15),0)</f>
        <v/>
      </c>
      <c r="D155" s="117" t="str">
        <f ca="1">OFFSET(ORÇAMENTO!N$15,ROW(D155)-ROW(D$15),0)</f>
        <v>Serviço</v>
      </c>
      <c r="E155" s="118" t="str">
        <f ca="1">OFFSET(ORÇAMENTO!O$15,ROW(E155)-ROW(E$15),0)</f>
        <v>-</v>
      </c>
      <c r="F155" s="164" t="str">
        <f ca="1">OFFSET(ORÇAMENTO!R$15,ROW(F155)-ROW(F$15),0)</f>
        <v>(abra o arquivo 'Referência 09-2025.xlsm)</v>
      </c>
      <c r="G155" s="165" t="str">
        <f ca="1">IF($D155&lt;&gt;"Serviço","",OFFSET(ORÇAMENTO!S$15,ROW(G155)-ROW(G$15),0))</f>
        <v>-</v>
      </c>
      <c r="H155" s="123">
        <f ca="1">IF($D155&lt;&gt;"Serviço",0,IF(ACOMPANHAMENTO="BM",ROUND(OFFSET(ORÇAMENTO!AJ$15,ROW(H155)-ROW(H$15),0),15-13*ORÇAMENTO!$AF$7),SUMPRODUCT(($Q$1:$AA$1=1)*ROUND($Q155:$AA155,15-13*ORÇAMENTO!$AF$7))))</f>
        <v>2</v>
      </c>
      <c r="I155" s="469"/>
      <c r="J155" s="667" t="str">
        <f ca="1">IF(OR(B155&lt;&gt;"S",CÁLCULO.FrentesPreenchidas=0),"",IF(AND(ACOMPANHAMENTO="PLE",AUTOEVENTO="Manual",OR(H155&gt;0,ORÇAMENTO!AC155="QUANT."),OR(K155="",M155=0,N155="")),"►",IF(AND(ACOMPANHAMENTO="PLE",ORÇAMENTO!AC155="QUANT."),"►►",IF(AND(COUNTIF($P$11:$AA$11,"▼")=0,H155&gt;0,I155=""),"◄",""))))</f>
        <v/>
      </c>
      <c r="K155" s="668"/>
      <c r="L155" s="166" t="s">
        <v>765</v>
      </c>
      <c r="M155" s="167">
        <f ca="1">IF($D155&lt;&gt;"Serviço","",
          IF(AUTOEVENTO="manual",$A155,
                IF(ISERROR(MATCH($A155,$A$15:OFFSET($A155,-1,0),0)),MAX($M$15:OFFSET(M155,-1,0))+1,
                      INDEX($M$15:OFFSET(M155,-1,0),MATCH($A155,$A$15:OFFSET($A155,-1,0),0)))))</f>
        <v>16</v>
      </c>
      <c r="N155" s="168" t="str">
        <f ca="1">IF($D155&lt;&gt;"Serviço","",
         IF(AUTOEVENTO="Manual",
                IF($A155=0,"&lt;-- defina o número do agrupador",
                       OFFSET(EVENTOS!$D$15,$A155-$A$15,0)),
                OFFSET($F$15,$A155,0)))</f>
        <v>ELEVATÓRIA DE ESGOTO - MATERIAIS</v>
      </c>
      <c r="O155" s="169"/>
      <c r="Q155" s="169"/>
      <c r="R155" s="170"/>
      <c r="S155" s="170"/>
      <c r="T155" s="170"/>
      <c r="U155" s="170"/>
      <c r="V155" s="170"/>
      <c r="W155" s="170"/>
      <c r="X155" s="170"/>
      <c r="Y155" s="170"/>
      <c r="Z155" s="171"/>
      <c r="AB155" s="454">
        <f ca="1">IF(AND($D155="Serviço",AB$12&lt;&gt;0,$H155&gt;0,OR(AUTOEVENTO&lt;&gt;"manual",$M155&lt;&gt;$A$15)),
        IF(Import.TipoArredondamento&lt;&gt;"TransfereGOV",
              ROUND(OFFSET($P155,0,AB$13),15-13*ORÇAMENTO!$AF$7)/$H155*OFFSET(ORÇAMENTO!$X$15,ROW(AB155)-ROW(AB$15),0),
              ROUND(ROUND(OFFSET($P155,0,AB$13),15-13*ORÇAMENTO!$AF$7)*OFFSET(ORÇAMENTO!$W$15,ROW(AB155)-ROW(AB$15),0),15-13*ORÇAMENTO!$AF$11)),
         0)</f>
        <v>0</v>
      </c>
      <c r="AC155" s="454">
        <f ca="1">IF(AND($D155="Serviço",AC$12&lt;&gt;0,$H155&gt;0,OR(AUTOEVENTO&lt;&gt;"manual",$M155&lt;&gt;$A$15)),
        IF(Import.TipoArredondamento&lt;&gt;"TransfereGOV",
              ROUND(OFFSET($P155,0,AC$13),15-13*ORÇAMENTO!$AF$7)/$H155*OFFSET(ORÇAMENTO!$X$15,ROW(AC155)-ROW(AC$15),0),
              ROUND(ROUND(OFFSET($P155,0,AC$13),15-13*ORÇAMENTO!$AF$7)*OFFSET(ORÇAMENTO!$W$15,ROW(AC155)-ROW(AC$15),0),15-13*ORÇAMENTO!$AF$11)),
         0)</f>
        <v>0</v>
      </c>
      <c r="AD155" s="454">
        <f ca="1">IF(AND($D155="Serviço",AD$12&lt;&gt;0,$H155&gt;0,OR(AUTOEVENTO&lt;&gt;"manual",$M155&lt;&gt;$A$15)),
        IF(Import.TipoArredondamento&lt;&gt;"TransfereGOV",
              ROUND(OFFSET($P155,0,AD$13),15-13*ORÇAMENTO!$AF$7)/$H155*OFFSET(ORÇAMENTO!$X$15,ROW(AD155)-ROW(AD$15),0),
              ROUND(ROUND(OFFSET($P155,0,AD$13),15-13*ORÇAMENTO!$AF$7)*OFFSET(ORÇAMENTO!$W$15,ROW(AD155)-ROW(AD$15),0),15-13*ORÇAMENTO!$AF$11)),
         0)</f>
        <v>0</v>
      </c>
      <c r="AE155" s="454">
        <f ca="1">IF(AND($D155="Serviço",AE$12&lt;&gt;0,$H155&gt;0,OR(AUTOEVENTO&lt;&gt;"manual",$M155&lt;&gt;$A$15)),
        IF(Import.TipoArredondamento&lt;&gt;"TransfereGOV",
              ROUND(OFFSET($P155,0,AE$13),15-13*ORÇAMENTO!$AF$7)/$H155*OFFSET(ORÇAMENTO!$X$15,ROW(AE155)-ROW(AE$15),0),
              ROUND(ROUND(OFFSET($P155,0,AE$13),15-13*ORÇAMENTO!$AF$7)*OFFSET(ORÇAMENTO!$W$15,ROW(AE155)-ROW(AE$15),0),15-13*ORÇAMENTO!$AF$11)),
         0)</f>
        <v>0</v>
      </c>
      <c r="AF155" s="454">
        <f ca="1">IF(AND($D155="Serviço",AF$12&lt;&gt;0,$H155&gt;0,OR(AUTOEVENTO&lt;&gt;"manual",$M155&lt;&gt;$A$15)),
        IF(Import.TipoArredondamento&lt;&gt;"TransfereGOV",
              ROUND(OFFSET($P155,0,AF$13),15-13*ORÇAMENTO!$AF$7)/$H155*OFFSET(ORÇAMENTO!$X$15,ROW(AF155)-ROW(AF$15),0),
              ROUND(ROUND(OFFSET($P155,0,AF$13),15-13*ORÇAMENTO!$AF$7)*OFFSET(ORÇAMENTO!$W$15,ROW(AF155)-ROW(AF$15),0),15-13*ORÇAMENTO!$AF$11)),
         0)</f>
        <v>0</v>
      </c>
      <c r="AG155" s="454">
        <f ca="1">IF(AND($D155="Serviço",AG$12&lt;&gt;0,$H155&gt;0,OR(AUTOEVENTO&lt;&gt;"manual",$M155&lt;&gt;$A$15)),
        IF(Import.TipoArredondamento&lt;&gt;"TransfereGOV",
              ROUND(OFFSET($P155,0,AG$13),15-13*ORÇAMENTO!$AF$7)/$H155*OFFSET(ORÇAMENTO!$X$15,ROW(AG155)-ROW(AG$15),0),
              ROUND(ROUND(OFFSET($P155,0,AG$13),15-13*ORÇAMENTO!$AF$7)*OFFSET(ORÇAMENTO!$W$15,ROW(AG155)-ROW(AG$15),0),15-13*ORÇAMENTO!$AF$11)),
         0)</f>
        <v>0</v>
      </c>
      <c r="AH155" s="454">
        <f ca="1">IF(AND($D155="Serviço",AH$12&lt;&gt;0,$H155&gt;0,OR(AUTOEVENTO&lt;&gt;"manual",$M155&lt;&gt;$A$15)),
        IF(Import.TipoArredondamento&lt;&gt;"TransfereGOV",
              ROUND(OFFSET($P155,0,AH$13),15-13*ORÇAMENTO!$AF$7)/$H155*OFFSET(ORÇAMENTO!$X$15,ROW(AH155)-ROW(AH$15),0),
              ROUND(ROUND(OFFSET($P155,0,AH$13),15-13*ORÇAMENTO!$AF$7)*OFFSET(ORÇAMENTO!$W$15,ROW(AH155)-ROW(AH$15),0),15-13*ORÇAMENTO!$AF$11)),
         0)</f>
        <v>0</v>
      </c>
      <c r="AI155" s="454">
        <f ca="1">IF(AND($D155="Serviço",AI$12&lt;&gt;0,$H155&gt;0,OR(AUTOEVENTO&lt;&gt;"manual",$M155&lt;&gt;$A$15)),
        IF(Import.TipoArredondamento&lt;&gt;"TransfereGOV",
              ROUND(OFFSET($P155,0,AI$13),15-13*ORÇAMENTO!$AF$7)/$H155*OFFSET(ORÇAMENTO!$X$15,ROW(AI155)-ROW(AI$15),0),
              ROUND(ROUND(OFFSET($P155,0,AI$13),15-13*ORÇAMENTO!$AF$7)*OFFSET(ORÇAMENTO!$W$15,ROW(AI155)-ROW(AI$15),0),15-13*ORÇAMENTO!$AF$11)),
         0)</f>
        <v>0</v>
      </c>
      <c r="AJ155" s="454">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4">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M155" s="172">
        <f ca="1">IF(OR($D155&lt;&gt;"Serviço",AND(AUTOEVENTO="Manual",$M155=$A$15)),0,
         IF(OFFSET(CRONOPLE!$F$15,$M155-$A$15,AM$13)=0,10^12,OFFSET(CRONOPLE!$F$15,$M155-$A$15,AM$13)))</f>
        <v>1000000000000</v>
      </c>
      <c r="AN155" s="172">
        <f ca="1">IF(OR($D155&lt;&gt;"Serviço",AND(AUTOEVENTO="Manual",$M155=$A$15)),0,
         IF(OFFSET(CRONOPLE!$F$15,$M155-$A$15,AN$13)=0,10^12,OFFSET(CRONOPLE!$F$15,$M155-$A$15,AN$13)))</f>
        <v>1000000000000</v>
      </c>
      <c r="AO155" s="172">
        <f ca="1">IF(OR($D155&lt;&gt;"Serviço",AND(AUTOEVENTO="Manual",$M155=$A$15)),0,
         IF(OFFSET(CRONOPLE!$F$15,$M155-$A$15,AO$13)=0,10^12,OFFSET(CRONOPLE!$F$15,$M155-$A$15,AO$13)))</f>
        <v>1000000000000</v>
      </c>
      <c r="AP155" s="172">
        <f ca="1">IF(OR($D155&lt;&gt;"Serviço",AND(AUTOEVENTO="Manual",$M155=$A$15)),0,
         IF(OFFSET(CRONOPLE!$F$15,$M155-$A$15,AP$13)=0,10^12,OFFSET(CRONOPLE!$F$15,$M155-$A$15,AP$13)))</f>
        <v>1000000000000</v>
      </c>
      <c r="AQ155" s="172">
        <f ca="1">IF(OR($D155&lt;&gt;"Serviço",AND(AUTOEVENTO="Manual",$M155=$A$15)),0,
         IF(OFFSET(CRONOPLE!$F$15,$M155-$A$15,AQ$13)=0,10^12,OFFSET(CRONOPLE!$F$15,$M155-$A$15,AQ$13)))</f>
        <v>1000000000000</v>
      </c>
      <c r="AR155" s="172">
        <f ca="1">IF(OR($D155&lt;&gt;"Serviço",AND(AUTOEVENTO="Manual",$M155=$A$15)),0,
         IF(OFFSET(CRONOPLE!$F$15,$M155-$A$15,AR$13)=0,10^12,OFFSET(CRONOPLE!$F$15,$M155-$A$15,AR$13)))</f>
        <v>1000000000000</v>
      </c>
      <c r="AS155" s="172">
        <f ca="1">IF(OR($D155&lt;&gt;"Serviço",AND(AUTOEVENTO="Manual",$M155=$A$15)),0,
         IF(OFFSET(CRONOPLE!$F$15,$M155-$A$15,AS$13)=0,10^12,OFFSET(CRONOPLE!$F$15,$M155-$A$15,AS$13)))</f>
        <v>1000000000000</v>
      </c>
      <c r="AT155" s="172">
        <f ca="1">IF(OR($D155&lt;&gt;"Serviço",AND(AUTOEVENTO="Manual",$M155=$A$15)),0,
         IF(OFFSET(CRONOPLE!$F$15,$M155-$A$15,AT$13)=0,10^12,OFFSET(CRONOPLE!$F$15,$M155-$A$15,AT$13)))</f>
        <v>1000000000000</v>
      </c>
      <c r="AU155" s="172">
        <f ca="1">IF(OR($D155&lt;&gt;"Serviço",AND(AUTOEVENTO="Manual",$M155=$A$15)),0,
         IF(OFFSET(CRONOPLE!$F$15,$M155-$A$15,AU$13)=0,10^12,OFFSET(CRONOPLE!$F$15,$M155-$A$15,AU$13)))</f>
        <v>1000000000000</v>
      </c>
      <c r="AV155" s="172">
        <f ca="1">IF(OR($D155&lt;&gt;"Serviço",AND(AUTOEVENTO="Manual",$M155=$A$15)),0,
         IF(OFFSET(CRONOPLE!$F$15,$M155-$A$15,AV$13)=0,10^12,OFFSET(CRONOPLE!$F$15,$M155-$A$15,AV$13)))</f>
        <v>1000000000000</v>
      </c>
      <c r="AX155" s="173">
        <f ca="1">IF(OR($D155&lt;&gt;"Serviço",AND(AUTOEVENTO="Manual",$M155=$A$15),$M155&gt;(ROW(PLE.lastrow)-ROW(PLE.firstrow))),0,
           IF(OFFSET(PLE!$G$15,$M155-$A$15,AX$13)="",10^12,OFFSET(PLE!$G$15,$M155-$A$15,AX$13)))</f>
        <v>1000000000000</v>
      </c>
      <c r="AY155" s="173">
        <f ca="1">IF(OR($D155&lt;&gt;"Serviço",AND(AUTOEVENTO="Manual",$M155=$A$15),$M155&gt;(ROW(PLE.lastrow)-ROW(PLE.firstrow))),0,
           IF(OFFSET(PLE!$G$15,$M155-$A$15,AY$13)="",10^12,OFFSET(PLE!$G$15,$M155-$A$15,AY$13)))</f>
        <v>1000000000000</v>
      </c>
      <c r="AZ155" s="173">
        <f ca="1">IF(OR($D155&lt;&gt;"Serviço",AND(AUTOEVENTO="Manual",$M155=$A$15),$M155&gt;(ROW(PLE.lastrow)-ROW(PLE.firstrow))),0,
           IF(OFFSET(PLE!$G$15,$M155-$A$15,AZ$13)="",10^12,OFFSET(PLE!$G$15,$M155-$A$15,AZ$13)))</f>
        <v>1000000000000</v>
      </c>
      <c r="BA155" s="173">
        <f ca="1">IF(OR($D155&lt;&gt;"Serviço",AND(AUTOEVENTO="Manual",$M155=$A$15),$M155&gt;(ROW(PLE.lastrow)-ROW(PLE.firstrow))),0,
           IF(OFFSET(PLE!$G$15,$M155-$A$15,BA$13)="",10^12,OFFSET(PLE!$G$15,$M155-$A$15,BA$13)))</f>
        <v>1000000000000</v>
      </c>
      <c r="BB155" s="173">
        <f ca="1">IF(OR($D155&lt;&gt;"Serviço",AND(AUTOEVENTO="Manual",$M155=$A$15),$M155&gt;(ROW(PLE.lastrow)-ROW(PLE.firstrow))),0,
           IF(OFFSET(PLE!$G$15,$M155-$A$15,BB$13)="",10^12,OFFSET(PLE!$G$15,$M155-$A$15,BB$13)))</f>
        <v>1000000000000</v>
      </c>
      <c r="BC155" s="173">
        <f ca="1">IF(OR($D155&lt;&gt;"Serviço",AND(AUTOEVENTO="Manual",$M155=$A$15),$M155&gt;(ROW(PLE.lastrow)-ROW(PLE.firstrow))),0,
           IF(OFFSET(PLE!$G$15,$M155-$A$15,BC$13)="",10^12,OFFSET(PLE!$G$15,$M155-$A$15,BC$13)))</f>
        <v>1000000000000</v>
      </c>
      <c r="BD155" s="173">
        <f ca="1">IF(OR($D155&lt;&gt;"Serviço",AND(AUTOEVENTO="Manual",$M155=$A$15),$M155&gt;(ROW(PLE.lastrow)-ROW(PLE.firstrow))),0,
           IF(OFFSET(PLE!$G$15,$M155-$A$15,BD$13)="",10^12,OFFSET(PLE!$G$15,$M155-$A$15,BD$13)))</f>
        <v>1000000000000</v>
      </c>
      <c r="BE155" s="173">
        <f ca="1">IF(OR($D155&lt;&gt;"Serviço",AND(AUTOEVENTO="Manual",$M155=$A$15),$M155&gt;(ROW(PLE.lastrow)-ROW(PLE.firstrow))),0,
           IF(OFFSET(PLE!$G$15,$M155-$A$15,BE$13)="",10^12,OFFSET(PLE!$G$15,$M155-$A$15,BE$13)))</f>
        <v>1000000000000</v>
      </c>
      <c r="BF155" s="173">
        <f ca="1">IF(OR($D155&lt;&gt;"Serviço",AND(AUTOEVENTO="Manual",$M155=$A$15),$M155&gt;(ROW(PLE.lastrow)-ROW(PLE.firstrow))),0,
           IF(OFFSET(PLE!$G$15,$M155-$A$15,BF$13)="",10^12,OFFSET(PLE!$G$15,$M155-$A$15,BF$13)))</f>
        <v>1000000000000</v>
      </c>
      <c r="BG155" s="173">
        <f ca="1">IF(OR($D155&lt;&gt;"Serviço",AND(AUTOEVENTO="Manual",$M155=$A$15),$M155&gt;(ROW(PLE.lastrow)-ROW(PLE.firstrow))),0,
           IF(OFFSET(PLE!$G$15,$M155-$A$15,BG$13)="",10^12,OFFSET(PLE!$G$15,$M155-$A$15,BG$13)))</f>
        <v>1000000000000</v>
      </c>
    </row>
    <row r="156" spans="1:59" s="702" customFormat="1" ht="25.5" x14ac:dyDescent="0.2">
      <c r="A156" s="700" t="str">
        <f t="shared" ca="1" si="11"/>
        <v>131</v>
      </c>
      <c r="B156" s="700" t="str">
        <f ca="1">OFFSET(ORÇAMENTO!C$15,ROW(B156)-ROW(B$15),0)</f>
        <v>S</v>
      </c>
      <c r="C156" s="700" t="str">
        <f ca="1">OFFSET(ORÇAMENTO!L$15,ROW(C156)-ROW(C$15),0)</f>
        <v/>
      </c>
      <c r="D156" s="117" t="str">
        <f ca="1">OFFSET(ORÇAMENTO!N$15,ROW(D156)-ROW(D$15),0)</f>
        <v>Serviço</v>
      </c>
      <c r="E156" s="118" t="str">
        <f ca="1">OFFSET(ORÇAMENTO!O$15,ROW(E156)-ROW(E$15),0)</f>
        <v>-</v>
      </c>
      <c r="F156" s="164" t="str">
        <f ca="1">OFFSET(ORÇAMENTO!R$15,ROW(F156)-ROW(F$15),0)</f>
        <v>(abra o arquivo 'Referência 09-2025.xlsm)</v>
      </c>
      <c r="G156" s="165" t="str">
        <f ca="1">IF($D156&lt;&gt;"Serviço","",OFFSET(ORÇAMENTO!S$15,ROW(G156)-ROW(G$15),0))</f>
        <v>-</v>
      </c>
      <c r="H156" s="123">
        <f ca="1">IF($D156&lt;&gt;"Serviço",0,IF(ACOMPANHAMENTO="BM",ROUND(OFFSET(ORÇAMENTO!AJ$15,ROW(H156)-ROW(H$15),0),15-13*ORÇAMENTO!$AF$7),SUMPRODUCT(($Q$1:$AA$1=1)*ROUND($Q156:$AA156,15-13*ORÇAMENTO!$AF$7))))</f>
        <v>2</v>
      </c>
      <c r="I156" s="469"/>
      <c r="J156" s="667" t="str">
        <f ca="1">IF(OR(B156&lt;&gt;"S",CÁLCULO.FrentesPreenchidas=0),"",IF(AND(ACOMPANHAMENTO="PLE",AUTOEVENTO="Manual",OR(H156&gt;0,ORÇAMENTO!AC156="QUANT."),OR(K156="",M156=0,N156="")),"►",IF(AND(ACOMPANHAMENTO="PLE",ORÇAMENTO!AC156="QUANT."),"►►",IF(AND(COUNTIF($P$11:$AA$11,"▼")=0,H156&gt;0,I156=""),"◄",""))))</f>
        <v/>
      </c>
      <c r="K156" s="668"/>
      <c r="L156" s="166" t="s">
        <v>765</v>
      </c>
      <c r="M156" s="167">
        <f ca="1">IF($D156&lt;&gt;"Serviço","",
          IF(AUTOEVENTO="manual",$A156,
                IF(ISERROR(MATCH($A156,$A$15:OFFSET($A156,-1,0),0)),MAX($M$15:OFFSET(M156,-1,0))+1,
                      INDEX($M$15:OFFSET(M156,-1,0),MATCH($A156,$A$15:OFFSET($A156,-1,0),0)))))</f>
        <v>16</v>
      </c>
      <c r="N156" s="168" t="str">
        <f ca="1">IF($D156&lt;&gt;"Serviço","",
         IF(AUTOEVENTO="Manual",
                IF($A156=0,"&lt;-- defina o número do agrupador",
                       OFFSET(EVENTOS!$D$15,$A156-$A$15,0)),
                OFFSET($F$15,$A156,0)))</f>
        <v>ELEVATÓRIA DE ESGOTO - MATERIAIS</v>
      </c>
      <c r="O156" s="169"/>
      <c r="Q156" s="169"/>
      <c r="R156" s="170"/>
      <c r="S156" s="170"/>
      <c r="T156" s="170"/>
      <c r="U156" s="170"/>
      <c r="V156" s="170"/>
      <c r="W156" s="170"/>
      <c r="X156" s="170"/>
      <c r="Y156" s="170"/>
      <c r="Z156" s="171"/>
      <c r="AB156" s="454">
        <f ca="1">IF(AND($D156="Serviço",AB$12&lt;&gt;0,$H156&gt;0,OR(AUTOEVENTO&lt;&gt;"manual",$M156&lt;&gt;$A$15)),
        IF(Import.TipoArredondamento&lt;&gt;"TransfereGOV",
              ROUND(OFFSET($P156,0,AB$13),15-13*ORÇAMENTO!$AF$7)/$H156*OFFSET(ORÇAMENTO!$X$15,ROW(AB156)-ROW(AB$15),0),
              ROUND(ROUND(OFFSET($P156,0,AB$13),15-13*ORÇAMENTO!$AF$7)*OFFSET(ORÇAMENTO!$W$15,ROW(AB156)-ROW(AB$15),0),15-13*ORÇAMENTO!$AF$11)),
         0)</f>
        <v>0</v>
      </c>
      <c r="AC156" s="454">
        <f ca="1">IF(AND($D156="Serviço",AC$12&lt;&gt;0,$H156&gt;0,OR(AUTOEVENTO&lt;&gt;"manual",$M156&lt;&gt;$A$15)),
        IF(Import.TipoArredondamento&lt;&gt;"TransfereGOV",
              ROUND(OFFSET($P156,0,AC$13),15-13*ORÇAMENTO!$AF$7)/$H156*OFFSET(ORÇAMENTO!$X$15,ROW(AC156)-ROW(AC$15),0),
              ROUND(ROUND(OFFSET($P156,0,AC$13),15-13*ORÇAMENTO!$AF$7)*OFFSET(ORÇAMENTO!$W$15,ROW(AC156)-ROW(AC$15),0),15-13*ORÇAMENTO!$AF$11)),
         0)</f>
        <v>0</v>
      </c>
      <c r="AD156" s="454">
        <f ca="1">IF(AND($D156="Serviço",AD$12&lt;&gt;0,$H156&gt;0,OR(AUTOEVENTO&lt;&gt;"manual",$M156&lt;&gt;$A$15)),
        IF(Import.TipoArredondamento&lt;&gt;"TransfereGOV",
              ROUND(OFFSET($P156,0,AD$13),15-13*ORÇAMENTO!$AF$7)/$H156*OFFSET(ORÇAMENTO!$X$15,ROW(AD156)-ROW(AD$15),0),
              ROUND(ROUND(OFFSET($P156,0,AD$13),15-13*ORÇAMENTO!$AF$7)*OFFSET(ORÇAMENTO!$W$15,ROW(AD156)-ROW(AD$15),0),15-13*ORÇAMENTO!$AF$11)),
         0)</f>
        <v>0</v>
      </c>
      <c r="AE156" s="454">
        <f ca="1">IF(AND($D156="Serviço",AE$12&lt;&gt;0,$H156&gt;0,OR(AUTOEVENTO&lt;&gt;"manual",$M156&lt;&gt;$A$15)),
        IF(Import.TipoArredondamento&lt;&gt;"TransfereGOV",
              ROUND(OFFSET($P156,0,AE$13),15-13*ORÇAMENTO!$AF$7)/$H156*OFFSET(ORÇAMENTO!$X$15,ROW(AE156)-ROW(AE$15),0),
              ROUND(ROUND(OFFSET($P156,0,AE$13),15-13*ORÇAMENTO!$AF$7)*OFFSET(ORÇAMENTO!$W$15,ROW(AE156)-ROW(AE$15),0),15-13*ORÇAMENTO!$AF$11)),
         0)</f>
        <v>0</v>
      </c>
      <c r="AF156" s="454">
        <f ca="1">IF(AND($D156="Serviço",AF$12&lt;&gt;0,$H156&gt;0,OR(AUTOEVENTO&lt;&gt;"manual",$M156&lt;&gt;$A$15)),
        IF(Import.TipoArredondamento&lt;&gt;"TransfereGOV",
              ROUND(OFFSET($P156,0,AF$13),15-13*ORÇAMENTO!$AF$7)/$H156*OFFSET(ORÇAMENTO!$X$15,ROW(AF156)-ROW(AF$15),0),
              ROUND(ROUND(OFFSET($P156,0,AF$13),15-13*ORÇAMENTO!$AF$7)*OFFSET(ORÇAMENTO!$W$15,ROW(AF156)-ROW(AF$15),0),15-13*ORÇAMENTO!$AF$11)),
         0)</f>
        <v>0</v>
      </c>
      <c r="AG156" s="454">
        <f ca="1">IF(AND($D156="Serviço",AG$12&lt;&gt;0,$H156&gt;0,OR(AUTOEVENTO&lt;&gt;"manual",$M156&lt;&gt;$A$15)),
        IF(Import.TipoArredondamento&lt;&gt;"TransfereGOV",
              ROUND(OFFSET($P156,0,AG$13),15-13*ORÇAMENTO!$AF$7)/$H156*OFFSET(ORÇAMENTO!$X$15,ROW(AG156)-ROW(AG$15),0),
              ROUND(ROUND(OFFSET($P156,0,AG$13),15-13*ORÇAMENTO!$AF$7)*OFFSET(ORÇAMENTO!$W$15,ROW(AG156)-ROW(AG$15),0),15-13*ORÇAMENTO!$AF$11)),
         0)</f>
        <v>0</v>
      </c>
      <c r="AH156" s="454">
        <f ca="1">IF(AND($D156="Serviço",AH$12&lt;&gt;0,$H156&gt;0,OR(AUTOEVENTO&lt;&gt;"manual",$M156&lt;&gt;$A$15)),
        IF(Import.TipoArredondamento&lt;&gt;"TransfereGOV",
              ROUND(OFFSET($P156,0,AH$13),15-13*ORÇAMENTO!$AF$7)/$H156*OFFSET(ORÇAMENTO!$X$15,ROW(AH156)-ROW(AH$15),0),
              ROUND(ROUND(OFFSET($P156,0,AH$13),15-13*ORÇAMENTO!$AF$7)*OFFSET(ORÇAMENTO!$W$15,ROW(AH156)-ROW(AH$15),0),15-13*ORÇAMENTO!$AF$11)),
         0)</f>
        <v>0</v>
      </c>
      <c r="AI156" s="454">
        <f ca="1">IF(AND($D156="Serviço",AI$12&lt;&gt;0,$H156&gt;0,OR(AUTOEVENTO&lt;&gt;"manual",$M156&lt;&gt;$A$15)),
        IF(Import.TipoArredondamento&lt;&gt;"TransfereGOV",
              ROUND(OFFSET($P156,0,AI$13),15-13*ORÇAMENTO!$AF$7)/$H156*OFFSET(ORÇAMENTO!$X$15,ROW(AI156)-ROW(AI$15),0),
              ROUND(ROUND(OFFSET($P156,0,AI$13),15-13*ORÇAMENTO!$AF$7)*OFFSET(ORÇAMENTO!$W$15,ROW(AI156)-ROW(AI$15),0),15-13*ORÇAMENTO!$AF$11)),
         0)</f>
        <v>0</v>
      </c>
      <c r="AJ156" s="454">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4">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M156" s="172">
        <f ca="1">IF(OR($D156&lt;&gt;"Serviço",AND(AUTOEVENTO="Manual",$M156=$A$15)),0,
         IF(OFFSET(CRONOPLE!$F$15,$M156-$A$15,AM$13)=0,10^12,OFFSET(CRONOPLE!$F$15,$M156-$A$15,AM$13)))</f>
        <v>1000000000000</v>
      </c>
      <c r="AN156" s="172">
        <f ca="1">IF(OR($D156&lt;&gt;"Serviço",AND(AUTOEVENTO="Manual",$M156=$A$15)),0,
         IF(OFFSET(CRONOPLE!$F$15,$M156-$A$15,AN$13)=0,10^12,OFFSET(CRONOPLE!$F$15,$M156-$A$15,AN$13)))</f>
        <v>1000000000000</v>
      </c>
      <c r="AO156" s="172">
        <f ca="1">IF(OR($D156&lt;&gt;"Serviço",AND(AUTOEVENTO="Manual",$M156=$A$15)),0,
         IF(OFFSET(CRONOPLE!$F$15,$M156-$A$15,AO$13)=0,10^12,OFFSET(CRONOPLE!$F$15,$M156-$A$15,AO$13)))</f>
        <v>1000000000000</v>
      </c>
      <c r="AP156" s="172">
        <f ca="1">IF(OR($D156&lt;&gt;"Serviço",AND(AUTOEVENTO="Manual",$M156=$A$15)),0,
         IF(OFFSET(CRONOPLE!$F$15,$M156-$A$15,AP$13)=0,10^12,OFFSET(CRONOPLE!$F$15,$M156-$A$15,AP$13)))</f>
        <v>1000000000000</v>
      </c>
      <c r="AQ156" s="172">
        <f ca="1">IF(OR($D156&lt;&gt;"Serviço",AND(AUTOEVENTO="Manual",$M156=$A$15)),0,
         IF(OFFSET(CRONOPLE!$F$15,$M156-$A$15,AQ$13)=0,10^12,OFFSET(CRONOPLE!$F$15,$M156-$A$15,AQ$13)))</f>
        <v>1000000000000</v>
      </c>
      <c r="AR156" s="172">
        <f ca="1">IF(OR($D156&lt;&gt;"Serviço",AND(AUTOEVENTO="Manual",$M156=$A$15)),0,
         IF(OFFSET(CRONOPLE!$F$15,$M156-$A$15,AR$13)=0,10^12,OFFSET(CRONOPLE!$F$15,$M156-$A$15,AR$13)))</f>
        <v>1000000000000</v>
      </c>
      <c r="AS156" s="172">
        <f ca="1">IF(OR($D156&lt;&gt;"Serviço",AND(AUTOEVENTO="Manual",$M156=$A$15)),0,
         IF(OFFSET(CRONOPLE!$F$15,$M156-$A$15,AS$13)=0,10^12,OFFSET(CRONOPLE!$F$15,$M156-$A$15,AS$13)))</f>
        <v>1000000000000</v>
      </c>
      <c r="AT156" s="172">
        <f ca="1">IF(OR($D156&lt;&gt;"Serviço",AND(AUTOEVENTO="Manual",$M156=$A$15)),0,
         IF(OFFSET(CRONOPLE!$F$15,$M156-$A$15,AT$13)=0,10^12,OFFSET(CRONOPLE!$F$15,$M156-$A$15,AT$13)))</f>
        <v>1000000000000</v>
      </c>
      <c r="AU156" s="172">
        <f ca="1">IF(OR($D156&lt;&gt;"Serviço",AND(AUTOEVENTO="Manual",$M156=$A$15)),0,
         IF(OFFSET(CRONOPLE!$F$15,$M156-$A$15,AU$13)=0,10^12,OFFSET(CRONOPLE!$F$15,$M156-$A$15,AU$13)))</f>
        <v>1000000000000</v>
      </c>
      <c r="AV156" s="172">
        <f ca="1">IF(OR($D156&lt;&gt;"Serviço",AND(AUTOEVENTO="Manual",$M156=$A$15)),0,
         IF(OFFSET(CRONOPLE!$F$15,$M156-$A$15,AV$13)=0,10^12,OFFSET(CRONOPLE!$F$15,$M156-$A$15,AV$13)))</f>
        <v>1000000000000</v>
      </c>
      <c r="AX156" s="173">
        <f ca="1">IF(OR($D156&lt;&gt;"Serviço",AND(AUTOEVENTO="Manual",$M156=$A$15),$M156&gt;(ROW(PLE.lastrow)-ROW(PLE.firstrow))),0,
           IF(OFFSET(PLE!$G$15,$M156-$A$15,AX$13)="",10^12,OFFSET(PLE!$G$15,$M156-$A$15,AX$13)))</f>
        <v>1000000000000</v>
      </c>
      <c r="AY156" s="173">
        <f ca="1">IF(OR($D156&lt;&gt;"Serviço",AND(AUTOEVENTO="Manual",$M156=$A$15),$M156&gt;(ROW(PLE.lastrow)-ROW(PLE.firstrow))),0,
           IF(OFFSET(PLE!$G$15,$M156-$A$15,AY$13)="",10^12,OFFSET(PLE!$G$15,$M156-$A$15,AY$13)))</f>
        <v>1000000000000</v>
      </c>
      <c r="AZ156" s="173">
        <f ca="1">IF(OR($D156&lt;&gt;"Serviço",AND(AUTOEVENTO="Manual",$M156=$A$15),$M156&gt;(ROW(PLE.lastrow)-ROW(PLE.firstrow))),0,
           IF(OFFSET(PLE!$G$15,$M156-$A$15,AZ$13)="",10^12,OFFSET(PLE!$G$15,$M156-$A$15,AZ$13)))</f>
        <v>1000000000000</v>
      </c>
      <c r="BA156" s="173">
        <f ca="1">IF(OR($D156&lt;&gt;"Serviço",AND(AUTOEVENTO="Manual",$M156=$A$15),$M156&gt;(ROW(PLE.lastrow)-ROW(PLE.firstrow))),0,
           IF(OFFSET(PLE!$G$15,$M156-$A$15,BA$13)="",10^12,OFFSET(PLE!$G$15,$M156-$A$15,BA$13)))</f>
        <v>1000000000000</v>
      </c>
      <c r="BB156" s="173">
        <f ca="1">IF(OR($D156&lt;&gt;"Serviço",AND(AUTOEVENTO="Manual",$M156=$A$15),$M156&gt;(ROW(PLE.lastrow)-ROW(PLE.firstrow))),0,
           IF(OFFSET(PLE!$G$15,$M156-$A$15,BB$13)="",10^12,OFFSET(PLE!$G$15,$M156-$A$15,BB$13)))</f>
        <v>1000000000000</v>
      </c>
      <c r="BC156" s="173">
        <f ca="1">IF(OR($D156&lt;&gt;"Serviço",AND(AUTOEVENTO="Manual",$M156=$A$15),$M156&gt;(ROW(PLE.lastrow)-ROW(PLE.firstrow))),0,
           IF(OFFSET(PLE!$G$15,$M156-$A$15,BC$13)="",10^12,OFFSET(PLE!$G$15,$M156-$A$15,BC$13)))</f>
        <v>1000000000000</v>
      </c>
      <c r="BD156" s="173">
        <f ca="1">IF(OR($D156&lt;&gt;"Serviço",AND(AUTOEVENTO="Manual",$M156=$A$15),$M156&gt;(ROW(PLE.lastrow)-ROW(PLE.firstrow))),0,
           IF(OFFSET(PLE!$G$15,$M156-$A$15,BD$13)="",10^12,OFFSET(PLE!$G$15,$M156-$A$15,BD$13)))</f>
        <v>1000000000000</v>
      </c>
      <c r="BE156" s="173">
        <f ca="1">IF(OR($D156&lt;&gt;"Serviço",AND(AUTOEVENTO="Manual",$M156=$A$15),$M156&gt;(ROW(PLE.lastrow)-ROW(PLE.firstrow))),0,
           IF(OFFSET(PLE!$G$15,$M156-$A$15,BE$13)="",10^12,OFFSET(PLE!$G$15,$M156-$A$15,BE$13)))</f>
        <v>1000000000000</v>
      </c>
      <c r="BF156" s="173">
        <f ca="1">IF(OR($D156&lt;&gt;"Serviço",AND(AUTOEVENTO="Manual",$M156=$A$15),$M156&gt;(ROW(PLE.lastrow)-ROW(PLE.firstrow))),0,
           IF(OFFSET(PLE!$G$15,$M156-$A$15,BF$13)="",10^12,OFFSET(PLE!$G$15,$M156-$A$15,BF$13)))</f>
        <v>1000000000000</v>
      </c>
      <c r="BG156" s="173">
        <f ca="1">IF(OR($D156&lt;&gt;"Serviço",AND(AUTOEVENTO="Manual",$M156=$A$15),$M156&gt;(ROW(PLE.lastrow)-ROW(PLE.firstrow))),0,
           IF(OFFSET(PLE!$G$15,$M156-$A$15,BG$13)="",10^12,OFFSET(PLE!$G$15,$M156-$A$15,BG$13)))</f>
        <v>1000000000000</v>
      </c>
    </row>
    <row r="157" spans="1:59" s="702" customFormat="1" ht="25.5" x14ac:dyDescent="0.2">
      <c r="A157" s="700" t="str">
        <f t="shared" ca="1" si="11"/>
        <v>131</v>
      </c>
      <c r="B157" s="700" t="str">
        <f ca="1">OFFSET(ORÇAMENTO!C$15,ROW(B157)-ROW(B$15),0)</f>
        <v>S</v>
      </c>
      <c r="C157" s="700" t="str">
        <f ca="1">OFFSET(ORÇAMENTO!L$15,ROW(C157)-ROW(C$15),0)</f>
        <v/>
      </c>
      <c r="D157" s="117" t="str">
        <f ca="1">OFFSET(ORÇAMENTO!N$15,ROW(D157)-ROW(D$15),0)</f>
        <v>Serviço</v>
      </c>
      <c r="E157" s="118" t="str">
        <f ca="1">OFFSET(ORÇAMENTO!O$15,ROW(E157)-ROW(E$15),0)</f>
        <v>-</v>
      </c>
      <c r="F157" s="164" t="str">
        <f ca="1">OFFSET(ORÇAMENTO!R$15,ROW(F157)-ROW(F$15),0)</f>
        <v>(abra o arquivo 'Referência 09-2025.xlsm)</v>
      </c>
      <c r="G157" s="165" t="str">
        <f ca="1">IF($D157&lt;&gt;"Serviço","",OFFSET(ORÇAMENTO!S$15,ROW(G157)-ROW(G$15),0))</f>
        <v>-</v>
      </c>
      <c r="H157" s="123">
        <f ca="1">IF($D157&lt;&gt;"Serviço",0,IF(ACOMPANHAMENTO="BM",ROUND(OFFSET(ORÇAMENTO!AJ$15,ROW(H157)-ROW(H$15),0),15-13*ORÇAMENTO!$AF$7),SUMPRODUCT(($Q$1:$AA$1=1)*ROUND($Q157:$AA157,15-13*ORÇAMENTO!$AF$7))))</f>
        <v>6</v>
      </c>
      <c r="I157" s="469"/>
      <c r="J157" s="667" t="str">
        <f ca="1">IF(OR(B157&lt;&gt;"S",CÁLCULO.FrentesPreenchidas=0),"",IF(AND(ACOMPANHAMENTO="PLE",AUTOEVENTO="Manual",OR(H157&gt;0,ORÇAMENTO!AC157="QUANT."),OR(K157="",M157=0,N157="")),"►",IF(AND(ACOMPANHAMENTO="PLE",ORÇAMENTO!AC157="QUANT."),"►►",IF(AND(COUNTIF($P$11:$AA$11,"▼")=0,H157&gt;0,I157=""),"◄",""))))</f>
        <v/>
      </c>
      <c r="K157" s="668"/>
      <c r="L157" s="166" t="s">
        <v>765</v>
      </c>
      <c r="M157" s="167">
        <f ca="1">IF($D157&lt;&gt;"Serviço","",
          IF(AUTOEVENTO="manual",$A157,
                IF(ISERROR(MATCH($A157,$A$15:OFFSET($A157,-1,0),0)),MAX($M$15:OFFSET(M157,-1,0))+1,
                      INDEX($M$15:OFFSET(M157,-1,0),MATCH($A157,$A$15:OFFSET($A157,-1,0),0)))))</f>
        <v>16</v>
      </c>
      <c r="N157" s="168" t="str">
        <f ca="1">IF($D157&lt;&gt;"Serviço","",
         IF(AUTOEVENTO="Manual",
                IF($A157=0,"&lt;-- defina o número do agrupador",
                       OFFSET(EVENTOS!$D$15,$A157-$A$15,0)),
                OFFSET($F$15,$A157,0)))</f>
        <v>ELEVATÓRIA DE ESGOTO - MATERIAIS</v>
      </c>
      <c r="O157" s="169"/>
      <c r="Q157" s="169"/>
      <c r="R157" s="170"/>
      <c r="S157" s="170"/>
      <c r="T157" s="170"/>
      <c r="U157" s="170"/>
      <c r="V157" s="170"/>
      <c r="W157" s="170"/>
      <c r="X157" s="170"/>
      <c r="Y157" s="170"/>
      <c r="Z157" s="171"/>
      <c r="AB157" s="454">
        <f ca="1">IF(AND($D157="Serviço",AB$12&lt;&gt;0,$H157&gt;0,OR(AUTOEVENTO&lt;&gt;"manual",$M157&lt;&gt;$A$15)),
        IF(Import.TipoArredondamento&lt;&gt;"TransfereGOV",
              ROUND(OFFSET($P157,0,AB$13),15-13*ORÇAMENTO!$AF$7)/$H157*OFFSET(ORÇAMENTO!$X$15,ROW(AB157)-ROW(AB$15),0),
              ROUND(ROUND(OFFSET($P157,0,AB$13),15-13*ORÇAMENTO!$AF$7)*OFFSET(ORÇAMENTO!$W$15,ROW(AB157)-ROW(AB$15),0),15-13*ORÇAMENTO!$AF$11)),
         0)</f>
        <v>0</v>
      </c>
      <c r="AC157" s="454">
        <f ca="1">IF(AND($D157="Serviço",AC$12&lt;&gt;0,$H157&gt;0,OR(AUTOEVENTO&lt;&gt;"manual",$M157&lt;&gt;$A$15)),
        IF(Import.TipoArredondamento&lt;&gt;"TransfereGOV",
              ROUND(OFFSET($P157,0,AC$13),15-13*ORÇAMENTO!$AF$7)/$H157*OFFSET(ORÇAMENTO!$X$15,ROW(AC157)-ROW(AC$15),0),
              ROUND(ROUND(OFFSET($P157,0,AC$13),15-13*ORÇAMENTO!$AF$7)*OFFSET(ORÇAMENTO!$W$15,ROW(AC157)-ROW(AC$15),0),15-13*ORÇAMENTO!$AF$11)),
         0)</f>
        <v>0</v>
      </c>
      <c r="AD157" s="454">
        <f ca="1">IF(AND($D157="Serviço",AD$12&lt;&gt;0,$H157&gt;0,OR(AUTOEVENTO&lt;&gt;"manual",$M157&lt;&gt;$A$15)),
        IF(Import.TipoArredondamento&lt;&gt;"TransfereGOV",
              ROUND(OFFSET($P157,0,AD$13),15-13*ORÇAMENTO!$AF$7)/$H157*OFFSET(ORÇAMENTO!$X$15,ROW(AD157)-ROW(AD$15),0),
              ROUND(ROUND(OFFSET($P157,0,AD$13),15-13*ORÇAMENTO!$AF$7)*OFFSET(ORÇAMENTO!$W$15,ROW(AD157)-ROW(AD$15),0),15-13*ORÇAMENTO!$AF$11)),
         0)</f>
        <v>0</v>
      </c>
      <c r="AE157" s="454">
        <f ca="1">IF(AND($D157="Serviço",AE$12&lt;&gt;0,$H157&gt;0,OR(AUTOEVENTO&lt;&gt;"manual",$M157&lt;&gt;$A$15)),
        IF(Import.TipoArredondamento&lt;&gt;"TransfereGOV",
              ROUND(OFFSET($P157,0,AE$13),15-13*ORÇAMENTO!$AF$7)/$H157*OFFSET(ORÇAMENTO!$X$15,ROW(AE157)-ROW(AE$15),0),
              ROUND(ROUND(OFFSET($P157,0,AE$13),15-13*ORÇAMENTO!$AF$7)*OFFSET(ORÇAMENTO!$W$15,ROW(AE157)-ROW(AE$15),0),15-13*ORÇAMENTO!$AF$11)),
         0)</f>
        <v>0</v>
      </c>
      <c r="AF157" s="454">
        <f ca="1">IF(AND($D157="Serviço",AF$12&lt;&gt;0,$H157&gt;0,OR(AUTOEVENTO&lt;&gt;"manual",$M157&lt;&gt;$A$15)),
        IF(Import.TipoArredondamento&lt;&gt;"TransfereGOV",
              ROUND(OFFSET($P157,0,AF$13),15-13*ORÇAMENTO!$AF$7)/$H157*OFFSET(ORÇAMENTO!$X$15,ROW(AF157)-ROW(AF$15),0),
              ROUND(ROUND(OFFSET($P157,0,AF$13),15-13*ORÇAMENTO!$AF$7)*OFFSET(ORÇAMENTO!$W$15,ROW(AF157)-ROW(AF$15),0),15-13*ORÇAMENTO!$AF$11)),
         0)</f>
        <v>0</v>
      </c>
      <c r="AG157" s="454">
        <f ca="1">IF(AND($D157="Serviço",AG$12&lt;&gt;0,$H157&gt;0,OR(AUTOEVENTO&lt;&gt;"manual",$M157&lt;&gt;$A$15)),
        IF(Import.TipoArredondamento&lt;&gt;"TransfereGOV",
              ROUND(OFFSET($P157,0,AG$13),15-13*ORÇAMENTO!$AF$7)/$H157*OFFSET(ORÇAMENTO!$X$15,ROW(AG157)-ROW(AG$15),0),
              ROUND(ROUND(OFFSET($P157,0,AG$13),15-13*ORÇAMENTO!$AF$7)*OFFSET(ORÇAMENTO!$W$15,ROW(AG157)-ROW(AG$15),0),15-13*ORÇAMENTO!$AF$11)),
         0)</f>
        <v>0</v>
      </c>
      <c r="AH157" s="454">
        <f ca="1">IF(AND($D157="Serviço",AH$12&lt;&gt;0,$H157&gt;0,OR(AUTOEVENTO&lt;&gt;"manual",$M157&lt;&gt;$A$15)),
        IF(Import.TipoArredondamento&lt;&gt;"TransfereGOV",
              ROUND(OFFSET($P157,0,AH$13),15-13*ORÇAMENTO!$AF$7)/$H157*OFFSET(ORÇAMENTO!$X$15,ROW(AH157)-ROW(AH$15),0),
              ROUND(ROUND(OFFSET($P157,0,AH$13),15-13*ORÇAMENTO!$AF$7)*OFFSET(ORÇAMENTO!$W$15,ROW(AH157)-ROW(AH$15),0),15-13*ORÇAMENTO!$AF$11)),
         0)</f>
        <v>0</v>
      </c>
      <c r="AI157" s="454">
        <f ca="1">IF(AND($D157="Serviço",AI$12&lt;&gt;0,$H157&gt;0,OR(AUTOEVENTO&lt;&gt;"manual",$M157&lt;&gt;$A$15)),
        IF(Import.TipoArredondamento&lt;&gt;"TransfereGOV",
              ROUND(OFFSET($P157,0,AI$13),15-13*ORÇAMENTO!$AF$7)/$H157*OFFSET(ORÇAMENTO!$X$15,ROW(AI157)-ROW(AI$15),0),
              ROUND(ROUND(OFFSET($P157,0,AI$13),15-13*ORÇAMENTO!$AF$7)*OFFSET(ORÇAMENTO!$W$15,ROW(AI157)-ROW(AI$15),0),15-13*ORÇAMENTO!$AF$11)),
         0)</f>
        <v>0</v>
      </c>
      <c r="AJ157" s="454">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4">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M157" s="172">
        <f ca="1">IF(OR($D157&lt;&gt;"Serviço",AND(AUTOEVENTO="Manual",$M157=$A$15)),0,
         IF(OFFSET(CRONOPLE!$F$15,$M157-$A$15,AM$13)=0,10^12,OFFSET(CRONOPLE!$F$15,$M157-$A$15,AM$13)))</f>
        <v>1000000000000</v>
      </c>
      <c r="AN157" s="172">
        <f ca="1">IF(OR($D157&lt;&gt;"Serviço",AND(AUTOEVENTO="Manual",$M157=$A$15)),0,
         IF(OFFSET(CRONOPLE!$F$15,$M157-$A$15,AN$13)=0,10^12,OFFSET(CRONOPLE!$F$15,$M157-$A$15,AN$13)))</f>
        <v>1000000000000</v>
      </c>
      <c r="AO157" s="172">
        <f ca="1">IF(OR($D157&lt;&gt;"Serviço",AND(AUTOEVENTO="Manual",$M157=$A$15)),0,
         IF(OFFSET(CRONOPLE!$F$15,$M157-$A$15,AO$13)=0,10^12,OFFSET(CRONOPLE!$F$15,$M157-$A$15,AO$13)))</f>
        <v>1000000000000</v>
      </c>
      <c r="AP157" s="172">
        <f ca="1">IF(OR($D157&lt;&gt;"Serviço",AND(AUTOEVENTO="Manual",$M157=$A$15)),0,
         IF(OFFSET(CRONOPLE!$F$15,$M157-$A$15,AP$13)=0,10^12,OFFSET(CRONOPLE!$F$15,$M157-$A$15,AP$13)))</f>
        <v>1000000000000</v>
      </c>
      <c r="AQ157" s="172">
        <f ca="1">IF(OR($D157&lt;&gt;"Serviço",AND(AUTOEVENTO="Manual",$M157=$A$15)),0,
         IF(OFFSET(CRONOPLE!$F$15,$M157-$A$15,AQ$13)=0,10^12,OFFSET(CRONOPLE!$F$15,$M157-$A$15,AQ$13)))</f>
        <v>1000000000000</v>
      </c>
      <c r="AR157" s="172">
        <f ca="1">IF(OR($D157&lt;&gt;"Serviço",AND(AUTOEVENTO="Manual",$M157=$A$15)),0,
         IF(OFFSET(CRONOPLE!$F$15,$M157-$A$15,AR$13)=0,10^12,OFFSET(CRONOPLE!$F$15,$M157-$A$15,AR$13)))</f>
        <v>1000000000000</v>
      </c>
      <c r="AS157" s="172">
        <f ca="1">IF(OR($D157&lt;&gt;"Serviço",AND(AUTOEVENTO="Manual",$M157=$A$15)),0,
         IF(OFFSET(CRONOPLE!$F$15,$M157-$A$15,AS$13)=0,10^12,OFFSET(CRONOPLE!$F$15,$M157-$A$15,AS$13)))</f>
        <v>1000000000000</v>
      </c>
      <c r="AT157" s="172">
        <f ca="1">IF(OR($D157&lt;&gt;"Serviço",AND(AUTOEVENTO="Manual",$M157=$A$15)),0,
         IF(OFFSET(CRONOPLE!$F$15,$M157-$A$15,AT$13)=0,10^12,OFFSET(CRONOPLE!$F$15,$M157-$A$15,AT$13)))</f>
        <v>1000000000000</v>
      </c>
      <c r="AU157" s="172">
        <f ca="1">IF(OR($D157&lt;&gt;"Serviço",AND(AUTOEVENTO="Manual",$M157=$A$15)),0,
         IF(OFFSET(CRONOPLE!$F$15,$M157-$A$15,AU$13)=0,10^12,OFFSET(CRONOPLE!$F$15,$M157-$A$15,AU$13)))</f>
        <v>1000000000000</v>
      </c>
      <c r="AV157" s="172">
        <f ca="1">IF(OR($D157&lt;&gt;"Serviço",AND(AUTOEVENTO="Manual",$M157=$A$15)),0,
         IF(OFFSET(CRONOPLE!$F$15,$M157-$A$15,AV$13)=0,10^12,OFFSET(CRONOPLE!$F$15,$M157-$A$15,AV$13)))</f>
        <v>1000000000000</v>
      </c>
      <c r="AX157" s="173">
        <f ca="1">IF(OR($D157&lt;&gt;"Serviço",AND(AUTOEVENTO="Manual",$M157=$A$15),$M157&gt;(ROW(PLE.lastrow)-ROW(PLE.firstrow))),0,
           IF(OFFSET(PLE!$G$15,$M157-$A$15,AX$13)="",10^12,OFFSET(PLE!$G$15,$M157-$A$15,AX$13)))</f>
        <v>1000000000000</v>
      </c>
      <c r="AY157" s="173">
        <f ca="1">IF(OR($D157&lt;&gt;"Serviço",AND(AUTOEVENTO="Manual",$M157=$A$15),$M157&gt;(ROW(PLE.lastrow)-ROW(PLE.firstrow))),0,
           IF(OFFSET(PLE!$G$15,$M157-$A$15,AY$13)="",10^12,OFFSET(PLE!$G$15,$M157-$A$15,AY$13)))</f>
        <v>1000000000000</v>
      </c>
      <c r="AZ157" s="173">
        <f ca="1">IF(OR($D157&lt;&gt;"Serviço",AND(AUTOEVENTO="Manual",$M157=$A$15),$M157&gt;(ROW(PLE.lastrow)-ROW(PLE.firstrow))),0,
           IF(OFFSET(PLE!$G$15,$M157-$A$15,AZ$13)="",10^12,OFFSET(PLE!$G$15,$M157-$A$15,AZ$13)))</f>
        <v>1000000000000</v>
      </c>
      <c r="BA157" s="173">
        <f ca="1">IF(OR($D157&lt;&gt;"Serviço",AND(AUTOEVENTO="Manual",$M157=$A$15),$M157&gt;(ROW(PLE.lastrow)-ROW(PLE.firstrow))),0,
           IF(OFFSET(PLE!$G$15,$M157-$A$15,BA$13)="",10^12,OFFSET(PLE!$G$15,$M157-$A$15,BA$13)))</f>
        <v>1000000000000</v>
      </c>
      <c r="BB157" s="173">
        <f ca="1">IF(OR($D157&lt;&gt;"Serviço",AND(AUTOEVENTO="Manual",$M157=$A$15),$M157&gt;(ROW(PLE.lastrow)-ROW(PLE.firstrow))),0,
           IF(OFFSET(PLE!$G$15,$M157-$A$15,BB$13)="",10^12,OFFSET(PLE!$G$15,$M157-$A$15,BB$13)))</f>
        <v>1000000000000</v>
      </c>
      <c r="BC157" s="173">
        <f ca="1">IF(OR($D157&lt;&gt;"Serviço",AND(AUTOEVENTO="Manual",$M157=$A$15),$M157&gt;(ROW(PLE.lastrow)-ROW(PLE.firstrow))),0,
           IF(OFFSET(PLE!$G$15,$M157-$A$15,BC$13)="",10^12,OFFSET(PLE!$G$15,$M157-$A$15,BC$13)))</f>
        <v>1000000000000</v>
      </c>
      <c r="BD157" s="173">
        <f ca="1">IF(OR($D157&lt;&gt;"Serviço",AND(AUTOEVENTO="Manual",$M157=$A$15),$M157&gt;(ROW(PLE.lastrow)-ROW(PLE.firstrow))),0,
           IF(OFFSET(PLE!$G$15,$M157-$A$15,BD$13)="",10^12,OFFSET(PLE!$G$15,$M157-$A$15,BD$13)))</f>
        <v>1000000000000</v>
      </c>
      <c r="BE157" s="173">
        <f ca="1">IF(OR($D157&lt;&gt;"Serviço",AND(AUTOEVENTO="Manual",$M157=$A$15),$M157&gt;(ROW(PLE.lastrow)-ROW(PLE.firstrow))),0,
           IF(OFFSET(PLE!$G$15,$M157-$A$15,BE$13)="",10^12,OFFSET(PLE!$G$15,$M157-$A$15,BE$13)))</f>
        <v>1000000000000</v>
      </c>
      <c r="BF157" s="173">
        <f ca="1">IF(OR($D157&lt;&gt;"Serviço",AND(AUTOEVENTO="Manual",$M157=$A$15),$M157&gt;(ROW(PLE.lastrow)-ROW(PLE.firstrow))),0,
           IF(OFFSET(PLE!$G$15,$M157-$A$15,BF$13)="",10^12,OFFSET(PLE!$G$15,$M157-$A$15,BF$13)))</f>
        <v>1000000000000</v>
      </c>
      <c r="BG157" s="173">
        <f ca="1">IF(OR($D157&lt;&gt;"Serviço",AND(AUTOEVENTO="Manual",$M157=$A$15),$M157&gt;(ROW(PLE.lastrow)-ROW(PLE.firstrow))),0,
           IF(OFFSET(PLE!$G$15,$M157-$A$15,BG$13)="",10^12,OFFSET(PLE!$G$15,$M157-$A$15,BG$13)))</f>
        <v>1000000000000</v>
      </c>
    </row>
    <row r="158" spans="1:59" s="702" customFormat="1" ht="25.5" x14ac:dyDescent="0.2">
      <c r="A158" s="700" t="str">
        <f t="shared" ca="1" si="11"/>
        <v>131</v>
      </c>
      <c r="B158" s="700" t="str">
        <f ca="1">OFFSET(ORÇAMENTO!C$15,ROW(B158)-ROW(B$15),0)</f>
        <v>S</v>
      </c>
      <c r="C158" s="700" t="str">
        <f ca="1">OFFSET(ORÇAMENTO!L$15,ROW(C158)-ROW(C$15),0)</f>
        <v/>
      </c>
      <c r="D158" s="117" t="str">
        <f ca="1">OFFSET(ORÇAMENTO!N$15,ROW(D158)-ROW(D$15),0)</f>
        <v>Serviço</v>
      </c>
      <c r="E158" s="118" t="str">
        <f ca="1">OFFSET(ORÇAMENTO!O$15,ROW(E158)-ROW(E$15),0)</f>
        <v>-</v>
      </c>
      <c r="F158" s="164" t="str">
        <f ca="1">OFFSET(ORÇAMENTO!R$15,ROW(F158)-ROW(F$15),0)</f>
        <v>(abra o arquivo 'Referência 09-2025.xlsm)</v>
      </c>
      <c r="G158" s="165" t="str">
        <f ca="1">IF($D158&lt;&gt;"Serviço","",OFFSET(ORÇAMENTO!S$15,ROW(G158)-ROW(G$15),0))</f>
        <v>-</v>
      </c>
      <c r="H158" s="123">
        <f ca="1">IF($D158&lt;&gt;"Serviço",0,IF(ACOMPANHAMENTO="BM",ROUND(OFFSET(ORÇAMENTO!AJ$15,ROW(H158)-ROW(H$15),0),15-13*ORÇAMENTO!$AF$7),SUMPRODUCT(($Q$1:$AA$1=1)*ROUND($Q158:$AA158,15-13*ORÇAMENTO!$AF$7))))</f>
        <v>1</v>
      </c>
      <c r="I158" s="469"/>
      <c r="J158" s="667" t="str">
        <f ca="1">IF(OR(B158&lt;&gt;"S",CÁLCULO.FrentesPreenchidas=0),"",IF(AND(ACOMPANHAMENTO="PLE",AUTOEVENTO="Manual",OR(H158&gt;0,ORÇAMENTO!AC158="QUANT."),OR(K158="",M158=0,N158="")),"►",IF(AND(ACOMPANHAMENTO="PLE",ORÇAMENTO!AC158="QUANT."),"►►",IF(AND(COUNTIF($P$11:$AA$11,"▼")=0,H158&gt;0,I158=""),"◄",""))))</f>
        <v/>
      </c>
      <c r="K158" s="668"/>
      <c r="L158" s="166" t="s">
        <v>765</v>
      </c>
      <c r="M158" s="167">
        <f ca="1">IF($D158&lt;&gt;"Serviço","",
          IF(AUTOEVENTO="manual",$A158,
                IF(ISERROR(MATCH($A158,$A$15:OFFSET($A158,-1,0),0)),MAX($M$15:OFFSET(M158,-1,0))+1,
                      INDEX($M$15:OFFSET(M158,-1,0),MATCH($A158,$A$15:OFFSET($A158,-1,0),0)))))</f>
        <v>16</v>
      </c>
      <c r="N158" s="168" t="str">
        <f ca="1">IF($D158&lt;&gt;"Serviço","",
         IF(AUTOEVENTO="Manual",
                IF($A158=0,"&lt;-- defina o número do agrupador",
                       OFFSET(EVENTOS!$D$15,$A158-$A$15,0)),
                OFFSET($F$15,$A158,0)))</f>
        <v>ELEVATÓRIA DE ESGOTO - MATERIAIS</v>
      </c>
      <c r="O158" s="169"/>
      <c r="Q158" s="169"/>
      <c r="R158" s="170"/>
      <c r="S158" s="170"/>
      <c r="T158" s="170"/>
      <c r="U158" s="170"/>
      <c r="V158" s="170"/>
      <c r="W158" s="170"/>
      <c r="X158" s="170"/>
      <c r="Y158" s="170"/>
      <c r="Z158" s="171"/>
      <c r="AB158" s="454">
        <f ca="1">IF(AND($D158="Serviço",AB$12&lt;&gt;0,$H158&gt;0,OR(AUTOEVENTO&lt;&gt;"manual",$M158&lt;&gt;$A$15)),
        IF(Import.TipoArredondamento&lt;&gt;"TransfereGOV",
              ROUND(OFFSET($P158,0,AB$13),15-13*ORÇAMENTO!$AF$7)/$H158*OFFSET(ORÇAMENTO!$X$15,ROW(AB158)-ROW(AB$15),0),
              ROUND(ROUND(OFFSET($P158,0,AB$13),15-13*ORÇAMENTO!$AF$7)*OFFSET(ORÇAMENTO!$W$15,ROW(AB158)-ROW(AB$15),0),15-13*ORÇAMENTO!$AF$11)),
         0)</f>
        <v>0</v>
      </c>
      <c r="AC158" s="454">
        <f ca="1">IF(AND($D158="Serviço",AC$12&lt;&gt;0,$H158&gt;0,OR(AUTOEVENTO&lt;&gt;"manual",$M158&lt;&gt;$A$15)),
        IF(Import.TipoArredondamento&lt;&gt;"TransfereGOV",
              ROUND(OFFSET($P158,0,AC$13),15-13*ORÇAMENTO!$AF$7)/$H158*OFFSET(ORÇAMENTO!$X$15,ROW(AC158)-ROW(AC$15),0),
              ROUND(ROUND(OFFSET($P158,0,AC$13),15-13*ORÇAMENTO!$AF$7)*OFFSET(ORÇAMENTO!$W$15,ROW(AC158)-ROW(AC$15),0),15-13*ORÇAMENTO!$AF$11)),
         0)</f>
        <v>0</v>
      </c>
      <c r="AD158" s="454">
        <f ca="1">IF(AND($D158="Serviço",AD$12&lt;&gt;0,$H158&gt;0,OR(AUTOEVENTO&lt;&gt;"manual",$M158&lt;&gt;$A$15)),
        IF(Import.TipoArredondamento&lt;&gt;"TransfereGOV",
              ROUND(OFFSET($P158,0,AD$13),15-13*ORÇAMENTO!$AF$7)/$H158*OFFSET(ORÇAMENTO!$X$15,ROW(AD158)-ROW(AD$15),0),
              ROUND(ROUND(OFFSET($P158,0,AD$13),15-13*ORÇAMENTO!$AF$7)*OFFSET(ORÇAMENTO!$W$15,ROW(AD158)-ROW(AD$15),0),15-13*ORÇAMENTO!$AF$11)),
         0)</f>
        <v>0</v>
      </c>
      <c r="AE158" s="454">
        <f ca="1">IF(AND($D158="Serviço",AE$12&lt;&gt;0,$H158&gt;0,OR(AUTOEVENTO&lt;&gt;"manual",$M158&lt;&gt;$A$15)),
        IF(Import.TipoArredondamento&lt;&gt;"TransfereGOV",
              ROUND(OFFSET($P158,0,AE$13),15-13*ORÇAMENTO!$AF$7)/$H158*OFFSET(ORÇAMENTO!$X$15,ROW(AE158)-ROW(AE$15),0),
              ROUND(ROUND(OFFSET($P158,0,AE$13),15-13*ORÇAMENTO!$AF$7)*OFFSET(ORÇAMENTO!$W$15,ROW(AE158)-ROW(AE$15),0),15-13*ORÇAMENTO!$AF$11)),
         0)</f>
        <v>0</v>
      </c>
      <c r="AF158" s="454">
        <f ca="1">IF(AND($D158="Serviço",AF$12&lt;&gt;0,$H158&gt;0,OR(AUTOEVENTO&lt;&gt;"manual",$M158&lt;&gt;$A$15)),
        IF(Import.TipoArredondamento&lt;&gt;"TransfereGOV",
              ROUND(OFFSET($P158,0,AF$13),15-13*ORÇAMENTO!$AF$7)/$H158*OFFSET(ORÇAMENTO!$X$15,ROW(AF158)-ROW(AF$15),0),
              ROUND(ROUND(OFFSET($P158,0,AF$13),15-13*ORÇAMENTO!$AF$7)*OFFSET(ORÇAMENTO!$W$15,ROW(AF158)-ROW(AF$15),0),15-13*ORÇAMENTO!$AF$11)),
         0)</f>
        <v>0</v>
      </c>
      <c r="AG158" s="454">
        <f ca="1">IF(AND($D158="Serviço",AG$12&lt;&gt;0,$H158&gt;0,OR(AUTOEVENTO&lt;&gt;"manual",$M158&lt;&gt;$A$15)),
        IF(Import.TipoArredondamento&lt;&gt;"TransfereGOV",
              ROUND(OFFSET($P158,0,AG$13),15-13*ORÇAMENTO!$AF$7)/$H158*OFFSET(ORÇAMENTO!$X$15,ROW(AG158)-ROW(AG$15),0),
              ROUND(ROUND(OFFSET($P158,0,AG$13),15-13*ORÇAMENTO!$AF$7)*OFFSET(ORÇAMENTO!$W$15,ROW(AG158)-ROW(AG$15),0),15-13*ORÇAMENTO!$AF$11)),
         0)</f>
        <v>0</v>
      </c>
      <c r="AH158" s="454">
        <f ca="1">IF(AND($D158="Serviço",AH$12&lt;&gt;0,$H158&gt;0,OR(AUTOEVENTO&lt;&gt;"manual",$M158&lt;&gt;$A$15)),
        IF(Import.TipoArredondamento&lt;&gt;"TransfereGOV",
              ROUND(OFFSET($P158,0,AH$13),15-13*ORÇAMENTO!$AF$7)/$H158*OFFSET(ORÇAMENTO!$X$15,ROW(AH158)-ROW(AH$15),0),
              ROUND(ROUND(OFFSET($P158,0,AH$13),15-13*ORÇAMENTO!$AF$7)*OFFSET(ORÇAMENTO!$W$15,ROW(AH158)-ROW(AH$15),0),15-13*ORÇAMENTO!$AF$11)),
         0)</f>
        <v>0</v>
      </c>
      <c r="AI158" s="454">
        <f ca="1">IF(AND($D158="Serviço",AI$12&lt;&gt;0,$H158&gt;0,OR(AUTOEVENTO&lt;&gt;"manual",$M158&lt;&gt;$A$15)),
        IF(Import.TipoArredondamento&lt;&gt;"TransfereGOV",
              ROUND(OFFSET($P158,0,AI$13),15-13*ORÇAMENTO!$AF$7)/$H158*OFFSET(ORÇAMENTO!$X$15,ROW(AI158)-ROW(AI$15),0),
              ROUND(ROUND(OFFSET($P158,0,AI$13),15-13*ORÇAMENTO!$AF$7)*OFFSET(ORÇAMENTO!$W$15,ROW(AI158)-ROW(AI$15),0),15-13*ORÇAMENTO!$AF$11)),
         0)</f>
        <v>0</v>
      </c>
      <c r="AJ158" s="454">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4">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M158" s="172">
        <f ca="1">IF(OR($D158&lt;&gt;"Serviço",AND(AUTOEVENTO="Manual",$M158=$A$15)),0,
         IF(OFFSET(CRONOPLE!$F$15,$M158-$A$15,AM$13)=0,10^12,OFFSET(CRONOPLE!$F$15,$M158-$A$15,AM$13)))</f>
        <v>1000000000000</v>
      </c>
      <c r="AN158" s="172">
        <f ca="1">IF(OR($D158&lt;&gt;"Serviço",AND(AUTOEVENTO="Manual",$M158=$A$15)),0,
         IF(OFFSET(CRONOPLE!$F$15,$M158-$A$15,AN$13)=0,10^12,OFFSET(CRONOPLE!$F$15,$M158-$A$15,AN$13)))</f>
        <v>1000000000000</v>
      </c>
      <c r="AO158" s="172">
        <f ca="1">IF(OR($D158&lt;&gt;"Serviço",AND(AUTOEVENTO="Manual",$M158=$A$15)),0,
         IF(OFFSET(CRONOPLE!$F$15,$M158-$A$15,AO$13)=0,10^12,OFFSET(CRONOPLE!$F$15,$M158-$A$15,AO$13)))</f>
        <v>1000000000000</v>
      </c>
      <c r="AP158" s="172">
        <f ca="1">IF(OR($D158&lt;&gt;"Serviço",AND(AUTOEVENTO="Manual",$M158=$A$15)),0,
         IF(OFFSET(CRONOPLE!$F$15,$M158-$A$15,AP$13)=0,10^12,OFFSET(CRONOPLE!$F$15,$M158-$A$15,AP$13)))</f>
        <v>1000000000000</v>
      </c>
      <c r="AQ158" s="172">
        <f ca="1">IF(OR($D158&lt;&gt;"Serviço",AND(AUTOEVENTO="Manual",$M158=$A$15)),0,
         IF(OFFSET(CRONOPLE!$F$15,$M158-$A$15,AQ$13)=0,10^12,OFFSET(CRONOPLE!$F$15,$M158-$A$15,AQ$13)))</f>
        <v>1000000000000</v>
      </c>
      <c r="AR158" s="172">
        <f ca="1">IF(OR($D158&lt;&gt;"Serviço",AND(AUTOEVENTO="Manual",$M158=$A$15)),0,
         IF(OFFSET(CRONOPLE!$F$15,$M158-$A$15,AR$13)=0,10^12,OFFSET(CRONOPLE!$F$15,$M158-$A$15,AR$13)))</f>
        <v>1000000000000</v>
      </c>
      <c r="AS158" s="172">
        <f ca="1">IF(OR($D158&lt;&gt;"Serviço",AND(AUTOEVENTO="Manual",$M158=$A$15)),0,
         IF(OFFSET(CRONOPLE!$F$15,$M158-$A$15,AS$13)=0,10^12,OFFSET(CRONOPLE!$F$15,$M158-$A$15,AS$13)))</f>
        <v>1000000000000</v>
      </c>
      <c r="AT158" s="172">
        <f ca="1">IF(OR($D158&lt;&gt;"Serviço",AND(AUTOEVENTO="Manual",$M158=$A$15)),0,
         IF(OFFSET(CRONOPLE!$F$15,$M158-$A$15,AT$13)=0,10^12,OFFSET(CRONOPLE!$F$15,$M158-$A$15,AT$13)))</f>
        <v>1000000000000</v>
      </c>
      <c r="AU158" s="172">
        <f ca="1">IF(OR($D158&lt;&gt;"Serviço",AND(AUTOEVENTO="Manual",$M158=$A$15)),0,
         IF(OFFSET(CRONOPLE!$F$15,$M158-$A$15,AU$13)=0,10^12,OFFSET(CRONOPLE!$F$15,$M158-$A$15,AU$13)))</f>
        <v>1000000000000</v>
      </c>
      <c r="AV158" s="172">
        <f ca="1">IF(OR($D158&lt;&gt;"Serviço",AND(AUTOEVENTO="Manual",$M158=$A$15)),0,
         IF(OFFSET(CRONOPLE!$F$15,$M158-$A$15,AV$13)=0,10^12,OFFSET(CRONOPLE!$F$15,$M158-$A$15,AV$13)))</f>
        <v>1000000000000</v>
      </c>
      <c r="AX158" s="173">
        <f ca="1">IF(OR($D158&lt;&gt;"Serviço",AND(AUTOEVENTO="Manual",$M158=$A$15),$M158&gt;(ROW(PLE.lastrow)-ROW(PLE.firstrow))),0,
           IF(OFFSET(PLE!$G$15,$M158-$A$15,AX$13)="",10^12,OFFSET(PLE!$G$15,$M158-$A$15,AX$13)))</f>
        <v>1000000000000</v>
      </c>
      <c r="AY158" s="173">
        <f ca="1">IF(OR($D158&lt;&gt;"Serviço",AND(AUTOEVENTO="Manual",$M158=$A$15),$M158&gt;(ROW(PLE.lastrow)-ROW(PLE.firstrow))),0,
           IF(OFFSET(PLE!$G$15,$M158-$A$15,AY$13)="",10^12,OFFSET(PLE!$G$15,$M158-$A$15,AY$13)))</f>
        <v>1000000000000</v>
      </c>
      <c r="AZ158" s="173">
        <f ca="1">IF(OR($D158&lt;&gt;"Serviço",AND(AUTOEVENTO="Manual",$M158=$A$15),$M158&gt;(ROW(PLE.lastrow)-ROW(PLE.firstrow))),0,
           IF(OFFSET(PLE!$G$15,$M158-$A$15,AZ$13)="",10^12,OFFSET(PLE!$G$15,$M158-$A$15,AZ$13)))</f>
        <v>1000000000000</v>
      </c>
      <c r="BA158" s="173">
        <f ca="1">IF(OR($D158&lt;&gt;"Serviço",AND(AUTOEVENTO="Manual",$M158=$A$15),$M158&gt;(ROW(PLE.lastrow)-ROW(PLE.firstrow))),0,
           IF(OFFSET(PLE!$G$15,$M158-$A$15,BA$13)="",10^12,OFFSET(PLE!$G$15,$M158-$A$15,BA$13)))</f>
        <v>1000000000000</v>
      </c>
      <c r="BB158" s="173">
        <f ca="1">IF(OR($D158&lt;&gt;"Serviço",AND(AUTOEVENTO="Manual",$M158=$A$15),$M158&gt;(ROW(PLE.lastrow)-ROW(PLE.firstrow))),0,
           IF(OFFSET(PLE!$G$15,$M158-$A$15,BB$13)="",10^12,OFFSET(PLE!$G$15,$M158-$A$15,BB$13)))</f>
        <v>1000000000000</v>
      </c>
      <c r="BC158" s="173">
        <f ca="1">IF(OR($D158&lt;&gt;"Serviço",AND(AUTOEVENTO="Manual",$M158=$A$15),$M158&gt;(ROW(PLE.lastrow)-ROW(PLE.firstrow))),0,
           IF(OFFSET(PLE!$G$15,$M158-$A$15,BC$13)="",10^12,OFFSET(PLE!$G$15,$M158-$A$15,BC$13)))</f>
        <v>1000000000000</v>
      </c>
      <c r="BD158" s="173">
        <f ca="1">IF(OR($D158&lt;&gt;"Serviço",AND(AUTOEVENTO="Manual",$M158=$A$15),$M158&gt;(ROW(PLE.lastrow)-ROW(PLE.firstrow))),0,
           IF(OFFSET(PLE!$G$15,$M158-$A$15,BD$13)="",10^12,OFFSET(PLE!$G$15,$M158-$A$15,BD$13)))</f>
        <v>1000000000000</v>
      </c>
      <c r="BE158" s="173">
        <f ca="1">IF(OR($D158&lt;&gt;"Serviço",AND(AUTOEVENTO="Manual",$M158=$A$15),$M158&gt;(ROW(PLE.lastrow)-ROW(PLE.firstrow))),0,
           IF(OFFSET(PLE!$G$15,$M158-$A$15,BE$13)="",10^12,OFFSET(PLE!$G$15,$M158-$A$15,BE$13)))</f>
        <v>1000000000000</v>
      </c>
      <c r="BF158" s="173">
        <f ca="1">IF(OR($D158&lt;&gt;"Serviço",AND(AUTOEVENTO="Manual",$M158=$A$15),$M158&gt;(ROW(PLE.lastrow)-ROW(PLE.firstrow))),0,
           IF(OFFSET(PLE!$G$15,$M158-$A$15,BF$13)="",10^12,OFFSET(PLE!$G$15,$M158-$A$15,BF$13)))</f>
        <v>1000000000000</v>
      </c>
      <c r="BG158" s="173">
        <f ca="1">IF(OR($D158&lt;&gt;"Serviço",AND(AUTOEVENTO="Manual",$M158=$A$15),$M158&gt;(ROW(PLE.lastrow)-ROW(PLE.firstrow))),0,
           IF(OFFSET(PLE!$G$15,$M158-$A$15,BG$13)="",10^12,OFFSET(PLE!$G$15,$M158-$A$15,BG$13)))</f>
        <v>1000000000000</v>
      </c>
    </row>
    <row r="159" spans="1:59" s="702" customFormat="1" ht="25.5" x14ac:dyDescent="0.2">
      <c r="A159" s="700" t="str">
        <f t="shared" ca="1" si="11"/>
        <v>131</v>
      </c>
      <c r="B159" s="700" t="str">
        <f ca="1">OFFSET(ORÇAMENTO!C$15,ROW(B159)-ROW(B$15),0)</f>
        <v>S</v>
      </c>
      <c r="C159" s="700" t="str">
        <f ca="1">OFFSET(ORÇAMENTO!L$15,ROW(C159)-ROW(C$15),0)</f>
        <v/>
      </c>
      <c r="D159" s="117" t="str">
        <f ca="1">OFFSET(ORÇAMENTO!N$15,ROW(D159)-ROW(D$15),0)</f>
        <v>Serviço</v>
      </c>
      <c r="E159" s="118" t="str">
        <f ca="1">OFFSET(ORÇAMENTO!O$15,ROW(E159)-ROW(E$15),0)</f>
        <v>-</v>
      </c>
      <c r="F159" s="164" t="str">
        <f ca="1">OFFSET(ORÇAMENTO!R$15,ROW(F159)-ROW(F$15),0)</f>
        <v>(abra o arquivo 'Referência 09-2025.xlsm)</v>
      </c>
      <c r="G159" s="165" t="str">
        <f ca="1">IF($D159&lt;&gt;"Serviço","",OFFSET(ORÇAMENTO!S$15,ROW(G159)-ROW(G$15),0))</f>
        <v>-</v>
      </c>
      <c r="H159" s="123">
        <f ca="1">IF($D159&lt;&gt;"Serviço",0,IF(ACOMPANHAMENTO="BM",ROUND(OFFSET(ORÇAMENTO!AJ$15,ROW(H159)-ROW(H$15),0),15-13*ORÇAMENTO!$AF$7),SUMPRODUCT(($Q$1:$AA$1=1)*ROUND($Q159:$AA159,15-13*ORÇAMENTO!$AF$7))))</f>
        <v>8</v>
      </c>
      <c r="I159" s="469"/>
      <c r="J159" s="667" t="str">
        <f ca="1">IF(OR(B159&lt;&gt;"S",CÁLCULO.FrentesPreenchidas=0),"",IF(AND(ACOMPANHAMENTO="PLE",AUTOEVENTO="Manual",OR(H159&gt;0,ORÇAMENTO!AC159="QUANT."),OR(K159="",M159=0,N159="")),"►",IF(AND(ACOMPANHAMENTO="PLE",ORÇAMENTO!AC159="QUANT."),"►►",IF(AND(COUNTIF($P$11:$AA$11,"▼")=0,H159&gt;0,I159=""),"◄",""))))</f>
        <v/>
      </c>
      <c r="K159" s="668"/>
      <c r="L159" s="166" t="s">
        <v>765</v>
      </c>
      <c r="M159" s="167">
        <f ca="1">IF($D159&lt;&gt;"Serviço","",
          IF(AUTOEVENTO="manual",$A159,
                IF(ISERROR(MATCH($A159,$A$15:OFFSET($A159,-1,0),0)),MAX($M$15:OFFSET(M159,-1,0))+1,
                      INDEX($M$15:OFFSET(M159,-1,0),MATCH($A159,$A$15:OFFSET($A159,-1,0),0)))))</f>
        <v>16</v>
      </c>
      <c r="N159" s="168" t="str">
        <f ca="1">IF($D159&lt;&gt;"Serviço","",
         IF(AUTOEVENTO="Manual",
                IF($A159=0,"&lt;-- defina o número do agrupador",
                       OFFSET(EVENTOS!$D$15,$A159-$A$15,0)),
                OFFSET($F$15,$A159,0)))</f>
        <v>ELEVATÓRIA DE ESGOTO - MATERIAIS</v>
      </c>
      <c r="O159" s="169"/>
      <c r="Q159" s="169"/>
      <c r="R159" s="170"/>
      <c r="S159" s="170"/>
      <c r="T159" s="170"/>
      <c r="U159" s="170"/>
      <c r="V159" s="170"/>
      <c r="W159" s="170"/>
      <c r="X159" s="170"/>
      <c r="Y159" s="170"/>
      <c r="Z159" s="171"/>
      <c r="AB159" s="454">
        <f ca="1">IF(AND($D159="Serviço",AB$12&lt;&gt;0,$H159&gt;0,OR(AUTOEVENTO&lt;&gt;"manual",$M159&lt;&gt;$A$15)),
        IF(Import.TipoArredondamento&lt;&gt;"TransfereGOV",
              ROUND(OFFSET($P159,0,AB$13),15-13*ORÇAMENTO!$AF$7)/$H159*OFFSET(ORÇAMENTO!$X$15,ROW(AB159)-ROW(AB$15),0),
              ROUND(ROUND(OFFSET($P159,0,AB$13),15-13*ORÇAMENTO!$AF$7)*OFFSET(ORÇAMENTO!$W$15,ROW(AB159)-ROW(AB$15),0),15-13*ORÇAMENTO!$AF$11)),
         0)</f>
        <v>0</v>
      </c>
      <c r="AC159" s="454">
        <f ca="1">IF(AND($D159="Serviço",AC$12&lt;&gt;0,$H159&gt;0,OR(AUTOEVENTO&lt;&gt;"manual",$M159&lt;&gt;$A$15)),
        IF(Import.TipoArredondamento&lt;&gt;"TransfereGOV",
              ROUND(OFFSET($P159,0,AC$13),15-13*ORÇAMENTO!$AF$7)/$H159*OFFSET(ORÇAMENTO!$X$15,ROW(AC159)-ROW(AC$15),0),
              ROUND(ROUND(OFFSET($P159,0,AC$13),15-13*ORÇAMENTO!$AF$7)*OFFSET(ORÇAMENTO!$W$15,ROW(AC159)-ROW(AC$15),0),15-13*ORÇAMENTO!$AF$11)),
         0)</f>
        <v>0</v>
      </c>
      <c r="AD159" s="454">
        <f ca="1">IF(AND($D159="Serviço",AD$12&lt;&gt;0,$H159&gt;0,OR(AUTOEVENTO&lt;&gt;"manual",$M159&lt;&gt;$A$15)),
        IF(Import.TipoArredondamento&lt;&gt;"TransfereGOV",
              ROUND(OFFSET($P159,0,AD$13),15-13*ORÇAMENTO!$AF$7)/$H159*OFFSET(ORÇAMENTO!$X$15,ROW(AD159)-ROW(AD$15),0),
              ROUND(ROUND(OFFSET($P159,0,AD$13),15-13*ORÇAMENTO!$AF$7)*OFFSET(ORÇAMENTO!$W$15,ROW(AD159)-ROW(AD$15),0),15-13*ORÇAMENTO!$AF$11)),
         0)</f>
        <v>0</v>
      </c>
      <c r="AE159" s="454">
        <f ca="1">IF(AND($D159="Serviço",AE$12&lt;&gt;0,$H159&gt;0,OR(AUTOEVENTO&lt;&gt;"manual",$M159&lt;&gt;$A$15)),
        IF(Import.TipoArredondamento&lt;&gt;"TransfereGOV",
              ROUND(OFFSET($P159,0,AE$13),15-13*ORÇAMENTO!$AF$7)/$H159*OFFSET(ORÇAMENTO!$X$15,ROW(AE159)-ROW(AE$15),0),
              ROUND(ROUND(OFFSET($P159,0,AE$13),15-13*ORÇAMENTO!$AF$7)*OFFSET(ORÇAMENTO!$W$15,ROW(AE159)-ROW(AE$15),0),15-13*ORÇAMENTO!$AF$11)),
         0)</f>
        <v>0</v>
      </c>
      <c r="AF159" s="454">
        <f ca="1">IF(AND($D159="Serviço",AF$12&lt;&gt;0,$H159&gt;0,OR(AUTOEVENTO&lt;&gt;"manual",$M159&lt;&gt;$A$15)),
        IF(Import.TipoArredondamento&lt;&gt;"TransfereGOV",
              ROUND(OFFSET($P159,0,AF$13),15-13*ORÇAMENTO!$AF$7)/$H159*OFFSET(ORÇAMENTO!$X$15,ROW(AF159)-ROW(AF$15),0),
              ROUND(ROUND(OFFSET($P159,0,AF$13),15-13*ORÇAMENTO!$AF$7)*OFFSET(ORÇAMENTO!$W$15,ROW(AF159)-ROW(AF$15),0),15-13*ORÇAMENTO!$AF$11)),
         0)</f>
        <v>0</v>
      </c>
      <c r="AG159" s="454">
        <f ca="1">IF(AND($D159="Serviço",AG$12&lt;&gt;0,$H159&gt;0,OR(AUTOEVENTO&lt;&gt;"manual",$M159&lt;&gt;$A$15)),
        IF(Import.TipoArredondamento&lt;&gt;"TransfereGOV",
              ROUND(OFFSET($P159,0,AG$13),15-13*ORÇAMENTO!$AF$7)/$H159*OFFSET(ORÇAMENTO!$X$15,ROW(AG159)-ROW(AG$15),0),
              ROUND(ROUND(OFFSET($P159,0,AG$13),15-13*ORÇAMENTO!$AF$7)*OFFSET(ORÇAMENTO!$W$15,ROW(AG159)-ROW(AG$15),0),15-13*ORÇAMENTO!$AF$11)),
         0)</f>
        <v>0</v>
      </c>
      <c r="AH159" s="454">
        <f ca="1">IF(AND($D159="Serviço",AH$12&lt;&gt;0,$H159&gt;0,OR(AUTOEVENTO&lt;&gt;"manual",$M159&lt;&gt;$A$15)),
        IF(Import.TipoArredondamento&lt;&gt;"TransfereGOV",
              ROUND(OFFSET($P159,0,AH$13),15-13*ORÇAMENTO!$AF$7)/$H159*OFFSET(ORÇAMENTO!$X$15,ROW(AH159)-ROW(AH$15),0),
              ROUND(ROUND(OFFSET($P159,0,AH$13),15-13*ORÇAMENTO!$AF$7)*OFFSET(ORÇAMENTO!$W$15,ROW(AH159)-ROW(AH$15),0),15-13*ORÇAMENTO!$AF$11)),
         0)</f>
        <v>0</v>
      </c>
      <c r="AI159" s="454">
        <f ca="1">IF(AND($D159="Serviço",AI$12&lt;&gt;0,$H159&gt;0,OR(AUTOEVENTO&lt;&gt;"manual",$M159&lt;&gt;$A$15)),
        IF(Import.TipoArredondamento&lt;&gt;"TransfereGOV",
              ROUND(OFFSET($P159,0,AI$13),15-13*ORÇAMENTO!$AF$7)/$H159*OFFSET(ORÇAMENTO!$X$15,ROW(AI159)-ROW(AI$15),0),
              ROUND(ROUND(OFFSET($P159,0,AI$13),15-13*ORÇAMENTO!$AF$7)*OFFSET(ORÇAMENTO!$W$15,ROW(AI159)-ROW(AI$15),0),15-13*ORÇAMENTO!$AF$11)),
         0)</f>
        <v>0</v>
      </c>
      <c r="AJ159" s="454">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4">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M159" s="172">
        <f ca="1">IF(OR($D159&lt;&gt;"Serviço",AND(AUTOEVENTO="Manual",$M159=$A$15)),0,
         IF(OFFSET(CRONOPLE!$F$15,$M159-$A$15,AM$13)=0,10^12,OFFSET(CRONOPLE!$F$15,$M159-$A$15,AM$13)))</f>
        <v>1000000000000</v>
      </c>
      <c r="AN159" s="172">
        <f ca="1">IF(OR($D159&lt;&gt;"Serviço",AND(AUTOEVENTO="Manual",$M159=$A$15)),0,
         IF(OFFSET(CRONOPLE!$F$15,$M159-$A$15,AN$13)=0,10^12,OFFSET(CRONOPLE!$F$15,$M159-$A$15,AN$13)))</f>
        <v>1000000000000</v>
      </c>
      <c r="AO159" s="172">
        <f ca="1">IF(OR($D159&lt;&gt;"Serviço",AND(AUTOEVENTO="Manual",$M159=$A$15)),0,
         IF(OFFSET(CRONOPLE!$F$15,$M159-$A$15,AO$13)=0,10^12,OFFSET(CRONOPLE!$F$15,$M159-$A$15,AO$13)))</f>
        <v>1000000000000</v>
      </c>
      <c r="AP159" s="172">
        <f ca="1">IF(OR($D159&lt;&gt;"Serviço",AND(AUTOEVENTO="Manual",$M159=$A$15)),0,
         IF(OFFSET(CRONOPLE!$F$15,$M159-$A$15,AP$13)=0,10^12,OFFSET(CRONOPLE!$F$15,$M159-$A$15,AP$13)))</f>
        <v>1000000000000</v>
      </c>
      <c r="AQ159" s="172">
        <f ca="1">IF(OR($D159&lt;&gt;"Serviço",AND(AUTOEVENTO="Manual",$M159=$A$15)),0,
         IF(OFFSET(CRONOPLE!$F$15,$M159-$A$15,AQ$13)=0,10^12,OFFSET(CRONOPLE!$F$15,$M159-$A$15,AQ$13)))</f>
        <v>1000000000000</v>
      </c>
      <c r="AR159" s="172">
        <f ca="1">IF(OR($D159&lt;&gt;"Serviço",AND(AUTOEVENTO="Manual",$M159=$A$15)),0,
         IF(OFFSET(CRONOPLE!$F$15,$M159-$A$15,AR$13)=0,10^12,OFFSET(CRONOPLE!$F$15,$M159-$A$15,AR$13)))</f>
        <v>1000000000000</v>
      </c>
      <c r="AS159" s="172">
        <f ca="1">IF(OR($D159&lt;&gt;"Serviço",AND(AUTOEVENTO="Manual",$M159=$A$15)),0,
         IF(OFFSET(CRONOPLE!$F$15,$M159-$A$15,AS$13)=0,10^12,OFFSET(CRONOPLE!$F$15,$M159-$A$15,AS$13)))</f>
        <v>1000000000000</v>
      </c>
      <c r="AT159" s="172">
        <f ca="1">IF(OR($D159&lt;&gt;"Serviço",AND(AUTOEVENTO="Manual",$M159=$A$15)),0,
         IF(OFFSET(CRONOPLE!$F$15,$M159-$A$15,AT$13)=0,10^12,OFFSET(CRONOPLE!$F$15,$M159-$A$15,AT$13)))</f>
        <v>1000000000000</v>
      </c>
      <c r="AU159" s="172">
        <f ca="1">IF(OR($D159&lt;&gt;"Serviço",AND(AUTOEVENTO="Manual",$M159=$A$15)),0,
         IF(OFFSET(CRONOPLE!$F$15,$M159-$A$15,AU$13)=0,10^12,OFFSET(CRONOPLE!$F$15,$M159-$A$15,AU$13)))</f>
        <v>1000000000000</v>
      </c>
      <c r="AV159" s="172">
        <f ca="1">IF(OR($D159&lt;&gt;"Serviço",AND(AUTOEVENTO="Manual",$M159=$A$15)),0,
         IF(OFFSET(CRONOPLE!$F$15,$M159-$A$15,AV$13)=0,10^12,OFFSET(CRONOPLE!$F$15,$M159-$A$15,AV$13)))</f>
        <v>1000000000000</v>
      </c>
      <c r="AX159" s="173">
        <f ca="1">IF(OR($D159&lt;&gt;"Serviço",AND(AUTOEVENTO="Manual",$M159=$A$15),$M159&gt;(ROW(PLE.lastrow)-ROW(PLE.firstrow))),0,
           IF(OFFSET(PLE!$G$15,$M159-$A$15,AX$13)="",10^12,OFFSET(PLE!$G$15,$M159-$A$15,AX$13)))</f>
        <v>1000000000000</v>
      </c>
      <c r="AY159" s="173">
        <f ca="1">IF(OR($D159&lt;&gt;"Serviço",AND(AUTOEVENTO="Manual",$M159=$A$15),$M159&gt;(ROW(PLE.lastrow)-ROW(PLE.firstrow))),0,
           IF(OFFSET(PLE!$G$15,$M159-$A$15,AY$13)="",10^12,OFFSET(PLE!$G$15,$M159-$A$15,AY$13)))</f>
        <v>1000000000000</v>
      </c>
      <c r="AZ159" s="173">
        <f ca="1">IF(OR($D159&lt;&gt;"Serviço",AND(AUTOEVENTO="Manual",$M159=$A$15),$M159&gt;(ROW(PLE.lastrow)-ROW(PLE.firstrow))),0,
           IF(OFFSET(PLE!$G$15,$M159-$A$15,AZ$13)="",10^12,OFFSET(PLE!$G$15,$M159-$A$15,AZ$13)))</f>
        <v>1000000000000</v>
      </c>
      <c r="BA159" s="173">
        <f ca="1">IF(OR($D159&lt;&gt;"Serviço",AND(AUTOEVENTO="Manual",$M159=$A$15),$M159&gt;(ROW(PLE.lastrow)-ROW(PLE.firstrow))),0,
           IF(OFFSET(PLE!$G$15,$M159-$A$15,BA$13)="",10^12,OFFSET(PLE!$G$15,$M159-$A$15,BA$13)))</f>
        <v>1000000000000</v>
      </c>
      <c r="BB159" s="173">
        <f ca="1">IF(OR($D159&lt;&gt;"Serviço",AND(AUTOEVENTO="Manual",$M159=$A$15),$M159&gt;(ROW(PLE.lastrow)-ROW(PLE.firstrow))),0,
           IF(OFFSET(PLE!$G$15,$M159-$A$15,BB$13)="",10^12,OFFSET(PLE!$G$15,$M159-$A$15,BB$13)))</f>
        <v>1000000000000</v>
      </c>
      <c r="BC159" s="173">
        <f ca="1">IF(OR($D159&lt;&gt;"Serviço",AND(AUTOEVENTO="Manual",$M159=$A$15),$M159&gt;(ROW(PLE.lastrow)-ROW(PLE.firstrow))),0,
           IF(OFFSET(PLE!$G$15,$M159-$A$15,BC$13)="",10^12,OFFSET(PLE!$G$15,$M159-$A$15,BC$13)))</f>
        <v>1000000000000</v>
      </c>
      <c r="BD159" s="173">
        <f ca="1">IF(OR($D159&lt;&gt;"Serviço",AND(AUTOEVENTO="Manual",$M159=$A$15),$M159&gt;(ROW(PLE.lastrow)-ROW(PLE.firstrow))),0,
           IF(OFFSET(PLE!$G$15,$M159-$A$15,BD$13)="",10^12,OFFSET(PLE!$G$15,$M159-$A$15,BD$13)))</f>
        <v>1000000000000</v>
      </c>
      <c r="BE159" s="173">
        <f ca="1">IF(OR($D159&lt;&gt;"Serviço",AND(AUTOEVENTO="Manual",$M159=$A$15),$M159&gt;(ROW(PLE.lastrow)-ROW(PLE.firstrow))),0,
           IF(OFFSET(PLE!$G$15,$M159-$A$15,BE$13)="",10^12,OFFSET(PLE!$G$15,$M159-$A$15,BE$13)))</f>
        <v>1000000000000</v>
      </c>
      <c r="BF159" s="173">
        <f ca="1">IF(OR($D159&lt;&gt;"Serviço",AND(AUTOEVENTO="Manual",$M159=$A$15),$M159&gt;(ROW(PLE.lastrow)-ROW(PLE.firstrow))),0,
           IF(OFFSET(PLE!$G$15,$M159-$A$15,BF$13)="",10^12,OFFSET(PLE!$G$15,$M159-$A$15,BF$13)))</f>
        <v>1000000000000</v>
      </c>
      <c r="BG159" s="173">
        <f ca="1">IF(OR($D159&lt;&gt;"Serviço",AND(AUTOEVENTO="Manual",$M159=$A$15),$M159&gt;(ROW(PLE.lastrow)-ROW(PLE.firstrow))),0,
           IF(OFFSET(PLE!$G$15,$M159-$A$15,BG$13)="",10^12,OFFSET(PLE!$G$15,$M159-$A$15,BG$13)))</f>
        <v>1000000000000</v>
      </c>
    </row>
    <row r="160" spans="1:59" s="702" customFormat="1" ht="25.5" x14ac:dyDescent="0.2">
      <c r="A160" s="700" t="str">
        <f t="shared" ca="1" si="11"/>
        <v>131</v>
      </c>
      <c r="B160" s="700" t="str">
        <f ca="1">OFFSET(ORÇAMENTO!C$15,ROW(B160)-ROW(B$15),0)</f>
        <v>S</v>
      </c>
      <c r="C160" s="700" t="str">
        <f ca="1">OFFSET(ORÇAMENTO!L$15,ROW(C160)-ROW(C$15),0)</f>
        <v/>
      </c>
      <c r="D160" s="117" t="str">
        <f ca="1">OFFSET(ORÇAMENTO!N$15,ROW(D160)-ROW(D$15),0)</f>
        <v>Serviço</v>
      </c>
      <c r="E160" s="118" t="str">
        <f ca="1">OFFSET(ORÇAMENTO!O$15,ROW(E160)-ROW(E$15),0)</f>
        <v>-</v>
      </c>
      <c r="F160" s="164" t="str">
        <f ca="1">OFFSET(ORÇAMENTO!R$15,ROW(F160)-ROW(F$15),0)</f>
        <v>(abra o arquivo 'Referência 09-2025.xlsm)</v>
      </c>
      <c r="G160" s="165" t="str">
        <f ca="1">IF($D160&lt;&gt;"Serviço","",OFFSET(ORÇAMENTO!S$15,ROW(G160)-ROW(G$15),0))</f>
        <v>-</v>
      </c>
      <c r="H160" s="123">
        <f ca="1">IF($D160&lt;&gt;"Serviço",0,IF(ACOMPANHAMENTO="BM",ROUND(OFFSET(ORÇAMENTO!AJ$15,ROW(H160)-ROW(H$15),0),15-13*ORÇAMENTO!$AF$7),SUMPRODUCT(($Q$1:$AA$1=1)*ROUND($Q160:$AA160,15-13*ORÇAMENTO!$AF$7))))</f>
        <v>88</v>
      </c>
      <c r="I160" s="469"/>
      <c r="J160" s="667" t="str">
        <f ca="1">IF(OR(B160&lt;&gt;"S",CÁLCULO.FrentesPreenchidas=0),"",IF(AND(ACOMPANHAMENTO="PLE",AUTOEVENTO="Manual",OR(H160&gt;0,ORÇAMENTO!AC160="QUANT."),OR(K160="",M160=0,N160="")),"►",IF(AND(ACOMPANHAMENTO="PLE",ORÇAMENTO!AC160="QUANT."),"►►",IF(AND(COUNTIF($P$11:$AA$11,"▼")=0,H160&gt;0,I160=""),"◄",""))))</f>
        <v/>
      </c>
      <c r="K160" s="668"/>
      <c r="L160" s="166" t="s">
        <v>765</v>
      </c>
      <c r="M160" s="167">
        <f ca="1">IF($D160&lt;&gt;"Serviço","",
          IF(AUTOEVENTO="manual",$A160,
                IF(ISERROR(MATCH($A160,$A$15:OFFSET($A160,-1,0),0)),MAX($M$15:OFFSET(M160,-1,0))+1,
                      INDEX($M$15:OFFSET(M160,-1,0),MATCH($A160,$A$15:OFFSET($A160,-1,0),0)))))</f>
        <v>16</v>
      </c>
      <c r="N160" s="168" t="str">
        <f ca="1">IF($D160&lt;&gt;"Serviço","",
         IF(AUTOEVENTO="Manual",
                IF($A160=0,"&lt;-- defina o número do agrupador",
                       OFFSET(EVENTOS!$D$15,$A160-$A$15,0)),
                OFFSET($F$15,$A160,0)))</f>
        <v>ELEVATÓRIA DE ESGOTO - MATERIAIS</v>
      </c>
      <c r="O160" s="169"/>
      <c r="Q160" s="169"/>
      <c r="R160" s="170"/>
      <c r="S160" s="170"/>
      <c r="T160" s="170"/>
      <c r="U160" s="170"/>
      <c r="V160" s="170"/>
      <c r="W160" s="170"/>
      <c r="X160" s="170"/>
      <c r="Y160" s="170"/>
      <c r="Z160" s="171"/>
      <c r="AB160" s="454">
        <f ca="1">IF(AND($D160="Serviço",AB$12&lt;&gt;0,$H160&gt;0,OR(AUTOEVENTO&lt;&gt;"manual",$M160&lt;&gt;$A$15)),
        IF(Import.TipoArredondamento&lt;&gt;"TransfereGOV",
              ROUND(OFFSET($P160,0,AB$13),15-13*ORÇAMENTO!$AF$7)/$H160*OFFSET(ORÇAMENTO!$X$15,ROW(AB160)-ROW(AB$15),0),
              ROUND(ROUND(OFFSET($P160,0,AB$13),15-13*ORÇAMENTO!$AF$7)*OFFSET(ORÇAMENTO!$W$15,ROW(AB160)-ROW(AB$15),0),15-13*ORÇAMENTO!$AF$11)),
         0)</f>
        <v>0</v>
      </c>
      <c r="AC160" s="454">
        <f ca="1">IF(AND($D160="Serviço",AC$12&lt;&gt;0,$H160&gt;0,OR(AUTOEVENTO&lt;&gt;"manual",$M160&lt;&gt;$A$15)),
        IF(Import.TipoArredondamento&lt;&gt;"TransfereGOV",
              ROUND(OFFSET($P160,0,AC$13),15-13*ORÇAMENTO!$AF$7)/$H160*OFFSET(ORÇAMENTO!$X$15,ROW(AC160)-ROW(AC$15),0),
              ROUND(ROUND(OFFSET($P160,0,AC$13),15-13*ORÇAMENTO!$AF$7)*OFFSET(ORÇAMENTO!$W$15,ROW(AC160)-ROW(AC$15),0),15-13*ORÇAMENTO!$AF$11)),
         0)</f>
        <v>0</v>
      </c>
      <c r="AD160" s="454">
        <f ca="1">IF(AND($D160="Serviço",AD$12&lt;&gt;0,$H160&gt;0,OR(AUTOEVENTO&lt;&gt;"manual",$M160&lt;&gt;$A$15)),
        IF(Import.TipoArredondamento&lt;&gt;"TransfereGOV",
              ROUND(OFFSET($P160,0,AD$13),15-13*ORÇAMENTO!$AF$7)/$H160*OFFSET(ORÇAMENTO!$X$15,ROW(AD160)-ROW(AD$15),0),
              ROUND(ROUND(OFFSET($P160,0,AD$13),15-13*ORÇAMENTO!$AF$7)*OFFSET(ORÇAMENTO!$W$15,ROW(AD160)-ROW(AD$15),0),15-13*ORÇAMENTO!$AF$11)),
         0)</f>
        <v>0</v>
      </c>
      <c r="AE160" s="454">
        <f ca="1">IF(AND($D160="Serviço",AE$12&lt;&gt;0,$H160&gt;0,OR(AUTOEVENTO&lt;&gt;"manual",$M160&lt;&gt;$A$15)),
        IF(Import.TipoArredondamento&lt;&gt;"TransfereGOV",
              ROUND(OFFSET($P160,0,AE$13),15-13*ORÇAMENTO!$AF$7)/$H160*OFFSET(ORÇAMENTO!$X$15,ROW(AE160)-ROW(AE$15),0),
              ROUND(ROUND(OFFSET($P160,0,AE$13),15-13*ORÇAMENTO!$AF$7)*OFFSET(ORÇAMENTO!$W$15,ROW(AE160)-ROW(AE$15),0),15-13*ORÇAMENTO!$AF$11)),
         0)</f>
        <v>0</v>
      </c>
      <c r="AF160" s="454">
        <f ca="1">IF(AND($D160="Serviço",AF$12&lt;&gt;0,$H160&gt;0,OR(AUTOEVENTO&lt;&gt;"manual",$M160&lt;&gt;$A$15)),
        IF(Import.TipoArredondamento&lt;&gt;"TransfereGOV",
              ROUND(OFFSET($P160,0,AF$13),15-13*ORÇAMENTO!$AF$7)/$H160*OFFSET(ORÇAMENTO!$X$15,ROW(AF160)-ROW(AF$15),0),
              ROUND(ROUND(OFFSET($P160,0,AF$13),15-13*ORÇAMENTO!$AF$7)*OFFSET(ORÇAMENTO!$W$15,ROW(AF160)-ROW(AF$15),0),15-13*ORÇAMENTO!$AF$11)),
         0)</f>
        <v>0</v>
      </c>
      <c r="AG160" s="454">
        <f ca="1">IF(AND($D160="Serviço",AG$12&lt;&gt;0,$H160&gt;0,OR(AUTOEVENTO&lt;&gt;"manual",$M160&lt;&gt;$A$15)),
        IF(Import.TipoArredondamento&lt;&gt;"TransfereGOV",
              ROUND(OFFSET($P160,0,AG$13),15-13*ORÇAMENTO!$AF$7)/$H160*OFFSET(ORÇAMENTO!$X$15,ROW(AG160)-ROW(AG$15),0),
              ROUND(ROUND(OFFSET($P160,0,AG$13),15-13*ORÇAMENTO!$AF$7)*OFFSET(ORÇAMENTO!$W$15,ROW(AG160)-ROW(AG$15),0),15-13*ORÇAMENTO!$AF$11)),
         0)</f>
        <v>0</v>
      </c>
      <c r="AH160" s="454">
        <f ca="1">IF(AND($D160="Serviço",AH$12&lt;&gt;0,$H160&gt;0,OR(AUTOEVENTO&lt;&gt;"manual",$M160&lt;&gt;$A$15)),
        IF(Import.TipoArredondamento&lt;&gt;"TransfereGOV",
              ROUND(OFFSET($P160,0,AH$13),15-13*ORÇAMENTO!$AF$7)/$H160*OFFSET(ORÇAMENTO!$X$15,ROW(AH160)-ROW(AH$15),0),
              ROUND(ROUND(OFFSET($P160,0,AH$13),15-13*ORÇAMENTO!$AF$7)*OFFSET(ORÇAMENTO!$W$15,ROW(AH160)-ROW(AH$15),0),15-13*ORÇAMENTO!$AF$11)),
         0)</f>
        <v>0</v>
      </c>
      <c r="AI160" s="454">
        <f ca="1">IF(AND($D160="Serviço",AI$12&lt;&gt;0,$H160&gt;0,OR(AUTOEVENTO&lt;&gt;"manual",$M160&lt;&gt;$A$15)),
        IF(Import.TipoArredondamento&lt;&gt;"TransfereGOV",
              ROUND(OFFSET($P160,0,AI$13),15-13*ORÇAMENTO!$AF$7)/$H160*OFFSET(ORÇAMENTO!$X$15,ROW(AI160)-ROW(AI$15),0),
              ROUND(ROUND(OFFSET($P160,0,AI$13),15-13*ORÇAMENTO!$AF$7)*OFFSET(ORÇAMENTO!$W$15,ROW(AI160)-ROW(AI$15),0),15-13*ORÇAMENTO!$AF$11)),
         0)</f>
        <v>0</v>
      </c>
      <c r="AJ160" s="454">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4">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M160" s="172">
        <f ca="1">IF(OR($D160&lt;&gt;"Serviço",AND(AUTOEVENTO="Manual",$M160=$A$15)),0,
         IF(OFFSET(CRONOPLE!$F$15,$M160-$A$15,AM$13)=0,10^12,OFFSET(CRONOPLE!$F$15,$M160-$A$15,AM$13)))</f>
        <v>1000000000000</v>
      </c>
      <c r="AN160" s="172">
        <f ca="1">IF(OR($D160&lt;&gt;"Serviço",AND(AUTOEVENTO="Manual",$M160=$A$15)),0,
         IF(OFFSET(CRONOPLE!$F$15,$M160-$A$15,AN$13)=0,10^12,OFFSET(CRONOPLE!$F$15,$M160-$A$15,AN$13)))</f>
        <v>1000000000000</v>
      </c>
      <c r="AO160" s="172">
        <f ca="1">IF(OR($D160&lt;&gt;"Serviço",AND(AUTOEVENTO="Manual",$M160=$A$15)),0,
         IF(OFFSET(CRONOPLE!$F$15,$M160-$A$15,AO$13)=0,10^12,OFFSET(CRONOPLE!$F$15,$M160-$A$15,AO$13)))</f>
        <v>1000000000000</v>
      </c>
      <c r="AP160" s="172">
        <f ca="1">IF(OR($D160&lt;&gt;"Serviço",AND(AUTOEVENTO="Manual",$M160=$A$15)),0,
         IF(OFFSET(CRONOPLE!$F$15,$M160-$A$15,AP$13)=0,10^12,OFFSET(CRONOPLE!$F$15,$M160-$A$15,AP$13)))</f>
        <v>1000000000000</v>
      </c>
      <c r="AQ160" s="172">
        <f ca="1">IF(OR($D160&lt;&gt;"Serviço",AND(AUTOEVENTO="Manual",$M160=$A$15)),0,
         IF(OFFSET(CRONOPLE!$F$15,$M160-$A$15,AQ$13)=0,10^12,OFFSET(CRONOPLE!$F$15,$M160-$A$15,AQ$13)))</f>
        <v>1000000000000</v>
      </c>
      <c r="AR160" s="172">
        <f ca="1">IF(OR($D160&lt;&gt;"Serviço",AND(AUTOEVENTO="Manual",$M160=$A$15)),0,
         IF(OFFSET(CRONOPLE!$F$15,$M160-$A$15,AR$13)=0,10^12,OFFSET(CRONOPLE!$F$15,$M160-$A$15,AR$13)))</f>
        <v>1000000000000</v>
      </c>
      <c r="AS160" s="172">
        <f ca="1">IF(OR($D160&lt;&gt;"Serviço",AND(AUTOEVENTO="Manual",$M160=$A$15)),0,
         IF(OFFSET(CRONOPLE!$F$15,$M160-$A$15,AS$13)=0,10^12,OFFSET(CRONOPLE!$F$15,$M160-$A$15,AS$13)))</f>
        <v>1000000000000</v>
      </c>
      <c r="AT160" s="172">
        <f ca="1">IF(OR($D160&lt;&gt;"Serviço",AND(AUTOEVENTO="Manual",$M160=$A$15)),0,
         IF(OFFSET(CRONOPLE!$F$15,$M160-$A$15,AT$13)=0,10^12,OFFSET(CRONOPLE!$F$15,$M160-$A$15,AT$13)))</f>
        <v>1000000000000</v>
      </c>
      <c r="AU160" s="172">
        <f ca="1">IF(OR($D160&lt;&gt;"Serviço",AND(AUTOEVENTO="Manual",$M160=$A$15)),0,
         IF(OFFSET(CRONOPLE!$F$15,$M160-$A$15,AU$13)=0,10^12,OFFSET(CRONOPLE!$F$15,$M160-$A$15,AU$13)))</f>
        <v>1000000000000</v>
      </c>
      <c r="AV160" s="172">
        <f ca="1">IF(OR($D160&lt;&gt;"Serviço",AND(AUTOEVENTO="Manual",$M160=$A$15)),0,
         IF(OFFSET(CRONOPLE!$F$15,$M160-$A$15,AV$13)=0,10^12,OFFSET(CRONOPLE!$F$15,$M160-$A$15,AV$13)))</f>
        <v>1000000000000</v>
      </c>
      <c r="AX160" s="173">
        <f ca="1">IF(OR($D160&lt;&gt;"Serviço",AND(AUTOEVENTO="Manual",$M160=$A$15),$M160&gt;(ROW(PLE.lastrow)-ROW(PLE.firstrow))),0,
           IF(OFFSET(PLE!$G$15,$M160-$A$15,AX$13)="",10^12,OFFSET(PLE!$G$15,$M160-$A$15,AX$13)))</f>
        <v>1000000000000</v>
      </c>
      <c r="AY160" s="173">
        <f ca="1">IF(OR($D160&lt;&gt;"Serviço",AND(AUTOEVENTO="Manual",$M160=$A$15),$M160&gt;(ROW(PLE.lastrow)-ROW(PLE.firstrow))),0,
           IF(OFFSET(PLE!$G$15,$M160-$A$15,AY$13)="",10^12,OFFSET(PLE!$G$15,$M160-$A$15,AY$13)))</f>
        <v>1000000000000</v>
      </c>
      <c r="AZ160" s="173">
        <f ca="1">IF(OR($D160&lt;&gt;"Serviço",AND(AUTOEVENTO="Manual",$M160=$A$15),$M160&gt;(ROW(PLE.lastrow)-ROW(PLE.firstrow))),0,
           IF(OFFSET(PLE!$G$15,$M160-$A$15,AZ$13)="",10^12,OFFSET(PLE!$G$15,$M160-$A$15,AZ$13)))</f>
        <v>1000000000000</v>
      </c>
      <c r="BA160" s="173">
        <f ca="1">IF(OR($D160&lt;&gt;"Serviço",AND(AUTOEVENTO="Manual",$M160=$A$15),$M160&gt;(ROW(PLE.lastrow)-ROW(PLE.firstrow))),0,
           IF(OFFSET(PLE!$G$15,$M160-$A$15,BA$13)="",10^12,OFFSET(PLE!$G$15,$M160-$A$15,BA$13)))</f>
        <v>1000000000000</v>
      </c>
      <c r="BB160" s="173">
        <f ca="1">IF(OR($D160&lt;&gt;"Serviço",AND(AUTOEVENTO="Manual",$M160=$A$15),$M160&gt;(ROW(PLE.lastrow)-ROW(PLE.firstrow))),0,
           IF(OFFSET(PLE!$G$15,$M160-$A$15,BB$13)="",10^12,OFFSET(PLE!$G$15,$M160-$A$15,BB$13)))</f>
        <v>1000000000000</v>
      </c>
      <c r="BC160" s="173">
        <f ca="1">IF(OR($D160&lt;&gt;"Serviço",AND(AUTOEVENTO="Manual",$M160=$A$15),$M160&gt;(ROW(PLE.lastrow)-ROW(PLE.firstrow))),0,
           IF(OFFSET(PLE!$G$15,$M160-$A$15,BC$13)="",10^12,OFFSET(PLE!$G$15,$M160-$A$15,BC$13)))</f>
        <v>1000000000000</v>
      </c>
      <c r="BD160" s="173">
        <f ca="1">IF(OR($D160&lt;&gt;"Serviço",AND(AUTOEVENTO="Manual",$M160=$A$15),$M160&gt;(ROW(PLE.lastrow)-ROW(PLE.firstrow))),0,
           IF(OFFSET(PLE!$G$15,$M160-$A$15,BD$13)="",10^12,OFFSET(PLE!$G$15,$M160-$A$15,BD$13)))</f>
        <v>1000000000000</v>
      </c>
      <c r="BE160" s="173">
        <f ca="1">IF(OR($D160&lt;&gt;"Serviço",AND(AUTOEVENTO="Manual",$M160=$A$15),$M160&gt;(ROW(PLE.lastrow)-ROW(PLE.firstrow))),0,
           IF(OFFSET(PLE!$G$15,$M160-$A$15,BE$13)="",10^12,OFFSET(PLE!$G$15,$M160-$A$15,BE$13)))</f>
        <v>1000000000000</v>
      </c>
      <c r="BF160" s="173">
        <f ca="1">IF(OR($D160&lt;&gt;"Serviço",AND(AUTOEVENTO="Manual",$M160=$A$15),$M160&gt;(ROW(PLE.lastrow)-ROW(PLE.firstrow))),0,
           IF(OFFSET(PLE!$G$15,$M160-$A$15,BF$13)="",10^12,OFFSET(PLE!$G$15,$M160-$A$15,BF$13)))</f>
        <v>1000000000000</v>
      </c>
      <c r="BG160" s="173">
        <f ca="1">IF(OR($D160&lt;&gt;"Serviço",AND(AUTOEVENTO="Manual",$M160=$A$15),$M160&gt;(ROW(PLE.lastrow)-ROW(PLE.firstrow))),0,
           IF(OFFSET(PLE!$G$15,$M160-$A$15,BG$13)="",10^12,OFFSET(PLE!$G$15,$M160-$A$15,BG$13)))</f>
        <v>1000000000000</v>
      </c>
    </row>
    <row r="161" spans="1:59" s="702" customFormat="1" ht="25.5" x14ac:dyDescent="0.2">
      <c r="A161" s="700" t="str">
        <f t="shared" ca="1" si="11"/>
        <v>131</v>
      </c>
      <c r="B161" s="700" t="str">
        <f ca="1">OFFSET(ORÇAMENTO!C$15,ROW(B161)-ROW(B$15),0)</f>
        <v>S</v>
      </c>
      <c r="C161" s="700" t="str">
        <f ca="1">OFFSET(ORÇAMENTO!L$15,ROW(C161)-ROW(C$15),0)</f>
        <v/>
      </c>
      <c r="D161" s="117" t="str">
        <f ca="1">OFFSET(ORÇAMENTO!N$15,ROW(D161)-ROW(D$15),0)</f>
        <v>Serviço</v>
      </c>
      <c r="E161" s="118" t="str">
        <f ca="1">OFFSET(ORÇAMENTO!O$15,ROW(E161)-ROW(E$15),0)</f>
        <v>-</v>
      </c>
      <c r="F161" s="164" t="str">
        <f ca="1">OFFSET(ORÇAMENTO!R$15,ROW(F161)-ROW(F$15),0)</f>
        <v>(abra o arquivo 'Referência 09-2025.xlsm)</v>
      </c>
      <c r="G161" s="165" t="str">
        <f ca="1">IF($D161&lt;&gt;"Serviço","",OFFSET(ORÇAMENTO!S$15,ROW(G161)-ROW(G$15),0))</f>
        <v>-</v>
      </c>
      <c r="H161" s="123">
        <f ca="1">IF($D161&lt;&gt;"Serviço",0,IF(ACOMPANHAMENTO="BM",ROUND(OFFSET(ORÇAMENTO!AJ$15,ROW(H161)-ROW(H$15),0),15-13*ORÇAMENTO!$AF$7),SUMPRODUCT(($Q$1:$AA$1=1)*ROUND($Q161:$AA161,15-13*ORÇAMENTO!$AF$7))))</f>
        <v>12</v>
      </c>
      <c r="I161" s="469"/>
      <c r="J161" s="667" t="str">
        <f ca="1">IF(OR(B161&lt;&gt;"S",CÁLCULO.FrentesPreenchidas=0),"",IF(AND(ACOMPANHAMENTO="PLE",AUTOEVENTO="Manual",OR(H161&gt;0,ORÇAMENTO!AC161="QUANT."),OR(K161="",M161=0,N161="")),"►",IF(AND(ACOMPANHAMENTO="PLE",ORÇAMENTO!AC161="QUANT."),"►►",IF(AND(COUNTIF($P$11:$AA$11,"▼")=0,H161&gt;0,I161=""),"◄",""))))</f>
        <v/>
      </c>
      <c r="K161" s="668"/>
      <c r="L161" s="166" t="s">
        <v>765</v>
      </c>
      <c r="M161" s="167">
        <f ca="1">IF($D161&lt;&gt;"Serviço","",
          IF(AUTOEVENTO="manual",$A161,
                IF(ISERROR(MATCH($A161,$A$15:OFFSET($A161,-1,0),0)),MAX($M$15:OFFSET(M161,-1,0))+1,
                      INDEX($M$15:OFFSET(M161,-1,0),MATCH($A161,$A$15:OFFSET($A161,-1,0),0)))))</f>
        <v>16</v>
      </c>
      <c r="N161" s="168" t="str">
        <f ca="1">IF($D161&lt;&gt;"Serviço","",
         IF(AUTOEVENTO="Manual",
                IF($A161=0,"&lt;-- defina o número do agrupador",
                       OFFSET(EVENTOS!$D$15,$A161-$A$15,0)),
                OFFSET($F$15,$A161,0)))</f>
        <v>ELEVATÓRIA DE ESGOTO - MATERIAIS</v>
      </c>
      <c r="O161" s="169"/>
      <c r="Q161" s="169"/>
      <c r="R161" s="170"/>
      <c r="S161" s="170"/>
      <c r="T161" s="170"/>
      <c r="U161" s="170"/>
      <c r="V161" s="170"/>
      <c r="W161" s="170"/>
      <c r="X161" s="170"/>
      <c r="Y161" s="170"/>
      <c r="Z161" s="171"/>
      <c r="AB161" s="454">
        <f ca="1">IF(AND($D161="Serviço",AB$12&lt;&gt;0,$H161&gt;0,OR(AUTOEVENTO&lt;&gt;"manual",$M161&lt;&gt;$A$15)),
        IF(Import.TipoArredondamento&lt;&gt;"TransfereGOV",
              ROUND(OFFSET($P161,0,AB$13),15-13*ORÇAMENTO!$AF$7)/$H161*OFFSET(ORÇAMENTO!$X$15,ROW(AB161)-ROW(AB$15),0),
              ROUND(ROUND(OFFSET($P161,0,AB$13),15-13*ORÇAMENTO!$AF$7)*OFFSET(ORÇAMENTO!$W$15,ROW(AB161)-ROW(AB$15),0),15-13*ORÇAMENTO!$AF$11)),
         0)</f>
        <v>0</v>
      </c>
      <c r="AC161" s="454">
        <f ca="1">IF(AND($D161="Serviço",AC$12&lt;&gt;0,$H161&gt;0,OR(AUTOEVENTO&lt;&gt;"manual",$M161&lt;&gt;$A$15)),
        IF(Import.TipoArredondamento&lt;&gt;"TransfereGOV",
              ROUND(OFFSET($P161,0,AC$13),15-13*ORÇAMENTO!$AF$7)/$H161*OFFSET(ORÇAMENTO!$X$15,ROW(AC161)-ROW(AC$15),0),
              ROUND(ROUND(OFFSET($P161,0,AC$13),15-13*ORÇAMENTO!$AF$7)*OFFSET(ORÇAMENTO!$W$15,ROW(AC161)-ROW(AC$15),0),15-13*ORÇAMENTO!$AF$11)),
         0)</f>
        <v>0</v>
      </c>
      <c r="AD161" s="454">
        <f ca="1">IF(AND($D161="Serviço",AD$12&lt;&gt;0,$H161&gt;0,OR(AUTOEVENTO&lt;&gt;"manual",$M161&lt;&gt;$A$15)),
        IF(Import.TipoArredondamento&lt;&gt;"TransfereGOV",
              ROUND(OFFSET($P161,0,AD$13),15-13*ORÇAMENTO!$AF$7)/$H161*OFFSET(ORÇAMENTO!$X$15,ROW(AD161)-ROW(AD$15),0),
              ROUND(ROUND(OFFSET($P161,0,AD$13),15-13*ORÇAMENTO!$AF$7)*OFFSET(ORÇAMENTO!$W$15,ROW(AD161)-ROW(AD$15),0),15-13*ORÇAMENTO!$AF$11)),
         0)</f>
        <v>0</v>
      </c>
      <c r="AE161" s="454">
        <f ca="1">IF(AND($D161="Serviço",AE$12&lt;&gt;0,$H161&gt;0,OR(AUTOEVENTO&lt;&gt;"manual",$M161&lt;&gt;$A$15)),
        IF(Import.TipoArredondamento&lt;&gt;"TransfereGOV",
              ROUND(OFFSET($P161,0,AE$13),15-13*ORÇAMENTO!$AF$7)/$H161*OFFSET(ORÇAMENTO!$X$15,ROW(AE161)-ROW(AE$15),0),
              ROUND(ROUND(OFFSET($P161,0,AE$13),15-13*ORÇAMENTO!$AF$7)*OFFSET(ORÇAMENTO!$W$15,ROW(AE161)-ROW(AE$15),0),15-13*ORÇAMENTO!$AF$11)),
         0)</f>
        <v>0</v>
      </c>
      <c r="AF161" s="454">
        <f ca="1">IF(AND($D161="Serviço",AF$12&lt;&gt;0,$H161&gt;0,OR(AUTOEVENTO&lt;&gt;"manual",$M161&lt;&gt;$A$15)),
        IF(Import.TipoArredondamento&lt;&gt;"TransfereGOV",
              ROUND(OFFSET($P161,0,AF$13),15-13*ORÇAMENTO!$AF$7)/$H161*OFFSET(ORÇAMENTO!$X$15,ROW(AF161)-ROW(AF$15),0),
              ROUND(ROUND(OFFSET($P161,0,AF$13),15-13*ORÇAMENTO!$AF$7)*OFFSET(ORÇAMENTO!$W$15,ROW(AF161)-ROW(AF$15),0),15-13*ORÇAMENTO!$AF$11)),
         0)</f>
        <v>0</v>
      </c>
      <c r="AG161" s="454">
        <f ca="1">IF(AND($D161="Serviço",AG$12&lt;&gt;0,$H161&gt;0,OR(AUTOEVENTO&lt;&gt;"manual",$M161&lt;&gt;$A$15)),
        IF(Import.TipoArredondamento&lt;&gt;"TransfereGOV",
              ROUND(OFFSET($P161,0,AG$13),15-13*ORÇAMENTO!$AF$7)/$H161*OFFSET(ORÇAMENTO!$X$15,ROW(AG161)-ROW(AG$15),0),
              ROUND(ROUND(OFFSET($P161,0,AG$13),15-13*ORÇAMENTO!$AF$7)*OFFSET(ORÇAMENTO!$W$15,ROW(AG161)-ROW(AG$15),0),15-13*ORÇAMENTO!$AF$11)),
         0)</f>
        <v>0</v>
      </c>
      <c r="AH161" s="454">
        <f ca="1">IF(AND($D161="Serviço",AH$12&lt;&gt;0,$H161&gt;0,OR(AUTOEVENTO&lt;&gt;"manual",$M161&lt;&gt;$A$15)),
        IF(Import.TipoArredondamento&lt;&gt;"TransfereGOV",
              ROUND(OFFSET($P161,0,AH$13),15-13*ORÇAMENTO!$AF$7)/$H161*OFFSET(ORÇAMENTO!$X$15,ROW(AH161)-ROW(AH$15),0),
              ROUND(ROUND(OFFSET($P161,0,AH$13),15-13*ORÇAMENTO!$AF$7)*OFFSET(ORÇAMENTO!$W$15,ROW(AH161)-ROW(AH$15),0),15-13*ORÇAMENTO!$AF$11)),
         0)</f>
        <v>0</v>
      </c>
      <c r="AI161" s="454">
        <f ca="1">IF(AND($D161="Serviço",AI$12&lt;&gt;0,$H161&gt;0,OR(AUTOEVENTO&lt;&gt;"manual",$M161&lt;&gt;$A$15)),
        IF(Import.TipoArredondamento&lt;&gt;"TransfereGOV",
              ROUND(OFFSET($P161,0,AI$13),15-13*ORÇAMENTO!$AF$7)/$H161*OFFSET(ORÇAMENTO!$X$15,ROW(AI161)-ROW(AI$15),0),
              ROUND(ROUND(OFFSET($P161,0,AI$13),15-13*ORÇAMENTO!$AF$7)*OFFSET(ORÇAMENTO!$W$15,ROW(AI161)-ROW(AI$15),0),15-13*ORÇAMENTO!$AF$11)),
         0)</f>
        <v>0</v>
      </c>
      <c r="AJ161" s="454">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4">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M161" s="172">
        <f ca="1">IF(OR($D161&lt;&gt;"Serviço",AND(AUTOEVENTO="Manual",$M161=$A$15)),0,
         IF(OFFSET(CRONOPLE!$F$15,$M161-$A$15,AM$13)=0,10^12,OFFSET(CRONOPLE!$F$15,$M161-$A$15,AM$13)))</f>
        <v>1000000000000</v>
      </c>
      <c r="AN161" s="172">
        <f ca="1">IF(OR($D161&lt;&gt;"Serviço",AND(AUTOEVENTO="Manual",$M161=$A$15)),0,
         IF(OFFSET(CRONOPLE!$F$15,$M161-$A$15,AN$13)=0,10^12,OFFSET(CRONOPLE!$F$15,$M161-$A$15,AN$13)))</f>
        <v>1000000000000</v>
      </c>
      <c r="AO161" s="172">
        <f ca="1">IF(OR($D161&lt;&gt;"Serviço",AND(AUTOEVENTO="Manual",$M161=$A$15)),0,
         IF(OFFSET(CRONOPLE!$F$15,$M161-$A$15,AO$13)=0,10^12,OFFSET(CRONOPLE!$F$15,$M161-$A$15,AO$13)))</f>
        <v>1000000000000</v>
      </c>
      <c r="AP161" s="172">
        <f ca="1">IF(OR($D161&lt;&gt;"Serviço",AND(AUTOEVENTO="Manual",$M161=$A$15)),0,
         IF(OFFSET(CRONOPLE!$F$15,$M161-$A$15,AP$13)=0,10^12,OFFSET(CRONOPLE!$F$15,$M161-$A$15,AP$13)))</f>
        <v>1000000000000</v>
      </c>
      <c r="AQ161" s="172">
        <f ca="1">IF(OR($D161&lt;&gt;"Serviço",AND(AUTOEVENTO="Manual",$M161=$A$15)),0,
         IF(OFFSET(CRONOPLE!$F$15,$M161-$A$15,AQ$13)=0,10^12,OFFSET(CRONOPLE!$F$15,$M161-$A$15,AQ$13)))</f>
        <v>1000000000000</v>
      </c>
      <c r="AR161" s="172">
        <f ca="1">IF(OR($D161&lt;&gt;"Serviço",AND(AUTOEVENTO="Manual",$M161=$A$15)),0,
         IF(OFFSET(CRONOPLE!$F$15,$M161-$A$15,AR$13)=0,10^12,OFFSET(CRONOPLE!$F$15,$M161-$A$15,AR$13)))</f>
        <v>1000000000000</v>
      </c>
      <c r="AS161" s="172">
        <f ca="1">IF(OR($D161&lt;&gt;"Serviço",AND(AUTOEVENTO="Manual",$M161=$A$15)),0,
         IF(OFFSET(CRONOPLE!$F$15,$M161-$A$15,AS$13)=0,10^12,OFFSET(CRONOPLE!$F$15,$M161-$A$15,AS$13)))</f>
        <v>1000000000000</v>
      </c>
      <c r="AT161" s="172">
        <f ca="1">IF(OR($D161&lt;&gt;"Serviço",AND(AUTOEVENTO="Manual",$M161=$A$15)),0,
         IF(OFFSET(CRONOPLE!$F$15,$M161-$A$15,AT$13)=0,10^12,OFFSET(CRONOPLE!$F$15,$M161-$A$15,AT$13)))</f>
        <v>1000000000000</v>
      </c>
      <c r="AU161" s="172">
        <f ca="1">IF(OR($D161&lt;&gt;"Serviço",AND(AUTOEVENTO="Manual",$M161=$A$15)),0,
         IF(OFFSET(CRONOPLE!$F$15,$M161-$A$15,AU$13)=0,10^12,OFFSET(CRONOPLE!$F$15,$M161-$A$15,AU$13)))</f>
        <v>1000000000000</v>
      </c>
      <c r="AV161" s="172">
        <f ca="1">IF(OR($D161&lt;&gt;"Serviço",AND(AUTOEVENTO="Manual",$M161=$A$15)),0,
         IF(OFFSET(CRONOPLE!$F$15,$M161-$A$15,AV$13)=0,10^12,OFFSET(CRONOPLE!$F$15,$M161-$A$15,AV$13)))</f>
        <v>1000000000000</v>
      </c>
      <c r="AX161" s="173">
        <f ca="1">IF(OR($D161&lt;&gt;"Serviço",AND(AUTOEVENTO="Manual",$M161=$A$15),$M161&gt;(ROW(PLE.lastrow)-ROW(PLE.firstrow))),0,
           IF(OFFSET(PLE!$G$15,$M161-$A$15,AX$13)="",10^12,OFFSET(PLE!$G$15,$M161-$A$15,AX$13)))</f>
        <v>1000000000000</v>
      </c>
      <c r="AY161" s="173">
        <f ca="1">IF(OR($D161&lt;&gt;"Serviço",AND(AUTOEVENTO="Manual",$M161=$A$15),$M161&gt;(ROW(PLE.lastrow)-ROW(PLE.firstrow))),0,
           IF(OFFSET(PLE!$G$15,$M161-$A$15,AY$13)="",10^12,OFFSET(PLE!$G$15,$M161-$A$15,AY$13)))</f>
        <v>1000000000000</v>
      </c>
      <c r="AZ161" s="173">
        <f ca="1">IF(OR($D161&lt;&gt;"Serviço",AND(AUTOEVENTO="Manual",$M161=$A$15),$M161&gt;(ROW(PLE.lastrow)-ROW(PLE.firstrow))),0,
           IF(OFFSET(PLE!$G$15,$M161-$A$15,AZ$13)="",10^12,OFFSET(PLE!$G$15,$M161-$A$15,AZ$13)))</f>
        <v>1000000000000</v>
      </c>
      <c r="BA161" s="173">
        <f ca="1">IF(OR($D161&lt;&gt;"Serviço",AND(AUTOEVENTO="Manual",$M161=$A$15),$M161&gt;(ROW(PLE.lastrow)-ROW(PLE.firstrow))),0,
           IF(OFFSET(PLE!$G$15,$M161-$A$15,BA$13)="",10^12,OFFSET(PLE!$G$15,$M161-$A$15,BA$13)))</f>
        <v>1000000000000</v>
      </c>
      <c r="BB161" s="173">
        <f ca="1">IF(OR($D161&lt;&gt;"Serviço",AND(AUTOEVENTO="Manual",$M161=$A$15),$M161&gt;(ROW(PLE.lastrow)-ROW(PLE.firstrow))),0,
           IF(OFFSET(PLE!$G$15,$M161-$A$15,BB$13)="",10^12,OFFSET(PLE!$G$15,$M161-$A$15,BB$13)))</f>
        <v>1000000000000</v>
      </c>
      <c r="BC161" s="173">
        <f ca="1">IF(OR($D161&lt;&gt;"Serviço",AND(AUTOEVENTO="Manual",$M161=$A$15),$M161&gt;(ROW(PLE.lastrow)-ROW(PLE.firstrow))),0,
           IF(OFFSET(PLE!$G$15,$M161-$A$15,BC$13)="",10^12,OFFSET(PLE!$G$15,$M161-$A$15,BC$13)))</f>
        <v>1000000000000</v>
      </c>
      <c r="BD161" s="173">
        <f ca="1">IF(OR($D161&lt;&gt;"Serviço",AND(AUTOEVENTO="Manual",$M161=$A$15),$M161&gt;(ROW(PLE.lastrow)-ROW(PLE.firstrow))),0,
           IF(OFFSET(PLE!$G$15,$M161-$A$15,BD$13)="",10^12,OFFSET(PLE!$G$15,$M161-$A$15,BD$13)))</f>
        <v>1000000000000</v>
      </c>
      <c r="BE161" s="173">
        <f ca="1">IF(OR($D161&lt;&gt;"Serviço",AND(AUTOEVENTO="Manual",$M161=$A$15),$M161&gt;(ROW(PLE.lastrow)-ROW(PLE.firstrow))),0,
           IF(OFFSET(PLE!$G$15,$M161-$A$15,BE$13)="",10^12,OFFSET(PLE!$G$15,$M161-$A$15,BE$13)))</f>
        <v>1000000000000</v>
      </c>
      <c r="BF161" s="173">
        <f ca="1">IF(OR($D161&lt;&gt;"Serviço",AND(AUTOEVENTO="Manual",$M161=$A$15),$M161&gt;(ROW(PLE.lastrow)-ROW(PLE.firstrow))),0,
           IF(OFFSET(PLE!$G$15,$M161-$A$15,BF$13)="",10^12,OFFSET(PLE!$G$15,$M161-$A$15,BF$13)))</f>
        <v>1000000000000</v>
      </c>
      <c r="BG161" s="173">
        <f ca="1">IF(OR($D161&lt;&gt;"Serviço",AND(AUTOEVENTO="Manual",$M161=$A$15),$M161&gt;(ROW(PLE.lastrow)-ROW(PLE.firstrow))),0,
           IF(OFFSET(PLE!$G$15,$M161-$A$15,BG$13)="",10^12,OFFSET(PLE!$G$15,$M161-$A$15,BG$13)))</f>
        <v>1000000000000</v>
      </c>
    </row>
    <row r="162" spans="1:59" s="702" customFormat="1" ht="153" x14ac:dyDescent="0.2">
      <c r="A162" s="700" t="str">
        <f t="shared" ca="1" si="11"/>
        <v>131</v>
      </c>
      <c r="B162" s="700" t="str">
        <f ca="1">OFFSET(ORÇAMENTO!C$15,ROW(B162)-ROW(B$15),0)</f>
        <v>S</v>
      </c>
      <c r="C162" s="700" t="str">
        <f ca="1">OFFSET(ORÇAMENTO!L$15,ROW(C162)-ROW(C$15),0)</f>
        <v/>
      </c>
      <c r="D162" s="117" t="str">
        <f ca="1">OFFSET(ORÇAMENTO!N$15,ROW(D162)-ROW(D$15),0)</f>
        <v>Serviço</v>
      </c>
      <c r="E162" s="118" t="str">
        <f ca="1">OFFSET(ORÇAMENTO!O$15,ROW(E162)-ROW(E$15),0)</f>
        <v>-</v>
      </c>
      <c r="F162" s="164" t="str">
        <f ca="1">OFFSET(ORÇAMENTO!R$15,ROW(F162)-ROW(F$15),0)</f>
        <v>(abra o arquivo 'Referência 09-2025.xlsm)</v>
      </c>
      <c r="G162" s="165" t="str">
        <f ca="1">IF($D162&lt;&gt;"Serviço","",OFFSET(ORÇAMENTO!S$15,ROW(G162)-ROW(G$15),0))</f>
        <v>-</v>
      </c>
      <c r="H162" s="123">
        <f ca="1">IF($D162&lt;&gt;"Serviço",0,IF(ACOMPANHAMENTO="BM",ROUND(OFFSET(ORÇAMENTO!AJ$15,ROW(H162)-ROW(H$15),0),15-13*ORÇAMENTO!$AF$7),SUMPRODUCT(($Q$1:$AA$1=1)*ROUND($Q162:$AA162,15-13*ORÇAMENTO!$AF$7))))</f>
        <v>1</v>
      </c>
      <c r="I162" s="469"/>
      <c r="J162" s="667" t="str">
        <f ca="1">IF(OR(B162&lt;&gt;"S",CÁLCULO.FrentesPreenchidas=0),"",IF(AND(ACOMPANHAMENTO="PLE",AUTOEVENTO="Manual",OR(H162&gt;0,ORÇAMENTO!AC162="QUANT."),OR(K162="",M162=0,N162="")),"►",IF(AND(ACOMPANHAMENTO="PLE",ORÇAMENTO!AC162="QUANT."),"►►",IF(AND(COUNTIF($P$11:$AA$11,"▼")=0,H162&gt;0,I162=""),"◄",""))))</f>
        <v/>
      </c>
      <c r="K162" s="668"/>
      <c r="L162" s="166" t="s">
        <v>765</v>
      </c>
      <c r="M162" s="167">
        <f ca="1">IF($D162&lt;&gt;"Serviço","",
          IF(AUTOEVENTO="manual",$A162,
                IF(ISERROR(MATCH($A162,$A$15:OFFSET($A162,-1,0),0)),MAX($M$15:OFFSET(M162,-1,0))+1,
                      INDEX($M$15:OFFSET(M162,-1,0),MATCH($A162,$A$15:OFFSET($A162,-1,0),0)))))</f>
        <v>16</v>
      </c>
      <c r="N162" s="168" t="str">
        <f ca="1">IF($D162&lt;&gt;"Serviço","",
         IF(AUTOEVENTO="Manual",
                IF($A162=0,"&lt;-- defina o número do agrupador",
                       OFFSET(EVENTOS!$D$15,$A162-$A$15,0)),
                OFFSET($F$15,$A162,0)))</f>
        <v>ELEVATÓRIA DE ESGOTO - MATERIAIS</v>
      </c>
      <c r="O162" s="169"/>
      <c r="Q162" s="169"/>
      <c r="R162" s="170"/>
      <c r="S162" s="170"/>
      <c r="T162" s="170"/>
      <c r="U162" s="170"/>
      <c r="V162" s="170"/>
      <c r="W162" s="170"/>
      <c r="X162" s="170"/>
      <c r="Y162" s="170"/>
      <c r="Z162" s="171"/>
      <c r="AB162" s="454">
        <f ca="1">IF(AND($D162="Serviço",AB$12&lt;&gt;0,$H162&gt;0,OR(AUTOEVENTO&lt;&gt;"manual",$M162&lt;&gt;$A$15)),
        IF(Import.TipoArredondamento&lt;&gt;"TransfereGOV",
              ROUND(OFFSET($P162,0,AB$13),15-13*ORÇAMENTO!$AF$7)/$H162*OFFSET(ORÇAMENTO!$X$15,ROW(AB162)-ROW(AB$15),0),
              ROUND(ROUND(OFFSET($P162,0,AB$13),15-13*ORÇAMENTO!$AF$7)*OFFSET(ORÇAMENTO!$W$15,ROW(AB162)-ROW(AB$15),0),15-13*ORÇAMENTO!$AF$11)),
         0)</f>
        <v>0</v>
      </c>
      <c r="AC162" s="454">
        <f ca="1">IF(AND($D162="Serviço",AC$12&lt;&gt;0,$H162&gt;0,OR(AUTOEVENTO&lt;&gt;"manual",$M162&lt;&gt;$A$15)),
        IF(Import.TipoArredondamento&lt;&gt;"TransfereGOV",
              ROUND(OFFSET($P162,0,AC$13),15-13*ORÇAMENTO!$AF$7)/$H162*OFFSET(ORÇAMENTO!$X$15,ROW(AC162)-ROW(AC$15),0),
              ROUND(ROUND(OFFSET($P162,0,AC$13),15-13*ORÇAMENTO!$AF$7)*OFFSET(ORÇAMENTO!$W$15,ROW(AC162)-ROW(AC$15),0),15-13*ORÇAMENTO!$AF$11)),
         0)</f>
        <v>0</v>
      </c>
      <c r="AD162" s="454">
        <f ca="1">IF(AND($D162="Serviço",AD$12&lt;&gt;0,$H162&gt;0,OR(AUTOEVENTO&lt;&gt;"manual",$M162&lt;&gt;$A$15)),
        IF(Import.TipoArredondamento&lt;&gt;"TransfereGOV",
              ROUND(OFFSET($P162,0,AD$13),15-13*ORÇAMENTO!$AF$7)/$H162*OFFSET(ORÇAMENTO!$X$15,ROW(AD162)-ROW(AD$15),0),
              ROUND(ROUND(OFFSET($P162,0,AD$13),15-13*ORÇAMENTO!$AF$7)*OFFSET(ORÇAMENTO!$W$15,ROW(AD162)-ROW(AD$15),0),15-13*ORÇAMENTO!$AF$11)),
         0)</f>
        <v>0</v>
      </c>
      <c r="AE162" s="454">
        <f ca="1">IF(AND($D162="Serviço",AE$12&lt;&gt;0,$H162&gt;0,OR(AUTOEVENTO&lt;&gt;"manual",$M162&lt;&gt;$A$15)),
        IF(Import.TipoArredondamento&lt;&gt;"TransfereGOV",
              ROUND(OFFSET($P162,0,AE$13),15-13*ORÇAMENTO!$AF$7)/$H162*OFFSET(ORÇAMENTO!$X$15,ROW(AE162)-ROW(AE$15),0),
              ROUND(ROUND(OFFSET($P162,0,AE$13),15-13*ORÇAMENTO!$AF$7)*OFFSET(ORÇAMENTO!$W$15,ROW(AE162)-ROW(AE$15),0),15-13*ORÇAMENTO!$AF$11)),
         0)</f>
        <v>0</v>
      </c>
      <c r="AF162" s="454">
        <f ca="1">IF(AND($D162="Serviço",AF$12&lt;&gt;0,$H162&gt;0,OR(AUTOEVENTO&lt;&gt;"manual",$M162&lt;&gt;$A$15)),
        IF(Import.TipoArredondamento&lt;&gt;"TransfereGOV",
              ROUND(OFFSET($P162,0,AF$13),15-13*ORÇAMENTO!$AF$7)/$H162*OFFSET(ORÇAMENTO!$X$15,ROW(AF162)-ROW(AF$15),0),
              ROUND(ROUND(OFFSET($P162,0,AF$13),15-13*ORÇAMENTO!$AF$7)*OFFSET(ORÇAMENTO!$W$15,ROW(AF162)-ROW(AF$15),0),15-13*ORÇAMENTO!$AF$11)),
         0)</f>
        <v>0</v>
      </c>
      <c r="AG162" s="454">
        <f ca="1">IF(AND($D162="Serviço",AG$12&lt;&gt;0,$H162&gt;0,OR(AUTOEVENTO&lt;&gt;"manual",$M162&lt;&gt;$A$15)),
        IF(Import.TipoArredondamento&lt;&gt;"TransfereGOV",
              ROUND(OFFSET($P162,0,AG$13),15-13*ORÇAMENTO!$AF$7)/$H162*OFFSET(ORÇAMENTO!$X$15,ROW(AG162)-ROW(AG$15),0),
              ROUND(ROUND(OFFSET($P162,0,AG$13),15-13*ORÇAMENTO!$AF$7)*OFFSET(ORÇAMENTO!$W$15,ROW(AG162)-ROW(AG$15),0),15-13*ORÇAMENTO!$AF$11)),
         0)</f>
        <v>0</v>
      </c>
      <c r="AH162" s="454">
        <f ca="1">IF(AND($D162="Serviço",AH$12&lt;&gt;0,$H162&gt;0,OR(AUTOEVENTO&lt;&gt;"manual",$M162&lt;&gt;$A$15)),
        IF(Import.TipoArredondamento&lt;&gt;"TransfereGOV",
              ROUND(OFFSET($P162,0,AH$13),15-13*ORÇAMENTO!$AF$7)/$H162*OFFSET(ORÇAMENTO!$X$15,ROW(AH162)-ROW(AH$15),0),
              ROUND(ROUND(OFFSET($P162,0,AH$13),15-13*ORÇAMENTO!$AF$7)*OFFSET(ORÇAMENTO!$W$15,ROW(AH162)-ROW(AH$15),0),15-13*ORÇAMENTO!$AF$11)),
         0)</f>
        <v>0</v>
      </c>
      <c r="AI162" s="454">
        <f ca="1">IF(AND($D162="Serviço",AI$12&lt;&gt;0,$H162&gt;0,OR(AUTOEVENTO&lt;&gt;"manual",$M162&lt;&gt;$A$15)),
        IF(Import.TipoArredondamento&lt;&gt;"TransfereGOV",
              ROUND(OFFSET($P162,0,AI$13),15-13*ORÇAMENTO!$AF$7)/$H162*OFFSET(ORÇAMENTO!$X$15,ROW(AI162)-ROW(AI$15),0),
              ROUND(ROUND(OFFSET($P162,0,AI$13),15-13*ORÇAMENTO!$AF$7)*OFFSET(ORÇAMENTO!$W$15,ROW(AI162)-ROW(AI$15),0),15-13*ORÇAMENTO!$AF$11)),
         0)</f>
        <v>0</v>
      </c>
      <c r="AJ162" s="454">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4">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M162" s="172">
        <f ca="1">IF(OR($D162&lt;&gt;"Serviço",AND(AUTOEVENTO="Manual",$M162=$A$15)),0,
         IF(OFFSET(CRONOPLE!$F$15,$M162-$A$15,AM$13)=0,10^12,OFFSET(CRONOPLE!$F$15,$M162-$A$15,AM$13)))</f>
        <v>1000000000000</v>
      </c>
      <c r="AN162" s="172">
        <f ca="1">IF(OR($D162&lt;&gt;"Serviço",AND(AUTOEVENTO="Manual",$M162=$A$15)),0,
         IF(OFFSET(CRONOPLE!$F$15,$M162-$A$15,AN$13)=0,10^12,OFFSET(CRONOPLE!$F$15,$M162-$A$15,AN$13)))</f>
        <v>1000000000000</v>
      </c>
      <c r="AO162" s="172">
        <f ca="1">IF(OR($D162&lt;&gt;"Serviço",AND(AUTOEVENTO="Manual",$M162=$A$15)),0,
         IF(OFFSET(CRONOPLE!$F$15,$M162-$A$15,AO$13)=0,10^12,OFFSET(CRONOPLE!$F$15,$M162-$A$15,AO$13)))</f>
        <v>1000000000000</v>
      </c>
      <c r="AP162" s="172">
        <f ca="1">IF(OR($D162&lt;&gt;"Serviço",AND(AUTOEVENTO="Manual",$M162=$A$15)),0,
         IF(OFFSET(CRONOPLE!$F$15,$M162-$A$15,AP$13)=0,10^12,OFFSET(CRONOPLE!$F$15,$M162-$A$15,AP$13)))</f>
        <v>1000000000000</v>
      </c>
      <c r="AQ162" s="172">
        <f ca="1">IF(OR($D162&lt;&gt;"Serviço",AND(AUTOEVENTO="Manual",$M162=$A$15)),0,
         IF(OFFSET(CRONOPLE!$F$15,$M162-$A$15,AQ$13)=0,10^12,OFFSET(CRONOPLE!$F$15,$M162-$A$15,AQ$13)))</f>
        <v>1000000000000</v>
      </c>
      <c r="AR162" s="172">
        <f ca="1">IF(OR($D162&lt;&gt;"Serviço",AND(AUTOEVENTO="Manual",$M162=$A$15)),0,
         IF(OFFSET(CRONOPLE!$F$15,$M162-$A$15,AR$13)=0,10^12,OFFSET(CRONOPLE!$F$15,$M162-$A$15,AR$13)))</f>
        <v>1000000000000</v>
      </c>
      <c r="AS162" s="172">
        <f ca="1">IF(OR($D162&lt;&gt;"Serviço",AND(AUTOEVENTO="Manual",$M162=$A$15)),0,
         IF(OFFSET(CRONOPLE!$F$15,$M162-$A$15,AS$13)=0,10^12,OFFSET(CRONOPLE!$F$15,$M162-$A$15,AS$13)))</f>
        <v>1000000000000</v>
      </c>
      <c r="AT162" s="172">
        <f ca="1">IF(OR($D162&lt;&gt;"Serviço",AND(AUTOEVENTO="Manual",$M162=$A$15)),0,
         IF(OFFSET(CRONOPLE!$F$15,$M162-$A$15,AT$13)=0,10^12,OFFSET(CRONOPLE!$F$15,$M162-$A$15,AT$13)))</f>
        <v>1000000000000</v>
      </c>
      <c r="AU162" s="172">
        <f ca="1">IF(OR($D162&lt;&gt;"Serviço",AND(AUTOEVENTO="Manual",$M162=$A$15)),0,
         IF(OFFSET(CRONOPLE!$F$15,$M162-$A$15,AU$13)=0,10^12,OFFSET(CRONOPLE!$F$15,$M162-$A$15,AU$13)))</f>
        <v>1000000000000</v>
      </c>
      <c r="AV162" s="172">
        <f ca="1">IF(OR($D162&lt;&gt;"Serviço",AND(AUTOEVENTO="Manual",$M162=$A$15)),0,
         IF(OFFSET(CRONOPLE!$F$15,$M162-$A$15,AV$13)=0,10^12,OFFSET(CRONOPLE!$F$15,$M162-$A$15,AV$13)))</f>
        <v>1000000000000</v>
      </c>
      <c r="AX162" s="173">
        <f ca="1">IF(OR($D162&lt;&gt;"Serviço",AND(AUTOEVENTO="Manual",$M162=$A$15),$M162&gt;(ROW(PLE.lastrow)-ROW(PLE.firstrow))),0,
           IF(OFFSET(PLE!$G$15,$M162-$A$15,AX$13)="",10^12,OFFSET(PLE!$G$15,$M162-$A$15,AX$13)))</f>
        <v>1000000000000</v>
      </c>
      <c r="AY162" s="173">
        <f ca="1">IF(OR($D162&lt;&gt;"Serviço",AND(AUTOEVENTO="Manual",$M162=$A$15),$M162&gt;(ROW(PLE.lastrow)-ROW(PLE.firstrow))),0,
           IF(OFFSET(PLE!$G$15,$M162-$A$15,AY$13)="",10^12,OFFSET(PLE!$G$15,$M162-$A$15,AY$13)))</f>
        <v>1000000000000</v>
      </c>
      <c r="AZ162" s="173">
        <f ca="1">IF(OR($D162&lt;&gt;"Serviço",AND(AUTOEVENTO="Manual",$M162=$A$15),$M162&gt;(ROW(PLE.lastrow)-ROW(PLE.firstrow))),0,
           IF(OFFSET(PLE!$G$15,$M162-$A$15,AZ$13)="",10^12,OFFSET(PLE!$G$15,$M162-$A$15,AZ$13)))</f>
        <v>1000000000000</v>
      </c>
      <c r="BA162" s="173">
        <f ca="1">IF(OR($D162&lt;&gt;"Serviço",AND(AUTOEVENTO="Manual",$M162=$A$15),$M162&gt;(ROW(PLE.lastrow)-ROW(PLE.firstrow))),0,
           IF(OFFSET(PLE!$G$15,$M162-$A$15,BA$13)="",10^12,OFFSET(PLE!$G$15,$M162-$A$15,BA$13)))</f>
        <v>1000000000000</v>
      </c>
      <c r="BB162" s="173">
        <f ca="1">IF(OR($D162&lt;&gt;"Serviço",AND(AUTOEVENTO="Manual",$M162=$A$15),$M162&gt;(ROW(PLE.lastrow)-ROW(PLE.firstrow))),0,
           IF(OFFSET(PLE!$G$15,$M162-$A$15,BB$13)="",10^12,OFFSET(PLE!$G$15,$M162-$A$15,BB$13)))</f>
        <v>1000000000000</v>
      </c>
      <c r="BC162" s="173">
        <f ca="1">IF(OR($D162&lt;&gt;"Serviço",AND(AUTOEVENTO="Manual",$M162=$A$15),$M162&gt;(ROW(PLE.lastrow)-ROW(PLE.firstrow))),0,
           IF(OFFSET(PLE!$G$15,$M162-$A$15,BC$13)="",10^12,OFFSET(PLE!$G$15,$M162-$A$15,BC$13)))</f>
        <v>1000000000000</v>
      </c>
      <c r="BD162" s="173">
        <f ca="1">IF(OR($D162&lt;&gt;"Serviço",AND(AUTOEVENTO="Manual",$M162=$A$15),$M162&gt;(ROW(PLE.lastrow)-ROW(PLE.firstrow))),0,
           IF(OFFSET(PLE!$G$15,$M162-$A$15,BD$13)="",10^12,OFFSET(PLE!$G$15,$M162-$A$15,BD$13)))</f>
        <v>1000000000000</v>
      </c>
      <c r="BE162" s="173">
        <f ca="1">IF(OR($D162&lt;&gt;"Serviço",AND(AUTOEVENTO="Manual",$M162=$A$15),$M162&gt;(ROW(PLE.lastrow)-ROW(PLE.firstrow))),0,
           IF(OFFSET(PLE!$G$15,$M162-$A$15,BE$13)="",10^12,OFFSET(PLE!$G$15,$M162-$A$15,BE$13)))</f>
        <v>1000000000000</v>
      </c>
      <c r="BF162" s="173">
        <f ca="1">IF(OR($D162&lt;&gt;"Serviço",AND(AUTOEVENTO="Manual",$M162=$A$15),$M162&gt;(ROW(PLE.lastrow)-ROW(PLE.firstrow))),0,
           IF(OFFSET(PLE!$G$15,$M162-$A$15,BF$13)="",10^12,OFFSET(PLE!$G$15,$M162-$A$15,BF$13)))</f>
        <v>1000000000000</v>
      </c>
      <c r="BG162" s="173">
        <f ca="1">IF(OR($D162&lt;&gt;"Serviço",AND(AUTOEVENTO="Manual",$M162=$A$15),$M162&gt;(ROW(PLE.lastrow)-ROW(PLE.firstrow))),0,
           IF(OFFSET(PLE!$G$15,$M162-$A$15,BG$13)="",10^12,OFFSET(PLE!$G$15,$M162-$A$15,BG$13)))</f>
        <v>1000000000000</v>
      </c>
    </row>
    <row r="163" spans="1:59" s="702" customFormat="1" ht="153" x14ac:dyDescent="0.2">
      <c r="A163" s="700" t="str">
        <f t="shared" ca="1" si="11"/>
        <v>131</v>
      </c>
      <c r="B163" s="700" t="str">
        <f ca="1">OFFSET(ORÇAMENTO!C$15,ROW(B163)-ROW(B$15),0)</f>
        <v>S</v>
      </c>
      <c r="C163" s="700" t="str">
        <f ca="1">OFFSET(ORÇAMENTO!L$15,ROW(C163)-ROW(C$15),0)</f>
        <v/>
      </c>
      <c r="D163" s="117" t="str">
        <f ca="1">OFFSET(ORÇAMENTO!N$15,ROW(D163)-ROW(D$15),0)</f>
        <v>Serviço</v>
      </c>
      <c r="E163" s="118" t="str">
        <f ca="1">OFFSET(ORÇAMENTO!O$15,ROW(E163)-ROW(E$15),0)</f>
        <v>-</v>
      </c>
      <c r="F163" s="164" t="str">
        <f ca="1">OFFSET(ORÇAMENTO!R$15,ROW(F163)-ROW(F$15),0)</f>
        <v>(abra o arquivo 'Referência 09-2025.xlsm)</v>
      </c>
      <c r="G163" s="165" t="str">
        <f ca="1">IF($D163&lt;&gt;"Serviço","",OFFSET(ORÇAMENTO!S$15,ROW(G163)-ROW(G$15),0))</f>
        <v>-</v>
      </c>
      <c r="H163" s="123">
        <f ca="1">IF($D163&lt;&gt;"Serviço",0,IF(ACOMPANHAMENTO="BM",ROUND(OFFSET(ORÇAMENTO!AJ$15,ROW(H163)-ROW(H$15),0),15-13*ORÇAMENTO!$AF$7),SUMPRODUCT(($Q$1:$AA$1=1)*ROUND($Q163:$AA163,15-13*ORÇAMENTO!$AF$7))))</f>
        <v>1</v>
      </c>
      <c r="I163" s="469"/>
      <c r="J163" s="667" t="str">
        <f ca="1">IF(OR(B163&lt;&gt;"S",CÁLCULO.FrentesPreenchidas=0),"",IF(AND(ACOMPANHAMENTO="PLE",AUTOEVENTO="Manual",OR(H163&gt;0,ORÇAMENTO!AC163="QUANT."),OR(K163="",M163=0,N163="")),"►",IF(AND(ACOMPANHAMENTO="PLE",ORÇAMENTO!AC163="QUANT."),"►►",IF(AND(COUNTIF($P$11:$AA$11,"▼")=0,H163&gt;0,I163=""),"◄",""))))</f>
        <v/>
      </c>
      <c r="K163" s="668"/>
      <c r="L163" s="166" t="s">
        <v>765</v>
      </c>
      <c r="M163" s="167">
        <f ca="1">IF($D163&lt;&gt;"Serviço","",
          IF(AUTOEVENTO="manual",$A163,
                IF(ISERROR(MATCH($A163,$A$15:OFFSET($A163,-1,0),0)),MAX($M$15:OFFSET(M163,-1,0))+1,
                      INDEX($M$15:OFFSET(M163,-1,0),MATCH($A163,$A$15:OFFSET($A163,-1,0),0)))))</f>
        <v>16</v>
      </c>
      <c r="N163" s="168" t="str">
        <f ca="1">IF($D163&lt;&gt;"Serviço","",
         IF(AUTOEVENTO="Manual",
                IF($A163=0,"&lt;-- defina o número do agrupador",
                       OFFSET(EVENTOS!$D$15,$A163-$A$15,0)),
                OFFSET($F$15,$A163,0)))</f>
        <v>ELEVATÓRIA DE ESGOTO - MATERIAIS</v>
      </c>
      <c r="O163" s="169"/>
      <c r="Q163" s="169"/>
      <c r="R163" s="170"/>
      <c r="S163" s="170"/>
      <c r="T163" s="170"/>
      <c r="U163" s="170"/>
      <c r="V163" s="170"/>
      <c r="W163" s="170"/>
      <c r="X163" s="170"/>
      <c r="Y163" s="170"/>
      <c r="Z163" s="171"/>
      <c r="AB163" s="454">
        <f ca="1">IF(AND($D163="Serviço",AB$12&lt;&gt;0,$H163&gt;0,OR(AUTOEVENTO&lt;&gt;"manual",$M163&lt;&gt;$A$15)),
        IF(Import.TipoArredondamento&lt;&gt;"TransfereGOV",
              ROUND(OFFSET($P163,0,AB$13),15-13*ORÇAMENTO!$AF$7)/$H163*OFFSET(ORÇAMENTO!$X$15,ROW(AB163)-ROW(AB$15),0),
              ROUND(ROUND(OFFSET($P163,0,AB$13),15-13*ORÇAMENTO!$AF$7)*OFFSET(ORÇAMENTO!$W$15,ROW(AB163)-ROW(AB$15),0),15-13*ORÇAMENTO!$AF$11)),
         0)</f>
        <v>0</v>
      </c>
      <c r="AC163" s="454">
        <f ca="1">IF(AND($D163="Serviço",AC$12&lt;&gt;0,$H163&gt;0,OR(AUTOEVENTO&lt;&gt;"manual",$M163&lt;&gt;$A$15)),
        IF(Import.TipoArredondamento&lt;&gt;"TransfereGOV",
              ROUND(OFFSET($P163,0,AC$13),15-13*ORÇAMENTO!$AF$7)/$H163*OFFSET(ORÇAMENTO!$X$15,ROW(AC163)-ROW(AC$15),0),
              ROUND(ROUND(OFFSET($P163,0,AC$13),15-13*ORÇAMENTO!$AF$7)*OFFSET(ORÇAMENTO!$W$15,ROW(AC163)-ROW(AC$15),0),15-13*ORÇAMENTO!$AF$11)),
         0)</f>
        <v>0</v>
      </c>
      <c r="AD163" s="454">
        <f ca="1">IF(AND($D163="Serviço",AD$12&lt;&gt;0,$H163&gt;0,OR(AUTOEVENTO&lt;&gt;"manual",$M163&lt;&gt;$A$15)),
        IF(Import.TipoArredondamento&lt;&gt;"TransfereGOV",
              ROUND(OFFSET($P163,0,AD$13),15-13*ORÇAMENTO!$AF$7)/$H163*OFFSET(ORÇAMENTO!$X$15,ROW(AD163)-ROW(AD$15),0),
              ROUND(ROUND(OFFSET($P163,0,AD$13),15-13*ORÇAMENTO!$AF$7)*OFFSET(ORÇAMENTO!$W$15,ROW(AD163)-ROW(AD$15),0),15-13*ORÇAMENTO!$AF$11)),
         0)</f>
        <v>0</v>
      </c>
      <c r="AE163" s="454">
        <f ca="1">IF(AND($D163="Serviço",AE$12&lt;&gt;0,$H163&gt;0,OR(AUTOEVENTO&lt;&gt;"manual",$M163&lt;&gt;$A$15)),
        IF(Import.TipoArredondamento&lt;&gt;"TransfereGOV",
              ROUND(OFFSET($P163,0,AE$13),15-13*ORÇAMENTO!$AF$7)/$H163*OFFSET(ORÇAMENTO!$X$15,ROW(AE163)-ROW(AE$15),0),
              ROUND(ROUND(OFFSET($P163,0,AE$13),15-13*ORÇAMENTO!$AF$7)*OFFSET(ORÇAMENTO!$W$15,ROW(AE163)-ROW(AE$15),0),15-13*ORÇAMENTO!$AF$11)),
         0)</f>
        <v>0</v>
      </c>
      <c r="AF163" s="454">
        <f ca="1">IF(AND($D163="Serviço",AF$12&lt;&gt;0,$H163&gt;0,OR(AUTOEVENTO&lt;&gt;"manual",$M163&lt;&gt;$A$15)),
        IF(Import.TipoArredondamento&lt;&gt;"TransfereGOV",
              ROUND(OFFSET($P163,0,AF$13),15-13*ORÇAMENTO!$AF$7)/$H163*OFFSET(ORÇAMENTO!$X$15,ROW(AF163)-ROW(AF$15),0),
              ROUND(ROUND(OFFSET($P163,0,AF$13),15-13*ORÇAMENTO!$AF$7)*OFFSET(ORÇAMENTO!$W$15,ROW(AF163)-ROW(AF$15),0),15-13*ORÇAMENTO!$AF$11)),
         0)</f>
        <v>0</v>
      </c>
      <c r="AG163" s="454">
        <f ca="1">IF(AND($D163="Serviço",AG$12&lt;&gt;0,$H163&gt;0,OR(AUTOEVENTO&lt;&gt;"manual",$M163&lt;&gt;$A$15)),
        IF(Import.TipoArredondamento&lt;&gt;"TransfereGOV",
              ROUND(OFFSET($P163,0,AG$13),15-13*ORÇAMENTO!$AF$7)/$H163*OFFSET(ORÇAMENTO!$X$15,ROW(AG163)-ROW(AG$15),0),
              ROUND(ROUND(OFFSET($P163,0,AG$13),15-13*ORÇAMENTO!$AF$7)*OFFSET(ORÇAMENTO!$W$15,ROW(AG163)-ROW(AG$15),0),15-13*ORÇAMENTO!$AF$11)),
         0)</f>
        <v>0</v>
      </c>
      <c r="AH163" s="454">
        <f ca="1">IF(AND($D163="Serviço",AH$12&lt;&gt;0,$H163&gt;0,OR(AUTOEVENTO&lt;&gt;"manual",$M163&lt;&gt;$A$15)),
        IF(Import.TipoArredondamento&lt;&gt;"TransfereGOV",
              ROUND(OFFSET($P163,0,AH$13),15-13*ORÇAMENTO!$AF$7)/$H163*OFFSET(ORÇAMENTO!$X$15,ROW(AH163)-ROW(AH$15),0),
              ROUND(ROUND(OFFSET($P163,0,AH$13),15-13*ORÇAMENTO!$AF$7)*OFFSET(ORÇAMENTO!$W$15,ROW(AH163)-ROW(AH$15),0),15-13*ORÇAMENTO!$AF$11)),
         0)</f>
        <v>0</v>
      </c>
      <c r="AI163" s="454">
        <f ca="1">IF(AND($D163="Serviço",AI$12&lt;&gt;0,$H163&gt;0,OR(AUTOEVENTO&lt;&gt;"manual",$M163&lt;&gt;$A$15)),
        IF(Import.TipoArredondamento&lt;&gt;"TransfereGOV",
              ROUND(OFFSET($P163,0,AI$13),15-13*ORÇAMENTO!$AF$7)/$H163*OFFSET(ORÇAMENTO!$X$15,ROW(AI163)-ROW(AI$15),0),
              ROUND(ROUND(OFFSET($P163,0,AI$13),15-13*ORÇAMENTO!$AF$7)*OFFSET(ORÇAMENTO!$W$15,ROW(AI163)-ROW(AI$15),0),15-13*ORÇAMENTO!$AF$11)),
         0)</f>
        <v>0</v>
      </c>
      <c r="AJ163" s="454">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4">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M163" s="172">
        <f ca="1">IF(OR($D163&lt;&gt;"Serviço",AND(AUTOEVENTO="Manual",$M163=$A$15)),0,
         IF(OFFSET(CRONOPLE!$F$15,$M163-$A$15,AM$13)=0,10^12,OFFSET(CRONOPLE!$F$15,$M163-$A$15,AM$13)))</f>
        <v>1000000000000</v>
      </c>
      <c r="AN163" s="172">
        <f ca="1">IF(OR($D163&lt;&gt;"Serviço",AND(AUTOEVENTO="Manual",$M163=$A$15)),0,
         IF(OFFSET(CRONOPLE!$F$15,$M163-$A$15,AN$13)=0,10^12,OFFSET(CRONOPLE!$F$15,$M163-$A$15,AN$13)))</f>
        <v>1000000000000</v>
      </c>
      <c r="AO163" s="172">
        <f ca="1">IF(OR($D163&lt;&gt;"Serviço",AND(AUTOEVENTO="Manual",$M163=$A$15)),0,
         IF(OFFSET(CRONOPLE!$F$15,$M163-$A$15,AO$13)=0,10^12,OFFSET(CRONOPLE!$F$15,$M163-$A$15,AO$13)))</f>
        <v>1000000000000</v>
      </c>
      <c r="AP163" s="172">
        <f ca="1">IF(OR($D163&lt;&gt;"Serviço",AND(AUTOEVENTO="Manual",$M163=$A$15)),0,
         IF(OFFSET(CRONOPLE!$F$15,$M163-$A$15,AP$13)=0,10^12,OFFSET(CRONOPLE!$F$15,$M163-$A$15,AP$13)))</f>
        <v>1000000000000</v>
      </c>
      <c r="AQ163" s="172">
        <f ca="1">IF(OR($D163&lt;&gt;"Serviço",AND(AUTOEVENTO="Manual",$M163=$A$15)),0,
         IF(OFFSET(CRONOPLE!$F$15,$M163-$A$15,AQ$13)=0,10^12,OFFSET(CRONOPLE!$F$15,$M163-$A$15,AQ$13)))</f>
        <v>1000000000000</v>
      </c>
      <c r="AR163" s="172">
        <f ca="1">IF(OR($D163&lt;&gt;"Serviço",AND(AUTOEVENTO="Manual",$M163=$A$15)),0,
         IF(OFFSET(CRONOPLE!$F$15,$M163-$A$15,AR$13)=0,10^12,OFFSET(CRONOPLE!$F$15,$M163-$A$15,AR$13)))</f>
        <v>1000000000000</v>
      </c>
      <c r="AS163" s="172">
        <f ca="1">IF(OR($D163&lt;&gt;"Serviço",AND(AUTOEVENTO="Manual",$M163=$A$15)),0,
         IF(OFFSET(CRONOPLE!$F$15,$M163-$A$15,AS$13)=0,10^12,OFFSET(CRONOPLE!$F$15,$M163-$A$15,AS$13)))</f>
        <v>1000000000000</v>
      </c>
      <c r="AT163" s="172">
        <f ca="1">IF(OR($D163&lt;&gt;"Serviço",AND(AUTOEVENTO="Manual",$M163=$A$15)),0,
         IF(OFFSET(CRONOPLE!$F$15,$M163-$A$15,AT$13)=0,10^12,OFFSET(CRONOPLE!$F$15,$M163-$A$15,AT$13)))</f>
        <v>1000000000000</v>
      </c>
      <c r="AU163" s="172">
        <f ca="1">IF(OR($D163&lt;&gt;"Serviço",AND(AUTOEVENTO="Manual",$M163=$A$15)),0,
         IF(OFFSET(CRONOPLE!$F$15,$M163-$A$15,AU$13)=0,10^12,OFFSET(CRONOPLE!$F$15,$M163-$A$15,AU$13)))</f>
        <v>1000000000000</v>
      </c>
      <c r="AV163" s="172">
        <f ca="1">IF(OR($D163&lt;&gt;"Serviço",AND(AUTOEVENTO="Manual",$M163=$A$15)),0,
         IF(OFFSET(CRONOPLE!$F$15,$M163-$A$15,AV$13)=0,10^12,OFFSET(CRONOPLE!$F$15,$M163-$A$15,AV$13)))</f>
        <v>1000000000000</v>
      </c>
      <c r="AX163" s="173">
        <f ca="1">IF(OR($D163&lt;&gt;"Serviço",AND(AUTOEVENTO="Manual",$M163=$A$15),$M163&gt;(ROW(PLE.lastrow)-ROW(PLE.firstrow))),0,
           IF(OFFSET(PLE!$G$15,$M163-$A$15,AX$13)="",10^12,OFFSET(PLE!$G$15,$M163-$A$15,AX$13)))</f>
        <v>1000000000000</v>
      </c>
      <c r="AY163" s="173">
        <f ca="1">IF(OR($D163&lt;&gt;"Serviço",AND(AUTOEVENTO="Manual",$M163=$A$15),$M163&gt;(ROW(PLE.lastrow)-ROW(PLE.firstrow))),0,
           IF(OFFSET(PLE!$G$15,$M163-$A$15,AY$13)="",10^12,OFFSET(PLE!$G$15,$M163-$A$15,AY$13)))</f>
        <v>1000000000000</v>
      </c>
      <c r="AZ163" s="173">
        <f ca="1">IF(OR($D163&lt;&gt;"Serviço",AND(AUTOEVENTO="Manual",$M163=$A$15),$M163&gt;(ROW(PLE.lastrow)-ROW(PLE.firstrow))),0,
           IF(OFFSET(PLE!$G$15,$M163-$A$15,AZ$13)="",10^12,OFFSET(PLE!$G$15,$M163-$A$15,AZ$13)))</f>
        <v>1000000000000</v>
      </c>
      <c r="BA163" s="173">
        <f ca="1">IF(OR($D163&lt;&gt;"Serviço",AND(AUTOEVENTO="Manual",$M163=$A$15),$M163&gt;(ROW(PLE.lastrow)-ROW(PLE.firstrow))),0,
           IF(OFFSET(PLE!$G$15,$M163-$A$15,BA$13)="",10^12,OFFSET(PLE!$G$15,$M163-$A$15,BA$13)))</f>
        <v>1000000000000</v>
      </c>
      <c r="BB163" s="173">
        <f ca="1">IF(OR($D163&lt;&gt;"Serviço",AND(AUTOEVENTO="Manual",$M163=$A$15),$M163&gt;(ROW(PLE.lastrow)-ROW(PLE.firstrow))),0,
           IF(OFFSET(PLE!$G$15,$M163-$A$15,BB$13)="",10^12,OFFSET(PLE!$G$15,$M163-$A$15,BB$13)))</f>
        <v>1000000000000</v>
      </c>
      <c r="BC163" s="173">
        <f ca="1">IF(OR($D163&lt;&gt;"Serviço",AND(AUTOEVENTO="Manual",$M163=$A$15),$M163&gt;(ROW(PLE.lastrow)-ROW(PLE.firstrow))),0,
           IF(OFFSET(PLE!$G$15,$M163-$A$15,BC$13)="",10^12,OFFSET(PLE!$G$15,$M163-$A$15,BC$13)))</f>
        <v>1000000000000</v>
      </c>
      <c r="BD163" s="173">
        <f ca="1">IF(OR($D163&lt;&gt;"Serviço",AND(AUTOEVENTO="Manual",$M163=$A$15),$M163&gt;(ROW(PLE.lastrow)-ROW(PLE.firstrow))),0,
           IF(OFFSET(PLE!$G$15,$M163-$A$15,BD$13)="",10^12,OFFSET(PLE!$G$15,$M163-$A$15,BD$13)))</f>
        <v>1000000000000</v>
      </c>
      <c r="BE163" s="173">
        <f ca="1">IF(OR($D163&lt;&gt;"Serviço",AND(AUTOEVENTO="Manual",$M163=$A$15),$M163&gt;(ROW(PLE.lastrow)-ROW(PLE.firstrow))),0,
           IF(OFFSET(PLE!$G$15,$M163-$A$15,BE$13)="",10^12,OFFSET(PLE!$G$15,$M163-$A$15,BE$13)))</f>
        <v>1000000000000</v>
      </c>
      <c r="BF163" s="173">
        <f ca="1">IF(OR($D163&lt;&gt;"Serviço",AND(AUTOEVENTO="Manual",$M163=$A$15),$M163&gt;(ROW(PLE.lastrow)-ROW(PLE.firstrow))),0,
           IF(OFFSET(PLE!$G$15,$M163-$A$15,BF$13)="",10^12,OFFSET(PLE!$G$15,$M163-$A$15,BF$13)))</f>
        <v>1000000000000</v>
      </c>
      <c r="BG163" s="173">
        <f ca="1">IF(OR($D163&lt;&gt;"Serviço",AND(AUTOEVENTO="Manual",$M163=$A$15),$M163&gt;(ROW(PLE.lastrow)-ROW(PLE.firstrow))),0,
           IF(OFFSET(PLE!$G$15,$M163-$A$15,BG$13)="",10^12,OFFSET(PLE!$G$15,$M163-$A$15,BG$13)))</f>
        <v>1000000000000</v>
      </c>
    </row>
    <row r="164" spans="1:59" s="675" customFormat="1" ht="12.75" x14ac:dyDescent="0.2">
      <c r="A164" s="671" t="str">
        <f t="shared" ca="1" si="11"/>
        <v>149.</v>
      </c>
      <c r="B164" s="671">
        <f ca="1">OFFSET(ORÇAMENTO!C$15,ROW(B164)-ROW(B$15),0)</f>
        <v>2</v>
      </c>
      <c r="C164" s="671" t="str">
        <f ca="1">OFFSET(ORÇAMENTO!L$15,ROW(C164)-ROW(C$15),0)</f>
        <v>F</v>
      </c>
      <c r="D164" s="117" t="str">
        <f ca="1">OFFSET(ORÇAMENTO!N$15,ROW(D164)-ROW(D$15),0)</f>
        <v>Nível 2</v>
      </c>
      <c r="E164" s="118" t="str">
        <f ca="1">OFFSET(ORÇAMENTO!O$15,ROW(E164)-ROW(E$15),0)</f>
        <v>1.21.</v>
      </c>
      <c r="F164" s="164" t="str">
        <f ca="1">OFFSET(ORÇAMENTO!R$15,ROW(F164)-ROW(F$15),0)</f>
        <v>SERVIÇOS PRELIMINARES</v>
      </c>
      <c r="G164" s="165" t="str">
        <f ca="1">IF($D164&lt;&gt;"Serviço","",OFFSET(ORÇAMENTO!S$15,ROW(G164)-ROW(G$15),0))</f>
        <v/>
      </c>
      <c r="H164" s="123">
        <f ca="1">IF($D164&lt;&gt;"Serviço",0,IF(ACOMPANHAMENTO="BM",ROUND(OFFSET(ORÇAMENTO!AJ$15,ROW(H164)-ROW(H$15),0),15-13*ORÇAMENTO!$AF$7),SUMPRODUCT(($Q$1:$AA$1=1)*ROUND($Q164:$AA164,15-13*ORÇAMENTO!$AF$7))))</f>
        <v>0</v>
      </c>
      <c r="I164" s="469"/>
      <c r="J164" s="667" t="str">
        <f ca="1">IF(OR(B164&lt;&gt;"S",CÁLCULO.FrentesPreenchidas=0),"",IF(AND(ACOMPANHAMENTO="PLE",AUTOEVENTO="Manual",OR(H164&gt;0,ORÇAMENTO!AC164="QUANT."),OR(K164="",M164=0,N164="")),"►",IF(AND(ACOMPANHAMENTO="PLE",ORÇAMENTO!AC164="QUANT."),"►►",IF(AND(COUNTIF($P$11:$AA$11,"▼")=0,H164&gt;0,I164=""),"◄",""))))</f>
        <v/>
      </c>
      <c r="K164" s="668"/>
      <c r="L164" s="166" t="s">
        <v>765</v>
      </c>
      <c r="M164" s="167" t="str">
        <f ca="1">IF($D164&lt;&gt;"Serviço","",
          IF(AUTOEVENTO="manual",$A164,
                IF(ISERROR(MATCH($A164,$A$15:OFFSET($A164,-1,0),0)),MAX($M$15:OFFSET(M164,-1,0))+1,
                      INDEX($M$15:OFFSET(M164,-1,0),MATCH($A164,$A$15:OFFSET($A164,-1,0),0)))))</f>
        <v/>
      </c>
      <c r="N164" s="168" t="str">
        <f ca="1">IF($D164&lt;&gt;"Serviço","",
         IF(AUTOEVENTO="Manual",
                IF($A164=0,"&lt;-- defina o número do agrupador",
                       OFFSET(EVENTOS!$D$15,$A164-$A$15,0)),
                OFFSET($F$15,$A164,0)))</f>
        <v/>
      </c>
      <c r="O164" s="169"/>
      <c r="Q164" s="169"/>
      <c r="R164" s="170"/>
      <c r="S164" s="170"/>
      <c r="T164" s="170"/>
      <c r="U164" s="170"/>
      <c r="V164" s="170"/>
      <c r="W164" s="170"/>
      <c r="X164" s="170"/>
      <c r="Y164" s="170"/>
      <c r="Z164" s="171"/>
      <c r="AB164" s="454">
        <f ca="1">IF(AND($D164="Serviço",AB$12&lt;&gt;0,$H164&gt;0,OR(AUTOEVENTO&lt;&gt;"manual",$M164&lt;&gt;$A$15)),
        IF(Import.TipoArredondamento&lt;&gt;"TransfereGOV",
              ROUND(OFFSET($P164,0,AB$13),15-13*ORÇAMENTO!$AF$7)/$H164*OFFSET(ORÇAMENTO!$X$15,ROW(AB164)-ROW(AB$15),0),
              ROUND(ROUND(OFFSET($P164,0,AB$13),15-13*ORÇAMENTO!$AF$7)*OFFSET(ORÇAMENTO!$W$15,ROW(AB164)-ROW(AB$15),0),15-13*ORÇAMENTO!$AF$11)),
         0)</f>
        <v>0</v>
      </c>
      <c r="AC164" s="454">
        <f ca="1">IF(AND($D164="Serviço",AC$12&lt;&gt;0,$H164&gt;0,OR(AUTOEVENTO&lt;&gt;"manual",$M164&lt;&gt;$A$15)),
        IF(Import.TipoArredondamento&lt;&gt;"TransfereGOV",
              ROUND(OFFSET($P164,0,AC$13),15-13*ORÇAMENTO!$AF$7)/$H164*OFFSET(ORÇAMENTO!$X$15,ROW(AC164)-ROW(AC$15),0),
              ROUND(ROUND(OFFSET($P164,0,AC$13),15-13*ORÇAMENTO!$AF$7)*OFFSET(ORÇAMENTO!$W$15,ROW(AC164)-ROW(AC$15),0),15-13*ORÇAMENTO!$AF$11)),
         0)</f>
        <v>0</v>
      </c>
      <c r="AD164" s="454">
        <f ca="1">IF(AND($D164="Serviço",AD$12&lt;&gt;0,$H164&gt;0,OR(AUTOEVENTO&lt;&gt;"manual",$M164&lt;&gt;$A$15)),
        IF(Import.TipoArredondamento&lt;&gt;"TransfereGOV",
              ROUND(OFFSET($P164,0,AD$13),15-13*ORÇAMENTO!$AF$7)/$H164*OFFSET(ORÇAMENTO!$X$15,ROW(AD164)-ROW(AD$15),0),
              ROUND(ROUND(OFFSET($P164,0,AD$13),15-13*ORÇAMENTO!$AF$7)*OFFSET(ORÇAMENTO!$W$15,ROW(AD164)-ROW(AD$15),0),15-13*ORÇAMENTO!$AF$11)),
         0)</f>
        <v>0</v>
      </c>
      <c r="AE164" s="454">
        <f ca="1">IF(AND($D164="Serviço",AE$12&lt;&gt;0,$H164&gt;0,OR(AUTOEVENTO&lt;&gt;"manual",$M164&lt;&gt;$A$15)),
        IF(Import.TipoArredondamento&lt;&gt;"TransfereGOV",
              ROUND(OFFSET($P164,0,AE$13),15-13*ORÇAMENTO!$AF$7)/$H164*OFFSET(ORÇAMENTO!$X$15,ROW(AE164)-ROW(AE$15),0),
              ROUND(ROUND(OFFSET($P164,0,AE$13),15-13*ORÇAMENTO!$AF$7)*OFFSET(ORÇAMENTO!$W$15,ROW(AE164)-ROW(AE$15),0),15-13*ORÇAMENTO!$AF$11)),
         0)</f>
        <v>0</v>
      </c>
      <c r="AF164" s="454">
        <f ca="1">IF(AND($D164="Serviço",AF$12&lt;&gt;0,$H164&gt;0,OR(AUTOEVENTO&lt;&gt;"manual",$M164&lt;&gt;$A$15)),
        IF(Import.TipoArredondamento&lt;&gt;"TransfereGOV",
              ROUND(OFFSET($P164,0,AF$13),15-13*ORÇAMENTO!$AF$7)/$H164*OFFSET(ORÇAMENTO!$X$15,ROW(AF164)-ROW(AF$15),0),
              ROUND(ROUND(OFFSET($P164,0,AF$13),15-13*ORÇAMENTO!$AF$7)*OFFSET(ORÇAMENTO!$W$15,ROW(AF164)-ROW(AF$15),0),15-13*ORÇAMENTO!$AF$11)),
         0)</f>
        <v>0</v>
      </c>
      <c r="AG164" s="454">
        <f ca="1">IF(AND($D164="Serviço",AG$12&lt;&gt;0,$H164&gt;0,OR(AUTOEVENTO&lt;&gt;"manual",$M164&lt;&gt;$A$15)),
        IF(Import.TipoArredondamento&lt;&gt;"TransfereGOV",
              ROUND(OFFSET($P164,0,AG$13),15-13*ORÇAMENTO!$AF$7)/$H164*OFFSET(ORÇAMENTO!$X$15,ROW(AG164)-ROW(AG$15),0),
              ROUND(ROUND(OFFSET($P164,0,AG$13),15-13*ORÇAMENTO!$AF$7)*OFFSET(ORÇAMENTO!$W$15,ROW(AG164)-ROW(AG$15),0),15-13*ORÇAMENTO!$AF$11)),
         0)</f>
        <v>0</v>
      </c>
      <c r="AH164" s="454">
        <f ca="1">IF(AND($D164="Serviço",AH$12&lt;&gt;0,$H164&gt;0,OR(AUTOEVENTO&lt;&gt;"manual",$M164&lt;&gt;$A$15)),
        IF(Import.TipoArredondamento&lt;&gt;"TransfereGOV",
              ROUND(OFFSET($P164,0,AH$13),15-13*ORÇAMENTO!$AF$7)/$H164*OFFSET(ORÇAMENTO!$X$15,ROW(AH164)-ROW(AH$15),0),
              ROUND(ROUND(OFFSET($P164,0,AH$13),15-13*ORÇAMENTO!$AF$7)*OFFSET(ORÇAMENTO!$W$15,ROW(AH164)-ROW(AH$15),0),15-13*ORÇAMENTO!$AF$11)),
         0)</f>
        <v>0</v>
      </c>
      <c r="AI164" s="454">
        <f ca="1">IF(AND($D164="Serviço",AI$12&lt;&gt;0,$H164&gt;0,OR(AUTOEVENTO&lt;&gt;"manual",$M164&lt;&gt;$A$15)),
        IF(Import.TipoArredondamento&lt;&gt;"TransfereGOV",
              ROUND(OFFSET($P164,0,AI$13),15-13*ORÇAMENTO!$AF$7)/$H164*OFFSET(ORÇAMENTO!$X$15,ROW(AI164)-ROW(AI$15),0),
              ROUND(ROUND(OFFSET($P164,0,AI$13),15-13*ORÇAMENTO!$AF$7)*OFFSET(ORÇAMENTO!$W$15,ROW(AI164)-ROW(AI$15),0),15-13*ORÇAMENTO!$AF$11)),
         0)</f>
        <v>0</v>
      </c>
      <c r="AJ164" s="454">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4">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M164" s="172">
        <f ca="1">IF(OR($D164&lt;&gt;"Serviço",AND(AUTOEVENTO="Manual",$M164=$A$15)),0,
         IF(OFFSET(CRONOPLE!$F$15,$M164-$A$15,AM$13)=0,10^12,OFFSET(CRONOPLE!$F$15,$M164-$A$15,AM$13)))</f>
        <v>0</v>
      </c>
      <c r="AN164" s="172">
        <f ca="1">IF(OR($D164&lt;&gt;"Serviço",AND(AUTOEVENTO="Manual",$M164=$A$15)),0,
         IF(OFFSET(CRONOPLE!$F$15,$M164-$A$15,AN$13)=0,10^12,OFFSET(CRONOPLE!$F$15,$M164-$A$15,AN$13)))</f>
        <v>0</v>
      </c>
      <c r="AO164" s="172">
        <f ca="1">IF(OR($D164&lt;&gt;"Serviço",AND(AUTOEVENTO="Manual",$M164=$A$15)),0,
         IF(OFFSET(CRONOPLE!$F$15,$M164-$A$15,AO$13)=0,10^12,OFFSET(CRONOPLE!$F$15,$M164-$A$15,AO$13)))</f>
        <v>0</v>
      </c>
      <c r="AP164" s="172">
        <f ca="1">IF(OR($D164&lt;&gt;"Serviço",AND(AUTOEVENTO="Manual",$M164=$A$15)),0,
         IF(OFFSET(CRONOPLE!$F$15,$M164-$A$15,AP$13)=0,10^12,OFFSET(CRONOPLE!$F$15,$M164-$A$15,AP$13)))</f>
        <v>0</v>
      </c>
      <c r="AQ164" s="172">
        <f ca="1">IF(OR($D164&lt;&gt;"Serviço",AND(AUTOEVENTO="Manual",$M164=$A$15)),0,
         IF(OFFSET(CRONOPLE!$F$15,$M164-$A$15,AQ$13)=0,10^12,OFFSET(CRONOPLE!$F$15,$M164-$A$15,AQ$13)))</f>
        <v>0</v>
      </c>
      <c r="AR164" s="172">
        <f ca="1">IF(OR($D164&lt;&gt;"Serviço",AND(AUTOEVENTO="Manual",$M164=$A$15)),0,
         IF(OFFSET(CRONOPLE!$F$15,$M164-$A$15,AR$13)=0,10^12,OFFSET(CRONOPLE!$F$15,$M164-$A$15,AR$13)))</f>
        <v>0</v>
      </c>
      <c r="AS164" s="172">
        <f ca="1">IF(OR($D164&lt;&gt;"Serviço",AND(AUTOEVENTO="Manual",$M164=$A$15)),0,
         IF(OFFSET(CRONOPLE!$F$15,$M164-$A$15,AS$13)=0,10^12,OFFSET(CRONOPLE!$F$15,$M164-$A$15,AS$13)))</f>
        <v>0</v>
      </c>
      <c r="AT164" s="172">
        <f ca="1">IF(OR($D164&lt;&gt;"Serviço",AND(AUTOEVENTO="Manual",$M164=$A$15)),0,
         IF(OFFSET(CRONOPLE!$F$15,$M164-$A$15,AT$13)=0,10^12,OFFSET(CRONOPLE!$F$15,$M164-$A$15,AT$13)))</f>
        <v>0</v>
      </c>
      <c r="AU164" s="172">
        <f ca="1">IF(OR($D164&lt;&gt;"Serviço",AND(AUTOEVENTO="Manual",$M164=$A$15)),0,
         IF(OFFSET(CRONOPLE!$F$15,$M164-$A$15,AU$13)=0,10^12,OFFSET(CRONOPLE!$F$15,$M164-$A$15,AU$13)))</f>
        <v>0</v>
      </c>
      <c r="AV164" s="172">
        <f ca="1">IF(OR($D164&lt;&gt;"Serviço",AND(AUTOEVENTO="Manual",$M164=$A$15)),0,
         IF(OFFSET(CRONOPLE!$F$15,$M164-$A$15,AV$13)=0,10^12,OFFSET(CRONOPLE!$F$15,$M164-$A$15,AV$13)))</f>
        <v>0</v>
      </c>
      <c r="AX164" s="173">
        <f ca="1">IF(OR($D164&lt;&gt;"Serviço",AND(AUTOEVENTO="Manual",$M164=$A$15),$M164&gt;(ROW(PLE.lastrow)-ROW(PLE.firstrow))),0,
           IF(OFFSET(PLE!$G$15,$M164-$A$15,AX$13)="",10^12,OFFSET(PLE!$G$15,$M164-$A$15,AX$13)))</f>
        <v>0</v>
      </c>
      <c r="AY164" s="173">
        <f ca="1">IF(OR($D164&lt;&gt;"Serviço",AND(AUTOEVENTO="Manual",$M164=$A$15),$M164&gt;(ROW(PLE.lastrow)-ROW(PLE.firstrow))),0,
           IF(OFFSET(PLE!$G$15,$M164-$A$15,AY$13)="",10^12,OFFSET(PLE!$G$15,$M164-$A$15,AY$13)))</f>
        <v>0</v>
      </c>
      <c r="AZ164" s="173">
        <f ca="1">IF(OR($D164&lt;&gt;"Serviço",AND(AUTOEVENTO="Manual",$M164=$A$15),$M164&gt;(ROW(PLE.lastrow)-ROW(PLE.firstrow))),0,
           IF(OFFSET(PLE!$G$15,$M164-$A$15,AZ$13)="",10^12,OFFSET(PLE!$G$15,$M164-$A$15,AZ$13)))</f>
        <v>0</v>
      </c>
      <c r="BA164" s="173">
        <f ca="1">IF(OR($D164&lt;&gt;"Serviço",AND(AUTOEVENTO="Manual",$M164=$A$15),$M164&gt;(ROW(PLE.lastrow)-ROW(PLE.firstrow))),0,
           IF(OFFSET(PLE!$G$15,$M164-$A$15,BA$13)="",10^12,OFFSET(PLE!$G$15,$M164-$A$15,BA$13)))</f>
        <v>0</v>
      </c>
      <c r="BB164" s="173">
        <f ca="1">IF(OR($D164&lt;&gt;"Serviço",AND(AUTOEVENTO="Manual",$M164=$A$15),$M164&gt;(ROW(PLE.lastrow)-ROW(PLE.firstrow))),0,
           IF(OFFSET(PLE!$G$15,$M164-$A$15,BB$13)="",10^12,OFFSET(PLE!$G$15,$M164-$A$15,BB$13)))</f>
        <v>0</v>
      </c>
      <c r="BC164" s="173">
        <f ca="1">IF(OR($D164&lt;&gt;"Serviço",AND(AUTOEVENTO="Manual",$M164=$A$15),$M164&gt;(ROW(PLE.lastrow)-ROW(PLE.firstrow))),0,
           IF(OFFSET(PLE!$G$15,$M164-$A$15,BC$13)="",10^12,OFFSET(PLE!$G$15,$M164-$A$15,BC$13)))</f>
        <v>0</v>
      </c>
      <c r="BD164" s="173">
        <f ca="1">IF(OR($D164&lt;&gt;"Serviço",AND(AUTOEVENTO="Manual",$M164=$A$15),$M164&gt;(ROW(PLE.lastrow)-ROW(PLE.firstrow))),0,
           IF(OFFSET(PLE!$G$15,$M164-$A$15,BD$13)="",10^12,OFFSET(PLE!$G$15,$M164-$A$15,BD$13)))</f>
        <v>0</v>
      </c>
      <c r="BE164" s="173">
        <f ca="1">IF(OR($D164&lt;&gt;"Serviço",AND(AUTOEVENTO="Manual",$M164=$A$15),$M164&gt;(ROW(PLE.lastrow)-ROW(PLE.firstrow))),0,
           IF(OFFSET(PLE!$G$15,$M164-$A$15,BE$13)="",10^12,OFFSET(PLE!$G$15,$M164-$A$15,BE$13)))</f>
        <v>0</v>
      </c>
      <c r="BF164" s="173">
        <f ca="1">IF(OR($D164&lt;&gt;"Serviço",AND(AUTOEVENTO="Manual",$M164=$A$15),$M164&gt;(ROW(PLE.lastrow)-ROW(PLE.firstrow))),0,
           IF(OFFSET(PLE!$G$15,$M164-$A$15,BF$13)="",10^12,OFFSET(PLE!$G$15,$M164-$A$15,BF$13)))</f>
        <v>0</v>
      </c>
      <c r="BG164" s="173">
        <f ca="1">IF(OR($D164&lt;&gt;"Serviço",AND(AUTOEVENTO="Manual",$M164=$A$15),$M164&gt;(ROW(PLE.lastrow)-ROW(PLE.firstrow))),0,
           IF(OFFSET(PLE!$G$15,$M164-$A$15,BG$13)="",10^12,OFFSET(PLE!$G$15,$M164-$A$15,BG$13)))</f>
        <v>0</v>
      </c>
    </row>
    <row r="165" spans="1:59" s="723" customFormat="1" ht="51" x14ac:dyDescent="0.2">
      <c r="A165" s="721" t="str">
        <f t="shared" ca="1" si="11"/>
        <v>149</v>
      </c>
      <c r="B165" s="721" t="str">
        <f ca="1">OFFSET(ORÇAMENTO!C$15,ROW(B165)-ROW(B$15),0)</f>
        <v>S</v>
      </c>
      <c r="C165" s="721" t="str">
        <f ca="1">OFFSET(ORÇAMENTO!L$15,ROW(C165)-ROW(C$15),0)</f>
        <v/>
      </c>
      <c r="D165" s="117" t="str">
        <f ca="1">OFFSET(ORÇAMENTO!N$15,ROW(D165)-ROW(D$15),0)</f>
        <v>Serviço</v>
      </c>
      <c r="E165" s="118" t="str">
        <f ca="1">OFFSET(ORÇAMENTO!O$15,ROW(E165)-ROW(E$15),0)</f>
        <v>-</v>
      </c>
      <c r="F165" s="164" t="str">
        <f ca="1">OFFSET(ORÇAMENTO!R$15,ROW(F165)-ROW(F$15),0)</f>
        <v>(abra o arquivo 'Referência 09-2025.xlsm)</v>
      </c>
      <c r="G165" s="165" t="str">
        <f ca="1">IF($D165&lt;&gt;"Serviço","",OFFSET(ORÇAMENTO!S$15,ROW(G165)-ROW(G$15),0))</f>
        <v>-</v>
      </c>
      <c r="H165" s="123">
        <f ca="1">IF($D165&lt;&gt;"Serviço",0,IF(ACOMPANHAMENTO="BM",ROUND(OFFSET(ORÇAMENTO!AJ$15,ROW(H165)-ROW(H$15),0),15-13*ORÇAMENTO!$AF$7),SUMPRODUCT(($Q$1:$AA$1=1)*ROUND($Q165:$AA165,15-13*ORÇAMENTO!$AF$7))))</f>
        <v>2</v>
      </c>
      <c r="I165" s="469" t="s">
        <v>1182</v>
      </c>
      <c r="J165" s="667" t="str">
        <f ca="1">IF(OR(B165&lt;&gt;"S",CÁLCULO.FrentesPreenchidas=0),"",IF(AND(ACOMPANHAMENTO="PLE",AUTOEVENTO="Manual",OR(H165&gt;0,ORÇAMENTO!AC165="QUANT."),OR(K165="",M165=0,N165="")),"►",IF(AND(ACOMPANHAMENTO="PLE",ORÇAMENTO!AC165="QUANT."),"►►",IF(AND(COUNTIF($P$11:$AA$11,"▼")=0,H165&gt;0,I165=""),"◄",""))))</f>
        <v/>
      </c>
      <c r="K165" s="668"/>
      <c r="L165" s="166" t="s">
        <v>765</v>
      </c>
      <c r="M165" s="167">
        <f ca="1">IF($D165&lt;&gt;"Serviço","",
          IF(AUTOEVENTO="manual",$A165,
                IF(ISERROR(MATCH($A165,$A$15:OFFSET($A165,-1,0),0)),MAX($M$15:OFFSET(M165,-1,0))+1,
                      INDEX($M$15:OFFSET(M165,-1,0),MATCH($A165,$A$15:OFFSET($A165,-1,0),0)))))</f>
        <v>17</v>
      </c>
      <c r="N165" s="168" t="str">
        <f ca="1">IF($D165&lt;&gt;"Serviço","",
         IF(AUTOEVENTO="Manual",
                IF($A165=0,"&lt;-- defina o número do agrupador",
                       OFFSET(EVENTOS!$D$15,$A165-$A$15,0)),
                OFFSET($F$15,$A165,0)))</f>
        <v>SERVIÇOS PRELIMINARES</v>
      </c>
      <c r="O165" s="169"/>
      <c r="Q165" s="169"/>
      <c r="R165" s="170"/>
      <c r="S165" s="170"/>
      <c r="T165" s="170"/>
      <c r="U165" s="170"/>
      <c r="V165" s="170"/>
      <c r="W165" s="170"/>
      <c r="X165" s="170"/>
      <c r="Y165" s="170"/>
      <c r="Z165" s="171"/>
      <c r="AB165" s="454">
        <f ca="1">IF(AND($D165="Serviço",AB$12&lt;&gt;0,$H165&gt;0,OR(AUTOEVENTO&lt;&gt;"manual",$M165&lt;&gt;$A$15)),
        IF(Import.TipoArredondamento&lt;&gt;"TransfereGOV",
              ROUND(OFFSET($P165,0,AB$13),15-13*ORÇAMENTO!$AF$7)/$H165*OFFSET(ORÇAMENTO!$X$15,ROW(AB165)-ROW(AB$15),0),
              ROUND(ROUND(OFFSET($P165,0,AB$13),15-13*ORÇAMENTO!$AF$7)*OFFSET(ORÇAMENTO!$W$15,ROW(AB165)-ROW(AB$15),0),15-13*ORÇAMENTO!$AF$11)),
         0)</f>
        <v>0</v>
      </c>
      <c r="AC165" s="454">
        <f ca="1">IF(AND($D165="Serviço",AC$12&lt;&gt;0,$H165&gt;0,OR(AUTOEVENTO&lt;&gt;"manual",$M165&lt;&gt;$A$15)),
        IF(Import.TipoArredondamento&lt;&gt;"TransfereGOV",
              ROUND(OFFSET($P165,0,AC$13),15-13*ORÇAMENTO!$AF$7)/$H165*OFFSET(ORÇAMENTO!$X$15,ROW(AC165)-ROW(AC$15),0),
              ROUND(ROUND(OFFSET($P165,0,AC$13),15-13*ORÇAMENTO!$AF$7)*OFFSET(ORÇAMENTO!$W$15,ROW(AC165)-ROW(AC$15),0),15-13*ORÇAMENTO!$AF$11)),
         0)</f>
        <v>0</v>
      </c>
      <c r="AD165" s="454">
        <f ca="1">IF(AND($D165="Serviço",AD$12&lt;&gt;0,$H165&gt;0,OR(AUTOEVENTO&lt;&gt;"manual",$M165&lt;&gt;$A$15)),
        IF(Import.TipoArredondamento&lt;&gt;"TransfereGOV",
              ROUND(OFFSET($P165,0,AD$13),15-13*ORÇAMENTO!$AF$7)/$H165*OFFSET(ORÇAMENTO!$X$15,ROW(AD165)-ROW(AD$15),0),
              ROUND(ROUND(OFFSET($P165,0,AD$13),15-13*ORÇAMENTO!$AF$7)*OFFSET(ORÇAMENTO!$W$15,ROW(AD165)-ROW(AD$15),0),15-13*ORÇAMENTO!$AF$11)),
         0)</f>
        <v>0</v>
      </c>
      <c r="AE165" s="454">
        <f ca="1">IF(AND($D165="Serviço",AE$12&lt;&gt;0,$H165&gt;0,OR(AUTOEVENTO&lt;&gt;"manual",$M165&lt;&gt;$A$15)),
        IF(Import.TipoArredondamento&lt;&gt;"TransfereGOV",
              ROUND(OFFSET($P165,0,AE$13),15-13*ORÇAMENTO!$AF$7)/$H165*OFFSET(ORÇAMENTO!$X$15,ROW(AE165)-ROW(AE$15),0),
              ROUND(ROUND(OFFSET($P165,0,AE$13),15-13*ORÇAMENTO!$AF$7)*OFFSET(ORÇAMENTO!$W$15,ROW(AE165)-ROW(AE$15),0),15-13*ORÇAMENTO!$AF$11)),
         0)</f>
        <v>0</v>
      </c>
      <c r="AF165" s="454">
        <f ca="1">IF(AND($D165="Serviço",AF$12&lt;&gt;0,$H165&gt;0,OR(AUTOEVENTO&lt;&gt;"manual",$M165&lt;&gt;$A$15)),
        IF(Import.TipoArredondamento&lt;&gt;"TransfereGOV",
              ROUND(OFFSET($P165,0,AF$13),15-13*ORÇAMENTO!$AF$7)/$H165*OFFSET(ORÇAMENTO!$X$15,ROW(AF165)-ROW(AF$15),0),
              ROUND(ROUND(OFFSET($P165,0,AF$13),15-13*ORÇAMENTO!$AF$7)*OFFSET(ORÇAMENTO!$W$15,ROW(AF165)-ROW(AF$15),0),15-13*ORÇAMENTO!$AF$11)),
         0)</f>
        <v>0</v>
      </c>
      <c r="AG165" s="454">
        <f ca="1">IF(AND($D165="Serviço",AG$12&lt;&gt;0,$H165&gt;0,OR(AUTOEVENTO&lt;&gt;"manual",$M165&lt;&gt;$A$15)),
        IF(Import.TipoArredondamento&lt;&gt;"TransfereGOV",
              ROUND(OFFSET($P165,0,AG$13),15-13*ORÇAMENTO!$AF$7)/$H165*OFFSET(ORÇAMENTO!$X$15,ROW(AG165)-ROW(AG$15),0),
              ROUND(ROUND(OFFSET($P165,0,AG$13),15-13*ORÇAMENTO!$AF$7)*OFFSET(ORÇAMENTO!$W$15,ROW(AG165)-ROW(AG$15),0),15-13*ORÇAMENTO!$AF$11)),
         0)</f>
        <v>0</v>
      </c>
      <c r="AH165" s="454">
        <f ca="1">IF(AND($D165="Serviço",AH$12&lt;&gt;0,$H165&gt;0,OR(AUTOEVENTO&lt;&gt;"manual",$M165&lt;&gt;$A$15)),
        IF(Import.TipoArredondamento&lt;&gt;"TransfereGOV",
              ROUND(OFFSET($P165,0,AH$13),15-13*ORÇAMENTO!$AF$7)/$H165*OFFSET(ORÇAMENTO!$X$15,ROW(AH165)-ROW(AH$15),0),
              ROUND(ROUND(OFFSET($P165,0,AH$13),15-13*ORÇAMENTO!$AF$7)*OFFSET(ORÇAMENTO!$W$15,ROW(AH165)-ROW(AH$15),0),15-13*ORÇAMENTO!$AF$11)),
         0)</f>
        <v>0</v>
      </c>
      <c r="AI165" s="454">
        <f ca="1">IF(AND($D165="Serviço",AI$12&lt;&gt;0,$H165&gt;0,OR(AUTOEVENTO&lt;&gt;"manual",$M165&lt;&gt;$A$15)),
        IF(Import.TipoArredondamento&lt;&gt;"TransfereGOV",
              ROUND(OFFSET($P165,0,AI$13),15-13*ORÇAMENTO!$AF$7)/$H165*OFFSET(ORÇAMENTO!$X$15,ROW(AI165)-ROW(AI$15),0),
              ROUND(ROUND(OFFSET($P165,0,AI$13),15-13*ORÇAMENTO!$AF$7)*OFFSET(ORÇAMENTO!$W$15,ROW(AI165)-ROW(AI$15),0),15-13*ORÇAMENTO!$AF$11)),
         0)</f>
        <v>0</v>
      </c>
      <c r="AJ165" s="454">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0</v>
      </c>
      <c r="AK165" s="454">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0</v>
      </c>
      <c r="AM165" s="172">
        <f ca="1">IF(OR($D165&lt;&gt;"Serviço",AND(AUTOEVENTO="Manual",$M165=$A$15)),0,
         IF(OFFSET(CRONOPLE!$F$15,$M165-$A$15,AM$13)=0,10^12,OFFSET(CRONOPLE!$F$15,$M165-$A$15,AM$13)))</f>
        <v>1000000000000</v>
      </c>
      <c r="AN165" s="172">
        <f ca="1">IF(OR($D165&lt;&gt;"Serviço",AND(AUTOEVENTO="Manual",$M165=$A$15)),0,
         IF(OFFSET(CRONOPLE!$F$15,$M165-$A$15,AN$13)=0,10^12,OFFSET(CRONOPLE!$F$15,$M165-$A$15,AN$13)))</f>
        <v>1000000000000</v>
      </c>
      <c r="AO165" s="172">
        <f ca="1">IF(OR($D165&lt;&gt;"Serviço",AND(AUTOEVENTO="Manual",$M165=$A$15)),0,
         IF(OFFSET(CRONOPLE!$F$15,$M165-$A$15,AO$13)=0,10^12,OFFSET(CRONOPLE!$F$15,$M165-$A$15,AO$13)))</f>
        <v>1000000000000</v>
      </c>
      <c r="AP165" s="172">
        <f ca="1">IF(OR($D165&lt;&gt;"Serviço",AND(AUTOEVENTO="Manual",$M165=$A$15)),0,
         IF(OFFSET(CRONOPLE!$F$15,$M165-$A$15,AP$13)=0,10^12,OFFSET(CRONOPLE!$F$15,$M165-$A$15,AP$13)))</f>
        <v>1000000000000</v>
      </c>
      <c r="AQ165" s="172">
        <f ca="1">IF(OR($D165&lt;&gt;"Serviço",AND(AUTOEVENTO="Manual",$M165=$A$15)),0,
         IF(OFFSET(CRONOPLE!$F$15,$M165-$A$15,AQ$13)=0,10^12,OFFSET(CRONOPLE!$F$15,$M165-$A$15,AQ$13)))</f>
        <v>1000000000000</v>
      </c>
      <c r="AR165" s="172">
        <f ca="1">IF(OR($D165&lt;&gt;"Serviço",AND(AUTOEVENTO="Manual",$M165=$A$15)),0,
         IF(OFFSET(CRONOPLE!$F$15,$M165-$A$15,AR$13)=0,10^12,OFFSET(CRONOPLE!$F$15,$M165-$A$15,AR$13)))</f>
        <v>1000000000000</v>
      </c>
      <c r="AS165" s="172">
        <f ca="1">IF(OR($D165&lt;&gt;"Serviço",AND(AUTOEVENTO="Manual",$M165=$A$15)),0,
         IF(OFFSET(CRONOPLE!$F$15,$M165-$A$15,AS$13)=0,10^12,OFFSET(CRONOPLE!$F$15,$M165-$A$15,AS$13)))</f>
        <v>1000000000000</v>
      </c>
      <c r="AT165" s="172">
        <f ca="1">IF(OR($D165&lt;&gt;"Serviço",AND(AUTOEVENTO="Manual",$M165=$A$15)),0,
         IF(OFFSET(CRONOPLE!$F$15,$M165-$A$15,AT$13)=0,10^12,OFFSET(CRONOPLE!$F$15,$M165-$A$15,AT$13)))</f>
        <v>1000000000000</v>
      </c>
      <c r="AU165" s="172">
        <f ca="1">IF(OR($D165&lt;&gt;"Serviço",AND(AUTOEVENTO="Manual",$M165=$A$15)),0,
         IF(OFFSET(CRONOPLE!$F$15,$M165-$A$15,AU$13)=0,10^12,OFFSET(CRONOPLE!$F$15,$M165-$A$15,AU$13)))</f>
        <v>1000000000000</v>
      </c>
      <c r="AV165" s="172">
        <f ca="1">IF(OR($D165&lt;&gt;"Serviço",AND(AUTOEVENTO="Manual",$M165=$A$15)),0,
         IF(OFFSET(CRONOPLE!$F$15,$M165-$A$15,AV$13)=0,10^12,OFFSET(CRONOPLE!$F$15,$M165-$A$15,AV$13)))</f>
        <v>1000000000000</v>
      </c>
      <c r="AX165" s="173">
        <f ca="1">IF(OR($D165&lt;&gt;"Serviço",AND(AUTOEVENTO="Manual",$M165=$A$15),$M165&gt;(ROW(PLE.lastrow)-ROW(PLE.firstrow))),0,
           IF(OFFSET(PLE!$G$15,$M165-$A$15,AX$13)="",10^12,OFFSET(PLE!$G$15,$M165-$A$15,AX$13)))</f>
        <v>1000000000000</v>
      </c>
      <c r="AY165" s="173">
        <f ca="1">IF(OR($D165&lt;&gt;"Serviço",AND(AUTOEVENTO="Manual",$M165=$A$15),$M165&gt;(ROW(PLE.lastrow)-ROW(PLE.firstrow))),0,
           IF(OFFSET(PLE!$G$15,$M165-$A$15,AY$13)="",10^12,OFFSET(PLE!$G$15,$M165-$A$15,AY$13)))</f>
        <v>1000000000000</v>
      </c>
      <c r="AZ165" s="173">
        <f ca="1">IF(OR($D165&lt;&gt;"Serviço",AND(AUTOEVENTO="Manual",$M165=$A$15),$M165&gt;(ROW(PLE.lastrow)-ROW(PLE.firstrow))),0,
           IF(OFFSET(PLE!$G$15,$M165-$A$15,AZ$13)="",10^12,OFFSET(PLE!$G$15,$M165-$A$15,AZ$13)))</f>
        <v>1000000000000</v>
      </c>
      <c r="BA165" s="173">
        <f ca="1">IF(OR($D165&lt;&gt;"Serviço",AND(AUTOEVENTO="Manual",$M165=$A$15),$M165&gt;(ROW(PLE.lastrow)-ROW(PLE.firstrow))),0,
           IF(OFFSET(PLE!$G$15,$M165-$A$15,BA$13)="",10^12,OFFSET(PLE!$G$15,$M165-$A$15,BA$13)))</f>
        <v>1000000000000</v>
      </c>
      <c r="BB165" s="173">
        <f ca="1">IF(OR($D165&lt;&gt;"Serviço",AND(AUTOEVENTO="Manual",$M165=$A$15),$M165&gt;(ROW(PLE.lastrow)-ROW(PLE.firstrow))),0,
           IF(OFFSET(PLE!$G$15,$M165-$A$15,BB$13)="",10^12,OFFSET(PLE!$G$15,$M165-$A$15,BB$13)))</f>
        <v>1000000000000</v>
      </c>
      <c r="BC165" s="173">
        <f ca="1">IF(OR($D165&lt;&gt;"Serviço",AND(AUTOEVENTO="Manual",$M165=$A$15),$M165&gt;(ROW(PLE.lastrow)-ROW(PLE.firstrow))),0,
           IF(OFFSET(PLE!$G$15,$M165-$A$15,BC$13)="",10^12,OFFSET(PLE!$G$15,$M165-$A$15,BC$13)))</f>
        <v>1000000000000</v>
      </c>
      <c r="BD165" s="173">
        <f ca="1">IF(OR($D165&lt;&gt;"Serviço",AND(AUTOEVENTO="Manual",$M165=$A$15),$M165&gt;(ROW(PLE.lastrow)-ROW(PLE.firstrow))),0,
           IF(OFFSET(PLE!$G$15,$M165-$A$15,BD$13)="",10^12,OFFSET(PLE!$G$15,$M165-$A$15,BD$13)))</f>
        <v>1000000000000</v>
      </c>
      <c r="BE165" s="173">
        <f ca="1">IF(OR($D165&lt;&gt;"Serviço",AND(AUTOEVENTO="Manual",$M165=$A$15),$M165&gt;(ROW(PLE.lastrow)-ROW(PLE.firstrow))),0,
           IF(OFFSET(PLE!$G$15,$M165-$A$15,BE$13)="",10^12,OFFSET(PLE!$G$15,$M165-$A$15,BE$13)))</f>
        <v>1000000000000</v>
      </c>
      <c r="BF165" s="173">
        <f ca="1">IF(OR($D165&lt;&gt;"Serviço",AND(AUTOEVENTO="Manual",$M165=$A$15),$M165&gt;(ROW(PLE.lastrow)-ROW(PLE.firstrow))),0,
           IF(OFFSET(PLE!$G$15,$M165-$A$15,BF$13)="",10^12,OFFSET(PLE!$G$15,$M165-$A$15,BF$13)))</f>
        <v>1000000000000</v>
      </c>
      <c r="BG165" s="173">
        <f ca="1">IF(OR($D165&lt;&gt;"Serviço",AND(AUTOEVENTO="Manual",$M165=$A$15),$M165&gt;(ROW(PLE.lastrow)-ROW(PLE.firstrow))),0,
           IF(OFFSET(PLE!$G$15,$M165-$A$15,BG$13)="",10^12,OFFSET(PLE!$G$15,$M165-$A$15,BG$13)))</f>
        <v>1000000000000</v>
      </c>
    </row>
    <row r="166" spans="1:59" s="723" customFormat="1" ht="38.25" x14ac:dyDescent="0.2">
      <c r="A166" s="721" t="str">
        <f t="shared" ca="1" si="11"/>
        <v>149</v>
      </c>
      <c r="B166" s="721" t="str">
        <f ca="1">OFFSET(ORÇAMENTO!C$15,ROW(B166)-ROW(B$15),0)</f>
        <v>S</v>
      </c>
      <c r="C166" s="721" t="str">
        <f ca="1">OFFSET(ORÇAMENTO!L$15,ROW(C166)-ROW(C$15),0)</f>
        <v/>
      </c>
      <c r="D166" s="117" t="str">
        <f ca="1">OFFSET(ORÇAMENTO!N$15,ROW(D166)-ROW(D$15),0)</f>
        <v>Serviço</v>
      </c>
      <c r="E166" s="118" t="str">
        <f ca="1">OFFSET(ORÇAMENTO!O$15,ROW(E166)-ROW(E$15),0)</f>
        <v>-</v>
      </c>
      <c r="F166" s="164" t="str">
        <f ca="1">OFFSET(ORÇAMENTO!R$15,ROW(F166)-ROW(F$15),0)</f>
        <v>(abra o arquivo 'Referência 09-2025.xlsm)</v>
      </c>
      <c r="G166" s="165" t="str">
        <f ca="1">IF($D166&lt;&gt;"Serviço","",OFFSET(ORÇAMENTO!S$15,ROW(G166)-ROW(G$15),0))</f>
        <v>-</v>
      </c>
      <c r="H166" s="123">
        <f ca="1">IF($D166&lt;&gt;"Serviço",0,IF(ACOMPANHAMENTO="BM",ROUND(OFFSET(ORÇAMENTO!AJ$15,ROW(H166)-ROW(H$15),0),15-13*ORÇAMENTO!$AF$7),SUMPRODUCT(($Q$1:$AA$1=1)*ROUND($Q166:$AA166,15-13*ORÇAMENTO!$AF$7))))</f>
        <v>60</v>
      </c>
      <c r="I166" s="469" t="s">
        <v>1181</v>
      </c>
      <c r="J166" s="667" t="str">
        <f ca="1">IF(OR(B166&lt;&gt;"S",CÁLCULO.FrentesPreenchidas=0),"",IF(AND(ACOMPANHAMENTO="PLE",AUTOEVENTO="Manual",OR(H166&gt;0,ORÇAMENTO!AC166="QUANT."),OR(K166="",M166=0,N166="")),"►",IF(AND(ACOMPANHAMENTO="PLE",ORÇAMENTO!AC166="QUANT."),"►►",IF(AND(COUNTIF($P$11:$AA$11,"▼")=0,H166&gt;0,I166=""),"◄",""))))</f>
        <v/>
      </c>
      <c r="K166" s="668"/>
      <c r="L166" s="166" t="s">
        <v>765</v>
      </c>
      <c r="M166" s="167">
        <f ca="1">IF($D166&lt;&gt;"Serviço","",
          IF(AUTOEVENTO="manual",$A166,
                IF(ISERROR(MATCH($A166,$A$15:OFFSET($A166,-1,0),0)),MAX($M$15:OFFSET(M166,-1,0))+1,
                      INDEX($M$15:OFFSET(M166,-1,0),MATCH($A166,$A$15:OFFSET($A166,-1,0),0)))))</f>
        <v>17</v>
      </c>
      <c r="N166" s="168" t="str">
        <f ca="1">IF($D166&lt;&gt;"Serviço","",
         IF(AUTOEVENTO="Manual",
                IF($A166=0,"&lt;-- defina o número do agrupador",
                       OFFSET(EVENTOS!$D$15,$A166-$A$15,0)),
                OFFSET($F$15,$A166,0)))</f>
        <v>SERVIÇOS PRELIMINARES</v>
      </c>
      <c r="O166" s="169"/>
      <c r="Q166" s="169"/>
      <c r="R166" s="170"/>
      <c r="S166" s="170"/>
      <c r="T166" s="170"/>
      <c r="U166" s="170"/>
      <c r="V166" s="170"/>
      <c r="W166" s="170"/>
      <c r="X166" s="170"/>
      <c r="Y166" s="170"/>
      <c r="Z166" s="171"/>
      <c r="AB166" s="454">
        <f ca="1">IF(AND($D166="Serviço",AB$12&lt;&gt;0,$H166&gt;0,OR(AUTOEVENTO&lt;&gt;"manual",$M166&lt;&gt;$A$15)),
        IF(Import.TipoArredondamento&lt;&gt;"TransfereGOV",
              ROUND(OFFSET($P166,0,AB$13),15-13*ORÇAMENTO!$AF$7)/$H166*OFFSET(ORÇAMENTO!$X$15,ROW(AB166)-ROW(AB$15),0),
              ROUND(ROUND(OFFSET($P166,0,AB$13),15-13*ORÇAMENTO!$AF$7)*OFFSET(ORÇAMENTO!$W$15,ROW(AB166)-ROW(AB$15),0),15-13*ORÇAMENTO!$AF$11)),
         0)</f>
        <v>0</v>
      </c>
      <c r="AC166" s="454">
        <f ca="1">IF(AND($D166="Serviço",AC$12&lt;&gt;0,$H166&gt;0,OR(AUTOEVENTO&lt;&gt;"manual",$M166&lt;&gt;$A$15)),
        IF(Import.TipoArredondamento&lt;&gt;"TransfereGOV",
              ROUND(OFFSET($P166,0,AC$13),15-13*ORÇAMENTO!$AF$7)/$H166*OFFSET(ORÇAMENTO!$X$15,ROW(AC166)-ROW(AC$15),0),
              ROUND(ROUND(OFFSET($P166,0,AC$13),15-13*ORÇAMENTO!$AF$7)*OFFSET(ORÇAMENTO!$W$15,ROW(AC166)-ROW(AC$15),0),15-13*ORÇAMENTO!$AF$11)),
         0)</f>
        <v>0</v>
      </c>
      <c r="AD166" s="454">
        <f ca="1">IF(AND($D166="Serviço",AD$12&lt;&gt;0,$H166&gt;0,OR(AUTOEVENTO&lt;&gt;"manual",$M166&lt;&gt;$A$15)),
        IF(Import.TipoArredondamento&lt;&gt;"TransfereGOV",
              ROUND(OFFSET($P166,0,AD$13),15-13*ORÇAMENTO!$AF$7)/$H166*OFFSET(ORÇAMENTO!$X$15,ROW(AD166)-ROW(AD$15),0),
              ROUND(ROUND(OFFSET($P166,0,AD$13),15-13*ORÇAMENTO!$AF$7)*OFFSET(ORÇAMENTO!$W$15,ROW(AD166)-ROW(AD$15),0),15-13*ORÇAMENTO!$AF$11)),
         0)</f>
        <v>0</v>
      </c>
      <c r="AE166" s="454">
        <f ca="1">IF(AND($D166="Serviço",AE$12&lt;&gt;0,$H166&gt;0,OR(AUTOEVENTO&lt;&gt;"manual",$M166&lt;&gt;$A$15)),
        IF(Import.TipoArredondamento&lt;&gt;"TransfereGOV",
              ROUND(OFFSET($P166,0,AE$13),15-13*ORÇAMENTO!$AF$7)/$H166*OFFSET(ORÇAMENTO!$X$15,ROW(AE166)-ROW(AE$15),0),
              ROUND(ROUND(OFFSET($P166,0,AE$13),15-13*ORÇAMENTO!$AF$7)*OFFSET(ORÇAMENTO!$W$15,ROW(AE166)-ROW(AE$15),0),15-13*ORÇAMENTO!$AF$11)),
         0)</f>
        <v>0</v>
      </c>
      <c r="AF166" s="454">
        <f ca="1">IF(AND($D166="Serviço",AF$12&lt;&gt;0,$H166&gt;0,OR(AUTOEVENTO&lt;&gt;"manual",$M166&lt;&gt;$A$15)),
        IF(Import.TipoArredondamento&lt;&gt;"TransfereGOV",
              ROUND(OFFSET($P166,0,AF$13),15-13*ORÇAMENTO!$AF$7)/$H166*OFFSET(ORÇAMENTO!$X$15,ROW(AF166)-ROW(AF$15),0),
              ROUND(ROUND(OFFSET($P166,0,AF$13),15-13*ORÇAMENTO!$AF$7)*OFFSET(ORÇAMENTO!$W$15,ROW(AF166)-ROW(AF$15),0),15-13*ORÇAMENTO!$AF$11)),
         0)</f>
        <v>0</v>
      </c>
      <c r="AG166" s="454">
        <f ca="1">IF(AND($D166="Serviço",AG$12&lt;&gt;0,$H166&gt;0,OR(AUTOEVENTO&lt;&gt;"manual",$M166&lt;&gt;$A$15)),
        IF(Import.TipoArredondamento&lt;&gt;"TransfereGOV",
              ROUND(OFFSET($P166,0,AG$13),15-13*ORÇAMENTO!$AF$7)/$H166*OFFSET(ORÇAMENTO!$X$15,ROW(AG166)-ROW(AG$15),0),
              ROUND(ROUND(OFFSET($P166,0,AG$13),15-13*ORÇAMENTO!$AF$7)*OFFSET(ORÇAMENTO!$W$15,ROW(AG166)-ROW(AG$15),0),15-13*ORÇAMENTO!$AF$11)),
         0)</f>
        <v>0</v>
      </c>
      <c r="AH166" s="454">
        <f ca="1">IF(AND($D166="Serviço",AH$12&lt;&gt;0,$H166&gt;0,OR(AUTOEVENTO&lt;&gt;"manual",$M166&lt;&gt;$A$15)),
        IF(Import.TipoArredondamento&lt;&gt;"TransfereGOV",
              ROUND(OFFSET($P166,0,AH$13),15-13*ORÇAMENTO!$AF$7)/$H166*OFFSET(ORÇAMENTO!$X$15,ROW(AH166)-ROW(AH$15),0),
              ROUND(ROUND(OFFSET($P166,0,AH$13),15-13*ORÇAMENTO!$AF$7)*OFFSET(ORÇAMENTO!$W$15,ROW(AH166)-ROW(AH$15),0),15-13*ORÇAMENTO!$AF$11)),
         0)</f>
        <v>0</v>
      </c>
      <c r="AI166" s="454">
        <f ca="1">IF(AND($D166="Serviço",AI$12&lt;&gt;0,$H166&gt;0,OR(AUTOEVENTO&lt;&gt;"manual",$M166&lt;&gt;$A$15)),
        IF(Import.TipoArredondamento&lt;&gt;"TransfereGOV",
              ROUND(OFFSET($P166,0,AI$13),15-13*ORÇAMENTO!$AF$7)/$H166*OFFSET(ORÇAMENTO!$X$15,ROW(AI166)-ROW(AI$15),0),
              ROUND(ROUND(OFFSET($P166,0,AI$13),15-13*ORÇAMENTO!$AF$7)*OFFSET(ORÇAMENTO!$W$15,ROW(AI166)-ROW(AI$15),0),15-13*ORÇAMENTO!$AF$11)),
         0)</f>
        <v>0</v>
      </c>
      <c r="AJ166" s="454">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0</v>
      </c>
      <c r="AK166" s="454">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0</v>
      </c>
      <c r="AM166" s="172">
        <f ca="1">IF(OR($D166&lt;&gt;"Serviço",AND(AUTOEVENTO="Manual",$M166=$A$15)),0,
         IF(OFFSET(CRONOPLE!$F$15,$M166-$A$15,AM$13)=0,10^12,OFFSET(CRONOPLE!$F$15,$M166-$A$15,AM$13)))</f>
        <v>1000000000000</v>
      </c>
      <c r="AN166" s="172">
        <f ca="1">IF(OR($D166&lt;&gt;"Serviço",AND(AUTOEVENTO="Manual",$M166=$A$15)),0,
         IF(OFFSET(CRONOPLE!$F$15,$M166-$A$15,AN$13)=0,10^12,OFFSET(CRONOPLE!$F$15,$M166-$A$15,AN$13)))</f>
        <v>1000000000000</v>
      </c>
      <c r="AO166" s="172">
        <f ca="1">IF(OR($D166&lt;&gt;"Serviço",AND(AUTOEVENTO="Manual",$M166=$A$15)),0,
         IF(OFFSET(CRONOPLE!$F$15,$M166-$A$15,AO$13)=0,10^12,OFFSET(CRONOPLE!$F$15,$M166-$A$15,AO$13)))</f>
        <v>1000000000000</v>
      </c>
      <c r="AP166" s="172">
        <f ca="1">IF(OR($D166&lt;&gt;"Serviço",AND(AUTOEVENTO="Manual",$M166=$A$15)),0,
         IF(OFFSET(CRONOPLE!$F$15,$M166-$A$15,AP$13)=0,10^12,OFFSET(CRONOPLE!$F$15,$M166-$A$15,AP$13)))</f>
        <v>1000000000000</v>
      </c>
      <c r="AQ166" s="172">
        <f ca="1">IF(OR($D166&lt;&gt;"Serviço",AND(AUTOEVENTO="Manual",$M166=$A$15)),0,
         IF(OFFSET(CRONOPLE!$F$15,$M166-$A$15,AQ$13)=0,10^12,OFFSET(CRONOPLE!$F$15,$M166-$A$15,AQ$13)))</f>
        <v>1000000000000</v>
      </c>
      <c r="AR166" s="172">
        <f ca="1">IF(OR($D166&lt;&gt;"Serviço",AND(AUTOEVENTO="Manual",$M166=$A$15)),0,
         IF(OFFSET(CRONOPLE!$F$15,$M166-$A$15,AR$13)=0,10^12,OFFSET(CRONOPLE!$F$15,$M166-$A$15,AR$13)))</f>
        <v>1000000000000</v>
      </c>
      <c r="AS166" s="172">
        <f ca="1">IF(OR($D166&lt;&gt;"Serviço",AND(AUTOEVENTO="Manual",$M166=$A$15)),0,
         IF(OFFSET(CRONOPLE!$F$15,$M166-$A$15,AS$13)=0,10^12,OFFSET(CRONOPLE!$F$15,$M166-$A$15,AS$13)))</f>
        <v>1000000000000</v>
      </c>
      <c r="AT166" s="172">
        <f ca="1">IF(OR($D166&lt;&gt;"Serviço",AND(AUTOEVENTO="Manual",$M166=$A$15)),0,
         IF(OFFSET(CRONOPLE!$F$15,$M166-$A$15,AT$13)=0,10^12,OFFSET(CRONOPLE!$F$15,$M166-$A$15,AT$13)))</f>
        <v>1000000000000</v>
      </c>
      <c r="AU166" s="172">
        <f ca="1">IF(OR($D166&lt;&gt;"Serviço",AND(AUTOEVENTO="Manual",$M166=$A$15)),0,
         IF(OFFSET(CRONOPLE!$F$15,$M166-$A$15,AU$13)=0,10^12,OFFSET(CRONOPLE!$F$15,$M166-$A$15,AU$13)))</f>
        <v>1000000000000</v>
      </c>
      <c r="AV166" s="172">
        <f ca="1">IF(OR($D166&lt;&gt;"Serviço",AND(AUTOEVENTO="Manual",$M166=$A$15)),0,
         IF(OFFSET(CRONOPLE!$F$15,$M166-$A$15,AV$13)=0,10^12,OFFSET(CRONOPLE!$F$15,$M166-$A$15,AV$13)))</f>
        <v>1000000000000</v>
      </c>
      <c r="AX166" s="173">
        <f ca="1">IF(OR($D166&lt;&gt;"Serviço",AND(AUTOEVENTO="Manual",$M166=$A$15),$M166&gt;(ROW(PLE.lastrow)-ROW(PLE.firstrow))),0,
           IF(OFFSET(PLE!$G$15,$M166-$A$15,AX$13)="",10^12,OFFSET(PLE!$G$15,$M166-$A$15,AX$13)))</f>
        <v>1000000000000</v>
      </c>
      <c r="AY166" s="173">
        <f ca="1">IF(OR($D166&lt;&gt;"Serviço",AND(AUTOEVENTO="Manual",$M166=$A$15),$M166&gt;(ROW(PLE.lastrow)-ROW(PLE.firstrow))),0,
           IF(OFFSET(PLE!$G$15,$M166-$A$15,AY$13)="",10^12,OFFSET(PLE!$G$15,$M166-$A$15,AY$13)))</f>
        <v>1000000000000</v>
      </c>
      <c r="AZ166" s="173">
        <f ca="1">IF(OR($D166&lt;&gt;"Serviço",AND(AUTOEVENTO="Manual",$M166=$A$15),$M166&gt;(ROW(PLE.lastrow)-ROW(PLE.firstrow))),0,
           IF(OFFSET(PLE!$G$15,$M166-$A$15,AZ$13)="",10^12,OFFSET(PLE!$G$15,$M166-$A$15,AZ$13)))</f>
        <v>1000000000000</v>
      </c>
      <c r="BA166" s="173">
        <f ca="1">IF(OR($D166&lt;&gt;"Serviço",AND(AUTOEVENTO="Manual",$M166=$A$15),$M166&gt;(ROW(PLE.lastrow)-ROW(PLE.firstrow))),0,
           IF(OFFSET(PLE!$G$15,$M166-$A$15,BA$13)="",10^12,OFFSET(PLE!$G$15,$M166-$A$15,BA$13)))</f>
        <v>1000000000000</v>
      </c>
      <c r="BB166" s="173">
        <f ca="1">IF(OR($D166&lt;&gt;"Serviço",AND(AUTOEVENTO="Manual",$M166=$A$15),$M166&gt;(ROW(PLE.lastrow)-ROW(PLE.firstrow))),0,
           IF(OFFSET(PLE!$G$15,$M166-$A$15,BB$13)="",10^12,OFFSET(PLE!$G$15,$M166-$A$15,BB$13)))</f>
        <v>1000000000000</v>
      </c>
      <c r="BC166" s="173">
        <f ca="1">IF(OR($D166&lt;&gt;"Serviço",AND(AUTOEVENTO="Manual",$M166=$A$15),$M166&gt;(ROW(PLE.lastrow)-ROW(PLE.firstrow))),0,
           IF(OFFSET(PLE!$G$15,$M166-$A$15,BC$13)="",10^12,OFFSET(PLE!$G$15,$M166-$A$15,BC$13)))</f>
        <v>1000000000000</v>
      </c>
      <c r="BD166" s="173">
        <f ca="1">IF(OR($D166&lt;&gt;"Serviço",AND(AUTOEVENTO="Manual",$M166=$A$15),$M166&gt;(ROW(PLE.lastrow)-ROW(PLE.firstrow))),0,
           IF(OFFSET(PLE!$G$15,$M166-$A$15,BD$13)="",10^12,OFFSET(PLE!$G$15,$M166-$A$15,BD$13)))</f>
        <v>1000000000000</v>
      </c>
      <c r="BE166" s="173">
        <f ca="1">IF(OR($D166&lt;&gt;"Serviço",AND(AUTOEVENTO="Manual",$M166=$A$15),$M166&gt;(ROW(PLE.lastrow)-ROW(PLE.firstrow))),0,
           IF(OFFSET(PLE!$G$15,$M166-$A$15,BE$13)="",10^12,OFFSET(PLE!$G$15,$M166-$A$15,BE$13)))</f>
        <v>1000000000000</v>
      </c>
      <c r="BF166" s="173">
        <f ca="1">IF(OR($D166&lt;&gt;"Serviço",AND(AUTOEVENTO="Manual",$M166=$A$15),$M166&gt;(ROW(PLE.lastrow)-ROW(PLE.firstrow))),0,
           IF(OFFSET(PLE!$G$15,$M166-$A$15,BF$13)="",10^12,OFFSET(PLE!$G$15,$M166-$A$15,BF$13)))</f>
        <v>1000000000000</v>
      </c>
      <c r="BG166" s="173">
        <f ca="1">IF(OR($D166&lt;&gt;"Serviço",AND(AUTOEVENTO="Manual",$M166=$A$15),$M166&gt;(ROW(PLE.lastrow)-ROW(PLE.firstrow))),0,
           IF(OFFSET(PLE!$G$15,$M166-$A$15,BG$13)="",10^12,OFFSET(PLE!$G$15,$M166-$A$15,BG$13)))</f>
        <v>1000000000000</v>
      </c>
    </row>
    <row r="167" spans="1:59" s="675" customFormat="1" ht="38.25" x14ac:dyDescent="0.2">
      <c r="A167" s="671" t="str">
        <f t="shared" ca="1" si="11"/>
        <v>149</v>
      </c>
      <c r="B167" s="671" t="str">
        <f ca="1">OFFSET(ORÇAMENTO!C$15,ROW(B167)-ROW(B$15),0)</f>
        <v>S</v>
      </c>
      <c r="C167" s="671" t="str">
        <f ca="1">OFFSET(ORÇAMENTO!L$15,ROW(C167)-ROW(C$15),0)</f>
        <v/>
      </c>
      <c r="D167" s="117" t="str">
        <f ca="1">OFFSET(ORÇAMENTO!N$15,ROW(D167)-ROW(D$15),0)</f>
        <v>Serviço</v>
      </c>
      <c r="E167" s="118" t="str">
        <f ca="1">OFFSET(ORÇAMENTO!O$15,ROW(E167)-ROW(E$15),0)</f>
        <v>-</v>
      </c>
      <c r="F167" s="164" t="str">
        <f ca="1">OFFSET(ORÇAMENTO!R$15,ROW(F167)-ROW(F$15),0)</f>
        <v>(abra o arquivo 'Referência 09-2025.xlsm)</v>
      </c>
      <c r="G167" s="165" t="str">
        <f ca="1">IF($D167&lt;&gt;"Serviço","",OFFSET(ORÇAMENTO!S$15,ROW(G167)-ROW(G$15),0))</f>
        <v>-</v>
      </c>
      <c r="H167" s="123">
        <f ca="1">IF($D167&lt;&gt;"Serviço",0,IF(ACOMPANHAMENTO="BM",ROUND(OFFSET(ORÇAMENTO!AJ$15,ROW(H167)-ROW(H$15),0),15-13*ORÇAMENTO!$AF$7),SUMPRODUCT(($Q$1:$AA$1=1)*ROUND($Q167:$AA167,15-13*ORÇAMENTO!$AF$7))))</f>
        <v>32</v>
      </c>
      <c r="I167" s="469" t="s">
        <v>1115</v>
      </c>
      <c r="J167" s="667" t="str">
        <f ca="1">IF(OR(B167&lt;&gt;"S",CÁLCULO.FrentesPreenchidas=0),"",IF(AND(ACOMPANHAMENTO="PLE",AUTOEVENTO="Manual",OR(H167&gt;0,ORÇAMENTO!AC167="QUANT."),OR(K167="",M167=0,N167="")),"►",IF(AND(ACOMPANHAMENTO="PLE",ORÇAMENTO!AC167="QUANT."),"►►",IF(AND(COUNTIF($P$11:$AA$11,"▼")=0,H167&gt;0,I167=""),"◄",""))))</f>
        <v/>
      </c>
      <c r="K167" s="668"/>
      <c r="L167" s="166" t="s">
        <v>765</v>
      </c>
      <c r="M167" s="167">
        <f ca="1">IF($D167&lt;&gt;"Serviço","",
          IF(AUTOEVENTO="manual",$A167,
                IF(ISERROR(MATCH($A167,$A$15:OFFSET($A167,-1,0),0)),MAX($M$15:OFFSET(M167,-1,0))+1,
                      INDEX($M$15:OFFSET(M167,-1,0),MATCH($A167,$A$15:OFFSET($A167,-1,0),0)))))</f>
        <v>17</v>
      </c>
      <c r="N167" s="168" t="str">
        <f ca="1">IF($D167&lt;&gt;"Serviço","",
         IF(AUTOEVENTO="Manual",
                IF($A167=0,"&lt;-- defina o número do agrupador",
                       OFFSET(EVENTOS!$D$15,$A167-$A$15,0)),
                OFFSET($F$15,$A167,0)))</f>
        <v>SERVIÇOS PRELIMINARES</v>
      </c>
      <c r="O167" s="169"/>
      <c r="Q167" s="169"/>
      <c r="R167" s="170"/>
      <c r="S167" s="170"/>
      <c r="T167" s="170"/>
      <c r="U167" s="170"/>
      <c r="V167" s="170"/>
      <c r="W167" s="170"/>
      <c r="X167" s="170"/>
      <c r="Y167" s="170"/>
      <c r="Z167" s="171"/>
      <c r="AB167" s="454">
        <f ca="1">IF(AND($D167="Serviço",AB$12&lt;&gt;0,$H167&gt;0,OR(AUTOEVENTO&lt;&gt;"manual",$M167&lt;&gt;$A$15)),
        IF(Import.TipoArredondamento&lt;&gt;"TransfereGOV",
              ROUND(OFFSET($P167,0,AB$13),15-13*ORÇAMENTO!$AF$7)/$H167*OFFSET(ORÇAMENTO!$X$15,ROW(AB167)-ROW(AB$15),0),
              ROUND(ROUND(OFFSET($P167,0,AB$13),15-13*ORÇAMENTO!$AF$7)*OFFSET(ORÇAMENTO!$W$15,ROW(AB167)-ROW(AB$15),0),15-13*ORÇAMENTO!$AF$11)),
         0)</f>
        <v>0</v>
      </c>
      <c r="AC167" s="454">
        <f ca="1">IF(AND($D167="Serviço",AC$12&lt;&gt;0,$H167&gt;0,OR(AUTOEVENTO&lt;&gt;"manual",$M167&lt;&gt;$A$15)),
        IF(Import.TipoArredondamento&lt;&gt;"TransfereGOV",
              ROUND(OFFSET($P167,0,AC$13),15-13*ORÇAMENTO!$AF$7)/$H167*OFFSET(ORÇAMENTO!$X$15,ROW(AC167)-ROW(AC$15),0),
              ROUND(ROUND(OFFSET($P167,0,AC$13),15-13*ORÇAMENTO!$AF$7)*OFFSET(ORÇAMENTO!$W$15,ROW(AC167)-ROW(AC$15),0),15-13*ORÇAMENTO!$AF$11)),
         0)</f>
        <v>0</v>
      </c>
      <c r="AD167" s="454">
        <f ca="1">IF(AND($D167="Serviço",AD$12&lt;&gt;0,$H167&gt;0,OR(AUTOEVENTO&lt;&gt;"manual",$M167&lt;&gt;$A$15)),
        IF(Import.TipoArredondamento&lt;&gt;"TransfereGOV",
              ROUND(OFFSET($P167,0,AD$13),15-13*ORÇAMENTO!$AF$7)/$H167*OFFSET(ORÇAMENTO!$X$15,ROW(AD167)-ROW(AD$15),0),
              ROUND(ROUND(OFFSET($P167,0,AD$13),15-13*ORÇAMENTO!$AF$7)*OFFSET(ORÇAMENTO!$W$15,ROW(AD167)-ROW(AD$15),0),15-13*ORÇAMENTO!$AF$11)),
         0)</f>
        <v>0</v>
      </c>
      <c r="AE167" s="454">
        <f ca="1">IF(AND($D167="Serviço",AE$12&lt;&gt;0,$H167&gt;0,OR(AUTOEVENTO&lt;&gt;"manual",$M167&lt;&gt;$A$15)),
        IF(Import.TipoArredondamento&lt;&gt;"TransfereGOV",
              ROUND(OFFSET($P167,0,AE$13),15-13*ORÇAMENTO!$AF$7)/$H167*OFFSET(ORÇAMENTO!$X$15,ROW(AE167)-ROW(AE$15),0),
              ROUND(ROUND(OFFSET($P167,0,AE$13),15-13*ORÇAMENTO!$AF$7)*OFFSET(ORÇAMENTO!$W$15,ROW(AE167)-ROW(AE$15),0),15-13*ORÇAMENTO!$AF$11)),
         0)</f>
        <v>0</v>
      </c>
      <c r="AF167" s="454">
        <f ca="1">IF(AND($D167="Serviço",AF$12&lt;&gt;0,$H167&gt;0,OR(AUTOEVENTO&lt;&gt;"manual",$M167&lt;&gt;$A$15)),
        IF(Import.TipoArredondamento&lt;&gt;"TransfereGOV",
              ROUND(OFFSET($P167,0,AF$13),15-13*ORÇAMENTO!$AF$7)/$H167*OFFSET(ORÇAMENTO!$X$15,ROW(AF167)-ROW(AF$15),0),
              ROUND(ROUND(OFFSET($P167,0,AF$13),15-13*ORÇAMENTO!$AF$7)*OFFSET(ORÇAMENTO!$W$15,ROW(AF167)-ROW(AF$15),0),15-13*ORÇAMENTO!$AF$11)),
         0)</f>
        <v>0</v>
      </c>
      <c r="AG167" s="454">
        <f ca="1">IF(AND($D167="Serviço",AG$12&lt;&gt;0,$H167&gt;0,OR(AUTOEVENTO&lt;&gt;"manual",$M167&lt;&gt;$A$15)),
        IF(Import.TipoArredondamento&lt;&gt;"TransfereGOV",
              ROUND(OFFSET($P167,0,AG$13),15-13*ORÇAMENTO!$AF$7)/$H167*OFFSET(ORÇAMENTO!$X$15,ROW(AG167)-ROW(AG$15),0),
              ROUND(ROUND(OFFSET($P167,0,AG$13),15-13*ORÇAMENTO!$AF$7)*OFFSET(ORÇAMENTO!$W$15,ROW(AG167)-ROW(AG$15),0),15-13*ORÇAMENTO!$AF$11)),
         0)</f>
        <v>0</v>
      </c>
      <c r="AH167" s="454">
        <f ca="1">IF(AND($D167="Serviço",AH$12&lt;&gt;0,$H167&gt;0,OR(AUTOEVENTO&lt;&gt;"manual",$M167&lt;&gt;$A$15)),
        IF(Import.TipoArredondamento&lt;&gt;"TransfereGOV",
              ROUND(OFFSET($P167,0,AH$13),15-13*ORÇAMENTO!$AF$7)/$H167*OFFSET(ORÇAMENTO!$X$15,ROW(AH167)-ROW(AH$15),0),
              ROUND(ROUND(OFFSET($P167,0,AH$13),15-13*ORÇAMENTO!$AF$7)*OFFSET(ORÇAMENTO!$W$15,ROW(AH167)-ROW(AH$15),0),15-13*ORÇAMENTO!$AF$11)),
         0)</f>
        <v>0</v>
      </c>
      <c r="AI167" s="454">
        <f ca="1">IF(AND($D167="Serviço",AI$12&lt;&gt;0,$H167&gt;0,OR(AUTOEVENTO&lt;&gt;"manual",$M167&lt;&gt;$A$15)),
        IF(Import.TipoArredondamento&lt;&gt;"TransfereGOV",
              ROUND(OFFSET($P167,0,AI$13),15-13*ORÇAMENTO!$AF$7)/$H167*OFFSET(ORÇAMENTO!$X$15,ROW(AI167)-ROW(AI$15),0),
              ROUND(ROUND(OFFSET($P167,0,AI$13),15-13*ORÇAMENTO!$AF$7)*OFFSET(ORÇAMENTO!$W$15,ROW(AI167)-ROW(AI$15),0),15-13*ORÇAMENTO!$AF$11)),
         0)</f>
        <v>0</v>
      </c>
      <c r="AJ167" s="454">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0</v>
      </c>
      <c r="AK167" s="454">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0</v>
      </c>
      <c r="AM167" s="172">
        <f ca="1">IF(OR($D167&lt;&gt;"Serviço",AND(AUTOEVENTO="Manual",$M167=$A$15)),0,
         IF(OFFSET(CRONOPLE!$F$15,$M167-$A$15,AM$13)=0,10^12,OFFSET(CRONOPLE!$F$15,$M167-$A$15,AM$13)))</f>
        <v>1000000000000</v>
      </c>
      <c r="AN167" s="172">
        <f ca="1">IF(OR($D167&lt;&gt;"Serviço",AND(AUTOEVENTO="Manual",$M167=$A$15)),0,
         IF(OFFSET(CRONOPLE!$F$15,$M167-$A$15,AN$13)=0,10^12,OFFSET(CRONOPLE!$F$15,$M167-$A$15,AN$13)))</f>
        <v>1000000000000</v>
      </c>
      <c r="AO167" s="172">
        <f ca="1">IF(OR($D167&lt;&gt;"Serviço",AND(AUTOEVENTO="Manual",$M167=$A$15)),0,
         IF(OFFSET(CRONOPLE!$F$15,$M167-$A$15,AO$13)=0,10^12,OFFSET(CRONOPLE!$F$15,$M167-$A$15,AO$13)))</f>
        <v>1000000000000</v>
      </c>
      <c r="AP167" s="172">
        <f ca="1">IF(OR($D167&lt;&gt;"Serviço",AND(AUTOEVENTO="Manual",$M167=$A$15)),0,
         IF(OFFSET(CRONOPLE!$F$15,$M167-$A$15,AP$13)=0,10^12,OFFSET(CRONOPLE!$F$15,$M167-$A$15,AP$13)))</f>
        <v>1000000000000</v>
      </c>
      <c r="AQ167" s="172">
        <f ca="1">IF(OR($D167&lt;&gt;"Serviço",AND(AUTOEVENTO="Manual",$M167=$A$15)),0,
         IF(OFFSET(CRONOPLE!$F$15,$M167-$A$15,AQ$13)=0,10^12,OFFSET(CRONOPLE!$F$15,$M167-$A$15,AQ$13)))</f>
        <v>1000000000000</v>
      </c>
      <c r="AR167" s="172">
        <f ca="1">IF(OR($D167&lt;&gt;"Serviço",AND(AUTOEVENTO="Manual",$M167=$A$15)),0,
         IF(OFFSET(CRONOPLE!$F$15,$M167-$A$15,AR$13)=0,10^12,OFFSET(CRONOPLE!$F$15,$M167-$A$15,AR$13)))</f>
        <v>1000000000000</v>
      </c>
      <c r="AS167" s="172">
        <f ca="1">IF(OR($D167&lt;&gt;"Serviço",AND(AUTOEVENTO="Manual",$M167=$A$15)),0,
         IF(OFFSET(CRONOPLE!$F$15,$M167-$A$15,AS$13)=0,10^12,OFFSET(CRONOPLE!$F$15,$M167-$A$15,AS$13)))</f>
        <v>1000000000000</v>
      </c>
      <c r="AT167" s="172">
        <f ca="1">IF(OR($D167&lt;&gt;"Serviço",AND(AUTOEVENTO="Manual",$M167=$A$15)),0,
         IF(OFFSET(CRONOPLE!$F$15,$M167-$A$15,AT$13)=0,10^12,OFFSET(CRONOPLE!$F$15,$M167-$A$15,AT$13)))</f>
        <v>1000000000000</v>
      </c>
      <c r="AU167" s="172">
        <f ca="1">IF(OR($D167&lt;&gt;"Serviço",AND(AUTOEVENTO="Manual",$M167=$A$15)),0,
         IF(OFFSET(CRONOPLE!$F$15,$M167-$A$15,AU$13)=0,10^12,OFFSET(CRONOPLE!$F$15,$M167-$A$15,AU$13)))</f>
        <v>1000000000000</v>
      </c>
      <c r="AV167" s="172">
        <f ca="1">IF(OR($D167&lt;&gt;"Serviço",AND(AUTOEVENTO="Manual",$M167=$A$15)),0,
         IF(OFFSET(CRONOPLE!$F$15,$M167-$A$15,AV$13)=0,10^12,OFFSET(CRONOPLE!$F$15,$M167-$A$15,AV$13)))</f>
        <v>1000000000000</v>
      </c>
      <c r="AX167" s="173">
        <f ca="1">IF(OR($D167&lt;&gt;"Serviço",AND(AUTOEVENTO="Manual",$M167=$A$15),$M167&gt;(ROW(PLE.lastrow)-ROW(PLE.firstrow))),0,
           IF(OFFSET(PLE!$G$15,$M167-$A$15,AX$13)="",10^12,OFFSET(PLE!$G$15,$M167-$A$15,AX$13)))</f>
        <v>1000000000000</v>
      </c>
      <c r="AY167" s="173">
        <f ca="1">IF(OR($D167&lt;&gt;"Serviço",AND(AUTOEVENTO="Manual",$M167=$A$15),$M167&gt;(ROW(PLE.lastrow)-ROW(PLE.firstrow))),0,
           IF(OFFSET(PLE!$G$15,$M167-$A$15,AY$13)="",10^12,OFFSET(PLE!$G$15,$M167-$A$15,AY$13)))</f>
        <v>1000000000000</v>
      </c>
      <c r="AZ167" s="173">
        <f ca="1">IF(OR($D167&lt;&gt;"Serviço",AND(AUTOEVENTO="Manual",$M167=$A$15),$M167&gt;(ROW(PLE.lastrow)-ROW(PLE.firstrow))),0,
           IF(OFFSET(PLE!$G$15,$M167-$A$15,AZ$13)="",10^12,OFFSET(PLE!$G$15,$M167-$A$15,AZ$13)))</f>
        <v>1000000000000</v>
      </c>
      <c r="BA167" s="173">
        <f ca="1">IF(OR($D167&lt;&gt;"Serviço",AND(AUTOEVENTO="Manual",$M167=$A$15),$M167&gt;(ROW(PLE.lastrow)-ROW(PLE.firstrow))),0,
           IF(OFFSET(PLE!$G$15,$M167-$A$15,BA$13)="",10^12,OFFSET(PLE!$G$15,$M167-$A$15,BA$13)))</f>
        <v>1000000000000</v>
      </c>
      <c r="BB167" s="173">
        <f ca="1">IF(OR($D167&lt;&gt;"Serviço",AND(AUTOEVENTO="Manual",$M167=$A$15),$M167&gt;(ROW(PLE.lastrow)-ROW(PLE.firstrow))),0,
           IF(OFFSET(PLE!$G$15,$M167-$A$15,BB$13)="",10^12,OFFSET(PLE!$G$15,$M167-$A$15,BB$13)))</f>
        <v>1000000000000</v>
      </c>
      <c r="BC167" s="173">
        <f ca="1">IF(OR($D167&lt;&gt;"Serviço",AND(AUTOEVENTO="Manual",$M167=$A$15),$M167&gt;(ROW(PLE.lastrow)-ROW(PLE.firstrow))),0,
           IF(OFFSET(PLE!$G$15,$M167-$A$15,BC$13)="",10^12,OFFSET(PLE!$G$15,$M167-$A$15,BC$13)))</f>
        <v>1000000000000</v>
      </c>
      <c r="BD167" s="173">
        <f ca="1">IF(OR($D167&lt;&gt;"Serviço",AND(AUTOEVENTO="Manual",$M167=$A$15),$M167&gt;(ROW(PLE.lastrow)-ROW(PLE.firstrow))),0,
           IF(OFFSET(PLE!$G$15,$M167-$A$15,BD$13)="",10^12,OFFSET(PLE!$G$15,$M167-$A$15,BD$13)))</f>
        <v>1000000000000</v>
      </c>
      <c r="BE167" s="173">
        <f ca="1">IF(OR($D167&lt;&gt;"Serviço",AND(AUTOEVENTO="Manual",$M167=$A$15),$M167&gt;(ROW(PLE.lastrow)-ROW(PLE.firstrow))),0,
           IF(OFFSET(PLE!$G$15,$M167-$A$15,BE$13)="",10^12,OFFSET(PLE!$G$15,$M167-$A$15,BE$13)))</f>
        <v>1000000000000</v>
      </c>
      <c r="BF167" s="173">
        <f ca="1">IF(OR($D167&lt;&gt;"Serviço",AND(AUTOEVENTO="Manual",$M167=$A$15),$M167&gt;(ROW(PLE.lastrow)-ROW(PLE.firstrow))),0,
           IF(OFFSET(PLE!$G$15,$M167-$A$15,BF$13)="",10^12,OFFSET(PLE!$G$15,$M167-$A$15,BF$13)))</f>
        <v>1000000000000</v>
      </c>
      <c r="BG167" s="173">
        <f ca="1">IF(OR($D167&lt;&gt;"Serviço",AND(AUTOEVENTO="Manual",$M167=$A$15),$M167&gt;(ROW(PLE.lastrow)-ROW(PLE.firstrow))),0,
           IF(OFFSET(PLE!$G$15,$M167-$A$15,BG$13)="",10^12,OFFSET(PLE!$G$15,$M167-$A$15,BG$13)))</f>
        <v>1000000000000</v>
      </c>
    </row>
    <row r="168" spans="1:59" s="675" customFormat="1" ht="25.5" x14ac:dyDescent="0.2">
      <c r="A168" s="671" t="str">
        <f t="shared" ca="1" si="11"/>
        <v>149</v>
      </c>
      <c r="B168" s="671" t="str">
        <f ca="1">OFFSET(ORÇAMENTO!C$15,ROW(B168)-ROW(B$15),0)</f>
        <v>S</v>
      </c>
      <c r="C168" s="671" t="str">
        <f ca="1">OFFSET(ORÇAMENTO!L$15,ROW(C168)-ROW(C$15),0)</f>
        <v/>
      </c>
      <c r="D168" s="117" t="str">
        <f ca="1">OFFSET(ORÇAMENTO!N$15,ROW(D168)-ROW(D$15),0)</f>
        <v>Serviço</v>
      </c>
      <c r="E168" s="118" t="str">
        <f ca="1">OFFSET(ORÇAMENTO!O$15,ROW(E168)-ROW(E$15),0)</f>
        <v>-</v>
      </c>
      <c r="F168" s="164" t="str">
        <f ca="1">OFFSET(ORÇAMENTO!R$15,ROW(F168)-ROW(F$15),0)</f>
        <v>(abra o arquivo 'Referência 09-2025.xlsm)</v>
      </c>
      <c r="G168" s="165" t="str">
        <f ca="1">IF($D168&lt;&gt;"Serviço","",OFFSET(ORÇAMENTO!S$15,ROW(G168)-ROW(G$15),0))</f>
        <v>-</v>
      </c>
      <c r="H168" s="123">
        <f ca="1">IF($D168&lt;&gt;"Serviço",0,IF(ACOMPANHAMENTO="BM",ROUND(OFFSET(ORÇAMENTO!AJ$15,ROW(H168)-ROW(H$15),0),15-13*ORÇAMENTO!$AF$7),SUMPRODUCT(($Q$1:$AA$1=1)*ROUND($Q168:$AA168,15-13*ORÇAMENTO!$AF$7))))</f>
        <v>3.6</v>
      </c>
      <c r="I168" s="469" t="s">
        <v>1116</v>
      </c>
      <c r="J168" s="667" t="str">
        <f ca="1">IF(OR(B168&lt;&gt;"S",CÁLCULO.FrentesPreenchidas=0),"",IF(AND(ACOMPANHAMENTO="PLE",AUTOEVENTO="Manual",OR(H168&gt;0,ORÇAMENTO!AC168="QUANT."),OR(K168="",M168=0,N168="")),"►",IF(AND(ACOMPANHAMENTO="PLE",ORÇAMENTO!AC168="QUANT."),"►►",IF(AND(COUNTIF($P$11:$AA$11,"▼")=0,H168&gt;0,I168=""),"◄",""))))</f>
        <v/>
      </c>
      <c r="K168" s="668"/>
      <c r="L168" s="166" t="s">
        <v>765</v>
      </c>
      <c r="M168" s="167">
        <f ca="1">IF($D168&lt;&gt;"Serviço","",
          IF(AUTOEVENTO="manual",$A168,
                IF(ISERROR(MATCH($A168,$A$15:OFFSET($A168,-1,0),0)),MAX($M$15:OFFSET(M168,-1,0))+1,
                      INDEX($M$15:OFFSET(M168,-1,0),MATCH($A168,$A$15:OFFSET($A168,-1,0),0)))))</f>
        <v>17</v>
      </c>
      <c r="N168" s="168" t="str">
        <f ca="1">IF($D168&lt;&gt;"Serviço","",
         IF(AUTOEVENTO="Manual",
                IF($A168=0,"&lt;-- defina o número do agrupador",
                       OFFSET(EVENTOS!$D$15,$A168-$A$15,0)),
                OFFSET($F$15,$A168,0)))</f>
        <v>SERVIÇOS PRELIMINARES</v>
      </c>
      <c r="O168" s="169"/>
      <c r="Q168" s="169"/>
      <c r="R168" s="170"/>
      <c r="S168" s="170"/>
      <c r="T168" s="170"/>
      <c r="U168" s="170"/>
      <c r="V168" s="170"/>
      <c r="W168" s="170"/>
      <c r="X168" s="170"/>
      <c r="Y168" s="170"/>
      <c r="Z168" s="171"/>
      <c r="AB168" s="454">
        <f ca="1">IF(AND($D168="Serviço",AB$12&lt;&gt;0,$H168&gt;0,OR(AUTOEVENTO&lt;&gt;"manual",$M168&lt;&gt;$A$15)),
        IF(Import.TipoArredondamento&lt;&gt;"TransfereGOV",
              ROUND(OFFSET($P168,0,AB$13),15-13*ORÇAMENTO!$AF$7)/$H168*OFFSET(ORÇAMENTO!$X$15,ROW(AB168)-ROW(AB$15),0),
              ROUND(ROUND(OFFSET($P168,0,AB$13),15-13*ORÇAMENTO!$AF$7)*OFFSET(ORÇAMENTO!$W$15,ROW(AB168)-ROW(AB$15),0),15-13*ORÇAMENTO!$AF$11)),
         0)</f>
        <v>0</v>
      </c>
      <c r="AC168" s="454">
        <f ca="1">IF(AND($D168="Serviço",AC$12&lt;&gt;0,$H168&gt;0,OR(AUTOEVENTO&lt;&gt;"manual",$M168&lt;&gt;$A$15)),
        IF(Import.TipoArredondamento&lt;&gt;"TransfereGOV",
              ROUND(OFFSET($P168,0,AC$13),15-13*ORÇAMENTO!$AF$7)/$H168*OFFSET(ORÇAMENTO!$X$15,ROW(AC168)-ROW(AC$15),0),
              ROUND(ROUND(OFFSET($P168,0,AC$13),15-13*ORÇAMENTO!$AF$7)*OFFSET(ORÇAMENTO!$W$15,ROW(AC168)-ROW(AC$15),0),15-13*ORÇAMENTO!$AF$11)),
         0)</f>
        <v>0</v>
      </c>
      <c r="AD168" s="454">
        <f ca="1">IF(AND($D168="Serviço",AD$12&lt;&gt;0,$H168&gt;0,OR(AUTOEVENTO&lt;&gt;"manual",$M168&lt;&gt;$A$15)),
        IF(Import.TipoArredondamento&lt;&gt;"TransfereGOV",
              ROUND(OFFSET($P168,0,AD$13),15-13*ORÇAMENTO!$AF$7)/$H168*OFFSET(ORÇAMENTO!$X$15,ROW(AD168)-ROW(AD$15),0),
              ROUND(ROUND(OFFSET($P168,0,AD$13),15-13*ORÇAMENTO!$AF$7)*OFFSET(ORÇAMENTO!$W$15,ROW(AD168)-ROW(AD$15),0),15-13*ORÇAMENTO!$AF$11)),
         0)</f>
        <v>0</v>
      </c>
      <c r="AE168" s="454">
        <f ca="1">IF(AND($D168="Serviço",AE$12&lt;&gt;0,$H168&gt;0,OR(AUTOEVENTO&lt;&gt;"manual",$M168&lt;&gt;$A$15)),
        IF(Import.TipoArredondamento&lt;&gt;"TransfereGOV",
              ROUND(OFFSET($P168,0,AE$13),15-13*ORÇAMENTO!$AF$7)/$H168*OFFSET(ORÇAMENTO!$X$15,ROW(AE168)-ROW(AE$15),0),
              ROUND(ROUND(OFFSET($P168,0,AE$13),15-13*ORÇAMENTO!$AF$7)*OFFSET(ORÇAMENTO!$W$15,ROW(AE168)-ROW(AE$15),0),15-13*ORÇAMENTO!$AF$11)),
         0)</f>
        <v>0</v>
      </c>
      <c r="AF168" s="454">
        <f ca="1">IF(AND($D168="Serviço",AF$12&lt;&gt;0,$H168&gt;0,OR(AUTOEVENTO&lt;&gt;"manual",$M168&lt;&gt;$A$15)),
        IF(Import.TipoArredondamento&lt;&gt;"TransfereGOV",
              ROUND(OFFSET($P168,0,AF$13),15-13*ORÇAMENTO!$AF$7)/$H168*OFFSET(ORÇAMENTO!$X$15,ROW(AF168)-ROW(AF$15),0),
              ROUND(ROUND(OFFSET($P168,0,AF$13),15-13*ORÇAMENTO!$AF$7)*OFFSET(ORÇAMENTO!$W$15,ROW(AF168)-ROW(AF$15),0),15-13*ORÇAMENTO!$AF$11)),
         0)</f>
        <v>0</v>
      </c>
      <c r="AG168" s="454">
        <f ca="1">IF(AND($D168="Serviço",AG$12&lt;&gt;0,$H168&gt;0,OR(AUTOEVENTO&lt;&gt;"manual",$M168&lt;&gt;$A$15)),
        IF(Import.TipoArredondamento&lt;&gt;"TransfereGOV",
              ROUND(OFFSET($P168,0,AG$13),15-13*ORÇAMENTO!$AF$7)/$H168*OFFSET(ORÇAMENTO!$X$15,ROW(AG168)-ROW(AG$15),0),
              ROUND(ROUND(OFFSET($P168,0,AG$13),15-13*ORÇAMENTO!$AF$7)*OFFSET(ORÇAMENTO!$W$15,ROW(AG168)-ROW(AG$15),0),15-13*ORÇAMENTO!$AF$11)),
         0)</f>
        <v>0</v>
      </c>
      <c r="AH168" s="454">
        <f ca="1">IF(AND($D168="Serviço",AH$12&lt;&gt;0,$H168&gt;0,OR(AUTOEVENTO&lt;&gt;"manual",$M168&lt;&gt;$A$15)),
        IF(Import.TipoArredondamento&lt;&gt;"TransfereGOV",
              ROUND(OFFSET($P168,0,AH$13),15-13*ORÇAMENTO!$AF$7)/$H168*OFFSET(ORÇAMENTO!$X$15,ROW(AH168)-ROW(AH$15),0),
              ROUND(ROUND(OFFSET($P168,0,AH$13),15-13*ORÇAMENTO!$AF$7)*OFFSET(ORÇAMENTO!$W$15,ROW(AH168)-ROW(AH$15),0),15-13*ORÇAMENTO!$AF$11)),
         0)</f>
        <v>0</v>
      </c>
      <c r="AI168" s="454">
        <f ca="1">IF(AND($D168="Serviço",AI$12&lt;&gt;0,$H168&gt;0,OR(AUTOEVENTO&lt;&gt;"manual",$M168&lt;&gt;$A$15)),
        IF(Import.TipoArredondamento&lt;&gt;"TransfereGOV",
              ROUND(OFFSET($P168,0,AI$13),15-13*ORÇAMENTO!$AF$7)/$H168*OFFSET(ORÇAMENTO!$X$15,ROW(AI168)-ROW(AI$15),0),
              ROUND(ROUND(OFFSET($P168,0,AI$13),15-13*ORÇAMENTO!$AF$7)*OFFSET(ORÇAMENTO!$W$15,ROW(AI168)-ROW(AI$15),0),15-13*ORÇAMENTO!$AF$11)),
         0)</f>
        <v>0</v>
      </c>
      <c r="AJ168" s="454">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0</v>
      </c>
      <c r="AK168" s="454">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0</v>
      </c>
      <c r="AM168" s="172">
        <f ca="1">IF(OR($D168&lt;&gt;"Serviço",AND(AUTOEVENTO="Manual",$M168=$A$15)),0,
         IF(OFFSET(CRONOPLE!$F$15,$M168-$A$15,AM$13)=0,10^12,OFFSET(CRONOPLE!$F$15,$M168-$A$15,AM$13)))</f>
        <v>1000000000000</v>
      </c>
      <c r="AN168" s="172">
        <f ca="1">IF(OR($D168&lt;&gt;"Serviço",AND(AUTOEVENTO="Manual",$M168=$A$15)),0,
         IF(OFFSET(CRONOPLE!$F$15,$M168-$A$15,AN$13)=0,10^12,OFFSET(CRONOPLE!$F$15,$M168-$A$15,AN$13)))</f>
        <v>1000000000000</v>
      </c>
      <c r="AO168" s="172">
        <f ca="1">IF(OR($D168&lt;&gt;"Serviço",AND(AUTOEVENTO="Manual",$M168=$A$15)),0,
         IF(OFFSET(CRONOPLE!$F$15,$M168-$A$15,AO$13)=0,10^12,OFFSET(CRONOPLE!$F$15,$M168-$A$15,AO$13)))</f>
        <v>1000000000000</v>
      </c>
      <c r="AP168" s="172">
        <f ca="1">IF(OR($D168&lt;&gt;"Serviço",AND(AUTOEVENTO="Manual",$M168=$A$15)),0,
         IF(OFFSET(CRONOPLE!$F$15,$M168-$A$15,AP$13)=0,10^12,OFFSET(CRONOPLE!$F$15,$M168-$A$15,AP$13)))</f>
        <v>1000000000000</v>
      </c>
      <c r="AQ168" s="172">
        <f ca="1">IF(OR($D168&lt;&gt;"Serviço",AND(AUTOEVENTO="Manual",$M168=$A$15)),0,
         IF(OFFSET(CRONOPLE!$F$15,$M168-$A$15,AQ$13)=0,10^12,OFFSET(CRONOPLE!$F$15,$M168-$A$15,AQ$13)))</f>
        <v>1000000000000</v>
      </c>
      <c r="AR168" s="172">
        <f ca="1">IF(OR($D168&lt;&gt;"Serviço",AND(AUTOEVENTO="Manual",$M168=$A$15)),0,
         IF(OFFSET(CRONOPLE!$F$15,$M168-$A$15,AR$13)=0,10^12,OFFSET(CRONOPLE!$F$15,$M168-$A$15,AR$13)))</f>
        <v>1000000000000</v>
      </c>
      <c r="AS168" s="172">
        <f ca="1">IF(OR($D168&lt;&gt;"Serviço",AND(AUTOEVENTO="Manual",$M168=$A$15)),0,
         IF(OFFSET(CRONOPLE!$F$15,$M168-$A$15,AS$13)=0,10^12,OFFSET(CRONOPLE!$F$15,$M168-$A$15,AS$13)))</f>
        <v>1000000000000</v>
      </c>
      <c r="AT168" s="172">
        <f ca="1">IF(OR($D168&lt;&gt;"Serviço",AND(AUTOEVENTO="Manual",$M168=$A$15)),0,
         IF(OFFSET(CRONOPLE!$F$15,$M168-$A$15,AT$13)=0,10^12,OFFSET(CRONOPLE!$F$15,$M168-$A$15,AT$13)))</f>
        <v>1000000000000</v>
      </c>
      <c r="AU168" s="172">
        <f ca="1">IF(OR($D168&lt;&gt;"Serviço",AND(AUTOEVENTO="Manual",$M168=$A$15)),0,
         IF(OFFSET(CRONOPLE!$F$15,$M168-$A$15,AU$13)=0,10^12,OFFSET(CRONOPLE!$F$15,$M168-$A$15,AU$13)))</f>
        <v>1000000000000</v>
      </c>
      <c r="AV168" s="172">
        <f ca="1">IF(OR($D168&lt;&gt;"Serviço",AND(AUTOEVENTO="Manual",$M168=$A$15)),0,
         IF(OFFSET(CRONOPLE!$F$15,$M168-$A$15,AV$13)=0,10^12,OFFSET(CRONOPLE!$F$15,$M168-$A$15,AV$13)))</f>
        <v>1000000000000</v>
      </c>
      <c r="AX168" s="173">
        <f ca="1">IF(OR($D168&lt;&gt;"Serviço",AND(AUTOEVENTO="Manual",$M168=$A$15),$M168&gt;(ROW(PLE.lastrow)-ROW(PLE.firstrow))),0,
           IF(OFFSET(PLE!$G$15,$M168-$A$15,AX$13)="",10^12,OFFSET(PLE!$G$15,$M168-$A$15,AX$13)))</f>
        <v>1000000000000</v>
      </c>
      <c r="AY168" s="173">
        <f ca="1">IF(OR($D168&lt;&gt;"Serviço",AND(AUTOEVENTO="Manual",$M168=$A$15),$M168&gt;(ROW(PLE.lastrow)-ROW(PLE.firstrow))),0,
           IF(OFFSET(PLE!$G$15,$M168-$A$15,AY$13)="",10^12,OFFSET(PLE!$G$15,$M168-$A$15,AY$13)))</f>
        <v>1000000000000</v>
      </c>
      <c r="AZ168" s="173">
        <f ca="1">IF(OR($D168&lt;&gt;"Serviço",AND(AUTOEVENTO="Manual",$M168=$A$15),$M168&gt;(ROW(PLE.lastrow)-ROW(PLE.firstrow))),0,
           IF(OFFSET(PLE!$G$15,$M168-$A$15,AZ$13)="",10^12,OFFSET(PLE!$G$15,$M168-$A$15,AZ$13)))</f>
        <v>1000000000000</v>
      </c>
      <c r="BA168" s="173">
        <f ca="1">IF(OR($D168&lt;&gt;"Serviço",AND(AUTOEVENTO="Manual",$M168=$A$15),$M168&gt;(ROW(PLE.lastrow)-ROW(PLE.firstrow))),0,
           IF(OFFSET(PLE!$G$15,$M168-$A$15,BA$13)="",10^12,OFFSET(PLE!$G$15,$M168-$A$15,BA$13)))</f>
        <v>1000000000000</v>
      </c>
      <c r="BB168" s="173">
        <f ca="1">IF(OR($D168&lt;&gt;"Serviço",AND(AUTOEVENTO="Manual",$M168=$A$15),$M168&gt;(ROW(PLE.lastrow)-ROW(PLE.firstrow))),0,
           IF(OFFSET(PLE!$G$15,$M168-$A$15,BB$13)="",10^12,OFFSET(PLE!$G$15,$M168-$A$15,BB$13)))</f>
        <v>1000000000000</v>
      </c>
      <c r="BC168" s="173">
        <f ca="1">IF(OR($D168&lt;&gt;"Serviço",AND(AUTOEVENTO="Manual",$M168=$A$15),$M168&gt;(ROW(PLE.lastrow)-ROW(PLE.firstrow))),0,
           IF(OFFSET(PLE!$G$15,$M168-$A$15,BC$13)="",10^12,OFFSET(PLE!$G$15,$M168-$A$15,BC$13)))</f>
        <v>1000000000000</v>
      </c>
      <c r="BD168" s="173">
        <f ca="1">IF(OR($D168&lt;&gt;"Serviço",AND(AUTOEVENTO="Manual",$M168=$A$15),$M168&gt;(ROW(PLE.lastrow)-ROW(PLE.firstrow))),0,
           IF(OFFSET(PLE!$G$15,$M168-$A$15,BD$13)="",10^12,OFFSET(PLE!$G$15,$M168-$A$15,BD$13)))</f>
        <v>1000000000000</v>
      </c>
      <c r="BE168" s="173">
        <f ca="1">IF(OR($D168&lt;&gt;"Serviço",AND(AUTOEVENTO="Manual",$M168=$A$15),$M168&gt;(ROW(PLE.lastrow)-ROW(PLE.firstrow))),0,
           IF(OFFSET(PLE!$G$15,$M168-$A$15,BE$13)="",10^12,OFFSET(PLE!$G$15,$M168-$A$15,BE$13)))</f>
        <v>1000000000000</v>
      </c>
      <c r="BF168" s="173">
        <f ca="1">IF(OR($D168&lt;&gt;"Serviço",AND(AUTOEVENTO="Manual",$M168=$A$15),$M168&gt;(ROW(PLE.lastrow)-ROW(PLE.firstrow))),0,
           IF(OFFSET(PLE!$G$15,$M168-$A$15,BF$13)="",10^12,OFFSET(PLE!$G$15,$M168-$A$15,BF$13)))</f>
        <v>1000000000000</v>
      </c>
      <c r="BG168" s="173">
        <f ca="1">IF(OR($D168&lt;&gt;"Serviço",AND(AUTOEVENTO="Manual",$M168=$A$15),$M168&gt;(ROW(PLE.lastrow)-ROW(PLE.firstrow))),0,
           IF(OFFSET(PLE!$G$15,$M168-$A$15,BG$13)="",10^12,OFFSET(PLE!$G$15,$M168-$A$15,BG$13)))</f>
        <v>1000000000000</v>
      </c>
    </row>
    <row r="169" spans="1:59" s="675" customFormat="1" ht="38.25" x14ac:dyDescent="0.2">
      <c r="A169" s="671" t="str">
        <f t="shared" ca="1" si="11"/>
        <v>149</v>
      </c>
      <c r="B169" s="671" t="str">
        <f ca="1">OFFSET(ORÇAMENTO!C$15,ROW(B169)-ROW(B$15),0)</f>
        <v>S</v>
      </c>
      <c r="C169" s="671" t="str">
        <f ca="1">OFFSET(ORÇAMENTO!L$15,ROW(C169)-ROW(C$15),0)</f>
        <v/>
      </c>
      <c r="D169" s="117" t="str">
        <f ca="1">OFFSET(ORÇAMENTO!N$15,ROW(D169)-ROW(D$15),0)</f>
        <v>Serviço</v>
      </c>
      <c r="E169" s="118" t="str">
        <f ca="1">OFFSET(ORÇAMENTO!O$15,ROW(E169)-ROW(E$15),0)</f>
        <v>-</v>
      </c>
      <c r="F169" s="164" t="str">
        <f ca="1">OFFSET(ORÇAMENTO!R$15,ROW(F169)-ROW(F$15),0)</f>
        <v>(abra o arquivo 'Referência 09-2025.xlsm)</v>
      </c>
      <c r="G169" s="165" t="str">
        <f ca="1">IF($D169&lt;&gt;"Serviço","",OFFSET(ORÇAMENTO!S$15,ROW(G169)-ROW(G$15),0))</f>
        <v>-</v>
      </c>
      <c r="H169" s="123">
        <f ca="1">IF($D169&lt;&gt;"Serviço",0,IF(ACOMPANHAMENTO="BM",ROUND(OFFSET(ORÇAMENTO!AJ$15,ROW(H169)-ROW(H$15),0),15-13*ORÇAMENTO!$AF$7),SUMPRODUCT(($Q$1:$AA$1=1)*ROUND($Q169:$AA169,15-13*ORÇAMENTO!$AF$7))))</f>
        <v>105</v>
      </c>
      <c r="I169" s="469" t="s">
        <v>1119</v>
      </c>
      <c r="J169" s="667" t="str">
        <f ca="1">IF(OR(B169&lt;&gt;"S",CÁLCULO.FrentesPreenchidas=0),"",IF(AND(ACOMPANHAMENTO="PLE",AUTOEVENTO="Manual",OR(H169&gt;0,ORÇAMENTO!AC169="QUANT."),OR(K169="",M169=0,N169="")),"►",IF(AND(ACOMPANHAMENTO="PLE",ORÇAMENTO!AC169="QUANT."),"►►",IF(AND(COUNTIF($P$11:$AA$11,"▼")=0,H169&gt;0,I169=""),"◄",""))))</f>
        <v/>
      </c>
      <c r="K169" s="668"/>
      <c r="L169" s="166" t="s">
        <v>765</v>
      </c>
      <c r="M169" s="167">
        <f ca="1">IF($D169&lt;&gt;"Serviço","",
          IF(AUTOEVENTO="manual",$A169,
                IF(ISERROR(MATCH($A169,$A$15:OFFSET($A169,-1,0),0)),MAX($M$15:OFFSET(M169,-1,0))+1,
                      INDEX($M$15:OFFSET(M169,-1,0),MATCH($A169,$A$15:OFFSET($A169,-1,0),0)))))</f>
        <v>17</v>
      </c>
      <c r="N169" s="168" t="str">
        <f ca="1">IF($D169&lt;&gt;"Serviço","",
         IF(AUTOEVENTO="Manual",
                IF($A169=0,"&lt;-- defina o número do agrupador",
                       OFFSET(EVENTOS!$D$15,$A169-$A$15,0)),
                OFFSET($F$15,$A169,0)))</f>
        <v>SERVIÇOS PRELIMINARES</v>
      </c>
      <c r="O169" s="169"/>
      <c r="Q169" s="169"/>
      <c r="R169" s="170"/>
      <c r="S169" s="170"/>
      <c r="T169" s="170"/>
      <c r="U169" s="170"/>
      <c r="V169" s="170"/>
      <c r="W169" s="170"/>
      <c r="X169" s="170"/>
      <c r="Y169" s="170"/>
      <c r="Z169" s="171"/>
      <c r="AB169" s="454">
        <f ca="1">IF(AND($D169="Serviço",AB$12&lt;&gt;0,$H169&gt;0,OR(AUTOEVENTO&lt;&gt;"manual",$M169&lt;&gt;$A$15)),
        IF(Import.TipoArredondamento&lt;&gt;"TransfereGOV",
              ROUND(OFFSET($P169,0,AB$13),15-13*ORÇAMENTO!$AF$7)/$H169*OFFSET(ORÇAMENTO!$X$15,ROW(AB169)-ROW(AB$15),0),
              ROUND(ROUND(OFFSET($P169,0,AB$13),15-13*ORÇAMENTO!$AF$7)*OFFSET(ORÇAMENTO!$W$15,ROW(AB169)-ROW(AB$15),0),15-13*ORÇAMENTO!$AF$11)),
         0)</f>
        <v>0</v>
      </c>
      <c r="AC169" s="454">
        <f ca="1">IF(AND($D169="Serviço",AC$12&lt;&gt;0,$H169&gt;0,OR(AUTOEVENTO&lt;&gt;"manual",$M169&lt;&gt;$A$15)),
        IF(Import.TipoArredondamento&lt;&gt;"TransfereGOV",
              ROUND(OFFSET($P169,0,AC$13),15-13*ORÇAMENTO!$AF$7)/$H169*OFFSET(ORÇAMENTO!$X$15,ROW(AC169)-ROW(AC$15),0),
              ROUND(ROUND(OFFSET($P169,0,AC$13),15-13*ORÇAMENTO!$AF$7)*OFFSET(ORÇAMENTO!$W$15,ROW(AC169)-ROW(AC$15),0),15-13*ORÇAMENTO!$AF$11)),
         0)</f>
        <v>0</v>
      </c>
      <c r="AD169" s="454">
        <f ca="1">IF(AND($D169="Serviço",AD$12&lt;&gt;0,$H169&gt;0,OR(AUTOEVENTO&lt;&gt;"manual",$M169&lt;&gt;$A$15)),
        IF(Import.TipoArredondamento&lt;&gt;"TransfereGOV",
              ROUND(OFFSET($P169,0,AD$13),15-13*ORÇAMENTO!$AF$7)/$H169*OFFSET(ORÇAMENTO!$X$15,ROW(AD169)-ROW(AD$15),0),
              ROUND(ROUND(OFFSET($P169,0,AD$13),15-13*ORÇAMENTO!$AF$7)*OFFSET(ORÇAMENTO!$W$15,ROW(AD169)-ROW(AD$15),0),15-13*ORÇAMENTO!$AF$11)),
         0)</f>
        <v>0</v>
      </c>
      <c r="AE169" s="454">
        <f ca="1">IF(AND($D169="Serviço",AE$12&lt;&gt;0,$H169&gt;0,OR(AUTOEVENTO&lt;&gt;"manual",$M169&lt;&gt;$A$15)),
        IF(Import.TipoArredondamento&lt;&gt;"TransfereGOV",
              ROUND(OFFSET($P169,0,AE$13),15-13*ORÇAMENTO!$AF$7)/$H169*OFFSET(ORÇAMENTO!$X$15,ROW(AE169)-ROW(AE$15),0),
              ROUND(ROUND(OFFSET($P169,0,AE$13),15-13*ORÇAMENTO!$AF$7)*OFFSET(ORÇAMENTO!$W$15,ROW(AE169)-ROW(AE$15),0),15-13*ORÇAMENTO!$AF$11)),
         0)</f>
        <v>0</v>
      </c>
      <c r="AF169" s="454">
        <f ca="1">IF(AND($D169="Serviço",AF$12&lt;&gt;0,$H169&gt;0,OR(AUTOEVENTO&lt;&gt;"manual",$M169&lt;&gt;$A$15)),
        IF(Import.TipoArredondamento&lt;&gt;"TransfereGOV",
              ROUND(OFFSET($P169,0,AF$13),15-13*ORÇAMENTO!$AF$7)/$H169*OFFSET(ORÇAMENTO!$X$15,ROW(AF169)-ROW(AF$15),0),
              ROUND(ROUND(OFFSET($P169,0,AF$13),15-13*ORÇAMENTO!$AF$7)*OFFSET(ORÇAMENTO!$W$15,ROW(AF169)-ROW(AF$15),0),15-13*ORÇAMENTO!$AF$11)),
         0)</f>
        <v>0</v>
      </c>
      <c r="AG169" s="454">
        <f ca="1">IF(AND($D169="Serviço",AG$12&lt;&gt;0,$H169&gt;0,OR(AUTOEVENTO&lt;&gt;"manual",$M169&lt;&gt;$A$15)),
        IF(Import.TipoArredondamento&lt;&gt;"TransfereGOV",
              ROUND(OFFSET($P169,0,AG$13),15-13*ORÇAMENTO!$AF$7)/$H169*OFFSET(ORÇAMENTO!$X$15,ROW(AG169)-ROW(AG$15),0),
              ROUND(ROUND(OFFSET($P169,0,AG$13),15-13*ORÇAMENTO!$AF$7)*OFFSET(ORÇAMENTO!$W$15,ROW(AG169)-ROW(AG$15),0),15-13*ORÇAMENTO!$AF$11)),
         0)</f>
        <v>0</v>
      </c>
      <c r="AH169" s="454">
        <f ca="1">IF(AND($D169="Serviço",AH$12&lt;&gt;0,$H169&gt;0,OR(AUTOEVENTO&lt;&gt;"manual",$M169&lt;&gt;$A$15)),
        IF(Import.TipoArredondamento&lt;&gt;"TransfereGOV",
              ROUND(OFFSET($P169,0,AH$13),15-13*ORÇAMENTO!$AF$7)/$H169*OFFSET(ORÇAMENTO!$X$15,ROW(AH169)-ROW(AH$15),0),
              ROUND(ROUND(OFFSET($P169,0,AH$13),15-13*ORÇAMENTO!$AF$7)*OFFSET(ORÇAMENTO!$W$15,ROW(AH169)-ROW(AH$15),0),15-13*ORÇAMENTO!$AF$11)),
         0)</f>
        <v>0</v>
      </c>
      <c r="AI169" s="454">
        <f ca="1">IF(AND($D169="Serviço",AI$12&lt;&gt;0,$H169&gt;0,OR(AUTOEVENTO&lt;&gt;"manual",$M169&lt;&gt;$A$15)),
        IF(Import.TipoArredondamento&lt;&gt;"TransfereGOV",
              ROUND(OFFSET($P169,0,AI$13),15-13*ORÇAMENTO!$AF$7)/$H169*OFFSET(ORÇAMENTO!$X$15,ROW(AI169)-ROW(AI$15),0),
              ROUND(ROUND(OFFSET($P169,0,AI$13),15-13*ORÇAMENTO!$AF$7)*OFFSET(ORÇAMENTO!$W$15,ROW(AI169)-ROW(AI$15),0),15-13*ORÇAMENTO!$AF$11)),
         0)</f>
        <v>0</v>
      </c>
      <c r="AJ169" s="454">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4">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M169" s="172">
        <f ca="1">IF(OR($D169&lt;&gt;"Serviço",AND(AUTOEVENTO="Manual",$M169=$A$15)),0,
         IF(OFFSET(CRONOPLE!$F$15,$M169-$A$15,AM$13)=0,10^12,OFFSET(CRONOPLE!$F$15,$M169-$A$15,AM$13)))</f>
        <v>1000000000000</v>
      </c>
      <c r="AN169" s="172">
        <f ca="1">IF(OR($D169&lt;&gt;"Serviço",AND(AUTOEVENTO="Manual",$M169=$A$15)),0,
         IF(OFFSET(CRONOPLE!$F$15,$M169-$A$15,AN$13)=0,10^12,OFFSET(CRONOPLE!$F$15,$M169-$A$15,AN$13)))</f>
        <v>1000000000000</v>
      </c>
      <c r="AO169" s="172">
        <f ca="1">IF(OR($D169&lt;&gt;"Serviço",AND(AUTOEVENTO="Manual",$M169=$A$15)),0,
         IF(OFFSET(CRONOPLE!$F$15,$M169-$A$15,AO$13)=0,10^12,OFFSET(CRONOPLE!$F$15,$M169-$A$15,AO$13)))</f>
        <v>1000000000000</v>
      </c>
      <c r="AP169" s="172">
        <f ca="1">IF(OR($D169&lt;&gt;"Serviço",AND(AUTOEVENTO="Manual",$M169=$A$15)),0,
         IF(OFFSET(CRONOPLE!$F$15,$M169-$A$15,AP$13)=0,10^12,OFFSET(CRONOPLE!$F$15,$M169-$A$15,AP$13)))</f>
        <v>1000000000000</v>
      </c>
      <c r="AQ169" s="172">
        <f ca="1">IF(OR($D169&lt;&gt;"Serviço",AND(AUTOEVENTO="Manual",$M169=$A$15)),0,
         IF(OFFSET(CRONOPLE!$F$15,$M169-$A$15,AQ$13)=0,10^12,OFFSET(CRONOPLE!$F$15,$M169-$A$15,AQ$13)))</f>
        <v>1000000000000</v>
      </c>
      <c r="AR169" s="172">
        <f ca="1">IF(OR($D169&lt;&gt;"Serviço",AND(AUTOEVENTO="Manual",$M169=$A$15)),0,
         IF(OFFSET(CRONOPLE!$F$15,$M169-$A$15,AR$13)=0,10^12,OFFSET(CRONOPLE!$F$15,$M169-$A$15,AR$13)))</f>
        <v>1000000000000</v>
      </c>
      <c r="AS169" s="172">
        <f ca="1">IF(OR($D169&lt;&gt;"Serviço",AND(AUTOEVENTO="Manual",$M169=$A$15)),0,
         IF(OFFSET(CRONOPLE!$F$15,$M169-$A$15,AS$13)=0,10^12,OFFSET(CRONOPLE!$F$15,$M169-$A$15,AS$13)))</f>
        <v>1000000000000</v>
      </c>
      <c r="AT169" s="172">
        <f ca="1">IF(OR($D169&lt;&gt;"Serviço",AND(AUTOEVENTO="Manual",$M169=$A$15)),0,
         IF(OFFSET(CRONOPLE!$F$15,$M169-$A$15,AT$13)=0,10^12,OFFSET(CRONOPLE!$F$15,$M169-$A$15,AT$13)))</f>
        <v>1000000000000</v>
      </c>
      <c r="AU169" s="172">
        <f ca="1">IF(OR($D169&lt;&gt;"Serviço",AND(AUTOEVENTO="Manual",$M169=$A$15)),0,
         IF(OFFSET(CRONOPLE!$F$15,$M169-$A$15,AU$13)=0,10^12,OFFSET(CRONOPLE!$F$15,$M169-$A$15,AU$13)))</f>
        <v>1000000000000</v>
      </c>
      <c r="AV169" s="172">
        <f ca="1">IF(OR($D169&lt;&gt;"Serviço",AND(AUTOEVENTO="Manual",$M169=$A$15)),0,
         IF(OFFSET(CRONOPLE!$F$15,$M169-$A$15,AV$13)=0,10^12,OFFSET(CRONOPLE!$F$15,$M169-$A$15,AV$13)))</f>
        <v>1000000000000</v>
      </c>
      <c r="AX169" s="173">
        <f ca="1">IF(OR($D169&lt;&gt;"Serviço",AND(AUTOEVENTO="Manual",$M169=$A$15),$M169&gt;(ROW(PLE.lastrow)-ROW(PLE.firstrow))),0,
           IF(OFFSET(PLE!$G$15,$M169-$A$15,AX$13)="",10^12,OFFSET(PLE!$G$15,$M169-$A$15,AX$13)))</f>
        <v>1000000000000</v>
      </c>
      <c r="AY169" s="173">
        <f ca="1">IF(OR($D169&lt;&gt;"Serviço",AND(AUTOEVENTO="Manual",$M169=$A$15),$M169&gt;(ROW(PLE.lastrow)-ROW(PLE.firstrow))),0,
           IF(OFFSET(PLE!$G$15,$M169-$A$15,AY$13)="",10^12,OFFSET(PLE!$G$15,$M169-$A$15,AY$13)))</f>
        <v>1000000000000</v>
      </c>
      <c r="AZ169" s="173">
        <f ca="1">IF(OR($D169&lt;&gt;"Serviço",AND(AUTOEVENTO="Manual",$M169=$A$15),$M169&gt;(ROW(PLE.lastrow)-ROW(PLE.firstrow))),0,
           IF(OFFSET(PLE!$G$15,$M169-$A$15,AZ$13)="",10^12,OFFSET(PLE!$G$15,$M169-$A$15,AZ$13)))</f>
        <v>1000000000000</v>
      </c>
      <c r="BA169" s="173">
        <f ca="1">IF(OR($D169&lt;&gt;"Serviço",AND(AUTOEVENTO="Manual",$M169=$A$15),$M169&gt;(ROW(PLE.lastrow)-ROW(PLE.firstrow))),0,
           IF(OFFSET(PLE!$G$15,$M169-$A$15,BA$13)="",10^12,OFFSET(PLE!$G$15,$M169-$A$15,BA$13)))</f>
        <v>1000000000000</v>
      </c>
      <c r="BB169" s="173">
        <f ca="1">IF(OR($D169&lt;&gt;"Serviço",AND(AUTOEVENTO="Manual",$M169=$A$15),$M169&gt;(ROW(PLE.lastrow)-ROW(PLE.firstrow))),0,
           IF(OFFSET(PLE!$G$15,$M169-$A$15,BB$13)="",10^12,OFFSET(PLE!$G$15,$M169-$A$15,BB$13)))</f>
        <v>1000000000000</v>
      </c>
      <c r="BC169" s="173">
        <f ca="1">IF(OR($D169&lt;&gt;"Serviço",AND(AUTOEVENTO="Manual",$M169=$A$15),$M169&gt;(ROW(PLE.lastrow)-ROW(PLE.firstrow))),0,
           IF(OFFSET(PLE!$G$15,$M169-$A$15,BC$13)="",10^12,OFFSET(PLE!$G$15,$M169-$A$15,BC$13)))</f>
        <v>1000000000000</v>
      </c>
      <c r="BD169" s="173">
        <f ca="1">IF(OR($D169&lt;&gt;"Serviço",AND(AUTOEVENTO="Manual",$M169=$A$15),$M169&gt;(ROW(PLE.lastrow)-ROW(PLE.firstrow))),0,
           IF(OFFSET(PLE!$G$15,$M169-$A$15,BD$13)="",10^12,OFFSET(PLE!$G$15,$M169-$A$15,BD$13)))</f>
        <v>1000000000000</v>
      </c>
      <c r="BE169" s="173">
        <f ca="1">IF(OR($D169&lt;&gt;"Serviço",AND(AUTOEVENTO="Manual",$M169=$A$15),$M169&gt;(ROW(PLE.lastrow)-ROW(PLE.firstrow))),0,
           IF(OFFSET(PLE!$G$15,$M169-$A$15,BE$13)="",10^12,OFFSET(PLE!$G$15,$M169-$A$15,BE$13)))</f>
        <v>1000000000000</v>
      </c>
      <c r="BF169" s="173">
        <f ca="1">IF(OR($D169&lt;&gt;"Serviço",AND(AUTOEVENTO="Manual",$M169=$A$15),$M169&gt;(ROW(PLE.lastrow)-ROW(PLE.firstrow))),0,
           IF(OFFSET(PLE!$G$15,$M169-$A$15,BF$13)="",10^12,OFFSET(PLE!$G$15,$M169-$A$15,BF$13)))</f>
        <v>1000000000000</v>
      </c>
      <c r="BG169" s="173">
        <f ca="1">IF(OR($D169&lt;&gt;"Serviço",AND(AUTOEVENTO="Manual",$M169=$A$15),$M169&gt;(ROW(PLE.lastrow)-ROW(PLE.firstrow))),0,
           IF(OFFSET(PLE!$G$15,$M169-$A$15,BG$13)="",10^12,OFFSET(PLE!$G$15,$M169-$A$15,BG$13)))</f>
        <v>1000000000000</v>
      </c>
    </row>
    <row r="170" spans="1:59" s="675" customFormat="1" ht="38.25" x14ac:dyDescent="0.2">
      <c r="A170" s="671" t="str">
        <f t="shared" ca="1" si="11"/>
        <v>149</v>
      </c>
      <c r="B170" s="671" t="str">
        <f ca="1">OFFSET(ORÇAMENTO!C$15,ROW(B170)-ROW(B$15),0)</f>
        <v>S</v>
      </c>
      <c r="C170" s="671" t="str">
        <f ca="1">OFFSET(ORÇAMENTO!L$15,ROW(C170)-ROW(C$15),0)</f>
        <v/>
      </c>
      <c r="D170" s="117" t="str">
        <f ca="1">OFFSET(ORÇAMENTO!N$15,ROW(D170)-ROW(D$15),0)</f>
        <v>Serviço</v>
      </c>
      <c r="E170" s="118" t="str">
        <f ca="1">OFFSET(ORÇAMENTO!O$15,ROW(E170)-ROW(E$15),0)</f>
        <v>-</v>
      </c>
      <c r="F170" s="164" t="str">
        <f ca="1">OFFSET(ORÇAMENTO!R$15,ROW(F170)-ROW(F$15),0)</f>
        <v>(abra o arquivo 'Referência 09-2025.xlsm)</v>
      </c>
      <c r="G170" s="165" t="str">
        <f ca="1">IF($D170&lt;&gt;"Serviço","",OFFSET(ORÇAMENTO!S$15,ROW(G170)-ROW(G$15),0))</f>
        <v>-</v>
      </c>
      <c r="H170" s="123">
        <f ca="1">IF($D170&lt;&gt;"Serviço",0,IF(ACOMPANHAMENTO="BM",ROUND(OFFSET(ORÇAMENTO!AJ$15,ROW(H170)-ROW(H$15),0),15-13*ORÇAMENTO!$AF$7),SUMPRODUCT(($Q$1:$AA$1=1)*ROUND($Q170:$AA170,15-13*ORÇAMENTO!$AF$7))))</f>
        <v>72.5</v>
      </c>
      <c r="I170" s="469" t="s">
        <v>1120</v>
      </c>
      <c r="J170" s="667" t="str">
        <f ca="1">IF(OR(B170&lt;&gt;"S",CÁLCULO.FrentesPreenchidas=0),"",IF(AND(ACOMPANHAMENTO="PLE",AUTOEVENTO="Manual",OR(H170&gt;0,ORÇAMENTO!AC170="QUANT."),OR(K170="",M170=0,N170="")),"►",IF(AND(ACOMPANHAMENTO="PLE",ORÇAMENTO!AC170="QUANT."),"►►",IF(AND(COUNTIF($P$11:$AA$11,"▼")=0,H170&gt;0,I170=""),"◄",""))))</f>
        <v/>
      </c>
      <c r="K170" s="668"/>
      <c r="L170" s="166" t="s">
        <v>765</v>
      </c>
      <c r="M170" s="167">
        <f ca="1">IF($D170&lt;&gt;"Serviço","",
          IF(AUTOEVENTO="manual",$A170,
                IF(ISERROR(MATCH($A170,$A$15:OFFSET($A170,-1,0),0)),MAX($M$15:OFFSET(M170,-1,0))+1,
                      INDEX($M$15:OFFSET(M170,-1,0),MATCH($A170,$A$15:OFFSET($A170,-1,0),0)))))</f>
        <v>17</v>
      </c>
      <c r="N170" s="168" t="str">
        <f ca="1">IF($D170&lt;&gt;"Serviço","",
         IF(AUTOEVENTO="Manual",
                IF($A170=0,"&lt;-- defina o número do agrupador",
                       OFFSET(EVENTOS!$D$15,$A170-$A$15,0)),
                OFFSET($F$15,$A170,0)))</f>
        <v>SERVIÇOS PRELIMINARES</v>
      </c>
      <c r="O170" s="169"/>
      <c r="Q170" s="169"/>
      <c r="R170" s="170"/>
      <c r="S170" s="170"/>
      <c r="T170" s="170"/>
      <c r="U170" s="170"/>
      <c r="V170" s="170"/>
      <c r="W170" s="170"/>
      <c r="X170" s="170"/>
      <c r="Y170" s="170"/>
      <c r="Z170" s="171"/>
      <c r="AB170" s="454">
        <f ca="1">IF(AND($D170="Serviço",AB$12&lt;&gt;0,$H170&gt;0,OR(AUTOEVENTO&lt;&gt;"manual",$M170&lt;&gt;$A$15)),
        IF(Import.TipoArredondamento&lt;&gt;"TransfereGOV",
              ROUND(OFFSET($P170,0,AB$13),15-13*ORÇAMENTO!$AF$7)/$H170*OFFSET(ORÇAMENTO!$X$15,ROW(AB170)-ROW(AB$15),0),
              ROUND(ROUND(OFFSET($P170,0,AB$13),15-13*ORÇAMENTO!$AF$7)*OFFSET(ORÇAMENTO!$W$15,ROW(AB170)-ROW(AB$15),0),15-13*ORÇAMENTO!$AF$11)),
         0)</f>
        <v>0</v>
      </c>
      <c r="AC170" s="454">
        <f ca="1">IF(AND($D170="Serviço",AC$12&lt;&gt;0,$H170&gt;0,OR(AUTOEVENTO&lt;&gt;"manual",$M170&lt;&gt;$A$15)),
        IF(Import.TipoArredondamento&lt;&gt;"TransfereGOV",
              ROUND(OFFSET($P170,0,AC$13),15-13*ORÇAMENTO!$AF$7)/$H170*OFFSET(ORÇAMENTO!$X$15,ROW(AC170)-ROW(AC$15),0),
              ROUND(ROUND(OFFSET($P170,0,AC$13),15-13*ORÇAMENTO!$AF$7)*OFFSET(ORÇAMENTO!$W$15,ROW(AC170)-ROW(AC$15),0),15-13*ORÇAMENTO!$AF$11)),
         0)</f>
        <v>0</v>
      </c>
      <c r="AD170" s="454">
        <f ca="1">IF(AND($D170="Serviço",AD$12&lt;&gt;0,$H170&gt;0,OR(AUTOEVENTO&lt;&gt;"manual",$M170&lt;&gt;$A$15)),
        IF(Import.TipoArredondamento&lt;&gt;"TransfereGOV",
              ROUND(OFFSET($P170,0,AD$13),15-13*ORÇAMENTO!$AF$7)/$H170*OFFSET(ORÇAMENTO!$X$15,ROW(AD170)-ROW(AD$15),0),
              ROUND(ROUND(OFFSET($P170,0,AD$13),15-13*ORÇAMENTO!$AF$7)*OFFSET(ORÇAMENTO!$W$15,ROW(AD170)-ROW(AD$15),0),15-13*ORÇAMENTO!$AF$11)),
         0)</f>
        <v>0</v>
      </c>
      <c r="AE170" s="454">
        <f ca="1">IF(AND($D170="Serviço",AE$12&lt;&gt;0,$H170&gt;0,OR(AUTOEVENTO&lt;&gt;"manual",$M170&lt;&gt;$A$15)),
        IF(Import.TipoArredondamento&lt;&gt;"TransfereGOV",
              ROUND(OFFSET($P170,0,AE$13),15-13*ORÇAMENTO!$AF$7)/$H170*OFFSET(ORÇAMENTO!$X$15,ROW(AE170)-ROW(AE$15),0),
              ROUND(ROUND(OFFSET($P170,0,AE$13),15-13*ORÇAMENTO!$AF$7)*OFFSET(ORÇAMENTO!$W$15,ROW(AE170)-ROW(AE$15),0),15-13*ORÇAMENTO!$AF$11)),
         0)</f>
        <v>0</v>
      </c>
      <c r="AF170" s="454">
        <f ca="1">IF(AND($D170="Serviço",AF$12&lt;&gt;0,$H170&gt;0,OR(AUTOEVENTO&lt;&gt;"manual",$M170&lt;&gt;$A$15)),
        IF(Import.TipoArredondamento&lt;&gt;"TransfereGOV",
              ROUND(OFFSET($P170,0,AF$13),15-13*ORÇAMENTO!$AF$7)/$H170*OFFSET(ORÇAMENTO!$X$15,ROW(AF170)-ROW(AF$15),0),
              ROUND(ROUND(OFFSET($P170,0,AF$13),15-13*ORÇAMENTO!$AF$7)*OFFSET(ORÇAMENTO!$W$15,ROW(AF170)-ROW(AF$15),0),15-13*ORÇAMENTO!$AF$11)),
         0)</f>
        <v>0</v>
      </c>
      <c r="AG170" s="454">
        <f ca="1">IF(AND($D170="Serviço",AG$12&lt;&gt;0,$H170&gt;0,OR(AUTOEVENTO&lt;&gt;"manual",$M170&lt;&gt;$A$15)),
        IF(Import.TipoArredondamento&lt;&gt;"TransfereGOV",
              ROUND(OFFSET($P170,0,AG$13),15-13*ORÇAMENTO!$AF$7)/$H170*OFFSET(ORÇAMENTO!$X$15,ROW(AG170)-ROW(AG$15),0),
              ROUND(ROUND(OFFSET($P170,0,AG$13),15-13*ORÇAMENTO!$AF$7)*OFFSET(ORÇAMENTO!$W$15,ROW(AG170)-ROW(AG$15),0),15-13*ORÇAMENTO!$AF$11)),
         0)</f>
        <v>0</v>
      </c>
      <c r="AH170" s="454">
        <f ca="1">IF(AND($D170="Serviço",AH$12&lt;&gt;0,$H170&gt;0,OR(AUTOEVENTO&lt;&gt;"manual",$M170&lt;&gt;$A$15)),
        IF(Import.TipoArredondamento&lt;&gt;"TransfereGOV",
              ROUND(OFFSET($P170,0,AH$13),15-13*ORÇAMENTO!$AF$7)/$H170*OFFSET(ORÇAMENTO!$X$15,ROW(AH170)-ROW(AH$15),0),
              ROUND(ROUND(OFFSET($P170,0,AH$13),15-13*ORÇAMENTO!$AF$7)*OFFSET(ORÇAMENTO!$W$15,ROW(AH170)-ROW(AH$15),0),15-13*ORÇAMENTO!$AF$11)),
         0)</f>
        <v>0</v>
      </c>
      <c r="AI170" s="454">
        <f ca="1">IF(AND($D170="Serviço",AI$12&lt;&gt;0,$H170&gt;0,OR(AUTOEVENTO&lt;&gt;"manual",$M170&lt;&gt;$A$15)),
        IF(Import.TipoArredondamento&lt;&gt;"TransfereGOV",
              ROUND(OFFSET($P170,0,AI$13),15-13*ORÇAMENTO!$AF$7)/$H170*OFFSET(ORÇAMENTO!$X$15,ROW(AI170)-ROW(AI$15),0),
              ROUND(ROUND(OFFSET($P170,0,AI$13),15-13*ORÇAMENTO!$AF$7)*OFFSET(ORÇAMENTO!$W$15,ROW(AI170)-ROW(AI$15),0),15-13*ORÇAMENTO!$AF$11)),
         0)</f>
        <v>0</v>
      </c>
      <c r="AJ170" s="454">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0</v>
      </c>
      <c r="AK170" s="454">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0</v>
      </c>
      <c r="AM170" s="172">
        <f ca="1">IF(OR($D170&lt;&gt;"Serviço",AND(AUTOEVENTO="Manual",$M170=$A$15)),0,
         IF(OFFSET(CRONOPLE!$F$15,$M170-$A$15,AM$13)=0,10^12,OFFSET(CRONOPLE!$F$15,$M170-$A$15,AM$13)))</f>
        <v>1000000000000</v>
      </c>
      <c r="AN170" s="172">
        <f ca="1">IF(OR($D170&lt;&gt;"Serviço",AND(AUTOEVENTO="Manual",$M170=$A$15)),0,
         IF(OFFSET(CRONOPLE!$F$15,$M170-$A$15,AN$13)=0,10^12,OFFSET(CRONOPLE!$F$15,$M170-$A$15,AN$13)))</f>
        <v>1000000000000</v>
      </c>
      <c r="AO170" s="172">
        <f ca="1">IF(OR($D170&lt;&gt;"Serviço",AND(AUTOEVENTO="Manual",$M170=$A$15)),0,
         IF(OFFSET(CRONOPLE!$F$15,$M170-$A$15,AO$13)=0,10^12,OFFSET(CRONOPLE!$F$15,$M170-$A$15,AO$13)))</f>
        <v>1000000000000</v>
      </c>
      <c r="AP170" s="172">
        <f ca="1">IF(OR($D170&lt;&gt;"Serviço",AND(AUTOEVENTO="Manual",$M170=$A$15)),0,
         IF(OFFSET(CRONOPLE!$F$15,$M170-$A$15,AP$13)=0,10^12,OFFSET(CRONOPLE!$F$15,$M170-$A$15,AP$13)))</f>
        <v>1000000000000</v>
      </c>
      <c r="AQ170" s="172">
        <f ca="1">IF(OR($D170&lt;&gt;"Serviço",AND(AUTOEVENTO="Manual",$M170=$A$15)),0,
         IF(OFFSET(CRONOPLE!$F$15,$M170-$A$15,AQ$13)=0,10^12,OFFSET(CRONOPLE!$F$15,$M170-$A$15,AQ$13)))</f>
        <v>1000000000000</v>
      </c>
      <c r="AR170" s="172">
        <f ca="1">IF(OR($D170&lt;&gt;"Serviço",AND(AUTOEVENTO="Manual",$M170=$A$15)),0,
         IF(OFFSET(CRONOPLE!$F$15,$M170-$A$15,AR$13)=0,10^12,OFFSET(CRONOPLE!$F$15,$M170-$A$15,AR$13)))</f>
        <v>1000000000000</v>
      </c>
      <c r="AS170" s="172">
        <f ca="1">IF(OR($D170&lt;&gt;"Serviço",AND(AUTOEVENTO="Manual",$M170=$A$15)),0,
         IF(OFFSET(CRONOPLE!$F$15,$M170-$A$15,AS$13)=0,10^12,OFFSET(CRONOPLE!$F$15,$M170-$A$15,AS$13)))</f>
        <v>1000000000000</v>
      </c>
      <c r="AT170" s="172">
        <f ca="1">IF(OR($D170&lt;&gt;"Serviço",AND(AUTOEVENTO="Manual",$M170=$A$15)),0,
         IF(OFFSET(CRONOPLE!$F$15,$M170-$A$15,AT$13)=0,10^12,OFFSET(CRONOPLE!$F$15,$M170-$A$15,AT$13)))</f>
        <v>1000000000000</v>
      </c>
      <c r="AU170" s="172">
        <f ca="1">IF(OR($D170&lt;&gt;"Serviço",AND(AUTOEVENTO="Manual",$M170=$A$15)),0,
         IF(OFFSET(CRONOPLE!$F$15,$M170-$A$15,AU$13)=0,10^12,OFFSET(CRONOPLE!$F$15,$M170-$A$15,AU$13)))</f>
        <v>1000000000000</v>
      </c>
      <c r="AV170" s="172">
        <f ca="1">IF(OR($D170&lt;&gt;"Serviço",AND(AUTOEVENTO="Manual",$M170=$A$15)),0,
         IF(OFFSET(CRONOPLE!$F$15,$M170-$A$15,AV$13)=0,10^12,OFFSET(CRONOPLE!$F$15,$M170-$A$15,AV$13)))</f>
        <v>1000000000000</v>
      </c>
      <c r="AX170" s="173">
        <f ca="1">IF(OR($D170&lt;&gt;"Serviço",AND(AUTOEVENTO="Manual",$M170=$A$15),$M170&gt;(ROW(PLE.lastrow)-ROW(PLE.firstrow))),0,
           IF(OFFSET(PLE!$G$15,$M170-$A$15,AX$13)="",10^12,OFFSET(PLE!$G$15,$M170-$A$15,AX$13)))</f>
        <v>1000000000000</v>
      </c>
      <c r="AY170" s="173">
        <f ca="1">IF(OR($D170&lt;&gt;"Serviço",AND(AUTOEVENTO="Manual",$M170=$A$15),$M170&gt;(ROW(PLE.lastrow)-ROW(PLE.firstrow))),0,
           IF(OFFSET(PLE!$G$15,$M170-$A$15,AY$13)="",10^12,OFFSET(PLE!$G$15,$M170-$A$15,AY$13)))</f>
        <v>1000000000000</v>
      </c>
      <c r="AZ170" s="173">
        <f ca="1">IF(OR($D170&lt;&gt;"Serviço",AND(AUTOEVENTO="Manual",$M170=$A$15),$M170&gt;(ROW(PLE.lastrow)-ROW(PLE.firstrow))),0,
           IF(OFFSET(PLE!$G$15,$M170-$A$15,AZ$13)="",10^12,OFFSET(PLE!$G$15,$M170-$A$15,AZ$13)))</f>
        <v>1000000000000</v>
      </c>
      <c r="BA170" s="173">
        <f ca="1">IF(OR($D170&lt;&gt;"Serviço",AND(AUTOEVENTO="Manual",$M170=$A$15),$M170&gt;(ROW(PLE.lastrow)-ROW(PLE.firstrow))),0,
           IF(OFFSET(PLE!$G$15,$M170-$A$15,BA$13)="",10^12,OFFSET(PLE!$G$15,$M170-$A$15,BA$13)))</f>
        <v>1000000000000</v>
      </c>
      <c r="BB170" s="173">
        <f ca="1">IF(OR($D170&lt;&gt;"Serviço",AND(AUTOEVENTO="Manual",$M170=$A$15),$M170&gt;(ROW(PLE.lastrow)-ROW(PLE.firstrow))),0,
           IF(OFFSET(PLE!$G$15,$M170-$A$15,BB$13)="",10^12,OFFSET(PLE!$G$15,$M170-$A$15,BB$13)))</f>
        <v>1000000000000</v>
      </c>
      <c r="BC170" s="173">
        <f ca="1">IF(OR($D170&lt;&gt;"Serviço",AND(AUTOEVENTO="Manual",$M170=$A$15),$M170&gt;(ROW(PLE.lastrow)-ROW(PLE.firstrow))),0,
           IF(OFFSET(PLE!$G$15,$M170-$A$15,BC$13)="",10^12,OFFSET(PLE!$G$15,$M170-$A$15,BC$13)))</f>
        <v>1000000000000</v>
      </c>
      <c r="BD170" s="173">
        <f ca="1">IF(OR($D170&lt;&gt;"Serviço",AND(AUTOEVENTO="Manual",$M170=$A$15),$M170&gt;(ROW(PLE.lastrow)-ROW(PLE.firstrow))),0,
           IF(OFFSET(PLE!$G$15,$M170-$A$15,BD$13)="",10^12,OFFSET(PLE!$G$15,$M170-$A$15,BD$13)))</f>
        <v>1000000000000</v>
      </c>
      <c r="BE170" s="173">
        <f ca="1">IF(OR($D170&lt;&gt;"Serviço",AND(AUTOEVENTO="Manual",$M170=$A$15),$M170&gt;(ROW(PLE.lastrow)-ROW(PLE.firstrow))),0,
           IF(OFFSET(PLE!$G$15,$M170-$A$15,BE$13)="",10^12,OFFSET(PLE!$G$15,$M170-$A$15,BE$13)))</f>
        <v>1000000000000</v>
      </c>
      <c r="BF170" s="173">
        <f ca="1">IF(OR($D170&lt;&gt;"Serviço",AND(AUTOEVENTO="Manual",$M170=$A$15),$M170&gt;(ROW(PLE.lastrow)-ROW(PLE.firstrow))),0,
           IF(OFFSET(PLE!$G$15,$M170-$A$15,BF$13)="",10^12,OFFSET(PLE!$G$15,$M170-$A$15,BF$13)))</f>
        <v>1000000000000</v>
      </c>
      <c r="BG170" s="173">
        <f ca="1">IF(OR($D170&lt;&gt;"Serviço",AND(AUTOEVENTO="Manual",$M170=$A$15),$M170&gt;(ROW(PLE.lastrow)-ROW(PLE.firstrow))),0,
           IF(OFFSET(PLE!$G$15,$M170-$A$15,BG$13)="",10^12,OFFSET(PLE!$G$15,$M170-$A$15,BG$13)))</f>
        <v>1000000000000</v>
      </c>
    </row>
    <row r="171" spans="1:59" s="675" customFormat="1" ht="38.25" x14ac:dyDescent="0.2">
      <c r="A171" s="671" t="str">
        <f t="shared" ca="1" si="11"/>
        <v>149</v>
      </c>
      <c r="B171" s="671" t="str">
        <f ca="1">OFFSET(ORÇAMENTO!C$15,ROW(B171)-ROW(B$15),0)</f>
        <v>S</v>
      </c>
      <c r="C171" s="671" t="str">
        <f ca="1">OFFSET(ORÇAMENTO!L$15,ROW(C171)-ROW(C$15),0)</f>
        <v/>
      </c>
      <c r="D171" s="117" t="str">
        <f ca="1">OFFSET(ORÇAMENTO!N$15,ROW(D171)-ROW(D$15),0)</f>
        <v>Serviço</v>
      </c>
      <c r="E171" s="118" t="str">
        <f ca="1">OFFSET(ORÇAMENTO!O$15,ROW(E171)-ROW(E$15),0)</f>
        <v>-</v>
      </c>
      <c r="F171" s="164" t="str">
        <f ca="1">OFFSET(ORÇAMENTO!R$15,ROW(F171)-ROW(F$15),0)</f>
        <v>(abra o arquivo 'Referência 09-2025.xlsm)</v>
      </c>
      <c r="G171" s="165" t="str">
        <f ca="1">IF($D171&lt;&gt;"Serviço","",OFFSET(ORÇAMENTO!S$15,ROW(G171)-ROW(G$15),0))</f>
        <v>-</v>
      </c>
      <c r="H171" s="123">
        <f ca="1">IF($D171&lt;&gt;"Serviço",0,IF(ACOMPANHAMENTO="BM",ROUND(OFFSET(ORÇAMENTO!AJ$15,ROW(H171)-ROW(H$15),0),15-13*ORÇAMENTO!$AF$7),SUMPRODUCT(($Q$1:$AA$1=1)*ROUND($Q171:$AA171,15-13*ORÇAMENTO!$AF$7))))</f>
        <v>72.5</v>
      </c>
      <c r="I171" s="469" t="s">
        <v>1120</v>
      </c>
      <c r="J171" s="667" t="str">
        <f ca="1">IF(OR(B171&lt;&gt;"S",CÁLCULO.FrentesPreenchidas=0),"",IF(AND(ACOMPANHAMENTO="PLE",AUTOEVENTO="Manual",OR(H171&gt;0,ORÇAMENTO!AC171="QUANT."),OR(K171="",M171=0,N171="")),"►",IF(AND(ACOMPANHAMENTO="PLE",ORÇAMENTO!AC171="QUANT."),"►►",IF(AND(COUNTIF($P$11:$AA$11,"▼")=0,H171&gt;0,I171=""),"◄",""))))</f>
        <v/>
      </c>
      <c r="K171" s="668"/>
      <c r="L171" s="166" t="s">
        <v>765</v>
      </c>
      <c r="M171" s="167">
        <f ca="1">IF($D171&lt;&gt;"Serviço","",
          IF(AUTOEVENTO="manual",$A171,
                IF(ISERROR(MATCH($A171,$A$15:OFFSET($A171,-1,0),0)),MAX($M$15:OFFSET(M171,-1,0))+1,
                      INDEX($M$15:OFFSET(M171,-1,0),MATCH($A171,$A$15:OFFSET($A171,-1,0),0)))))</f>
        <v>17</v>
      </c>
      <c r="N171" s="168" t="str">
        <f ca="1">IF($D171&lt;&gt;"Serviço","",
         IF(AUTOEVENTO="Manual",
                IF($A171=0,"&lt;-- defina o número do agrupador",
                       OFFSET(EVENTOS!$D$15,$A171-$A$15,0)),
                OFFSET($F$15,$A171,0)))</f>
        <v>SERVIÇOS PRELIMINARES</v>
      </c>
      <c r="O171" s="169"/>
      <c r="Q171" s="169"/>
      <c r="R171" s="170"/>
      <c r="S171" s="170"/>
      <c r="T171" s="170"/>
      <c r="U171" s="170"/>
      <c r="V171" s="170"/>
      <c r="W171" s="170"/>
      <c r="X171" s="170"/>
      <c r="Y171" s="170"/>
      <c r="Z171" s="171"/>
      <c r="AB171" s="454">
        <f ca="1">IF(AND($D171="Serviço",AB$12&lt;&gt;0,$H171&gt;0,OR(AUTOEVENTO&lt;&gt;"manual",$M171&lt;&gt;$A$15)),
        IF(Import.TipoArredondamento&lt;&gt;"TransfereGOV",
              ROUND(OFFSET($P171,0,AB$13),15-13*ORÇAMENTO!$AF$7)/$H171*OFFSET(ORÇAMENTO!$X$15,ROW(AB171)-ROW(AB$15),0),
              ROUND(ROUND(OFFSET($P171,0,AB$13),15-13*ORÇAMENTO!$AF$7)*OFFSET(ORÇAMENTO!$W$15,ROW(AB171)-ROW(AB$15),0),15-13*ORÇAMENTO!$AF$11)),
         0)</f>
        <v>0</v>
      </c>
      <c r="AC171" s="454">
        <f ca="1">IF(AND($D171="Serviço",AC$12&lt;&gt;0,$H171&gt;0,OR(AUTOEVENTO&lt;&gt;"manual",$M171&lt;&gt;$A$15)),
        IF(Import.TipoArredondamento&lt;&gt;"TransfereGOV",
              ROUND(OFFSET($P171,0,AC$13),15-13*ORÇAMENTO!$AF$7)/$H171*OFFSET(ORÇAMENTO!$X$15,ROW(AC171)-ROW(AC$15),0),
              ROUND(ROUND(OFFSET($P171,0,AC$13),15-13*ORÇAMENTO!$AF$7)*OFFSET(ORÇAMENTO!$W$15,ROW(AC171)-ROW(AC$15),0),15-13*ORÇAMENTO!$AF$11)),
         0)</f>
        <v>0</v>
      </c>
      <c r="AD171" s="454">
        <f ca="1">IF(AND($D171="Serviço",AD$12&lt;&gt;0,$H171&gt;0,OR(AUTOEVENTO&lt;&gt;"manual",$M171&lt;&gt;$A$15)),
        IF(Import.TipoArredondamento&lt;&gt;"TransfereGOV",
              ROUND(OFFSET($P171,0,AD$13),15-13*ORÇAMENTO!$AF$7)/$H171*OFFSET(ORÇAMENTO!$X$15,ROW(AD171)-ROW(AD$15),0),
              ROUND(ROUND(OFFSET($P171,0,AD$13),15-13*ORÇAMENTO!$AF$7)*OFFSET(ORÇAMENTO!$W$15,ROW(AD171)-ROW(AD$15),0),15-13*ORÇAMENTO!$AF$11)),
         0)</f>
        <v>0</v>
      </c>
      <c r="AE171" s="454">
        <f ca="1">IF(AND($D171="Serviço",AE$12&lt;&gt;0,$H171&gt;0,OR(AUTOEVENTO&lt;&gt;"manual",$M171&lt;&gt;$A$15)),
        IF(Import.TipoArredondamento&lt;&gt;"TransfereGOV",
              ROUND(OFFSET($P171,0,AE$13),15-13*ORÇAMENTO!$AF$7)/$H171*OFFSET(ORÇAMENTO!$X$15,ROW(AE171)-ROW(AE$15),0),
              ROUND(ROUND(OFFSET($P171,0,AE$13),15-13*ORÇAMENTO!$AF$7)*OFFSET(ORÇAMENTO!$W$15,ROW(AE171)-ROW(AE$15),0),15-13*ORÇAMENTO!$AF$11)),
         0)</f>
        <v>0</v>
      </c>
      <c r="AF171" s="454">
        <f ca="1">IF(AND($D171="Serviço",AF$12&lt;&gt;0,$H171&gt;0,OR(AUTOEVENTO&lt;&gt;"manual",$M171&lt;&gt;$A$15)),
        IF(Import.TipoArredondamento&lt;&gt;"TransfereGOV",
              ROUND(OFFSET($P171,0,AF$13),15-13*ORÇAMENTO!$AF$7)/$H171*OFFSET(ORÇAMENTO!$X$15,ROW(AF171)-ROW(AF$15),0),
              ROUND(ROUND(OFFSET($P171,0,AF$13),15-13*ORÇAMENTO!$AF$7)*OFFSET(ORÇAMENTO!$W$15,ROW(AF171)-ROW(AF$15),0),15-13*ORÇAMENTO!$AF$11)),
         0)</f>
        <v>0</v>
      </c>
      <c r="AG171" s="454">
        <f ca="1">IF(AND($D171="Serviço",AG$12&lt;&gt;0,$H171&gt;0,OR(AUTOEVENTO&lt;&gt;"manual",$M171&lt;&gt;$A$15)),
        IF(Import.TipoArredondamento&lt;&gt;"TransfereGOV",
              ROUND(OFFSET($P171,0,AG$13),15-13*ORÇAMENTO!$AF$7)/$H171*OFFSET(ORÇAMENTO!$X$15,ROW(AG171)-ROW(AG$15),0),
              ROUND(ROUND(OFFSET($P171,0,AG$13),15-13*ORÇAMENTO!$AF$7)*OFFSET(ORÇAMENTO!$W$15,ROW(AG171)-ROW(AG$15),0),15-13*ORÇAMENTO!$AF$11)),
         0)</f>
        <v>0</v>
      </c>
      <c r="AH171" s="454">
        <f ca="1">IF(AND($D171="Serviço",AH$12&lt;&gt;0,$H171&gt;0,OR(AUTOEVENTO&lt;&gt;"manual",$M171&lt;&gt;$A$15)),
        IF(Import.TipoArredondamento&lt;&gt;"TransfereGOV",
              ROUND(OFFSET($P171,0,AH$13),15-13*ORÇAMENTO!$AF$7)/$H171*OFFSET(ORÇAMENTO!$X$15,ROW(AH171)-ROW(AH$15),0),
              ROUND(ROUND(OFFSET($P171,0,AH$13),15-13*ORÇAMENTO!$AF$7)*OFFSET(ORÇAMENTO!$W$15,ROW(AH171)-ROW(AH$15),0),15-13*ORÇAMENTO!$AF$11)),
         0)</f>
        <v>0</v>
      </c>
      <c r="AI171" s="454">
        <f ca="1">IF(AND($D171="Serviço",AI$12&lt;&gt;0,$H171&gt;0,OR(AUTOEVENTO&lt;&gt;"manual",$M171&lt;&gt;$A$15)),
        IF(Import.TipoArredondamento&lt;&gt;"TransfereGOV",
              ROUND(OFFSET($P171,0,AI$13),15-13*ORÇAMENTO!$AF$7)/$H171*OFFSET(ORÇAMENTO!$X$15,ROW(AI171)-ROW(AI$15),0),
              ROUND(ROUND(OFFSET($P171,0,AI$13),15-13*ORÇAMENTO!$AF$7)*OFFSET(ORÇAMENTO!$W$15,ROW(AI171)-ROW(AI$15),0),15-13*ORÇAMENTO!$AF$11)),
         0)</f>
        <v>0</v>
      </c>
      <c r="AJ171" s="454">
        <f ca="1">IF(AND($D171="Serviço",AJ$12&lt;&gt;0,$H171&gt;0,OR(AUTOEVENTO&lt;&gt;"manual",$M171&lt;&gt;$A$15)),
        IF(Import.TipoArredondamento&lt;&gt;"TransfereGOV",
              ROUND(OFFSET($P171,0,AJ$13),15-13*ORÇAMENTO!$AF$7)/$H171*OFFSET(ORÇAMENTO!$X$15,ROW(AJ171)-ROW(AJ$15),0),
              ROUND(ROUND(OFFSET($P171,0,AJ$13),15-13*ORÇAMENTO!$AF$7)*OFFSET(ORÇAMENTO!$W$15,ROW(AJ171)-ROW(AJ$15),0),15-13*ORÇAMENTO!$AF$11)),
         0)</f>
        <v>0</v>
      </c>
      <c r="AK171" s="454">
        <f ca="1">IF(AND($D171="Serviço",AK$12&lt;&gt;0,$H171&gt;0,OR(AUTOEVENTO&lt;&gt;"manual",$M171&lt;&gt;$A$15)),
        IF(Import.TipoArredondamento&lt;&gt;"TransfereGOV",
              ROUND(OFFSET($P171,0,AK$13),15-13*ORÇAMENTO!$AF$7)/$H171*OFFSET(ORÇAMENTO!$X$15,ROW(AK171)-ROW(AK$15),0),
              ROUND(ROUND(OFFSET($P171,0,AK$13),15-13*ORÇAMENTO!$AF$7)*OFFSET(ORÇAMENTO!$W$15,ROW(AK171)-ROW(AK$15),0),15-13*ORÇAMENTO!$AF$11)),
         0)</f>
        <v>0</v>
      </c>
      <c r="AM171" s="172">
        <f ca="1">IF(OR($D171&lt;&gt;"Serviço",AND(AUTOEVENTO="Manual",$M171=$A$15)),0,
         IF(OFFSET(CRONOPLE!$F$15,$M171-$A$15,AM$13)=0,10^12,OFFSET(CRONOPLE!$F$15,$M171-$A$15,AM$13)))</f>
        <v>1000000000000</v>
      </c>
      <c r="AN171" s="172">
        <f ca="1">IF(OR($D171&lt;&gt;"Serviço",AND(AUTOEVENTO="Manual",$M171=$A$15)),0,
         IF(OFFSET(CRONOPLE!$F$15,$M171-$A$15,AN$13)=0,10^12,OFFSET(CRONOPLE!$F$15,$M171-$A$15,AN$13)))</f>
        <v>1000000000000</v>
      </c>
      <c r="AO171" s="172">
        <f ca="1">IF(OR($D171&lt;&gt;"Serviço",AND(AUTOEVENTO="Manual",$M171=$A$15)),0,
         IF(OFFSET(CRONOPLE!$F$15,$M171-$A$15,AO$13)=0,10^12,OFFSET(CRONOPLE!$F$15,$M171-$A$15,AO$13)))</f>
        <v>1000000000000</v>
      </c>
      <c r="AP171" s="172">
        <f ca="1">IF(OR($D171&lt;&gt;"Serviço",AND(AUTOEVENTO="Manual",$M171=$A$15)),0,
         IF(OFFSET(CRONOPLE!$F$15,$M171-$A$15,AP$13)=0,10^12,OFFSET(CRONOPLE!$F$15,$M171-$A$15,AP$13)))</f>
        <v>1000000000000</v>
      </c>
      <c r="AQ171" s="172">
        <f ca="1">IF(OR($D171&lt;&gt;"Serviço",AND(AUTOEVENTO="Manual",$M171=$A$15)),0,
         IF(OFFSET(CRONOPLE!$F$15,$M171-$A$15,AQ$13)=0,10^12,OFFSET(CRONOPLE!$F$15,$M171-$A$15,AQ$13)))</f>
        <v>1000000000000</v>
      </c>
      <c r="AR171" s="172">
        <f ca="1">IF(OR($D171&lt;&gt;"Serviço",AND(AUTOEVENTO="Manual",$M171=$A$15)),0,
         IF(OFFSET(CRONOPLE!$F$15,$M171-$A$15,AR$13)=0,10^12,OFFSET(CRONOPLE!$F$15,$M171-$A$15,AR$13)))</f>
        <v>1000000000000</v>
      </c>
      <c r="AS171" s="172">
        <f ca="1">IF(OR($D171&lt;&gt;"Serviço",AND(AUTOEVENTO="Manual",$M171=$A$15)),0,
         IF(OFFSET(CRONOPLE!$F$15,$M171-$A$15,AS$13)=0,10^12,OFFSET(CRONOPLE!$F$15,$M171-$A$15,AS$13)))</f>
        <v>1000000000000</v>
      </c>
      <c r="AT171" s="172">
        <f ca="1">IF(OR($D171&lt;&gt;"Serviço",AND(AUTOEVENTO="Manual",$M171=$A$15)),0,
         IF(OFFSET(CRONOPLE!$F$15,$M171-$A$15,AT$13)=0,10^12,OFFSET(CRONOPLE!$F$15,$M171-$A$15,AT$13)))</f>
        <v>1000000000000</v>
      </c>
      <c r="AU171" s="172">
        <f ca="1">IF(OR($D171&lt;&gt;"Serviço",AND(AUTOEVENTO="Manual",$M171=$A$15)),0,
         IF(OFFSET(CRONOPLE!$F$15,$M171-$A$15,AU$13)=0,10^12,OFFSET(CRONOPLE!$F$15,$M171-$A$15,AU$13)))</f>
        <v>1000000000000</v>
      </c>
      <c r="AV171" s="172">
        <f ca="1">IF(OR($D171&lt;&gt;"Serviço",AND(AUTOEVENTO="Manual",$M171=$A$15)),0,
         IF(OFFSET(CRONOPLE!$F$15,$M171-$A$15,AV$13)=0,10^12,OFFSET(CRONOPLE!$F$15,$M171-$A$15,AV$13)))</f>
        <v>1000000000000</v>
      </c>
      <c r="AX171" s="173">
        <f ca="1">IF(OR($D171&lt;&gt;"Serviço",AND(AUTOEVENTO="Manual",$M171=$A$15),$M171&gt;(ROW(PLE.lastrow)-ROW(PLE.firstrow))),0,
           IF(OFFSET(PLE!$G$15,$M171-$A$15,AX$13)="",10^12,OFFSET(PLE!$G$15,$M171-$A$15,AX$13)))</f>
        <v>1000000000000</v>
      </c>
      <c r="AY171" s="173">
        <f ca="1">IF(OR($D171&lt;&gt;"Serviço",AND(AUTOEVENTO="Manual",$M171=$A$15),$M171&gt;(ROW(PLE.lastrow)-ROW(PLE.firstrow))),0,
           IF(OFFSET(PLE!$G$15,$M171-$A$15,AY$13)="",10^12,OFFSET(PLE!$G$15,$M171-$A$15,AY$13)))</f>
        <v>1000000000000</v>
      </c>
      <c r="AZ171" s="173">
        <f ca="1">IF(OR($D171&lt;&gt;"Serviço",AND(AUTOEVENTO="Manual",$M171=$A$15),$M171&gt;(ROW(PLE.lastrow)-ROW(PLE.firstrow))),0,
           IF(OFFSET(PLE!$G$15,$M171-$A$15,AZ$13)="",10^12,OFFSET(PLE!$G$15,$M171-$A$15,AZ$13)))</f>
        <v>1000000000000</v>
      </c>
      <c r="BA171" s="173">
        <f ca="1">IF(OR($D171&lt;&gt;"Serviço",AND(AUTOEVENTO="Manual",$M171=$A$15),$M171&gt;(ROW(PLE.lastrow)-ROW(PLE.firstrow))),0,
           IF(OFFSET(PLE!$G$15,$M171-$A$15,BA$13)="",10^12,OFFSET(PLE!$G$15,$M171-$A$15,BA$13)))</f>
        <v>1000000000000</v>
      </c>
      <c r="BB171" s="173">
        <f ca="1">IF(OR($D171&lt;&gt;"Serviço",AND(AUTOEVENTO="Manual",$M171=$A$15),$M171&gt;(ROW(PLE.lastrow)-ROW(PLE.firstrow))),0,
           IF(OFFSET(PLE!$G$15,$M171-$A$15,BB$13)="",10^12,OFFSET(PLE!$G$15,$M171-$A$15,BB$13)))</f>
        <v>1000000000000</v>
      </c>
      <c r="BC171" s="173">
        <f ca="1">IF(OR($D171&lt;&gt;"Serviço",AND(AUTOEVENTO="Manual",$M171=$A$15),$M171&gt;(ROW(PLE.lastrow)-ROW(PLE.firstrow))),0,
           IF(OFFSET(PLE!$G$15,$M171-$A$15,BC$13)="",10^12,OFFSET(PLE!$G$15,$M171-$A$15,BC$13)))</f>
        <v>1000000000000</v>
      </c>
      <c r="BD171" s="173">
        <f ca="1">IF(OR($D171&lt;&gt;"Serviço",AND(AUTOEVENTO="Manual",$M171=$A$15),$M171&gt;(ROW(PLE.lastrow)-ROW(PLE.firstrow))),0,
           IF(OFFSET(PLE!$G$15,$M171-$A$15,BD$13)="",10^12,OFFSET(PLE!$G$15,$M171-$A$15,BD$13)))</f>
        <v>1000000000000</v>
      </c>
      <c r="BE171" s="173">
        <f ca="1">IF(OR($D171&lt;&gt;"Serviço",AND(AUTOEVENTO="Manual",$M171=$A$15),$M171&gt;(ROW(PLE.lastrow)-ROW(PLE.firstrow))),0,
           IF(OFFSET(PLE!$G$15,$M171-$A$15,BE$13)="",10^12,OFFSET(PLE!$G$15,$M171-$A$15,BE$13)))</f>
        <v>1000000000000</v>
      </c>
      <c r="BF171" s="173">
        <f ca="1">IF(OR($D171&lt;&gt;"Serviço",AND(AUTOEVENTO="Manual",$M171=$A$15),$M171&gt;(ROW(PLE.lastrow)-ROW(PLE.firstrow))),0,
           IF(OFFSET(PLE!$G$15,$M171-$A$15,BF$13)="",10^12,OFFSET(PLE!$G$15,$M171-$A$15,BF$13)))</f>
        <v>1000000000000</v>
      </c>
      <c r="BG171" s="173">
        <f ca="1">IF(OR($D171&lt;&gt;"Serviço",AND(AUTOEVENTO="Manual",$M171=$A$15),$M171&gt;(ROW(PLE.lastrow)-ROW(PLE.firstrow))),0,
           IF(OFFSET(PLE!$G$15,$M171-$A$15,BG$13)="",10^12,OFFSET(PLE!$G$15,$M171-$A$15,BG$13)))</f>
        <v>1000000000000</v>
      </c>
    </row>
    <row r="172" spans="1:59" s="675" customFormat="1" ht="25.5" x14ac:dyDescent="0.2">
      <c r="A172" s="671" t="str">
        <f t="shared" ca="1" si="11"/>
        <v>149</v>
      </c>
      <c r="B172" s="671" t="str">
        <f ca="1">OFFSET(ORÇAMENTO!C$15,ROW(B172)-ROW(B$15),0)</f>
        <v>S</v>
      </c>
      <c r="C172" s="671" t="str">
        <f ca="1">OFFSET(ORÇAMENTO!L$15,ROW(C172)-ROW(C$15),0)</f>
        <v/>
      </c>
      <c r="D172" s="117" t="str">
        <f ca="1">OFFSET(ORÇAMENTO!N$15,ROW(D172)-ROW(D$15),0)</f>
        <v>Serviço</v>
      </c>
      <c r="E172" s="118" t="str">
        <f ca="1">OFFSET(ORÇAMENTO!O$15,ROW(E172)-ROW(E$15),0)</f>
        <v>-</v>
      </c>
      <c r="F172" s="164" t="str">
        <f ca="1">OFFSET(ORÇAMENTO!R$15,ROW(F172)-ROW(F$15),0)</f>
        <v>(abra o arquivo 'Referência 09-2025.xlsm)</v>
      </c>
      <c r="G172" s="165" t="str">
        <f ca="1">IF($D172&lt;&gt;"Serviço","",OFFSET(ORÇAMENTO!S$15,ROW(G172)-ROW(G$15),0))</f>
        <v>-</v>
      </c>
      <c r="H172" s="123">
        <f ca="1">IF($D172&lt;&gt;"Serviço",0,IF(ACOMPANHAMENTO="BM",ROUND(OFFSET(ORÇAMENTO!AJ$15,ROW(H172)-ROW(H$15),0),15-13*ORÇAMENTO!$AF$7),SUMPRODUCT(($Q$1:$AA$1=1)*ROUND($Q172:$AA172,15-13*ORÇAMENTO!$AF$7))))</f>
        <v>32</v>
      </c>
      <c r="I172" s="469" t="s">
        <v>1118</v>
      </c>
      <c r="J172" s="667" t="str">
        <f ca="1">IF(OR(B172&lt;&gt;"S",CÁLCULO.FrentesPreenchidas=0),"",IF(AND(ACOMPANHAMENTO="PLE",AUTOEVENTO="Manual",OR(H172&gt;0,ORÇAMENTO!AC172="QUANT."),OR(K172="",M172=0,N172="")),"►",IF(AND(ACOMPANHAMENTO="PLE",ORÇAMENTO!AC172="QUANT."),"►►",IF(AND(COUNTIF($P$11:$AA$11,"▼")=0,H172&gt;0,I172=""),"◄",""))))</f>
        <v/>
      </c>
      <c r="K172" s="668"/>
      <c r="L172" s="166" t="s">
        <v>765</v>
      </c>
      <c r="M172" s="167">
        <f ca="1">IF($D172&lt;&gt;"Serviço","",
          IF(AUTOEVENTO="manual",$A172,
                IF(ISERROR(MATCH($A172,$A$15:OFFSET($A172,-1,0),0)),MAX($M$15:OFFSET(M172,-1,0))+1,
                      INDEX($M$15:OFFSET(M172,-1,0),MATCH($A172,$A$15:OFFSET($A172,-1,0),0)))))</f>
        <v>17</v>
      </c>
      <c r="N172" s="168" t="str">
        <f ca="1">IF($D172&lt;&gt;"Serviço","",
         IF(AUTOEVENTO="Manual",
                IF($A172=0,"&lt;-- defina o número do agrupador",
                       OFFSET(EVENTOS!$D$15,$A172-$A$15,0)),
                OFFSET($F$15,$A172,0)))</f>
        <v>SERVIÇOS PRELIMINARES</v>
      </c>
      <c r="O172" s="169"/>
      <c r="Q172" s="169"/>
      <c r="R172" s="170"/>
      <c r="S172" s="170"/>
      <c r="T172" s="170"/>
      <c r="U172" s="170"/>
      <c r="V172" s="170"/>
      <c r="W172" s="170"/>
      <c r="X172" s="170"/>
      <c r="Y172" s="170"/>
      <c r="Z172" s="171"/>
      <c r="AB172" s="454">
        <f ca="1">IF(AND($D172="Serviço",AB$12&lt;&gt;0,$H172&gt;0,OR(AUTOEVENTO&lt;&gt;"manual",$M172&lt;&gt;$A$15)),
        IF(Import.TipoArredondamento&lt;&gt;"TransfereGOV",
              ROUND(OFFSET($P172,0,AB$13),15-13*ORÇAMENTO!$AF$7)/$H172*OFFSET(ORÇAMENTO!$X$15,ROW(AB172)-ROW(AB$15),0),
              ROUND(ROUND(OFFSET($P172,0,AB$13),15-13*ORÇAMENTO!$AF$7)*OFFSET(ORÇAMENTO!$W$15,ROW(AB172)-ROW(AB$15),0),15-13*ORÇAMENTO!$AF$11)),
         0)</f>
        <v>0</v>
      </c>
      <c r="AC172" s="454">
        <f ca="1">IF(AND($D172="Serviço",AC$12&lt;&gt;0,$H172&gt;0,OR(AUTOEVENTO&lt;&gt;"manual",$M172&lt;&gt;$A$15)),
        IF(Import.TipoArredondamento&lt;&gt;"TransfereGOV",
              ROUND(OFFSET($P172,0,AC$13),15-13*ORÇAMENTO!$AF$7)/$H172*OFFSET(ORÇAMENTO!$X$15,ROW(AC172)-ROW(AC$15),0),
              ROUND(ROUND(OFFSET($P172,0,AC$13),15-13*ORÇAMENTO!$AF$7)*OFFSET(ORÇAMENTO!$W$15,ROW(AC172)-ROW(AC$15),0),15-13*ORÇAMENTO!$AF$11)),
         0)</f>
        <v>0</v>
      </c>
      <c r="AD172" s="454">
        <f ca="1">IF(AND($D172="Serviço",AD$12&lt;&gt;0,$H172&gt;0,OR(AUTOEVENTO&lt;&gt;"manual",$M172&lt;&gt;$A$15)),
        IF(Import.TipoArredondamento&lt;&gt;"TransfereGOV",
              ROUND(OFFSET($P172,0,AD$13),15-13*ORÇAMENTO!$AF$7)/$H172*OFFSET(ORÇAMENTO!$X$15,ROW(AD172)-ROW(AD$15),0),
              ROUND(ROUND(OFFSET($P172,0,AD$13),15-13*ORÇAMENTO!$AF$7)*OFFSET(ORÇAMENTO!$W$15,ROW(AD172)-ROW(AD$15),0),15-13*ORÇAMENTO!$AF$11)),
         0)</f>
        <v>0</v>
      </c>
      <c r="AE172" s="454">
        <f ca="1">IF(AND($D172="Serviço",AE$12&lt;&gt;0,$H172&gt;0,OR(AUTOEVENTO&lt;&gt;"manual",$M172&lt;&gt;$A$15)),
        IF(Import.TipoArredondamento&lt;&gt;"TransfereGOV",
              ROUND(OFFSET($P172,0,AE$13),15-13*ORÇAMENTO!$AF$7)/$H172*OFFSET(ORÇAMENTO!$X$15,ROW(AE172)-ROW(AE$15),0),
              ROUND(ROUND(OFFSET($P172,0,AE$13),15-13*ORÇAMENTO!$AF$7)*OFFSET(ORÇAMENTO!$W$15,ROW(AE172)-ROW(AE$15),0),15-13*ORÇAMENTO!$AF$11)),
         0)</f>
        <v>0</v>
      </c>
      <c r="AF172" s="454">
        <f ca="1">IF(AND($D172="Serviço",AF$12&lt;&gt;0,$H172&gt;0,OR(AUTOEVENTO&lt;&gt;"manual",$M172&lt;&gt;$A$15)),
        IF(Import.TipoArredondamento&lt;&gt;"TransfereGOV",
              ROUND(OFFSET($P172,0,AF$13),15-13*ORÇAMENTO!$AF$7)/$H172*OFFSET(ORÇAMENTO!$X$15,ROW(AF172)-ROW(AF$15),0),
              ROUND(ROUND(OFFSET($P172,0,AF$13),15-13*ORÇAMENTO!$AF$7)*OFFSET(ORÇAMENTO!$W$15,ROW(AF172)-ROW(AF$15),0),15-13*ORÇAMENTO!$AF$11)),
         0)</f>
        <v>0</v>
      </c>
      <c r="AG172" s="454">
        <f ca="1">IF(AND($D172="Serviço",AG$12&lt;&gt;0,$H172&gt;0,OR(AUTOEVENTO&lt;&gt;"manual",$M172&lt;&gt;$A$15)),
        IF(Import.TipoArredondamento&lt;&gt;"TransfereGOV",
              ROUND(OFFSET($P172,0,AG$13),15-13*ORÇAMENTO!$AF$7)/$H172*OFFSET(ORÇAMENTO!$X$15,ROW(AG172)-ROW(AG$15),0),
              ROUND(ROUND(OFFSET($P172,0,AG$13),15-13*ORÇAMENTO!$AF$7)*OFFSET(ORÇAMENTO!$W$15,ROW(AG172)-ROW(AG$15),0),15-13*ORÇAMENTO!$AF$11)),
         0)</f>
        <v>0</v>
      </c>
      <c r="AH172" s="454">
        <f ca="1">IF(AND($D172="Serviço",AH$12&lt;&gt;0,$H172&gt;0,OR(AUTOEVENTO&lt;&gt;"manual",$M172&lt;&gt;$A$15)),
        IF(Import.TipoArredondamento&lt;&gt;"TransfereGOV",
              ROUND(OFFSET($P172,0,AH$13),15-13*ORÇAMENTO!$AF$7)/$H172*OFFSET(ORÇAMENTO!$X$15,ROW(AH172)-ROW(AH$15),0),
              ROUND(ROUND(OFFSET($P172,0,AH$13),15-13*ORÇAMENTO!$AF$7)*OFFSET(ORÇAMENTO!$W$15,ROW(AH172)-ROW(AH$15),0),15-13*ORÇAMENTO!$AF$11)),
         0)</f>
        <v>0</v>
      </c>
      <c r="AI172" s="454">
        <f ca="1">IF(AND($D172="Serviço",AI$12&lt;&gt;0,$H172&gt;0,OR(AUTOEVENTO&lt;&gt;"manual",$M172&lt;&gt;$A$15)),
        IF(Import.TipoArredondamento&lt;&gt;"TransfereGOV",
              ROUND(OFFSET($P172,0,AI$13),15-13*ORÇAMENTO!$AF$7)/$H172*OFFSET(ORÇAMENTO!$X$15,ROW(AI172)-ROW(AI$15),0),
              ROUND(ROUND(OFFSET($P172,0,AI$13),15-13*ORÇAMENTO!$AF$7)*OFFSET(ORÇAMENTO!$W$15,ROW(AI172)-ROW(AI$15),0),15-13*ORÇAMENTO!$AF$11)),
         0)</f>
        <v>0</v>
      </c>
      <c r="AJ172" s="454">
        <f ca="1">IF(AND($D172="Serviço",AJ$12&lt;&gt;0,$H172&gt;0,OR(AUTOEVENTO&lt;&gt;"manual",$M172&lt;&gt;$A$15)),
        IF(Import.TipoArredondamento&lt;&gt;"TransfereGOV",
              ROUND(OFFSET($P172,0,AJ$13),15-13*ORÇAMENTO!$AF$7)/$H172*OFFSET(ORÇAMENTO!$X$15,ROW(AJ172)-ROW(AJ$15),0),
              ROUND(ROUND(OFFSET($P172,0,AJ$13),15-13*ORÇAMENTO!$AF$7)*OFFSET(ORÇAMENTO!$W$15,ROW(AJ172)-ROW(AJ$15),0),15-13*ORÇAMENTO!$AF$11)),
         0)</f>
        <v>0</v>
      </c>
      <c r="AK172" s="454">
        <f ca="1">IF(AND($D172="Serviço",AK$12&lt;&gt;0,$H172&gt;0,OR(AUTOEVENTO&lt;&gt;"manual",$M172&lt;&gt;$A$15)),
        IF(Import.TipoArredondamento&lt;&gt;"TransfereGOV",
              ROUND(OFFSET($P172,0,AK$13),15-13*ORÇAMENTO!$AF$7)/$H172*OFFSET(ORÇAMENTO!$X$15,ROW(AK172)-ROW(AK$15),0),
              ROUND(ROUND(OFFSET($P172,0,AK$13),15-13*ORÇAMENTO!$AF$7)*OFFSET(ORÇAMENTO!$W$15,ROW(AK172)-ROW(AK$15),0),15-13*ORÇAMENTO!$AF$11)),
         0)</f>
        <v>0</v>
      </c>
      <c r="AM172" s="172">
        <f ca="1">IF(OR($D172&lt;&gt;"Serviço",AND(AUTOEVENTO="Manual",$M172=$A$15)),0,
         IF(OFFSET(CRONOPLE!$F$15,$M172-$A$15,AM$13)=0,10^12,OFFSET(CRONOPLE!$F$15,$M172-$A$15,AM$13)))</f>
        <v>1000000000000</v>
      </c>
      <c r="AN172" s="172">
        <f ca="1">IF(OR($D172&lt;&gt;"Serviço",AND(AUTOEVENTO="Manual",$M172=$A$15)),0,
         IF(OFFSET(CRONOPLE!$F$15,$M172-$A$15,AN$13)=0,10^12,OFFSET(CRONOPLE!$F$15,$M172-$A$15,AN$13)))</f>
        <v>1000000000000</v>
      </c>
      <c r="AO172" s="172">
        <f ca="1">IF(OR($D172&lt;&gt;"Serviço",AND(AUTOEVENTO="Manual",$M172=$A$15)),0,
         IF(OFFSET(CRONOPLE!$F$15,$M172-$A$15,AO$13)=0,10^12,OFFSET(CRONOPLE!$F$15,$M172-$A$15,AO$13)))</f>
        <v>1000000000000</v>
      </c>
      <c r="AP172" s="172">
        <f ca="1">IF(OR($D172&lt;&gt;"Serviço",AND(AUTOEVENTO="Manual",$M172=$A$15)),0,
         IF(OFFSET(CRONOPLE!$F$15,$M172-$A$15,AP$13)=0,10^12,OFFSET(CRONOPLE!$F$15,$M172-$A$15,AP$13)))</f>
        <v>1000000000000</v>
      </c>
      <c r="AQ172" s="172">
        <f ca="1">IF(OR($D172&lt;&gt;"Serviço",AND(AUTOEVENTO="Manual",$M172=$A$15)),0,
         IF(OFFSET(CRONOPLE!$F$15,$M172-$A$15,AQ$13)=0,10^12,OFFSET(CRONOPLE!$F$15,$M172-$A$15,AQ$13)))</f>
        <v>1000000000000</v>
      </c>
      <c r="AR172" s="172">
        <f ca="1">IF(OR($D172&lt;&gt;"Serviço",AND(AUTOEVENTO="Manual",$M172=$A$15)),0,
         IF(OFFSET(CRONOPLE!$F$15,$M172-$A$15,AR$13)=0,10^12,OFFSET(CRONOPLE!$F$15,$M172-$A$15,AR$13)))</f>
        <v>1000000000000</v>
      </c>
      <c r="AS172" s="172">
        <f ca="1">IF(OR($D172&lt;&gt;"Serviço",AND(AUTOEVENTO="Manual",$M172=$A$15)),0,
         IF(OFFSET(CRONOPLE!$F$15,$M172-$A$15,AS$13)=0,10^12,OFFSET(CRONOPLE!$F$15,$M172-$A$15,AS$13)))</f>
        <v>1000000000000</v>
      </c>
      <c r="AT172" s="172">
        <f ca="1">IF(OR($D172&lt;&gt;"Serviço",AND(AUTOEVENTO="Manual",$M172=$A$15)),0,
         IF(OFFSET(CRONOPLE!$F$15,$M172-$A$15,AT$13)=0,10^12,OFFSET(CRONOPLE!$F$15,$M172-$A$15,AT$13)))</f>
        <v>1000000000000</v>
      </c>
      <c r="AU172" s="172">
        <f ca="1">IF(OR($D172&lt;&gt;"Serviço",AND(AUTOEVENTO="Manual",$M172=$A$15)),0,
         IF(OFFSET(CRONOPLE!$F$15,$M172-$A$15,AU$13)=0,10^12,OFFSET(CRONOPLE!$F$15,$M172-$A$15,AU$13)))</f>
        <v>1000000000000</v>
      </c>
      <c r="AV172" s="172">
        <f ca="1">IF(OR($D172&lt;&gt;"Serviço",AND(AUTOEVENTO="Manual",$M172=$A$15)),0,
         IF(OFFSET(CRONOPLE!$F$15,$M172-$A$15,AV$13)=0,10^12,OFFSET(CRONOPLE!$F$15,$M172-$A$15,AV$13)))</f>
        <v>1000000000000</v>
      </c>
      <c r="AX172" s="173">
        <f ca="1">IF(OR($D172&lt;&gt;"Serviço",AND(AUTOEVENTO="Manual",$M172=$A$15),$M172&gt;(ROW(PLE.lastrow)-ROW(PLE.firstrow))),0,
           IF(OFFSET(PLE!$G$15,$M172-$A$15,AX$13)="",10^12,OFFSET(PLE!$G$15,$M172-$A$15,AX$13)))</f>
        <v>1000000000000</v>
      </c>
      <c r="AY172" s="173">
        <f ca="1">IF(OR($D172&lt;&gt;"Serviço",AND(AUTOEVENTO="Manual",$M172=$A$15),$M172&gt;(ROW(PLE.lastrow)-ROW(PLE.firstrow))),0,
           IF(OFFSET(PLE!$G$15,$M172-$A$15,AY$13)="",10^12,OFFSET(PLE!$G$15,$M172-$A$15,AY$13)))</f>
        <v>1000000000000</v>
      </c>
      <c r="AZ172" s="173">
        <f ca="1">IF(OR($D172&lt;&gt;"Serviço",AND(AUTOEVENTO="Manual",$M172=$A$15),$M172&gt;(ROW(PLE.lastrow)-ROW(PLE.firstrow))),0,
           IF(OFFSET(PLE!$G$15,$M172-$A$15,AZ$13)="",10^12,OFFSET(PLE!$G$15,$M172-$A$15,AZ$13)))</f>
        <v>1000000000000</v>
      </c>
      <c r="BA172" s="173">
        <f ca="1">IF(OR($D172&lt;&gt;"Serviço",AND(AUTOEVENTO="Manual",$M172=$A$15),$M172&gt;(ROW(PLE.lastrow)-ROW(PLE.firstrow))),0,
           IF(OFFSET(PLE!$G$15,$M172-$A$15,BA$13)="",10^12,OFFSET(PLE!$G$15,$M172-$A$15,BA$13)))</f>
        <v>1000000000000</v>
      </c>
      <c r="BB172" s="173">
        <f ca="1">IF(OR($D172&lt;&gt;"Serviço",AND(AUTOEVENTO="Manual",$M172=$A$15),$M172&gt;(ROW(PLE.lastrow)-ROW(PLE.firstrow))),0,
           IF(OFFSET(PLE!$G$15,$M172-$A$15,BB$13)="",10^12,OFFSET(PLE!$G$15,$M172-$A$15,BB$13)))</f>
        <v>1000000000000</v>
      </c>
      <c r="BC172" s="173">
        <f ca="1">IF(OR($D172&lt;&gt;"Serviço",AND(AUTOEVENTO="Manual",$M172=$A$15),$M172&gt;(ROW(PLE.lastrow)-ROW(PLE.firstrow))),0,
           IF(OFFSET(PLE!$G$15,$M172-$A$15,BC$13)="",10^12,OFFSET(PLE!$G$15,$M172-$A$15,BC$13)))</f>
        <v>1000000000000</v>
      </c>
      <c r="BD172" s="173">
        <f ca="1">IF(OR($D172&lt;&gt;"Serviço",AND(AUTOEVENTO="Manual",$M172=$A$15),$M172&gt;(ROW(PLE.lastrow)-ROW(PLE.firstrow))),0,
           IF(OFFSET(PLE!$G$15,$M172-$A$15,BD$13)="",10^12,OFFSET(PLE!$G$15,$M172-$A$15,BD$13)))</f>
        <v>1000000000000</v>
      </c>
      <c r="BE172" s="173">
        <f ca="1">IF(OR($D172&lt;&gt;"Serviço",AND(AUTOEVENTO="Manual",$M172=$A$15),$M172&gt;(ROW(PLE.lastrow)-ROW(PLE.firstrow))),0,
           IF(OFFSET(PLE!$G$15,$M172-$A$15,BE$13)="",10^12,OFFSET(PLE!$G$15,$M172-$A$15,BE$13)))</f>
        <v>1000000000000</v>
      </c>
      <c r="BF172" s="173">
        <f ca="1">IF(OR($D172&lt;&gt;"Serviço",AND(AUTOEVENTO="Manual",$M172=$A$15),$M172&gt;(ROW(PLE.lastrow)-ROW(PLE.firstrow))),0,
           IF(OFFSET(PLE!$G$15,$M172-$A$15,BF$13)="",10^12,OFFSET(PLE!$G$15,$M172-$A$15,BF$13)))</f>
        <v>1000000000000</v>
      </c>
      <c r="BG172" s="173">
        <f ca="1">IF(OR($D172&lt;&gt;"Serviço",AND(AUTOEVENTO="Manual",$M172=$A$15),$M172&gt;(ROW(PLE.lastrow)-ROW(PLE.firstrow))),0,
           IF(OFFSET(PLE!$G$15,$M172-$A$15,BG$13)="",10^12,OFFSET(PLE!$G$15,$M172-$A$15,BG$13)))</f>
        <v>1000000000000</v>
      </c>
    </row>
    <row r="173" spans="1:59" s="675" customFormat="1" ht="12.75" x14ac:dyDescent="0.2">
      <c r="A173" s="671" t="str">
        <f t="shared" ca="1" si="11"/>
        <v>158.</v>
      </c>
      <c r="B173" s="671">
        <f ca="1">OFFSET(ORÇAMENTO!C$15,ROW(B173)-ROW(B$15),0)</f>
        <v>2</v>
      </c>
      <c r="C173" s="671" t="str">
        <f ca="1">OFFSET(ORÇAMENTO!L$15,ROW(C173)-ROW(C$15),0)</f>
        <v>F</v>
      </c>
      <c r="D173" s="117" t="str">
        <f ca="1">OFFSET(ORÇAMENTO!N$15,ROW(D173)-ROW(D$15),0)</f>
        <v>Nível 2</v>
      </c>
      <c r="E173" s="118" t="str">
        <f ca="1">OFFSET(ORÇAMENTO!O$15,ROW(E173)-ROW(E$15),0)</f>
        <v>1.22.</v>
      </c>
      <c r="F173" s="164" t="str">
        <f ca="1">OFFSET(ORÇAMENTO!R$15,ROW(F173)-ROW(F$15),0)</f>
        <v>FUNDAÇÃO</v>
      </c>
      <c r="G173" s="165" t="str">
        <f ca="1">IF($D173&lt;&gt;"Serviço","",OFFSET(ORÇAMENTO!S$15,ROW(G173)-ROW(G$15),0))</f>
        <v/>
      </c>
      <c r="H173" s="123">
        <f ca="1">IF($D173&lt;&gt;"Serviço",0,IF(ACOMPANHAMENTO="BM",ROUND(OFFSET(ORÇAMENTO!AJ$15,ROW(H173)-ROW(H$15),0),15-13*ORÇAMENTO!$AF$7),SUMPRODUCT(($Q$1:$AA$1=1)*ROUND($Q173:$AA173,15-13*ORÇAMENTO!$AF$7))))</f>
        <v>0</v>
      </c>
      <c r="I173" s="469"/>
      <c r="J173" s="667" t="str">
        <f ca="1">IF(OR(B173&lt;&gt;"S",CÁLCULO.FrentesPreenchidas=0),"",IF(AND(ACOMPANHAMENTO="PLE",AUTOEVENTO="Manual",OR(H173&gt;0,ORÇAMENTO!AC173="QUANT."),OR(K173="",M173=0,N173="")),"►",IF(AND(ACOMPANHAMENTO="PLE",ORÇAMENTO!AC173="QUANT."),"►►",IF(AND(COUNTIF($P$11:$AA$11,"▼")=0,H173&gt;0,I173=""),"◄",""))))</f>
        <v/>
      </c>
      <c r="K173" s="668"/>
      <c r="L173" s="166" t="s">
        <v>765</v>
      </c>
      <c r="M173" s="167" t="str">
        <f ca="1">IF($D173&lt;&gt;"Serviço","",
          IF(AUTOEVENTO="manual",$A173,
                IF(ISERROR(MATCH($A173,$A$15:OFFSET($A173,-1,0),0)),MAX($M$15:OFFSET(M173,-1,0))+1,
                      INDEX($M$15:OFFSET(M173,-1,0),MATCH($A173,$A$15:OFFSET($A173,-1,0),0)))))</f>
        <v/>
      </c>
      <c r="N173" s="168" t="str">
        <f ca="1">IF($D173&lt;&gt;"Serviço","",
         IF(AUTOEVENTO="Manual",
                IF($A173=0,"&lt;-- defina o número do agrupador",
                       OFFSET(EVENTOS!$D$15,$A173-$A$15,0)),
                OFFSET($F$15,$A173,0)))</f>
        <v/>
      </c>
      <c r="O173" s="169"/>
      <c r="Q173" s="169"/>
      <c r="R173" s="170"/>
      <c r="S173" s="170"/>
      <c r="T173" s="170"/>
      <c r="U173" s="170"/>
      <c r="V173" s="170"/>
      <c r="W173" s="170"/>
      <c r="X173" s="170"/>
      <c r="Y173" s="170"/>
      <c r="Z173" s="171"/>
      <c r="AB173" s="454">
        <f ca="1">IF(AND($D173="Serviço",AB$12&lt;&gt;0,$H173&gt;0,OR(AUTOEVENTO&lt;&gt;"manual",$M173&lt;&gt;$A$15)),
        IF(Import.TipoArredondamento&lt;&gt;"TransfereGOV",
              ROUND(OFFSET($P173,0,AB$13),15-13*ORÇAMENTO!$AF$7)/$H173*OFFSET(ORÇAMENTO!$X$15,ROW(AB173)-ROW(AB$15),0),
              ROUND(ROUND(OFFSET($P173,0,AB$13),15-13*ORÇAMENTO!$AF$7)*OFFSET(ORÇAMENTO!$W$15,ROW(AB173)-ROW(AB$15),0),15-13*ORÇAMENTO!$AF$11)),
         0)</f>
        <v>0</v>
      </c>
      <c r="AC173" s="454">
        <f ca="1">IF(AND($D173="Serviço",AC$12&lt;&gt;0,$H173&gt;0,OR(AUTOEVENTO&lt;&gt;"manual",$M173&lt;&gt;$A$15)),
        IF(Import.TipoArredondamento&lt;&gt;"TransfereGOV",
              ROUND(OFFSET($P173,0,AC$13),15-13*ORÇAMENTO!$AF$7)/$H173*OFFSET(ORÇAMENTO!$X$15,ROW(AC173)-ROW(AC$15),0),
              ROUND(ROUND(OFFSET($P173,0,AC$13),15-13*ORÇAMENTO!$AF$7)*OFFSET(ORÇAMENTO!$W$15,ROW(AC173)-ROW(AC$15),0),15-13*ORÇAMENTO!$AF$11)),
         0)</f>
        <v>0</v>
      </c>
      <c r="AD173" s="454">
        <f ca="1">IF(AND($D173="Serviço",AD$12&lt;&gt;0,$H173&gt;0,OR(AUTOEVENTO&lt;&gt;"manual",$M173&lt;&gt;$A$15)),
        IF(Import.TipoArredondamento&lt;&gt;"TransfereGOV",
              ROUND(OFFSET($P173,0,AD$13),15-13*ORÇAMENTO!$AF$7)/$H173*OFFSET(ORÇAMENTO!$X$15,ROW(AD173)-ROW(AD$15),0),
              ROUND(ROUND(OFFSET($P173,0,AD$13),15-13*ORÇAMENTO!$AF$7)*OFFSET(ORÇAMENTO!$W$15,ROW(AD173)-ROW(AD$15),0),15-13*ORÇAMENTO!$AF$11)),
         0)</f>
        <v>0</v>
      </c>
      <c r="AE173" s="454">
        <f ca="1">IF(AND($D173="Serviço",AE$12&lt;&gt;0,$H173&gt;0,OR(AUTOEVENTO&lt;&gt;"manual",$M173&lt;&gt;$A$15)),
        IF(Import.TipoArredondamento&lt;&gt;"TransfereGOV",
              ROUND(OFFSET($P173,0,AE$13),15-13*ORÇAMENTO!$AF$7)/$H173*OFFSET(ORÇAMENTO!$X$15,ROW(AE173)-ROW(AE$15),0),
              ROUND(ROUND(OFFSET($P173,0,AE$13),15-13*ORÇAMENTO!$AF$7)*OFFSET(ORÇAMENTO!$W$15,ROW(AE173)-ROW(AE$15),0),15-13*ORÇAMENTO!$AF$11)),
         0)</f>
        <v>0</v>
      </c>
      <c r="AF173" s="454">
        <f ca="1">IF(AND($D173="Serviço",AF$12&lt;&gt;0,$H173&gt;0,OR(AUTOEVENTO&lt;&gt;"manual",$M173&lt;&gt;$A$15)),
        IF(Import.TipoArredondamento&lt;&gt;"TransfereGOV",
              ROUND(OFFSET($P173,0,AF$13),15-13*ORÇAMENTO!$AF$7)/$H173*OFFSET(ORÇAMENTO!$X$15,ROW(AF173)-ROW(AF$15),0),
              ROUND(ROUND(OFFSET($P173,0,AF$13),15-13*ORÇAMENTO!$AF$7)*OFFSET(ORÇAMENTO!$W$15,ROW(AF173)-ROW(AF$15),0),15-13*ORÇAMENTO!$AF$11)),
         0)</f>
        <v>0</v>
      </c>
      <c r="AG173" s="454">
        <f ca="1">IF(AND($D173="Serviço",AG$12&lt;&gt;0,$H173&gt;0,OR(AUTOEVENTO&lt;&gt;"manual",$M173&lt;&gt;$A$15)),
        IF(Import.TipoArredondamento&lt;&gt;"TransfereGOV",
              ROUND(OFFSET($P173,0,AG$13),15-13*ORÇAMENTO!$AF$7)/$H173*OFFSET(ORÇAMENTO!$X$15,ROW(AG173)-ROW(AG$15),0),
              ROUND(ROUND(OFFSET($P173,0,AG$13),15-13*ORÇAMENTO!$AF$7)*OFFSET(ORÇAMENTO!$W$15,ROW(AG173)-ROW(AG$15),0),15-13*ORÇAMENTO!$AF$11)),
         0)</f>
        <v>0</v>
      </c>
      <c r="AH173" s="454">
        <f ca="1">IF(AND($D173="Serviço",AH$12&lt;&gt;0,$H173&gt;0,OR(AUTOEVENTO&lt;&gt;"manual",$M173&lt;&gt;$A$15)),
        IF(Import.TipoArredondamento&lt;&gt;"TransfereGOV",
              ROUND(OFFSET($P173,0,AH$13),15-13*ORÇAMENTO!$AF$7)/$H173*OFFSET(ORÇAMENTO!$X$15,ROW(AH173)-ROW(AH$15),0),
              ROUND(ROUND(OFFSET($P173,0,AH$13),15-13*ORÇAMENTO!$AF$7)*OFFSET(ORÇAMENTO!$W$15,ROW(AH173)-ROW(AH$15),0),15-13*ORÇAMENTO!$AF$11)),
         0)</f>
        <v>0</v>
      </c>
      <c r="AI173" s="454">
        <f ca="1">IF(AND($D173="Serviço",AI$12&lt;&gt;0,$H173&gt;0,OR(AUTOEVENTO&lt;&gt;"manual",$M173&lt;&gt;$A$15)),
        IF(Import.TipoArredondamento&lt;&gt;"TransfereGOV",
              ROUND(OFFSET($P173,0,AI$13),15-13*ORÇAMENTO!$AF$7)/$H173*OFFSET(ORÇAMENTO!$X$15,ROW(AI173)-ROW(AI$15),0),
              ROUND(ROUND(OFFSET($P173,0,AI$13),15-13*ORÇAMENTO!$AF$7)*OFFSET(ORÇAMENTO!$W$15,ROW(AI173)-ROW(AI$15),0),15-13*ORÇAMENTO!$AF$11)),
         0)</f>
        <v>0</v>
      </c>
      <c r="AJ173" s="454">
        <f ca="1">IF(AND($D173="Serviço",AJ$12&lt;&gt;0,$H173&gt;0,OR(AUTOEVENTO&lt;&gt;"manual",$M173&lt;&gt;$A$15)),
        IF(Import.TipoArredondamento&lt;&gt;"TransfereGOV",
              ROUND(OFFSET($P173,0,AJ$13),15-13*ORÇAMENTO!$AF$7)/$H173*OFFSET(ORÇAMENTO!$X$15,ROW(AJ173)-ROW(AJ$15),0),
              ROUND(ROUND(OFFSET($P173,0,AJ$13),15-13*ORÇAMENTO!$AF$7)*OFFSET(ORÇAMENTO!$W$15,ROW(AJ173)-ROW(AJ$15),0),15-13*ORÇAMENTO!$AF$11)),
         0)</f>
        <v>0</v>
      </c>
      <c r="AK173" s="454">
        <f ca="1">IF(AND($D173="Serviço",AK$12&lt;&gt;0,$H173&gt;0,OR(AUTOEVENTO&lt;&gt;"manual",$M173&lt;&gt;$A$15)),
        IF(Import.TipoArredondamento&lt;&gt;"TransfereGOV",
              ROUND(OFFSET($P173,0,AK$13),15-13*ORÇAMENTO!$AF$7)/$H173*OFFSET(ORÇAMENTO!$X$15,ROW(AK173)-ROW(AK$15),0),
              ROUND(ROUND(OFFSET($P173,0,AK$13),15-13*ORÇAMENTO!$AF$7)*OFFSET(ORÇAMENTO!$W$15,ROW(AK173)-ROW(AK$15),0),15-13*ORÇAMENTO!$AF$11)),
         0)</f>
        <v>0</v>
      </c>
      <c r="AM173" s="172">
        <f ca="1">IF(OR($D173&lt;&gt;"Serviço",AND(AUTOEVENTO="Manual",$M173=$A$15)),0,
         IF(OFFSET(CRONOPLE!$F$15,$M173-$A$15,AM$13)=0,10^12,OFFSET(CRONOPLE!$F$15,$M173-$A$15,AM$13)))</f>
        <v>0</v>
      </c>
      <c r="AN173" s="172">
        <f ca="1">IF(OR($D173&lt;&gt;"Serviço",AND(AUTOEVENTO="Manual",$M173=$A$15)),0,
         IF(OFFSET(CRONOPLE!$F$15,$M173-$A$15,AN$13)=0,10^12,OFFSET(CRONOPLE!$F$15,$M173-$A$15,AN$13)))</f>
        <v>0</v>
      </c>
      <c r="AO173" s="172">
        <f ca="1">IF(OR($D173&lt;&gt;"Serviço",AND(AUTOEVENTO="Manual",$M173=$A$15)),0,
         IF(OFFSET(CRONOPLE!$F$15,$M173-$A$15,AO$13)=0,10^12,OFFSET(CRONOPLE!$F$15,$M173-$A$15,AO$13)))</f>
        <v>0</v>
      </c>
      <c r="AP173" s="172">
        <f ca="1">IF(OR($D173&lt;&gt;"Serviço",AND(AUTOEVENTO="Manual",$M173=$A$15)),0,
         IF(OFFSET(CRONOPLE!$F$15,$M173-$A$15,AP$13)=0,10^12,OFFSET(CRONOPLE!$F$15,$M173-$A$15,AP$13)))</f>
        <v>0</v>
      </c>
      <c r="AQ173" s="172">
        <f ca="1">IF(OR($D173&lt;&gt;"Serviço",AND(AUTOEVENTO="Manual",$M173=$A$15)),0,
         IF(OFFSET(CRONOPLE!$F$15,$M173-$A$15,AQ$13)=0,10^12,OFFSET(CRONOPLE!$F$15,$M173-$A$15,AQ$13)))</f>
        <v>0</v>
      </c>
      <c r="AR173" s="172">
        <f ca="1">IF(OR($D173&lt;&gt;"Serviço",AND(AUTOEVENTO="Manual",$M173=$A$15)),0,
         IF(OFFSET(CRONOPLE!$F$15,$M173-$A$15,AR$13)=0,10^12,OFFSET(CRONOPLE!$F$15,$M173-$A$15,AR$13)))</f>
        <v>0</v>
      </c>
      <c r="AS173" s="172">
        <f ca="1">IF(OR($D173&lt;&gt;"Serviço",AND(AUTOEVENTO="Manual",$M173=$A$15)),0,
         IF(OFFSET(CRONOPLE!$F$15,$M173-$A$15,AS$13)=0,10^12,OFFSET(CRONOPLE!$F$15,$M173-$A$15,AS$13)))</f>
        <v>0</v>
      </c>
      <c r="AT173" s="172">
        <f ca="1">IF(OR($D173&lt;&gt;"Serviço",AND(AUTOEVENTO="Manual",$M173=$A$15)),0,
         IF(OFFSET(CRONOPLE!$F$15,$M173-$A$15,AT$13)=0,10^12,OFFSET(CRONOPLE!$F$15,$M173-$A$15,AT$13)))</f>
        <v>0</v>
      </c>
      <c r="AU173" s="172">
        <f ca="1">IF(OR($D173&lt;&gt;"Serviço",AND(AUTOEVENTO="Manual",$M173=$A$15)),0,
         IF(OFFSET(CRONOPLE!$F$15,$M173-$A$15,AU$13)=0,10^12,OFFSET(CRONOPLE!$F$15,$M173-$A$15,AU$13)))</f>
        <v>0</v>
      </c>
      <c r="AV173" s="172">
        <f ca="1">IF(OR($D173&lt;&gt;"Serviço",AND(AUTOEVENTO="Manual",$M173=$A$15)),0,
         IF(OFFSET(CRONOPLE!$F$15,$M173-$A$15,AV$13)=0,10^12,OFFSET(CRONOPLE!$F$15,$M173-$A$15,AV$13)))</f>
        <v>0</v>
      </c>
      <c r="AX173" s="173">
        <f ca="1">IF(OR($D173&lt;&gt;"Serviço",AND(AUTOEVENTO="Manual",$M173=$A$15),$M173&gt;(ROW(PLE.lastrow)-ROW(PLE.firstrow))),0,
           IF(OFFSET(PLE!$G$15,$M173-$A$15,AX$13)="",10^12,OFFSET(PLE!$G$15,$M173-$A$15,AX$13)))</f>
        <v>0</v>
      </c>
      <c r="AY173" s="173">
        <f ca="1">IF(OR($D173&lt;&gt;"Serviço",AND(AUTOEVENTO="Manual",$M173=$A$15),$M173&gt;(ROW(PLE.lastrow)-ROW(PLE.firstrow))),0,
           IF(OFFSET(PLE!$G$15,$M173-$A$15,AY$13)="",10^12,OFFSET(PLE!$G$15,$M173-$A$15,AY$13)))</f>
        <v>0</v>
      </c>
      <c r="AZ173" s="173">
        <f ca="1">IF(OR($D173&lt;&gt;"Serviço",AND(AUTOEVENTO="Manual",$M173=$A$15),$M173&gt;(ROW(PLE.lastrow)-ROW(PLE.firstrow))),0,
           IF(OFFSET(PLE!$G$15,$M173-$A$15,AZ$13)="",10^12,OFFSET(PLE!$G$15,$M173-$A$15,AZ$13)))</f>
        <v>0</v>
      </c>
      <c r="BA173" s="173">
        <f ca="1">IF(OR($D173&lt;&gt;"Serviço",AND(AUTOEVENTO="Manual",$M173=$A$15),$M173&gt;(ROW(PLE.lastrow)-ROW(PLE.firstrow))),0,
           IF(OFFSET(PLE!$G$15,$M173-$A$15,BA$13)="",10^12,OFFSET(PLE!$G$15,$M173-$A$15,BA$13)))</f>
        <v>0</v>
      </c>
      <c r="BB173" s="173">
        <f ca="1">IF(OR($D173&lt;&gt;"Serviço",AND(AUTOEVENTO="Manual",$M173=$A$15),$M173&gt;(ROW(PLE.lastrow)-ROW(PLE.firstrow))),0,
           IF(OFFSET(PLE!$G$15,$M173-$A$15,BB$13)="",10^12,OFFSET(PLE!$G$15,$M173-$A$15,BB$13)))</f>
        <v>0</v>
      </c>
      <c r="BC173" s="173">
        <f ca="1">IF(OR($D173&lt;&gt;"Serviço",AND(AUTOEVENTO="Manual",$M173=$A$15),$M173&gt;(ROW(PLE.lastrow)-ROW(PLE.firstrow))),0,
           IF(OFFSET(PLE!$G$15,$M173-$A$15,BC$13)="",10^12,OFFSET(PLE!$G$15,$M173-$A$15,BC$13)))</f>
        <v>0</v>
      </c>
      <c r="BD173" s="173">
        <f ca="1">IF(OR($D173&lt;&gt;"Serviço",AND(AUTOEVENTO="Manual",$M173=$A$15),$M173&gt;(ROW(PLE.lastrow)-ROW(PLE.firstrow))),0,
           IF(OFFSET(PLE!$G$15,$M173-$A$15,BD$13)="",10^12,OFFSET(PLE!$G$15,$M173-$A$15,BD$13)))</f>
        <v>0</v>
      </c>
      <c r="BE173" s="173">
        <f ca="1">IF(OR($D173&lt;&gt;"Serviço",AND(AUTOEVENTO="Manual",$M173=$A$15),$M173&gt;(ROW(PLE.lastrow)-ROW(PLE.firstrow))),0,
           IF(OFFSET(PLE!$G$15,$M173-$A$15,BE$13)="",10^12,OFFSET(PLE!$G$15,$M173-$A$15,BE$13)))</f>
        <v>0</v>
      </c>
      <c r="BF173" s="173">
        <f ca="1">IF(OR($D173&lt;&gt;"Serviço",AND(AUTOEVENTO="Manual",$M173=$A$15),$M173&gt;(ROW(PLE.lastrow)-ROW(PLE.firstrow))),0,
           IF(OFFSET(PLE!$G$15,$M173-$A$15,BF$13)="",10^12,OFFSET(PLE!$G$15,$M173-$A$15,BF$13)))</f>
        <v>0</v>
      </c>
      <c r="BG173" s="173">
        <f ca="1">IF(OR($D173&lt;&gt;"Serviço",AND(AUTOEVENTO="Manual",$M173=$A$15),$M173&gt;(ROW(PLE.lastrow)-ROW(PLE.firstrow))),0,
           IF(OFFSET(PLE!$G$15,$M173-$A$15,BG$13)="",10^12,OFFSET(PLE!$G$15,$M173-$A$15,BG$13)))</f>
        <v>0</v>
      </c>
    </row>
    <row r="174" spans="1:59" s="717" customFormat="1" ht="38.25" x14ac:dyDescent="0.2">
      <c r="A174" s="715" t="str">
        <f t="shared" ca="1" si="11"/>
        <v>158</v>
      </c>
      <c r="B174" s="715" t="str">
        <f ca="1">OFFSET(ORÇAMENTO!C$15,ROW(B174)-ROW(B$15),0)</f>
        <v>S</v>
      </c>
      <c r="C174" s="715" t="str">
        <f ca="1">OFFSET(ORÇAMENTO!L$15,ROW(C174)-ROW(C$15),0)</f>
        <v/>
      </c>
      <c r="D174" s="117" t="str">
        <f ca="1">OFFSET(ORÇAMENTO!N$15,ROW(D174)-ROW(D$15),0)</f>
        <v>Serviço</v>
      </c>
      <c r="E174" s="118" t="str">
        <f ca="1">OFFSET(ORÇAMENTO!O$15,ROW(E174)-ROW(E$15),0)</f>
        <v>-</v>
      </c>
      <c r="F174" s="164" t="str">
        <f ca="1">OFFSET(ORÇAMENTO!R$15,ROW(F174)-ROW(F$15),0)</f>
        <v>(abra o arquivo 'Referência 09-2025.xlsm)</v>
      </c>
      <c r="G174" s="165" t="str">
        <f ca="1">IF($D174&lt;&gt;"Serviço","",OFFSET(ORÇAMENTO!S$15,ROW(G174)-ROW(G$15),0))</f>
        <v>-</v>
      </c>
      <c r="H174" s="123">
        <f ca="1">IF($D174&lt;&gt;"Serviço",0,IF(ACOMPANHAMENTO="BM",ROUND(OFFSET(ORÇAMENTO!AJ$15,ROW(H174)-ROW(H$15),0),15-13*ORÇAMENTO!$AF$7),SUMPRODUCT(($Q$1:$AA$1=1)*ROUND($Q174:$AA174,15-13*ORÇAMENTO!$AF$7))))</f>
        <v>4</v>
      </c>
      <c r="I174" s="469" t="s">
        <v>1145</v>
      </c>
      <c r="J174" s="667" t="str">
        <f ca="1">IF(OR(B174&lt;&gt;"S",CÁLCULO.FrentesPreenchidas=0),"",IF(AND(ACOMPANHAMENTO="PLE",AUTOEVENTO="Manual",OR(H174&gt;0,ORÇAMENTO!AC174="QUANT."),OR(K174="",M174=0,N174="")),"►",IF(AND(ACOMPANHAMENTO="PLE",ORÇAMENTO!AC174="QUANT."),"►►",IF(AND(COUNTIF($P$11:$AA$11,"▼")=0,H174&gt;0,I174=""),"◄",""))))</f>
        <v/>
      </c>
      <c r="K174" s="668"/>
      <c r="L174" s="166" t="s">
        <v>765</v>
      </c>
      <c r="M174" s="167">
        <f ca="1">IF($D174&lt;&gt;"Serviço","",
          IF(AUTOEVENTO="manual",$A174,
                IF(ISERROR(MATCH($A174,$A$15:OFFSET($A174,-1,0),0)),MAX($M$15:OFFSET(M174,-1,0))+1,
                      INDEX($M$15:OFFSET(M174,-1,0),MATCH($A174,$A$15:OFFSET($A174,-1,0),0)))))</f>
        <v>18</v>
      </c>
      <c r="N174" s="168" t="str">
        <f ca="1">IF($D174&lt;&gt;"Serviço","",
         IF(AUTOEVENTO="Manual",
                IF($A174=0,"&lt;-- defina o número do agrupador",
                       OFFSET(EVENTOS!$D$15,$A174-$A$15,0)),
                OFFSET($F$15,$A174,0)))</f>
        <v>FUNDAÇÃO</v>
      </c>
      <c r="O174" s="169"/>
      <c r="Q174" s="169"/>
      <c r="R174" s="170"/>
      <c r="S174" s="170"/>
      <c r="T174" s="170"/>
      <c r="U174" s="170"/>
      <c r="V174" s="170"/>
      <c r="W174" s="170"/>
      <c r="X174" s="170"/>
      <c r="Y174" s="170"/>
      <c r="Z174" s="171"/>
      <c r="AB174" s="454">
        <f ca="1">IF(AND($D174="Serviço",AB$12&lt;&gt;0,$H174&gt;0,OR(AUTOEVENTO&lt;&gt;"manual",$M174&lt;&gt;$A$15)),
        IF(Import.TipoArredondamento&lt;&gt;"TransfereGOV",
              ROUND(OFFSET($P174,0,AB$13),15-13*ORÇAMENTO!$AF$7)/$H174*OFFSET(ORÇAMENTO!$X$15,ROW(AB174)-ROW(AB$15),0),
              ROUND(ROUND(OFFSET($P174,0,AB$13),15-13*ORÇAMENTO!$AF$7)*OFFSET(ORÇAMENTO!$W$15,ROW(AB174)-ROW(AB$15),0),15-13*ORÇAMENTO!$AF$11)),
         0)</f>
        <v>0</v>
      </c>
      <c r="AC174" s="454">
        <f ca="1">IF(AND($D174="Serviço",AC$12&lt;&gt;0,$H174&gt;0,OR(AUTOEVENTO&lt;&gt;"manual",$M174&lt;&gt;$A$15)),
        IF(Import.TipoArredondamento&lt;&gt;"TransfereGOV",
              ROUND(OFFSET($P174,0,AC$13),15-13*ORÇAMENTO!$AF$7)/$H174*OFFSET(ORÇAMENTO!$X$15,ROW(AC174)-ROW(AC$15),0),
              ROUND(ROUND(OFFSET($P174,0,AC$13),15-13*ORÇAMENTO!$AF$7)*OFFSET(ORÇAMENTO!$W$15,ROW(AC174)-ROW(AC$15),0),15-13*ORÇAMENTO!$AF$11)),
         0)</f>
        <v>0</v>
      </c>
      <c r="AD174" s="454">
        <f ca="1">IF(AND($D174="Serviço",AD$12&lt;&gt;0,$H174&gt;0,OR(AUTOEVENTO&lt;&gt;"manual",$M174&lt;&gt;$A$15)),
        IF(Import.TipoArredondamento&lt;&gt;"TransfereGOV",
              ROUND(OFFSET($P174,0,AD$13),15-13*ORÇAMENTO!$AF$7)/$H174*OFFSET(ORÇAMENTO!$X$15,ROW(AD174)-ROW(AD$15),0),
              ROUND(ROUND(OFFSET($P174,0,AD$13),15-13*ORÇAMENTO!$AF$7)*OFFSET(ORÇAMENTO!$W$15,ROW(AD174)-ROW(AD$15),0),15-13*ORÇAMENTO!$AF$11)),
         0)</f>
        <v>0</v>
      </c>
      <c r="AE174" s="454">
        <f ca="1">IF(AND($D174="Serviço",AE$12&lt;&gt;0,$H174&gt;0,OR(AUTOEVENTO&lt;&gt;"manual",$M174&lt;&gt;$A$15)),
        IF(Import.TipoArredondamento&lt;&gt;"TransfereGOV",
              ROUND(OFFSET($P174,0,AE$13),15-13*ORÇAMENTO!$AF$7)/$H174*OFFSET(ORÇAMENTO!$X$15,ROW(AE174)-ROW(AE$15),0),
              ROUND(ROUND(OFFSET($P174,0,AE$13),15-13*ORÇAMENTO!$AF$7)*OFFSET(ORÇAMENTO!$W$15,ROW(AE174)-ROW(AE$15),0),15-13*ORÇAMENTO!$AF$11)),
         0)</f>
        <v>0</v>
      </c>
      <c r="AF174" s="454">
        <f ca="1">IF(AND($D174="Serviço",AF$12&lt;&gt;0,$H174&gt;0,OR(AUTOEVENTO&lt;&gt;"manual",$M174&lt;&gt;$A$15)),
        IF(Import.TipoArredondamento&lt;&gt;"TransfereGOV",
              ROUND(OFFSET($P174,0,AF$13),15-13*ORÇAMENTO!$AF$7)/$H174*OFFSET(ORÇAMENTO!$X$15,ROW(AF174)-ROW(AF$15),0),
              ROUND(ROUND(OFFSET($P174,0,AF$13),15-13*ORÇAMENTO!$AF$7)*OFFSET(ORÇAMENTO!$W$15,ROW(AF174)-ROW(AF$15),0),15-13*ORÇAMENTO!$AF$11)),
         0)</f>
        <v>0</v>
      </c>
      <c r="AG174" s="454">
        <f ca="1">IF(AND($D174="Serviço",AG$12&lt;&gt;0,$H174&gt;0,OR(AUTOEVENTO&lt;&gt;"manual",$M174&lt;&gt;$A$15)),
        IF(Import.TipoArredondamento&lt;&gt;"TransfereGOV",
              ROUND(OFFSET($P174,0,AG$13),15-13*ORÇAMENTO!$AF$7)/$H174*OFFSET(ORÇAMENTO!$X$15,ROW(AG174)-ROW(AG$15),0),
              ROUND(ROUND(OFFSET($P174,0,AG$13),15-13*ORÇAMENTO!$AF$7)*OFFSET(ORÇAMENTO!$W$15,ROW(AG174)-ROW(AG$15),0),15-13*ORÇAMENTO!$AF$11)),
         0)</f>
        <v>0</v>
      </c>
      <c r="AH174" s="454">
        <f ca="1">IF(AND($D174="Serviço",AH$12&lt;&gt;0,$H174&gt;0,OR(AUTOEVENTO&lt;&gt;"manual",$M174&lt;&gt;$A$15)),
        IF(Import.TipoArredondamento&lt;&gt;"TransfereGOV",
              ROUND(OFFSET($P174,0,AH$13),15-13*ORÇAMENTO!$AF$7)/$H174*OFFSET(ORÇAMENTO!$X$15,ROW(AH174)-ROW(AH$15),0),
              ROUND(ROUND(OFFSET($P174,0,AH$13),15-13*ORÇAMENTO!$AF$7)*OFFSET(ORÇAMENTO!$W$15,ROW(AH174)-ROW(AH$15),0),15-13*ORÇAMENTO!$AF$11)),
         0)</f>
        <v>0</v>
      </c>
      <c r="AI174" s="454">
        <f ca="1">IF(AND($D174="Serviço",AI$12&lt;&gt;0,$H174&gt;0,OR(AUTOEVENTO&lt;&gt;"manual",$M174&lt;&gt;$A$15)),
        IF(Import.TipoArredondamento&lt;&gt;"TransfereGOV",
              ROUND(OFFSET($P174,0,AI$13),15-13*ORÇAMENTO!$AF$7)/$H174*OFFSET(ORÇAMENTO!$X$15,ROW(AI174)-ROW(AI$15),0),
              ROUND(ROUND(OFFSET($P174,0,AI$13),15-13*ORÇAMENTO!$AF$7)*OFFSET(ORÇAMENTO!$W$15,ROW(AI174)-ROW(AI$15),0),15-13*ORÇAMENTO!$AF$11)),
         0)</f>
        <v>0</v>
      </c>
      <c r="AJ174" s="454">
        <f ca="1">IF(AND($D174="Serviço",AJ$12&lt;&gt;0,$H174&gt;0,OR(AUTOEVENTO&lt;&gt;"manual",$M174&lt;&gt;$A$15)),
        IF(Import.TipoArredondamento&lt;&gt;"TransfereGOV",
              ROUND(OFFSET($P174,0,AJ$13),15-13*ORÇAMENTO!$AF$7)/$H174*OFFSET(ORÇAMENTO!$X$15,ROW(AJ174)-ROW(AJ$15),0),
              ROUND(ROUND(OFFSET($P174,0,AJ$13),15-13*ORÇAMENTO!$AF$7)*OFFSET(ORÇAMENTO!$W$15,ROW(AJ174)-ROW(AJ$15),0),15-13*ORÇAMENTO!$AF$11)),
         0)</f>
        <v>0</v>
      </c>
      <c r="AK174" s="454">
        <f ca="1">IF(AND($D174="Serviço",AK$12&lt;&gt;0,$H174&gt;0,OR(AUTOEVENTO&lt;&gt;"manual",$M174&lt;&gt;$A$15)),
        IF(Import.TipoArredondamento&lt;&gt;"TransfereGOV",
              ROUND(OFFSET($P174,0,AK$13),15-13*ORÇAMENTO!$AF$7)/$H174*OFFSET(ORÇAMENTO!$X$15,ROW(AK174)-ROW(AK$15),0),
              ROUND(ROUND(OFFSET($P174,0,AK$13),15-13*ORÇAMENTO!$AF$7)*OFFSET(ORÇAMENTO!$W$15,ROW(AK174)-ROW(AK$15),0),15-13*ORÇAMENTO!$AF$11)),
         0)</f>
        <v>0</v>
      </c>
      <c r="AM174" s="172">
        <f ca="1">IF(OR($D174&lt;&gt;"Serviço",AND(AUTOEVENTO="Manual",$M174=$A$15)),0,
         IF(OFFSET(CRONOPLE!$F$15,$M174-$A$15,AM$13)=0,10^12,OFFSET(CRONOPLE!$F$15,$M174-$A$15,AM$13)))</f>
        <v>1000000000000</v>
      </c>
      <c r="AN174" s="172">
        <f ca="1">IF(OR($D174&lt;&gt;"Serviço",AND(AUTOEVENTO="Manual",$M174=$A$15)),0,
         IF(OFFSET(CRONOPLE!$F$15,$M174-$A$15,AN$13)=0,10^12,OFFSET(CRONOPLE!$F$15,$M174-$A$15,AN$13)))</f>
        <v>1000000000000</v>
      </c>
      <c r="AO174" s="172">
        <f ca="1">IF(OR($D174&lt;&gt;"Serviço",AND(AUTOEVENTO="Manual",$M174=$A$15)),0,
         IF(OFFSET(CRONOPLE!$F$15,$M174-$A$15,AO$13)=0,10^12,OFFSET(CRONOPLE!$F$15,$M174-$A$15,AO$13)))</f>
        <v>1000000000000</v>
      </c>
      <c r="AP174" s="172">
        <f ca="1">IF(OR($D174&lt;&gt;"Serviço",AND(AUTOEVENTO="Manual",$M174=$A$15)),0,
         IF(OFFSET(CRONOPLE!$F$15,$M174-$A$15,AP$13)=0,10^12,OFFSET(CRONOPLE!$F$15,$M174-$A$15,AP$13)))</f>
        <v>1000000000000</v>
      </c>
      <c r="AQ174" s="172">
        <f ca="1">IF(OR($D174&lt;&gt;"Serviço",AND(AUTOEVENTO="Manual",$M174=$A$15)),0,
         IF(OFFSET(CRONOPLE!$F$15,$M174-$A$15,AQ$13)=0,10^12,OFFSET(CRONOPLE!$F$15,$M174-$A$15,AQ$13)))</f>
        <v>1000000000000</v>
      </c>
      <c r="AR174" s="172">
        <f ca="1">IF(OR($D174&lt;&gt;"Serviço",AND(AUTOEVENTO="Manual",$M174=$A$15)),0,
         IF(OFFSET(CRONOPLE!$F$15,$M174-$A$15,AR$13)=0,10^12,OFFSET(CRONOPLE!$F$15,$M174-$A$15,AR$13)))</f>
        <v>1000000000000</v>
      </c>
      <c r="AS174" s="172">
        <f ca="1">IF(OR($D174&lt;&gt;"Serviço",AND(AUTOEVENTO="Manual",$M174=$A$15)),0,
         IF(OFFSET(CRONOPLE!$F$15,$M174-$A$15,AS$13)=0,10^12,OFFSET(CRONOPLE!$F$15,$M174-$A$15,AS$13)))</f>
        <v>1000000000000</v>
      </c>
      <c r="AT174" s="172">
        <f ca="1">IF(OR($D174&lt;&gt;"Serviço",AND(AUTOEVENTO="Manual",$M174=$A$15)),0,
         IF(OFFSET(CRONOPLE!$F$15,$M174-$A$15,AT$13)=0,10^12,OFFSET(CRONOPLE!$F$15,$M174-$A$15,AT$13)))</f>
        <v>1000000000000</v>
      </c>
      <c r="AU174" s="172">
        <f ca="1">IF(OR($D174&lt;&gt;"Serviço",AND(AUTOEVENTO="Manual",$M174=$A$15)),0,
         IF(OFFSET(CRONOPLE!$F$15,$M174-$A$15,AU$13)=0,10^12,OFFSET(CRONOPLE!$F$15,$M174-$A$15,AU$13)))</f>
        <v>1000000000000</v>
      </c>
      <c r="AV174" s="172">
        <f ca="1">IF(OR($D174&lt;&gt;"Serviço",AND(AUTOEVENTO="Manual",$M174=$A$15)),0,
         IF(OFFSET(CRONOPLE!$F$15,$M174-$A$15,AV$13)=0,10^12,OFFSET(CRONOPLE!$F$15,$M174-$A$15,AV$13)))</f>
        <v>1000000000000</v>
      </c>
      <c r="AX174" s="173">
        <f ca="1">IF(OR($D174&lt;&gt;"Serviço",AND(AUTOEVENTO="Manual",$M174=$A$15),$M174&gt;(ROW(PLE.lastrow)-ROW(PLE.firstrow))),0,
           IF(OFFSET(PLE!$G$15,$M174-$A$15,AX$13)="",10^12,OFFSET(PLE!$G$15,$M174-$A$15,AX$13)))</f>
        <v>1000000000000</v>
      </c>
      <c r="AY174" s="173">
        <f ca="1">IF(OR($D174&lt;&gt;"Serviço",AND(AUTOEVENTO="Manual",$M174=$A$15),$M174&gt;(ROW(PLE.lastrow)-ROW(PLE.firstrow))),0,
           IF(OFFSET(PLE!$G$15,$M174-$A$15,AY$13)="",10^12,OFFSET(PLE!$G$15,$M174-$A$15,AY$13)))</f>
        <v>1000000000000</v>
      </c>
      <c r="AZ174" s="173">
        <f ca="1">IF(OR($D174&lt;&gt;"Serviço",AND(AUTOEVENTO="Manual",$M174=$A$15),$M174&gt;(ROW(PLE.lastrow)-ROW(PLE.firstrow))),0,
           IF(OFFSET(PLE!$G$15,$M174-$A$15,AZ$13)="",10^12,OFFSET(PLE!$G$15,$M174-$A$15,AZ$13)))</f>
        <v>1000000000000</v>
      </c>
      <c r="BA174" s="173">
        <f ca="1">IF(OR($D174&lt;&gt;"Serviço",AND(AUTOEVENTO="Manual",$M174=$A$15),$M174&gt;(ROW(PLE.lastrow)-ROW(PLE.firstrow))),0,
           IF(OFFSET(PLE!$G$15,$M174-$A$15,BA$13)="",10^12,OFFSET(PLE!$G$15,$M174-$A$15,BA$13)))</f>
        <v>1000000000000</v>
      </c>
      <c r="BB174" s="173">
        <f ca="1">IF(OR($D174&lt;&gt;"Serviço",AND(AUTOEVENTO="Manual",$M174=$A$15),$M174&gt;(ROW(PLE.lastrow)-ROW(PLE.firstrow))),0,
           IF(OFFSET(PLE!$G$15,$M174-$A$15,BB$13)="",10^12,OFFSET(PLE!$G$15,$M174-$A$15,BB$13)))</f>
        <v>1000000000000</v>
      </c>
      <c r="BC174" s="173">
        <f ca="1">IF(OR($D174&lt;&gt;"Serviço",AND(AUTOEVENTO="Manual",$M174=$A$15),$M174&gt;(ROW(PLE.lastrow)-ROW(PLE.firstrow))),0,
           IF(OFFSET(PLE!$G$15,$M174-$A$15,BC$13)="",10^12,OFFSET(PLE!$G$15,$M174-$A$15,BC$13)))</f>
        <v>1000000000000</v>
      </c>
      <c r="BD174" s="173">
        <f ca="1">IF(OR($D174&lt;&gt;"Serviço",AND(AUTOEVENTO="Manual",$M174=$A$15),$M174&gt;(ROW(PLE.lastrow)-ROW(PLE.firstrow))),0,
           IF(OFFSET(PLE!$G$15,$M174-$A$15,BD$13)="",10^12,OFFSET(PLE!$G$15,$M174-$A$15,BD$13)))</f>
        <v>1000000000000</v>
      </c>
      <c r="BE174" s="173">
        <f ca="1">IF(OR($D174&lt;&gt;"Serviço",AND(AUTOEVENTO="Manual",$M174=$A$15),$M174&gt;(ROW(PLE.lastrow)-ROW(PLE.firstrow))),0,
           IF(OFFSET(PLE!$G$15,$M174-$A$15,BE$13)="",10^12,OFFSET(PLE!$G$15,$M174-$A$15,BE$13)))</f>
        <v>1000000000000</v>
      </c>
      <c r="BF174" s="173">
        <f ca="1">IF(OR($D174&lt;&gt;"Serviço",AND(AUTOEVENTO="Manual",$M174=$A$15),$M174&gt;(ROW(PLE.lastrow)-ROW(PLE.firstrow))),0,
           IF(OFFSET(PLE!$G$15,$M174-$A$15,BF$13)="",10^12,OFFSET(PLE!$G$15,$M174-$A$15,BF$13)))</f>
        <v>1000000000000</v>
      </c>
      <c r="BG174" s="173">
        <f ca="1">IF(OR($D174&lt;&gt;"Serviço",AND(AUTOEVENTO="Manual",$M174=$A$15),$M174&gt;(ROW(PLE.lastrow)-ROW(PLE.firstrow))),0,
           IF(OFFSET(PLE!$G$15,$M174-$A$15,BG$13)="",10^12,OFFSET(PLE!$G$15,$M174-$A$15,BG$13)))</f>
        <v>1000000000000</v>
      </c>
    </row>
    <row r="175" spans="1:59" s="717" customFormat="1" ht="38.25" x14ac:dyDescent="0.2">
      <c r="A175" s="715" t="str">
        <f t="shared" ca="1" si="11"/>
        <v>158</v>
      </c>
      <c r="B175" s="715" t="str">
        <f ca="1">OFFSET(ORÇAMENTO!C$15,ROW(B175)-ROW(B$15),0)</f>
        <v>S</v>
      </c>
      <c r="C175" s="715" t="str">
        <f ca="1">OFFSET(ORÇAMENTO!L$15,ROW(C175)-ROW(C$15),0)</f>
        <v/>
      </c>
      <c r="D175" s="117" t="str">
        <f ca="1">OFFSET(ORÇAMENTO!N$15,ROW(D175)-ROW(D$15),0)</f>
        <v>Serviço</v>
      </c>
      <c r="E175" s="118" t="str">
        <f ca="1">OFFSET(ORÇAMENTO!O$15,ROW(E175)-ROW(E$15),0)</f>
        <v>-</v>
      </c>
      <c r="F175" s="164" t="str">
        <f ca="1">OFFSET(ORÇAMENTO!R$15,ROW(F175)-ROW(F$15),0)</f>
        <v>(abra o arquivo 'Referência 09-2025.xlsm)</v>
      </c>
      <c r="G175" s="165" t="str">
        <f ca="1">IF($D175&lt;&gt;"Serviço","",OFFSET(ORÇAMENTO!S$15,ROW(G175)-ROW(G$15),0))</f>
        <v>-</v>
      </c>
      <c r="H175" s="123">
        <f ca="1">IF($D175&lt;&gt;"Serviço",0,IF(ACOMPANHAMENTO="BM",ROUND(OFFSET(ORÇAMENTO!AJ$15,ROW(H175)-ROW(H$15),0),15-13*ORÇAMENTO!$AF$7),SUMPRODUCT(($Q$1:$AA$1=1)*ROUND($Q175:$AA175,15-13*ORÇAMENTO!$AF$7))))</f>
        <v>80</v>
      </c>
      <c r="I175" s="469" t="s">
        <v>1144</v>
      </c>
      <c r="J175" s="667" t="str">
        <f ca="1">IF(OR(B175&lt;&gt;"S",CÁLCULO.FrentesPreenchidas=0),"",IF(AND(ACOMPANHAMENTO="PLE",AUTOEVENTO="Manual",OR(H175&gt;0,ORÇAMENTO!AC175="QUANT."),OR(K175="",M175=0,N175="")),"►",IF(AND(ACOMPANHAMENTO="PLE",ORÇAMENTO!AC175="QUANT."),"►►",IF(AND(COUNTIF($P$11:$AA$11,"▼")=0,H175&gt;0,I175=""),"◄",""))))</f>
        <v/>
      </c>
      <c r="K175" s="668"/>
      <c r="L175" s="166" t="s">
        <v>765</v>
      </c>
      <c r="M175" s="167">
        <f ca="1">IF($D175&lt;&gt;"Serviço","",
          IF(AUTOEVENTO="manual",$A175,
                IF(ISERROR(MATCH($A175,$A$15:OFFSET($A175,-1,0),0)),MAX($M$15:OFFSET(M175,-1,0))+1,
                      INDEX($M$15:OFFSET(M175,-1,0),MATCH($A175,$A$15:OFFSET($A175,-1,0),0)))))</f>
        <v>18</v>
      </c>
      <c r="N175" s="168" t="str">
        <f ca="1">IF($D175&lt;&gt;"Serviço","",
         IF(AUTOEVENTO="Manual",
                IF($A175=0,"&lt;-- defina o número do agrupador",
                       OFFSET(EVENTOS!$D$15,$A175-$A$15,0)),
                OFFSET($F$15,$A175,0)))</f>
        <v>FUNDAÇÃO</v>
      </c>
      <c r="O175" s="169"/>
      <c r="Q175" s="169"/>
      <c r="R175" s="170"/>
      <c r="S175" s="170"/>
      <c r="T175" s="170"/>
      <c r="U175" s="170"/>
      <c r="V175" s="170"/>
      <c r="W175" s="170"/>
      <c r="X175" s="170"/>
      <c r="Y175" s="170"/>
      <c r="Z175" s="171"/>
      <c r="AB175" s="454">
        <f ca="1">IF(AND($D175="Serviço",AB$12&lt;&gt;0,$H175&gt;0,OR(AUTOEVENTO&lt;&gt;"manual",$M175&lt;&gt;$A$15)),
        IF(Import.TipoArredondamento&lt;&gt;"TransfereGOV",
              ROUND(OFFSET($P175,0,AB$13),15-13*ORÇAMENTO!$AF$7)/$H175*OFFSET(ORÇAMENTO!$X$15,ROW(AB175)-ROW(AB$15),0),
              ROUND(ROUND(OFFSET($P175,0,AB$13),15-13*ORÇAMENTO!$AF$7)*OFFSET(ORÇAMENTO!$W$15,ROW(AB175)-ROW(AB$15),0),15-13*ORÇAMENTO!$AF$11)),
         0)</f>
        <v>0</v>
      </c>
      <c r="AC175" s="454">
        <f ca="1">IF(AND($D175="Serviço",AC$12&lt;&gt;0,$H175&gt;0,OR(AUTOEVENTO&lt;&gt;"manual",$M175&lt;&gt;$A$15)),
        IF(Import.TipoArredondamento&lt;&gt;"TransfereGOV",
              ROUND(OFFSET($P175,0,AC$13),15-13*ORÇAMENTO!$AF$7)/$H175*OFFSET(ORÇAMENTO!$X$15,ROW(AC175)-ROW(AC$15),0),
              ROUND(ROUND(OFFSET($P175,0,AC$13),15-13*ORÇAMENTO!$AF$7)*OFFSET(ORÇAMENTO!$W$15,ROW(AC175)-ROW(AC$15),0),15-13*ORÇAMENTO!$AF$11)),
         0)</f>
        <v>0</v>
      </c>
      <c r="AD175" s="454">
        <f ca="1">IF(AND($D175="Serviço",AD$12&lt;&gt;0,$H175&gt;0,OR(AUTOEVENTO&lt;&gt;"manual",$M175&lt;&gt;$A$15)),
        IF(Import.TipoArredondamento&lt;&gt;"TransfereGOV",
              ROUND(OFFSET($P175,0,AD$13),15-13*ORÇAMENTO!$AF$7)/$H175*OFFSET(ORÇAMENTO!$X$15,ROW(AD175)-ROW(AD$15),0),
              ROUND(ROUND(OFFSET($P175,0,AD$13),15-13*ORÇAMENTO!$AF$7)*OFFSET(ORÇAMENTO!$W$15,ROW(AD175)-ROW(AD$15),0),15-13*ORÇAMENTO!$AF$11)),
         0)</f>
        <v>0</v>
      </c>
      <c r="AE175" s="454">
        <f ca="1">IF(AND($D175="Serviço",AE$12&lt;&gt;0,$H175&gt;0,OR(AUTOEVENTO&lt;&gt;"manual",$M175&lt;&gt;$A$15)),
        IF(Import.TipoArredondamento&lt;&gt;"TransfereGOV",
              ROUND(OFFSET($P175,0,AE$13),15-13*ORÇAMENTO!$AF$7)/$H175*OFFSET(ORÇAMENTO!$X$15,ROW(AE175)-ROW(AE$15),0),
              ROUND(ROUND(OFFSET($P175,0,AE$13),15-13*ORÇAMENTO!$AF$7)*OFFSET(ORÇAMENTO!$W$15,ROW(AE175)-ROW(AE$15),0),15-13*ORÇAMENTO!$AF$11)),
         0)</f>
        <v>0</v>
      </c>
      <c r="AF175" s="454">
        <f ca="1">IF(AND($D175="Serviço",AF$12&lt;&gt;0,$H175&gt;0,OR(AUTOEVENTO&lt;&gt;"manual",$M175&lt;&gt;$A$15)),
        IF(Import.TipoArredondamento&lt;&gt;"TransfereGOV",
              ROUND(OFFSET($P175,0,AF$13),15-13*ORÇAMENTO!$AF$7)/$H175*OFFSET(ORÇAMENTO!$X$15,ROW(AF175)-ROW(AF$15),0),
              ROUND(ROUND(OFFSET($P175,0,AF$13),15-13*ORÇAMENTO!$AF$7)*OFFSET(ORÇAMENTO!$W$15,ROW(AF175)-ROW(AF$15),0),15-13*ORÇAMENTO!$AF$11)),
         0)</f>
        <v>0</v>
      </c>
      <c r="AG175" s="454">
        <f ca="1">IF(AND($D175="Serviço",AG$12&lt;&gt;0,$H175&gt;0,OR(AUTOEVENTO&lt;&gt;"manual",$M175&lt;&gt;$A$15)),
        IF(Import.TipoArredondamento&lt;&gt;"TransfereGOV",
              ROUND(OFFSET($P175,0,AG$13),15-13*ORÇAMENTO!$AF$7)/$H175*OFFSET(ORÇAMENTO!$X$15,ROW(AG175)-ROW(AG$15),0),
              ROUND(ROUND(OFFSET($P175,0,AG$13),15-13*ORÇAMENTO!$AF$7)*OFFSET(ORÇAMENTO!$W$15,ROW(AG175)-ROW(AG$15),0),15-13*ORÇAMENTO!$AF$11)),
         0)</f>
        <v>0</v>
      </c>
      <c r="AH175" s="454">
        <f ca="1">IF(AND($D175="Serviço",AH$12&lt;&gt;0,$H175&gt;0,OR(AUTOEVENTO&lt;&gt;"manual",$M175&lt;&gt;$A$15)),
        IF(Import.TipoArredondamento&lt;&gt;"TransfereGOV",
              ROUND(OFFSET($P175,0,AH$13),15-13*ORÇAMENTO!$AF$7)/$H175*OFFSET(ORÇAMENTO!$X$15,ROW(AH175)-ROW(AH$15),0),
              ROUND(ROUND(OFFSET($P175,0,AH$13),15-13*ORÇAMENTO!$AF$7)*OFFSET(ORÇAMENTO!$W$15,ROW(AH175)-ROW(AH$15),0),15-13*ORÇAMENTO!$AF$11)),
         0)</f>
        <v>0</v>
      </c>
      <c r="AI175" s="454">
        <f ca="1">IF(AND($D175="Serviço",AI$12&lt;&gt;0,$H175&gt;0,OR(AUTOEVENTO&lt;&gt;"manual",$M175&lt;&gt;$A$15)),
        IF(Import.TipoArredondamento&lt;&gt;"TransfereGOV",
              ROUND(OFFSET($P175,0,AI$13),15-13*ORÇAMENTO!$AF$7)/$H175*OFFSET(ORÇAMENTO!$X$15,ROW(AI175)-ROW(AI$15),0),
              ROUND(ROUND(OFFSET($P175,0,AI$13),15-13*ORÇAMENTO!$AF$7)*OFFSET(ORÇAMENTO!$W$15,ROW(AI175)-ROW(AI$15),0),15-13*ORÇAMENTO!$AF$11)),
         0)</f>
        <v>0</v>
      </c>
      <c r="AJ175" s="454">
        <f ca="1">IF(AND($D175="Serviço",AJ$12&lt;&gt;0,$H175&gt;0,OR(AUTOEVENTO&lt;&gt;"manual",$M175&lt;&gt;$A$15)),
        IF(Import.TipoArredondamento&lt;&gt;"TransfereGOV",
              ROUND(OFFSET($P175,0,AJ$13),15-13*ORÇAMENTO!$AF$7)/$H175*OFFSET(ORÇAMENTO!$X$15,ROW(AJ175)-ROW(AJ$15),0),
              ROUND(ROUND(OFFSET($P175,0,AJ$13),15-13*ORÇAMENTO!$AF$7)*OFFSET(ORÇAMENTO!$W$15,ROW(AJ175)-ROW(AJ$15),0),15-13*ORÇAMENTO!$AF$11)),
         0)</f>
        <v>0</v>
      </c>
      <c r="AK175" s="454">
        <f ca="1">IF(AND($D175="Serviço",AK$12&lt;&gt;0,$H175&gt;0,OR(AUTOEVENTO&lt;&gt;"manual",$M175&lt;&gt;$A$15)),
        IF(Import.TipoArredondamento&lt;&gt;"TransfereGOV",
              ROUND(OFFSET($P175,0,AK$13),15-13*ORÇAMENTO!$AF$7)/$H175*OFFSET(ORÇAMENTO!$X$15,ROW(AK175)-ROW(AK$15),0),
              ROUND(ROUND(OFFSET($P175,0,AK$13),15-13*ORÇAMENTO!$AF$7)*OFFSET(ORÇAMENTO!$W$15,ROW(AK175)-ROW(AK$15),0),15-13*ORÇAMENTO!$AF$11)),
         0)</f>
        <v>0</v>
      </c>
      <c r="AM175" s="172">
        <f ca="1">IF(OR($D175&lt;&gt;"Serviço",AND(AUTOEVENTO="Manual",$M175=$A$15)),0,
         IF(OFFSET(CRONOPLE!$F$15,$M175-$A$15,AM$13)=0,10^12,OFFSET(CRONOPLE!$F$15,$M175-$A$15,AM$13)))</f>
        <v>1000000000000</v>
      </c>
      <c r="AN175" s="172">
        <f ca="1">IF(OR($D175&lt;&gt;"Serviço",AND(AUTOEVENTO="Manual",$M175=$A$15)),0,
         IF(OFFSET(CRONOPLE!$F$15,$M175-$A$15,AN$13)=0,10^12,OFFSET(CRONOPLE!$F$15,$M175-$A$15,AN$13)))</f>
        <v>1000000000000</v>
      </c>
      <c r="AO175" s="172">
        <f ca="1">IF(OR($D175&lt;&gt;"Serviço",AND(AUTOEVENTO="Manual",$M175=$A$15)),0,
         IF(OFFSET(CRONOPLE!$F$15,$M175-$A$15,AO$13)=0,10^12,OFFSET(CRONOPLE!$F$15,$M175-$A$15,AO$13)))</f>
        <v>1000000000000</v>
      </c>
      <c r="AP175" s="172">
        <f ca="1">IF(OR($D175&lt;&gt;"Serviço",AND(AUTOEVENTO="Manual",$M175=$A$15)),0,
         IF(OFFSET(CRONOPLE!$F$15,$M175-$A$15,AP$13)=0,10^12,OFFSET(CRONOPLE!$F$15,$M175-$A$15,AP$13)))</f>
        <v>1000000000000</v>
      </c>
      <c r="AQ175" s="172">
        <f ca="1">IF(OR($D175&lt;&gt;"Serviço",AND(AUTOEVENTO="Manual",$M175=$A$15)),0,
         IF(OFFSET(CRONOPLE!$F$15,$M175-$A$15,AQ$13)=0,10^12,OFFSET(CRONOPLE!$F$15,$M175-$A$15,AQ$13)))</f>
        <v>1000000000000</v>
      </c>
      <c r="AR175" s="172">
        <f ca="1">IF(OR($D175&lt;&gt;"Serviço",AND(AUTOEVENTO="Manual",$M175=$A$15)),0,
         IF(OFFSET(CRONOPLE!$F$15,$M175-$A$15,AR$13)=0,10^12,OFFSET(CRONOPLE!$F$15,$M175-$A$15,AR$13)))</f>
        <v>1000000000000</v>
      </c>
      <c r="AS175" s="172">
        <f ca="1">IF(OR($D175&lt;&gt;"Serviço",AND(AUTOEVENTO="Manual",$M175=$A$15)),0,
         IF(OFFSET(CRONOPLE!$F$15,$M175-$A$15,AS$13)=0,10^12,OFFSET(CRONOPLE!$F$15,$M175-$A$15,AS$13)))</f>
        <v>1000000000000</v>
      </c>
      <c r="AT175" s="172">
        <f ca="1">IF(OR($D175&lt;&gt;"Serviço",AND(AUTOEVENTO="Manual",$M175=$A$15)),0,
         IF(OFFSET(CRONOPLE!$F$15,$M175-$A$15,AT$13)=0,10^12,OFFSET(CRONOPLE!$F$15,$M175-$A$15,AT$13)))</f>
        <v>1000000000000</v>
      </c>
      <c r="AU175" s="172">
        <f ca="1">IF(OR($D175&lt;&gt;"Serviço",AND(AUTOEVENTO="Manual",$M175=$A$15)),0,
         IF(OFFSET(CRONOPLE!$F$15,$M175-$A$15,AU$13)=0,10^12,OFFSET(CRONOPLE!$F$15,$M175-$A$15,AU$13)))</f>
        <v>1000000000000</v>
      </c>
      <c r="AV175" s="172">
        <f ca="1">IF(OR($D175&lt;&gt;"Serviço",AND(AUTOEVENTO="Manual",$M175=$A$15)),0,
         IF(OFFSET(CRONOPLE!$F$15,$M175-$A$15,AV$13)=0,10^12,OFFSET(CRONOPLE!$F$15,$M175-$A$15,AV$13)))</f>
        <v>1000000000000</v>
      </c>
      <c r="AX175" s="173">
        <f ca="1">IF(OR($D175&lt;&gt;"Serviço",AND(AUTOEVENTO="Manual",$M175=$A$15),$M175&gt;(ROW(PLE.lastrow)-ROW(PLE.firstrow))),0,
           IF(OFFSET(PLE!$G$15,$M175-$A$15,AX$13)="",10^12,OFFSET(PLE!$G$15,$M175-$A$15,AX$13)))</f>
        <v>1000000000000</v>
      </c>
      <c r="AY175" s="173">
        <f ca="1">IF(OR($D175&lt;&gt;"Serviço",AND(AUTOEVENTO="Manual",$M175=$A$15),$M175&gt;(ROW(PLE.lastrow)-ROW(PLE.firstrow))),0,
           IF(OFFSET(PLE!$G$15,$M175-$A$15,AY$13)="",10^12,OFFSET(PLE!$G$15,$M175-$A$15,AY$13)))</f>
        <v>1000000000000</v>
      </c>
      <c r="AZ175" s="173">
        <f ca="1">IF(OR($D175&lt;&gt;"Serviço",AND(AUTOEVENTO="Manual",$M175=$A$15),$M175&gt;(ROW(PLE.lastrow)-ROW(PLE.firstrow))),0,
           IF(OFFSET(PLE!$G$15,$M175-$A$15,AZ$13)="",10^12,OFFSET(PLE!$G$15,$M175-$A$15,AZ$13)))</f>
        <v>1000000000000</v>
      </c>
      <c r="BA175" s="173">
        <f ca="1">IF(OR($D175&lt;&gt;"Serviço",AND(AUTOEVENTO="Manual",$M175=$A$15),$M175&gt;(ROW(PLE.lastrow)-ROW(PLE.firstrow))),0,
           IF(OFFSET(PLE!$G$15,$M175-$A$15,BA$13)="",10^12,OFFSET(PLE!$G$15,$M175-$A$15,BA$13)))</f>
        <v>1000000000000</v>
      </c>
      <c r="BB175" s="173">
        <f ca="1">IF(OR($D175&lt;&gt;"Serviço",AND(AUTOEVENTO="Manual",$M175=$A$15),$M175&gt;(ROW(PLE.lastrow)-ROW(PLE.firstrow))),0,
           IF(OFFSET(PLE!$G$15,$M175-$A$15,BB$13)="",10^12,OFFSET(PLE!$G$15,$M175-$A$15,BB$13)))</f>
        <v>1000000000000</v>
      </c>
      <c r="BC175" s="173">
        <f ca="1">IF(OR($D175&lt;&gt;"Serviço",AND(AUTOEVENTO="Manual",$M175=$A$15),$M175&gt;(ROW(PLE.lastrow)-ROW(PLE.firstrow))),0,
           IF(OFFSET(PLE!$G$15,$M175-$A$15,BC$13)="",10^12,OFFSET(PLE!$G$15,$M175-$A$15,BC$13)))</f>
        <v>1000000000000</v>
      </c>
      <c r="BD175" s="173">
        <f ca="1">IF(OR($D175&lt;&gt;"Serviço",AND(AUTOEVENTO="Manual",$M175=$A$15),$M175&gt;(ROW(PLE.lastrow)-ROW(PLE.firstrow))),0,
           IF(OFFSET(PLE!$G$15,$M175-$A$15,BD$13)="",10^12,OFFSET(PLE!$G$15,$M175-$A$15,BD$13)))</f>
        <v>1000000000000</v>
      </c>
      <c r="BE175" s="173">
        <f ca="1">IF(OR($D175&lt;&gt;"Serviço",AND(AUTOEVENTO="Manual",$M175=$A$15),$M175&gt;(ROW(PLE.lastrow)-ROW(PLE.firstrow))),0,
           IF(OFFSET(PLE!$G$15,$M175-$A$15,BE$13)="",10^12,OFFSET(PLE!$G$15,$M175-$A$15,BE$13)))</f>
        <v>1000000000000</v>
      </c>
      <c r="BF175" s="173">
        <f ca="1">IF(OR($D175&lt;&gt;"Serviço",AND(AUTOEVENTO="Manual",$M175=$A$15),$M175&gt;(ROW(PLE.lastrow)-ROW(PLE.firstrow))),0,
           IF(OFFSET(PLE!$G$15,$M175-$A$15,BF$13)="",10^12,OFFSET(PLE!$G$15,$M175-$A$15,BF$13)))</f>
        <v>1000000000000</v>
      </c>
      <c r="BG175" s="173">
        <f ca="1">IF(OR($D175&lt;&gt;"Serviço",AND(AUTOEVENTO="Manual",$M175=$A$15),$M175&gt;(ROW(PLE.lastrow)-ROW(PLE.firstrow))),0,
           IF(OFFSET(PLE!$G$15,$M175-$A$15,BG$13)="",10^12,OFFSET(PLE!$G$15,$M175-$A$15,BG$13)))</f>
        <v>1000000000000</v>
      </c>
    </row>
    <row r="176" spans="1:59" s="675" customFormat="1" ht="51" x14ac:dyDescent="0.2">
      <c r="A176" s="671" t="str">
        <f t="shared" ca="1" si="11"/>
        <v>158</v>
      </c>
      <c r="B176" s="671" t="str">
        <f ca="1">OFFSET(ORÇAMENTO!C$15,ROW(B176)-ROW(B$15),0)</f>
        <v>S</v>
      </c>
      <c r="C176" s="671" t="str">
        <f ca="1">OFFSET(ORÇAMENTO!L$15,ROW(C176)-ROW(C$15),0)</f>
        <v/>
      </c>
      <c r="D176" s="117" t="str">
        <f ca="1">OFFSET(ORÇAMENTO!N$15,ROW(D176)-ROW(D$15),0)</f>
        <v>Serviço</v>
      </c>
      <c r="E176" s="118" t="str">
        <f ca="1">OFFSET(ORÇAMENTO!O$15,ROW(E176)-ROW(E$15),0)</f>
        <v>-</v>
      </c>
      <c r="F176" s="164" t="str">
        <f ca="1">OFFSET(ORÇAMENTO!R$15,ROW(F176)-ROW(F$15),0)</f>
        <v>(abra o arquivo 'Referência 09-2025.xlsm)</v>
      </c>
      <c r="G176" s="165" t="str">
        <f ca="1">IF($D176&lt;&gt;"Serviço","",OFFSET(ORÇAMENTO!S$15,ROW(G176)-ROW(G$15),0))</f>
        <v>-</v>
      </c>
      <c r="H176" s="123">
        <f ca="1">IF($D176&lt;&gt;"Serviço",0,IF(ACOMPANHAMENTO="BM",ROUND(OFFSET(ORÇAMENTO!AJ$15,ROW(H176)-ROW(H$15),0),15-13*ORÇAMENTO!$AF$7),SUMPRODUCT(($Q$1:$AA$1=1)*ROUND($Q176:$AA176,15-13*ORÇAMENTO!$AF$7))))</f>
        <v>98</v>
      </c>
      <c r="I176" s="469" t="s">
        <v>1110</v>
      </c>
      <c r="J176" s="667" t="str">
        <f ca="1">IF(OR(B176&lt;&gt;"S",CÁLCULO.FrentesPreenchidas=0),"",IF(AND(ACOMPANHAMENTO="PLE",AUTOEVENTO="Manual",OR(H176&gt;0,ORÇAMENTO!AC176="QUANT."),OR(K176="",M176=0,N176="")),"►",IF(AND(ACOMPANHAMENTO="PLE",ORÇAMENTO!AC176="QUANT."),"►►",IF(AND(COUNTIF($P$11:$AA$11,"▼")=0,H176&gt;0,I176=""),"◄",""))))</f>
        <v/>
      </c>
      <c r="K176" s="668"/>
      <c r="L176" s="166" t="s">
        <v>765</v>
      </c>
      <c r="M176" s="167">
        <f ca="1">IF($D176&lt;&gt;"Serviço","",
          IF(AUTOEVENTO="manual",$A176,
                IF(ISERROR(MATCH($A176,$A$15:OFFSET($A176,-1,0),0)),MAX($M$15:OFFSET(M176,-1,0))+1,
                      INDEX($M$15:OFFSET(M176,-1,0),MATCH($A176,$A$15:OFFSET($A176,-1,0),0)))))</f>
        <v>18</v>
      </c>
      <c r="N176" s="168" t="str">
        <f ca="1">IF($D176&lt;&gt;"Serviço","",
         IF(AUTOEVENTO="Manual",
                IF($A176=0,"&lt;-- defina o número do agrupador",
                       OFFSET(EVENTOS!$D$15,$A176-$A$15,0)),
                OFFSET($F$15,$A176,0)))</f>
        <v>FUNDAÇÃO</v>
      </c>
      <c r="O176" s="169"/>
      <c r="Q176" s="169"/>
      <c r="R176" s="170"/>
      <c r="S176" s="170"/>
      <c r="T176" s="170"/>
      <c r="U176" s="170"/>
      <c r="V176" s="170"/>
      <c r="W176" s="170"/>
      <c r="X176" s="170"/>
      <c r="Y176" s="170"/>
      <c r="Z176" s="171"/>
      <c r="AB176" s="454">
        <f ca="1">IF(AND($D176="Serviço",AB$12&lt;&gt;0,$H176&gt;0,OR(AUTOEVENTO&lt;&gt;"manual",$M176&lt;&gt;$A$15)),
        IF(Import.TipoArredondamento&lt;&gt;"TransfereGOV",
              ROUND(OFFSET($P176,0,AB$13),15-13*ORÇAMENTO!$AF$7)/$H176*OFFSET(ORÇAMENTO!$X$15,ROW(AB176)-ROW(AB$15),0),
              ROUND(ROUND(OFFSET($P176,0,AB$13),15-13*ORÇAMENTO!$AF$7)*OFFSET(ORÇAMENTO!$W$15,ROW(AB176)-ROW(AB$15),0),15-13*ORÇAMENTO!$AF$11)),
         0)</f>
        <v>0</v>
      </c>
      <c r="AC176" s="454">
        <f ca="1">IF(AND($D176="Serviço",AC$12&lt;&gt;0,$H176&gt;0,OR(AUTOEVENTO&lt;&gt;"manual",$M176&lt;&gt;$A$15)),
        IF(Import.TipoArredondamento&lt;&gt;"TransfereGOV",
              ROUND(OFFSET($P176,0,AC$13),15-13*ORÇAMENTO!$AF$7)/$H176*OFFSET(ORÇAMENTO!$X$15,ROW(AC176)-ROW(AC$15),0),
              ROUND(ROUND(OFFSET($P176,0,AC$13),15-13*ORÇAMENTO!$AF$7)*OFFSET(ORÇAMENTO!$W$15,ROW(AC176)-ROW(AC$15),0),15-13*ORÇAMENTO!$AF$11)),
         0)</f>
        <v>0</v>
      </c>
      <c r="AD176" s="454">
        <f ca="1">IF(AND($D176="Serviço",AD$12&lt;&gt;0,$H176&gt;0,OR(AUTOEVENTO&lt;&gt;"manual",$M176&lt;&gt;$A$15)),
        IF(Import.TipoArredondamento&lt;&gt;"TransfereGOV",
              ROUND(OFFSET($P176,0,AD$13),15-13*ORÇAMENTO!$AF$7)/$H176*OFFSET(ORÇAMENTO!$X$15,ROW(AD176)-ROW(AD$15),0),
              ROUND(ROUND(OFFSET($P176,0,AD$13),15-13*ORÇAMENTO!$AF$7)*OFFSET(ORÇAMENTO!$W$15,ROW(AD176)-ROW(AD$15),0),15-13*ORÇAMENTO!$AF$11)),
         0)</f>
        <v>0</v>
      </c>
      <c r="AE176" s="454">
        <f ca="1">IF(AND($D176="Serviço",AE$12&lt;&gt;0,$H176&gt;0,OR(AUTOEVENTO&lt;&gt;"manual",$M176&lt;&gt;$A$15)),
        IF(Import.TipoArredondamento&lt;&gt;"TransfereGOV",
              ROUND(OFFSET($P176,0,AE$13),15-13*ORÇAMENTO!$AF$7)/$H176*OFFSET(ORÇAMENTO!$X$15,ROW(AE176)-ROW(AE$15),0),
              ROUND(ROUND(OFFSET($P176,0,AE$13),15-13*ORÇAMENTO!$AF$7)*OFFSET(ORÇAMENTO!$W$15,ROW(AE176)-ROW(AE$15),0),15-13*ORÇAMENTO!$AF$11)),
         0)</f>
        <v>0</v>
      </c>
      <c r="AF176" s="454">
        <f ca="1">IF(AND($D176="Serviço",AF$12&lt;&gt;0,$H176&gt;0,OR(AUTOEVENTO&lt;&gt;"manual",$M176&lt;&gt;$A$15)),
        IF(Import.TipoArredondamento&lt;&gt;"TransfereGOV",
              ROUND(OFFSET($P176,0,AF$13),15-13*ORÇAMENTO!$AF$7)/$H176*OFFSET(ORÇAMENTO!$X$15,ROW(AF176)-ROW(AF$15),0),
              ROUND(ROUND(OFFSET($P176,0,AF$13),15-13*ORÇAMENTO!$AF$7)*OFFSET(ORÇAMENTO!$W$15,ROW(AF176)-ROW(AF$15),0),15-13*ORÇAMENTO!$AF$11)),
         0)</f>
        <v>0</v>
      </c>
      <c r="AG176" s="454">
        <f ca="1">IF(AND($D176="Serviço",AG$12&lt;&gt;0,$H176&gt;0,OR(AUTOEVENTO&lt;&gt;"manual",$M176&lt;&gt;$A$15)),
        IF(Import.TipoArredondamento&lt;&gt;"TransfereGOV",
              ROUND(OFFSET($P176,0,AG$13),15-13*ORÇAMENTO!$AF$7)/$H176*OFFSET(ORÇAMENTO!$X$15,ROW(AG176)-ROW(AG$15),0),
              ROUND(ROUND(OFFSET($P176,0,AG$13),15-13*ORÇAMENTO!$AF$7)*OFFSET(ORÇAMENTO!$W$15,ROW(AG176)-ROW(AG$15),0),15-13*ORÇAMENTO!$AF$11)),
         0)</f>
        <v>0</v>
      </c>
      <c r="AH176" s="454">
        <f ca="1">IF(AND($D176="Serviço",AH$12&lt;&gt;0,$H176&gt;0,OR(AUTOEVENTO&lt;&gt;"manual",$M176&lt;&gt;$A$15)),
        IF(Import.TipoArredondamento&lt;&gt;"TransfereGOV",
              ROUND(OFFSET($P176,0,AH$13),15-13*ORÇAMENTO!$AF$7)/$H176*OFFSET(ORÇAMENTO!$X$15,ROW(AH176)-ROW(AH$15),0),
              ROUND(ROUND(OFFSET($P176,0,AH$13),15-13*ORÇAMENTO!$AF$7)*OFFSET(ORÇAMENTO!$W$15,ROW(AH176)-ROW(AH$15),0),15-13*ORÇAMENTO!$AF$11)),
         0)</f>
        <v>0</v>
      </c>
      <c r="AI176" s="454">
        <f ca="1">IF(AND($D176="Serviço",AI$12&lt;&gt;0,$H176&gt;0,OR(AUTOEVENTO&lt;&gt;"manual",$M176&lt;&gt;$A$15)),
        IF(Import.TipoArredondamento&lt;&gt;"TransfereGOV",
              ROUND(OFFSET($P176,0,AI$13),15-13*ORÇAMENTO!$AF$7)/$H176*OFFSET(ORÇAMENTO!$X$15,ROW(AI176)-ROW(AI$15),0),
              ROUND(ROUND(OFFSET($P176,0,AI$13),15-13*ORÇAMENTO!$AF$7)*OFFSET(ORÇAMENTO!$W$15,ROW(AI176)-ROW(AI$15),0),15-13*ORÇAMENTO!$AF$11)),
         0)</f>
        <v>0</v>
      </c>
      <c r="AJ176" s="454">
        <f ca="1">IF(AND($D176="Serviço",AJ$12&lt;&gt;0,$H176&gt;0,OR(AUTOEVENTO&lt;&gt;"manual",$M176&lt;&gt;$A$15)),
        IF(Import.TipoArredondamento&lt;&gt;"TransfereGOV",
              ROUND(OFFSET($P176,0,AJ$13),15-13*ORÇAMENTO!$AF$7)/$H176*OFFSET(ORÇAMENTO!$X$15,ROW(AJ176)-ROW(AJ$15),0),
              ROUND(ROUND(OFFSET($P176,0,AJ$13),15-13*ORÇAMENTO!$AF$7)*OFFSET(ORÇAMENTO!$W$15,ROW(AJ176)-ROW(AJ$15),0),15-13*ORÇAMENTO!$AF$11)),
         0)</f>
        <v>0</v>
      </c>
      <c r="AK176" s="454">
        <f ca="1">IF(AND($D176="Serviço",AK$12&lt;&gt;0,$H176&gt;0,OR(AUTOEVENTO&lt;&gt;"manual",$M176&lt;&gt;$A$15)),
        IF(Import.TipoArredondamento&lt;&gt;"TransfereGOV",
              ROUND(OFFSET($P176,0,AK$13),15-13*ORÇAMENTO!$AF$7)/$H176*OFFSET(ORÇAMENTO!$X$15,ROW(AK176)-ROW(AK$15),0),
              ROUND(ROUND(OFFSET($P176,0,AK$13),15-13*ORÇAMENTO!$AF$7)*OFFSET(ORÇAMENTO!$W$15,ROW(AK176)-ROW(AK$15),0),15-13*ORÇAMENTO!$AF$11)),
         0)</f>
        <v>0</v>
      </c>
      <c r="AM176" s="172">
        <f ca="1">IF(OR($D176&lt;&gt;"Serviço",AND(AUTOEVENTO="Manual",$M176=$A$15)),0,
         IF(OFFSET(CRONOPLE!$F$15,$M176-$A$15,AM$13)=0,10^12,OFFSET(CRONOPLE!$F$15,$M176-$A$15,AM$13)))</f>
        <v>1000000000000</v>
      </c>
      <c r="AN176" s="172">
        <f ca="1">IF(OR($D176&lt;&gt;"Serviço",AND(AUTOEVENTO="Manual",$M176=$A$15)),0,
         IF(OFFSET(CRONOPLE!$F$15,$M176-$A$15,AN$13)=0,10^12,OFFSET(CRONOPLE!$F$15,$M176-$A$15,AN$13)))</f>
        <v>1000000000000</v>
      </c>
      <c r="AO176" s="172">
        <f ca="1">IF(OR($D176&lt;&gt;"Serviço",AND(AUTOEVENTO="Manual",$M176=$A$15)),0,
         IF(OFFSET(CRONOPLE!$F$15,$M176-$A$15,AO$13)=0,10^12,OFFSET(CRONOPLE!$F$15,$M176-$A$15,AO$13)))</f>
        <v>1000000000000</v>
      </c>
      <c r="AP176" s="172">
        <f ca="1">IF(OR($D176&lt;&gt;"Serviço",AND(AUTOEVENTO="Manual",$M176=$A$15)),0,
         IF(OFFSET(CRONOPLE!$F$15,$M176-$A$15,AP$13)=0,10^12,OFFSET(CRONOPLE!$F$15,$M176-$A$15,AP$13)))</f>
        <v>1000000000000</v>
      </c>
      <c r="AQ176" s="172">
        <f ca="1">IF(OR($D176&lt;&gt;"Serviço",AND(AUTOEVENTO="Manual",$M176=$A$15)),0,
         IF(OFFSET(CRONOPLE!$F$15,$M176-$A$15,AQ$13)=0,10^12,OFFSET(CRONOPLE!$F$15,$M176-$A$15,AQ$13)))</f>
        <v>1000000000000</v>
      </c>
      <c r="AR176" s="172">
        <f ca="1">IF(OR($D176&lt;&gt;"Serviço",AND(AUTOEVENTO="Manual",$M176=$A$15)),0,
         IF(OFFSET(CRONOPLE!$F$15,$M176-$A$15,AR$13)=0,10^12,OFFSET(CRONOPLE!$F$15,$M176-$A$15,AR$13)))</f>
        <v>1000000000000</v>
      </c>
      <c r="AS176" s="172">
        <f ca="1">IF(OR($D176&lt;&gt;"Serviço",AND(AUTOEVENTO="Manual",$M176=$A$15)),0,
         IF(OFFSET(CRONOPLE!$F$15,$M176-$A$15,AS$13)=0,10^12,OFFSET(CRONOPLE!$F$15,$M176-$A$15,AS$13)))</f>
        <v>1000000000000</v>
      </c>
      <c r="AT176" s="172">
        <f ca="1">IF(OR($D176&lt;&gt;"Serviço",AND(AUTOEVENTO="Manual",$M176=$A$15)),0,
         IF(OFFSET(CRONOPLE!$F$15,$M176-$A$15,AT$13)=0,10^12,OFFSET(CRONOPLE!$F$15,$M176-$A$15,AT$13)))</f>
        <v>1000000000000</v>
      </c>
      <c r="AU176" s="172">
        <f ca="1">IF(OR($D176&lt;&gt;"Serviço",AND(AUTOEVENTO="Manual",$M176=$A$15)),0,
         IF(OFFSET(CRONOPLE!$F$15,$M176-$A$15,AU$13)=0,10^12,OFFSET(CRONOPLE!$F$15,$M176-$A$15,AU$13)))</f>
        <v>1000000000000</v>
      </c>
      <c r="AV176" s="172">
        <f ca="1">IF(OR($D176&lt;&gt;"Serviço",AND(AUTOEVENTO="Manual",$M176=$A$15)),0,
         IF(OFFSET(CRONOPLE!$F$15,$M176-$A$15,AV$13)=0,10^12,OFFSET(CRONOPLE!$F$15,$M176-$A$15,AV$13)))</f>
        <v>1000000000000</v>
      </c>
      <c r="AX176" s="173">
        <f ca="1">IF(OR($D176&lt;&gt;"Serviço",AND(AUTOEVENTO="Manual",$M176=$A$15),$M176&gt;(ROW(PLE.lastrow)-ROW(PLE.firstrow))),0,
           IF(OFFSET(PLE!$G$15,$M176-$A$15,AX$13)="",10^12,OFFSET(PLE!$G$15,$M176-$A$15,AX$13)))</f>
        <v>1000000000000</v>
      </c>
      <c r="AY176" s="173">
        <f ca="1">IF(OR($D176&lt;&gt;"Serviço",AND(AUTOEVENTO="Manual",$M176=$A$15),$M176&gt;(ROW(PLE.lastrow)-ROW(PLE.firstrow))),0,
           IF(OFFSET(PLE!$G$15,$M176-$A$15,AY$13)="",10^12,OFFSET(PLE!$G$15,$M176-$A$15,AY$13)))</f>
        <v>1000000000000</v>
      </c>
      <c r="AZ176" s="173">
        <f ca="1">IF(OR($D176&lt;&gt;"Serviço",AND(AUTOEVENTO="Manual",$M176=$A$15),$M176&gt;(ROW(PLE.lastrow)-ROW(PLE.firstrow))),0,
           IF(OFFSET(PLE!$G$15,$M176-$A$15,AZ$13)="",10^12,OFFSET(PLE!$G$15,$M176-$A$15,AZ$13)))</f>
        <v>1000000000000</v>
      </c>
      <c r="BA176" s="173">
        <f ca="1">IF(OR($D176&lt;&gt;"Serviço",AND(AUTOEVENTO="Manual",$M176=$A$15),$M176&gt;(ROW(PLE.lastrow)-ROW(PLE.firstrow))),0,
           IF(OFFSET(PLE!$G$15,$M176-$A$15,BA$13)="",10^12,OFFSET(PLE!$G$15,$M176-$A$15,BA$13)))</f>
        <v>1000000000000</v>
      </c>
      <c r="BB176" s="173">
        <f ca="1">IF(OR($D176&lt;&gt;"Serviço",AND(AUTOEVENTO="Manual",$M176=$A$15),$M176&gt;(ROW(PLE.lastrow)-ROW(PLE.firstrow))),0,
           IF(OFFSET(PLE!$G$15,$M176-$A$15,BB$13)="",10^12,OFFSET(PLE!$G$15,$M176-$A$15,BB$13)))</f>
        <v>1000000000000</v>
      </c>
      <c r="BC176" s="173">
        <f ca="1">IF(OR($D176&lt;&gt;"Serviço",AND(AUTOEVENTO="Manual",$M176=$A$15),$M176&gt;(ROW(PLE.lastrow)-ROW(PLE.firstrow))),0,
           IF(OFFSET(PLE!$G$15,$M176-$A$15,BC$13)="",10^12,OFFSET(PLE!$G$15,$M176-$A$15,BC$13)))</f>
        <v>1000000000000</v>
      </c>
      <c r="BD176" s="173">
        <f ca="1">IF(OR($D176&lt;&gt;"Serviço",AND(AUTOEVENTO="Manual",$M176=$A$15),$M176&gt;(ROW(PLE.lastrow)-ROW(PLE.firstrow))),0,
           IF(OFFSET(PLE!$G$15,$M176-$A$15,BD$13)="",10^12,OFFSET(PLE!$G$15,$M176-$A$15,BD$13)))</f>
        <v>1000000000000</v>
      </c>
      <c r="BE176" s="173">
        <f ca="1">IF(OR($D176&lt;&gt;"Serviço",AND(AUTOEVENTO="Manual",$M176=$A$15),$M176&gt;(ROW(PLE.lastrow)-ROW(PLE.firstrow))),0,
           IF(OFFSET(PLE!$G$15,$M176-$A$15,BE$13)="",10^12,OFFSET(PLE!$G$15,$M176-$A$15,BE$13)))</f>
        <v>1000000000000</v>
      </c>
      <c r="BF176" s="173">
        <f ca="1">IF(OR($D176&lt;&gt;"Serviço",AND(AUTOEVENTO="Manual",$M176=$A$15),$M176&gt;(ROW(PLE.lastrow)-ROW(PLE.firstrow))),0,
           IF(OFFSET(PLE!$G$15,$M176-$A$15,BF$13)="",10^12,OFFSET(PLE!$G$15,$M176-$A$15,BF$13)))</f>
        <v>1000000000000</v>
      </c>
      <c r="BG176" s="173">
        <f ca="1">IF(OR($D176&lt;&gt;"Serviço",AND(AUTOEVENTO="Manual",$M176=$A$15),$M176&gt;(ROW(PLE.lastrow)-ROW(PLE.firstrow))),0,
           IF(OFFSET(PLE!$G$15,$M176-$A$15,BG$13)="",10^12,OFFSET(PLE!$G$15,$M176-$A$15,BG$13)))</f>
        <v>1000000000000</v>
      </c>
    </row>
    <row r="177" spans="1:59" s="711" customFormat="1" ht="51" x14ac:dyDescent="0.2">
      <c r="A177" s="709" t="str">
        <f t="shared" ca="1" si="11"/>
        <v>158</v>
      </c>
      <c r="B177" s="709" t="str">
        <f ca="1">OFFSET(ORÇAMENTO!C$15,ROW(B177)-ROW(B$15),0)</f>
        <v>S</v>
      </c>
      <c r="C177" s="709" t="str">
        <f ca="1">OFFSET(ORÇAMENTO!L$15,ROW(C177)-ROW(C$15),0)</f>
        <v/>
      </c>
      <c r="D177" s="117" t="str">
        <f ca="1">OFFSET(ORÇAMENTO!N$15,ROW(D177)-ROW(D$15),0)</f>
        <v>Serviço</v>
      </c>
      <c r="E177" s="118" t="str">
        <f ca="1">OFFSET(ORÇAMENTO!O$15,ROW(E177)-ROW(E$15),0)</f>
        <v>-</v>
      </c>
      <c r="F177" s="164" t="str">
        <f ca="1">OFFSET(ORÇAMENTO!R$15,ROW(F177)-ROW(F$15),0)</f>
        <v>(abra o arquivo 'Referência 09-2025.xlsm)</v>
      </c>
      <c r="G177" s="165" t="str">
        <f ca="1">IF($D177&lt;&gt;"Serviço","",OFFSET(ORÇAMENTO!S$15,ROW(G177)-ROW(G$15),0))</f>
        <v>-</v>
      </c>
      <c r="H177" s="123">
        <f ca="1">IF($D177&lt;&gt;"Serviço",0,IF(ACOMPANHAMENTO="BM",ROUND(OFFSET(ORÇAMENTO!AJ$15,ROW(H177)-ROW(H$15),0),15-13*ORÇAMENTO!$AF$7),SUMPRODUCT(($Q$1:$AA$1=1)*ROUND($Q177:$AA177,15-13*ORÇAMENTO!$AF$7))))</f>
        <v>1</v>
      </c>
      <c r="I177" s="469"/>
      <c r="J177" s="667" t="str">
        <f ca="1">IF(OR(B177&lt;&gt;"S",CÁLCULO.FrentesPreenchidas=0),"",IF(AND(ACOMPANHAMENTO="PLE",AUTOEVENTO="Manual",OR(H177&gt;0,ORÇAMENTO!AC177="QUANT."),OR(K177="",M177=0,N177="")),"►",IF(AND(ACOMPANHAMENTO="PLE",ORÇAMENTO!AC177="QUANT."),"►►",IF(AND(COUNTIF($P$11:$AA$11,"▼")=0,H177&gt;0,I177=""),"◄",""))))</f>
        <v/>
      </c>
      <c r="K177" s="668"/>
      <c r="L177" s="166" t="s">
        <v>765</v>
      </c>
      <c r="M177" s="167">
        <f ca="1">IF($D177&lt;&gt;"Serviço","",
          IF(AUTOEVENTO="manual",$A177,
                IF(ISERROR(MATCH($A177,$A$15:OFFSET($A177,-1,0),0)),MAX($M$15:OFFSET(M177,-1,0))+1,
                      INDEX($M$15:OFFSET(M177,-1,0),MATCH($A177,$A$15:OFFSET($A177,-1,0),0)))))</f>
        <v>18</v>
      </c>
      <c r="N177" s="168" t="str">
        <f ca="1">IF($D177&lt;&gt;"Serviço","",
         IF(AUTOEVENTO="Manual",
                IF($A177=0,"&lt;-- defina o número do agrupador",
                       OFFSET(EVENTOS!$D$15,$A177-$A$15,0)),
                OFFSET($F$15,$A177,0)))</f>
        <v>FUNDAÇÃO</v>
      </c>
      <c r="O177" s="169"/>
      <c r="Q177" s="169"/>
      <c r="R177" s="170"/>
      <c r="S177" s="170"/>
      <c r="T177" s="170"/>
      <c r="U177" s="170"/>
      <c r="V177" s="170"/>
      <c r="W177" s="170"/>
      <c r="X177" s="170"/>
      <c r="Y177" s="170"/>
      <c r="Z177" s="171"/>
      <c r="AB177" s="454">
        <f ca="1">IF(AND($D177="Serviço",AB$12&lt;&gt;0,$H177&gt;0,OR(AUTOEVENTO&lt;&gt;"manual",$M177&lt;&gt;$A$15)),
        IF(Import.TipoArredondamento&lt;&gt;"TransfereGOV",
              ROUND(OFFSET($P177,0,AB$13),15-13*ORÇAMENTO!$AF$7)/$H177*OFFSET(ORÇAMENTO!$X$15,ROW(AB177)-ROW(AB$15),0),
              ROUND(ROUND(OFFSET($P177,0,AB$13),15-13*ORÇAMENTO!$AF$7)*OFFSET(ORÇAMENTO!$W$15,ROW(AB177)-ROW(AB$15),0),15-13*ORÇAMENTO!$AF$11)),
         0)</f>
        <v>0</v>
      </c>
      <c r="AC177" s="454">
        <f ca="1">IF(AND($D177="Serviço",AC$12&lt;&gt;0,$H177&gt;0,OR(AUTOEVENTO&lt;&gt;"manual",$M177&lt;&gt;$A$15)),
        IF(Import.TipoArredondamento&lt;&gt;"TransfereGOV",
              ROUND(OFFSET($P177,0,AC$13),15-13*ORÇAMENTO!$AF$7)/$H177*OFFSET(ORÇAMENTO!$X$15,ROW(AC177)-ROW(AC$15),0),
              ROUND(ROUND(OFFSET($P177,0,AC$13),15-13*ORÇAMENTO!$AF$7)*OFFSET(ORÇAMENTO!$W$15,ROW(AC177)-ROW(AC$15),0),15-13*ORÇAMENTO!$AF$11)),
         0)</f>
        <v>0</v>
      </c>
      <c r="AD177" s="454">
        <f ca="1">IF(AND($D177="Serviço",AD$12&lt;&gt;0,$H177&gt;0,OR(AUTOEVENTO&lt;&gt;"manual",$M177&lt;&gt;$A$15)),
        IF(Import.TipoArredondamento&lt;&gt;"TransfereGOV",
              ROUND(OFFSET($P177,0,AD$13),15-13*ORÇAMENTO!$AF$7)/$H177*OFFSET(ORÇAMENTO!$X$15,ROW(AD177)-ROW(AD$15),0),
              ROUND(ROUND(OFFSET($P177,0,AD$13),15-13*ORÇAMENTO!$AF$7)*OFFSET(ORÇAMENTO!$W$15,ROW(AD177)-ROW(AD$15),0),15-13*ORÇAMENTO!$AF$11)),
         0)</f>
        <v>0</v>
      </c>
      <c r="AE177" s="454">
        <f ca="1">IF(AND($D177="Serviço",AE$12&lt;&gt;0,$H177&gt;0,OR(AUTOEVENTO&lt;&gt;"manual",$M177&lt;&gt;$A$15)),
        IF(Import.TipoArredondamento&lt;&gt;"TransfereGOV",
              ROUND(OFFSET($P177,0,AE$13),15-13*ORÇAMENTO!$AF$7)/$H177*OFFSET(ORÇAMENTO!$X$15,ROW(AE177)-ROW(AE$15),0),
              ROUND(ROUND(OFFSET($P177,0,AE$13),15-13*ORÇAMENTO!$AF$7)*OFFSET(ORÇAMENTO!$W$15,ROW(AE177)-ROW(AE$15),0),15-13*ORÇAMENTO!$AF$11)),
         0)</f>
        <v>0</v>
      </c>
      <c r="AF177" s="454">
        <f ca="1">IF(AND($D177="Serviço",AF$12&lt;&gt;0,$H177&gt;0,OR(AUTOEVENTO&lt;&gt;"manual",$M177&lt;&gt;$A$15)),
        IF(Import.TipoArredondamento&lt;&gt;"TransfereGOV",
              ROUND(OFFSET($P177,0,AF$13),15-13*ORÇAMENTO!$AF$7)/$H177*OFFSET(ORÇAMENTO!$X$15,ROW(AF177)-ROW(AF$15),0),
              ROUND(ROUND(OFFSET($P177,0,AF$13),15-13*ORÇAMENTO!$AF$7)*OFFSET(ORÇAMENTO!$W$15,ROW(AF177)-ROW(AF$15),0),15-13*ORÇAMENTO!$AF$11)),
         0)</f>
        <v>0</v>
      </c>
      <c r="AG177" s="454">
        <f ca="1">IF(AND($D177="Serviço",AG$12&lt;&gt;0,$H177&gt;0,OR(AUTOEVENTO&lt;&gt;"manual",$M177&lt;&gt;$A$15)),
        IF(Import.TipoArredondamento&lt;&gt;"TransfereGOV",
              ROUND(OFFSET($P177,0,AG$13),15-13*ORÇAMENTO!$AF$7)/$H177*OFFSET(ORÇAMENTO!$X$15,ROW(AG177)-ROW(AG$15),0),
              ROUND(ROUND(OFFSET($P177,0,AG$13),15-13*ORÇAMENTO!$AF$7)*OFFSET(ORÇAMENTO!$W$15,ROW(AG177)-ROW(AG$15),0),15-13*ORÇAMENTO!$AF$11)),
         0)</f>
        <v>0</v>
      </c>
      <c r="AH177" s="454">
        <f ca="1">IF(AND($D177="Serviço",AH$12&lt;&gt;0,$H177&gt;0,OR(AUTOEVENTO&lt;&gt;"manual",$M177&lt;&gt;$A$15)),
        IF(Import.TipoArredondamento&lt;&gt;"TransfereGOV",
              ROUND(OFFSET($P177,0,AH$13),15-13*ORÇAMENTO!$AF$7)/$H177*OFFSET(ORÇAMENTO!$X$15,ROW(AH177)-ROW(AH$15),0),
              ROUND(ROUND(OFFSET($P177,0,AH$13),15-13*ORÇAMENTO!$AF$7)*OFFSET(ORÇAMENTO!$W$15,ROW(AH177)-ROW(AH$15),0),15-13*ORÇAMENTO!$AF$11)),
         0)</f>
        <v>0</v>
      </c>
      <c r="AI177" s="454">
        <f ca="1">IF(AND($D177="Serviço",AI$12&lt;&gt;0,$H177&gt;0,OR(AUTOEVENTO&lt;&gt;"manual",$M177&lt;&gt;$A$15)),
        IF(Import.TipoArredondamento&lt;&gt;"TransfereGOV",
              ROUND(OFFSET($P177,0,AI$13),15-13*ORÇAMENTO!$AF$7)/$H177*OFFSET(ORÇAMENTO!$X$15,ROW(AI177)-ROW(AI$15),0),
              ROUND(ROUND(OFFSET($P177,0,AI$13),15-13*ORÇAMENTO!$AF$7)*OFFSET(ORÇAMENTO!$W$15,ROW(AI177)-ROW(AI$15),0),15-13*ORÇAMENTO!$AF$11)),
         0)</f>
        <v>0</v>
      </c>
      <c r="AJ177" s="454">
        <f ca="1">IF(AND($D177="Serviço",AJ$12&lt;&gt;0,$H177&gt;0,OR(AUTOEVENTO&lt;&gt;"manual",$M177&lt;&gt;$A$15)),
        IF(Import.TipoArredondamento&lt;&gt;"TransfereGOV",
              ROUND(OFFSET($P177,0,AJ$13),15-13*ORÇAMENTO!$AF$7)/$H177*OFFSET(ORÇAMENTO!$X$15,ROW(AJ177)-ROW(AJ$15),0),
              ROUND(ROUND(OFFSET($P177,0,AJ$13),15-13*ORÇAMENTO!$AF$7)*OFFSET(ORÇAMENTO!$W$15,ROW(AJ177)-ROW(AJ$15),0),15-13*ORÇAMENTO!$AF$11)),
         0)</f>
        <v>0</v>
      </c>
      <c r="AK177" s="454">
        <f ca="1">IF(AND($D177="Serviço",AK$12&lt;&gt;0,$H177&gt;0,OR(AUTOEVENTO&lt;&gt;"manual",$M177&lt;&gt;$A$15)),
        IF(Import.TipoArredondamento&lt;&gt;"TransfereGOV",
              ROUND(OFFSET($P177,0,AK$13),15-13*ORÇAMENTO!$AF$7)/$H177*OFFSET(ORÇAMENTO!$X$15,ROW(AK177)-ROW(AK$15),0),
              ROUND(ROUND(OFFSET($P177,0,AK$13),15-13*ORÇAMENTO!$AF$7)*OFFSET(ORÇAMENTO!$W$15,ROW(AK177)-ROW(AK$15),0),15-13*ORÇAMENTO!$AF$11)),
         0)</f>
        <v>0</v>
      </c>
      <c r="AM177" s="172">
        <f ca="1">IF(OR($D177&lt;&gt;"Serviço",AND(AUTOEVENTO="Manual",$M177=$A$15)),0,
         IF(OFFSET(CRONOPLE!$F$15,$M177-$A$15,AM$13)=0,10^12,OFFSET(CRONOPLE!$F$15,$M177-$A$15,AM$13)))</f>
        <v>1000000000000</v>
      </c>
      <c r="AN177" s="172">
        <f ca="1">IF(OR($D177&lt;&gt;"Serviço",AND(AUTOEVENTO="Manual",$M177=$A$15)),0,
         IF(OFFSET(CRONOPLE!$F$15,$M177-$A$15,AN$13)=0,10^12,OFFSET(CRONOPLE!$F$15,$M177-$A$15,AN$13)))</f>
        <v>1000000000000</v>
      </c>
      <c r="AO177" s="172">
        <f ca="1">IF(OR($D177&lt;&gt;"Serviço",AND(AUTOEVENTO="Manual",$M177=$A$15)),0,
         IF(OFFSET(CRONOPLE!$F$15,$M177-$A$15,AO$13)=0,10^12,OFFSET(CRONOPLE!$F$15,$M177-$A$15,AO$13)))</f>
        <v>1000000000000</v>
      </c>
      <c r="AP177" s="172">
        <f ca="1">IF(OR($D177&lt;&gt;"Serviço",AND(AUTOEVENTO="Manual",$M177=$A$15)),0,
         IF(OFFSET(CRONOPLE!$F$15,$M177-$A$15,AP$13)=0,10^12,OFFSET(CRONOPLE!$F$15,$M177-$A$15,AP$13)))</f>
        <v>1000000000000</v>
      </c>
      <c r="AQ177" s="172">
        <f ca="1">IF(OR($D177&lt;&gt;"Serviço",AND(AUTOEVENTO="Manual",$M177=$A$15)),0,
         IF(OFFSET(CRONOPLE!$F$15,$M177-$A$15,AQ$13)=0,10^12,OFFSET(CRONOPLE!$F$15,$M177-$A$15,AQ$13)))</f>
        <v>1000000000000</v>
      </c>
      <c r="AR177" s="172">
        <f ca="1">IF(OR($D177&lt;&gt;"Serviço",AND(AUTOEVENTO="Manual",$M177=$A$15)),0,
         IF(OFFSET(CRONOPLE!$F$15,$M177-$A$15,AR$13)=0,10^12,OFFSET(CRONOPLE!$F$15,$M177-$A$15,AR$13)))</f>
        <v>1000000000000</v>
      </c>
      <c r="AS177" s="172">
        <f ca="1">IF(OR($D177&lt;&gt;"Serviço",AND(AUTOEVENTO="Manual",$M177=$A$15)),0,
         IF(OFFSET(CRONOPLE!$F$15,$M177-$A$15,AS$13)=0,10^12,OFFSET(CRONOPLE!$F$15,$M177-$A$15,AS$13)))</f>
        <v>1000000000000</v>
      </c>
      <c r="AT177" s="172">
        <f ca="1">IF(OR($D177&lt;&gt;"Serviço",AND(AUTOEVENTO="Manual",$M177=$A$15)),0,
         IF(OFFSET(CRONOPLE!$F$15,$M177-$A$15,AT$13)=0,10^12,OFFSET(CRONOPLE!$F$15,$M177-$A$15,AT$13)))</f>
        <v>1000000000000</v>
      </c>
      <c r="AU177" s="172">
        <f ca="1">IF(OR($D177&lt;&gt;"Serviço",AND(AUTOEVENTO="Manual",$M177=$A$15)),0,
         IF(OFFSET(CRONOPLE!$F$15,$M177-$A$15,AU$13)=0,10^12,OFFSET(CRONOPLE!$F$15,$M177-$A$15,AU$13)))</f>
        <v>1000000000000</v>
      </c>
      <c r="AV177" s="172">
        <f ca="1">IF(OR($D177&lt;&gt;"Serviço",AND(AUTOEVENTO="Manual",$M177=$A$15)),0,
         IF(OFFSET(CRONOPLE!$F$15,$M177-$A$15,AV$13)=0,10^12,OFFSET(CRONOPLE!$F$15,$M177-$A$15,AV$13)))</f>
        <v>1000000000000</v>
      </c>
      <c r="AX177" s="173">
        <f ca="1">IF(OR($D177&lt;&gt;"Serviço",AND(AUTOEVENTO="Manual",$M177=$A$15),$M177&gt;(ROW(PLE.lastrow)-ROW(PLE.firstrow))),0,
           IF(OFFSET(PLE!$G$15,$M177-$A$15,AX$13)="",10^12,OFFSET(PLE!$G$15,$M177-$A$15,AX$13)))</f>
        <v>1000000000000</v>
      </c>
      <c r="AY177" s="173">
        <f ca="1">IF(OR($D177&lt;&gt;"Serviço",AND(AUTOEVENTO="Manual",$M177=$A$15),$M177&gt;(ROW(PLE.lastrow)-ROW(PLE.firstrow))),0,
           IF(OFFSET(PLE!$G$15,$M177-$A$15,AY$13)="",10^12,OFFSET(PLE!$G$15,$M177-$A$15,AY$13)))</f>
        <v>1000000000000</v>
      </c>
      <c r="AZ177" s="173">
        <f ca="1">IF(OR($D177&lt;&gt;"Serviço",AND(AUTOEVENTO="Manual",$M177=$A$15),$M177&gt;(ROW(PLE.lastrow)-ROW(PLE.firstrow))),0,
           IF(OFFSET(PLE!$G$15,$M177-$A$15,AZ$13)="",10^12,OFFSET(PLE!$G$15,$M177-$A$15,AZ$13)))</f>
        <v>1000000000000</v>
      </c>
      <c r="BA177" s="173">
        <f ca="1">IF(OR($D177&lt;&gt;"Serviço",AND(AUTOEVENTO="Manual",$M177=$A$15),$M177&gt;(ROW(PLE.lastrow)-ROW(PLE.firstrow))),0,
           IF(OFFSET(PLE!$G$15,$M177-$A$15,BA$13)="",10^12,OFFSET(PLE!$G$15,$M177-$A$15,BA$13)))</f>
        <v>1000000000000</v>
      </c>
      <c r="BB177" s="173">
        <f ca="1">IF(OR($D177&lt;&gt;"Serviço",AND(AUTOEVENTO="Manual",$M177=$A$15),$M177&gt;(ROW(PLE.lastrow)-ROW(PLE.firstrow))),0,
           IF(OFFSET(PLE!$G$15,$M177-$A$15,BB$13)="",10^12,OFFSET(PLE!$G$15,$M177-$A$15,BB$13)))</f>
        <v>1000000000000</v>
      </c>
      <c r="BC177" s="173">
        <f ca="1">IF(OR($D177&lt;&gt;"Serviço",AND(AUTOEVENTO="Manual",$M177=$A$15),$M177&gt;(ROW(PLE.lastrow)-ROW(PLE.firstrow))),0,
           IF(OFFSET(PLE!$G$15,$M177-$A$15,BC$13)="",10^12,OFFSET(PLE!$G$15,$M177-$A$15,BC$13)))</f>
        <v>1000000000000</v>
      </c>
      <c r="BD177" s="173">
        <f ca="1">IF(OR($D177&lt;&gt;"Serviço",AND(AUTOEVENTO="Manual",$M177=$A$15),$M177&gt;(ROW(PLE.lastrow)-ROW(PLE.firstrow))),0,
           IF(OFFSET(PLE!$G$15,$M177-$A$15,BD$13)="",10^12,OFFSET(PLE!$G$15,$M177-$A$15,BD$13)))</f>
        <v>1000000000000</v>
      </c>
      <c r="BE177" s="173">
        <f ca="1">IF(OR($D177&lt;&gt;"Serviço",AND(AUTOEVENTO="Manual",$M177=$A$15),$M177&gt;(ROW(PLE.lastrow)-ROW(PLE.firstrow))),0,
           IF(OFFSET(PLE!$G$15,$M177-$A$15,BE$13)="",10^12,OFFSET(PLE!$G$15,$M177-$A$15,BE$13)))</f>
        <v>1000000000000</v>
      </c>
      <c r="BF177" s="173">
        <f ca="1">IF(OR($D177&lt;&gt;"Serviço",AND(AUTOEVENTO="Manual",$M177=$A$15),$M177&gt;(ROW(PLE.lastrow)-ROW(PLE.firstrow))),0,
           IF(OFFSET(PLE!$G$15,$M177-$A$15,BF$13)="",10^12,OFFSET(PLE!$G$15,$M177-$A$15,BF$13)))</f>
        <v>1000000000000</v>
      </c>
      <c r="BG177" s="173">
        <f ca="1">IF(OR($D177&lt;&gt;"Serviço",AND(AUTOEVENTO="Manual",$M177=$A$15),$M177&gt;(ROW(PLE.lastrow)-ROW(PLE.firstrow))),0,
           IF(OFFSET(PLE!$G$15,$M177-$A$15,BG$13)="",10^12,OFFSET(PLE!$G$15,$M177-$A$15,BG$13)))</f>
        <v>1000000000000</v>
      </c>
    </row>
    <row r="178" spans="1:59" s="714" customFormat="1" ht="38.25" x14ac:dyDescent="0.2">
      <c r="A178" s="712" t="str">
        <f t="shared" ca="1" si="11"/>
        <v>158</v>
      </c>
      <c r="B178" s="712" t="str">
        <f ca="1">OFFSET(ORÇAMENTO!C$15,ROW(B178)-ROW(B$15),0)</f>
        <v>S</v>
      </c>
      <c r="C178" s="712" t="str">
        <f ca="1">OFFSET(ORÇAMENTO!L$15,ROW(C178)-ROW(C$15),0)</f>
        <v/>
      </c>
      <c r="D178" s="117" t="str">
        <f ca="1">OFFSET(ORÇAMENTO!N$15,ROW(D178)-ROW(D$15),0)</f>
        <v>Serviço</v>
      </c>
      <c r="E178" s="118" t="str">
        <f ca="1">OFFSET(ORÇAMENTO!O$15,ROW(E178)-ROW(E$15),0)</f>
        <v>-</v>
      </c>
      <c r="F178" s="164" t="str">
        <f ca="1">OFFSET(ORÇAMENTO!R$15,ROW(F178)-ROW(F$15),0)</f>
        <v>(abra o arquivo 'Referência 09-2025.xlsm)</v>
      </c>
      <c r="G178" s="165" t="str">
        <f ca="1">IF($D178&lt;&gt;"Serviço","",OFFSET(ORÇAMENTO!S$15,ROW(G178)-ROW(G$15),0))</f>
        <v>-</v>
      </c>
      <c r="H178" s="123">
        <f ca="1">IF($D178&lt;&gt;"Serviço",0,IF(ACOMPANHAMENTO="BM",ROUND(OFFSET(ORÇAMENTO!AJ$15,ROW(H178)-ROW(H$15),0),15-13*ORÇAMENTO!$AF$7),SUMPRODUCT(($Q$1:$AA$1=1)*ROUND($Q178:$AA178,15-13*ORÇAMENTO!$AF$7))))</f>
        <v>30</v>
      </c>
      <c r="I178" s="469"/>
      <c r="J178" s="667" t="str">
        <f ca="1">IF(OR(B178&lt;&gt;"S",CÁLCULO.FrentesPreenchidas=0),"",IF(AND(ACOMPANHAMENTO="PLE",AUTOEVENTO="Manual",OR(H178&gt;0,ORÇAMENTO!AC178="QUANT."),OR(K178="",M178=0,N178="")),"►",IF(AND(ACOMPANHAMENTO="PLE",ORÇAMENTO!AC178="QUANT."),"►►",IF(AND(COUNTIF($P$11:$AA$11,"▼")=0,H178&gt;0,I178=""),"◄",""))))</f>
        <v/>
      </c>
      <c r="K178" s="668"/>
      <c r="L178" s="166" t="s">
        <v>765</v>
      </c>
      <c r="M178" s="167">
        <f ca="1">IF($D178&lt;&gt;"Serviço","",
          IF(AUTOEVENTO="manual",$A178,
                IF(ISERROR(MATCH($A178,$A$15:OFFSET($A178,-1,0),0)),MAX($M$15:OFFSET(M178,-1,0))+1,
                      INDEX($M$15:OFFSET(M178,-1,0),MATCH($A178,$A$15:OFFSET($A178,-1,0),0)))))</f>
        <v>18</v>
      </c>
      <c r="N178" s="168" t="str">
        <f ca="1">IF($D178&lt;&gt;"Serviço","",
         IF(AUTOEVENTO="Manual",
                IF($A178=0,"&lt;-- defina o número do agrupador",
                       OFFSET(EVENTOS!$D$15,$A178-$A$15,0)),
                OFFSET($F$15,$A178,0)))</f>
        <v>FUNDAÇÃO</v>
      </c>
      <c r="O178" s="169"/>
      <c r="Q178" s="169"/>
      <c r="R178" s="170"/>
      <c r="S178" s="170"/>
      <c r="T178" s="170"/>
      <c r="U178" s="170"/>
      <c r="V178" s="170"/>
      <c r="W178" s="170"/>
      <c r="X178" s="170"/>
      <c r="Y178" s="170"/>
      <c r="Z178" s="171"/>
      <c r="AB178" s="454">
        <f ca="1">IF(AND($D178="Serviço",AB$12&lt;&gt;0,$H178&gt;0,OR(AUTOEVENTO&lt;&gt;"manual",$M178&lt;&gt;$A$15)),
        IF(Import.TipoArredondamento&lt;&gt;"TransfereGOV",
              ROUND(OFFSET($P178,0,AB$13),15-13*ORÇAMENTO!$AF$7)/$H178*OFFSET(ORÇAMENTO!$X$15,ROW(AB178)-ROW(AB$15),0),
              ROUND(ROUND(OFFSET($P178,0,AB$13),15-13*ORÇAMENTO!$AF$7)*OFFSET(ORÇAMENTO!$W$15,ROW(AB178)-ROW(AB$15),0),15-13*ORÇAMENTO!$AF$11)),
         0)</f>
        <v>0</v>
      </c>
      <c r="AC178" s="454">
        <f ca="1">IF(AND($D178="Serviço",AC$12&lt;&gt;0,$H178&gt;0,OR(AUTOEVENTO&lt;&gt;"manual",$M178&lt;&gt;$A$15)),
        IF(Import.TipoArredondamento&lt;&gt;"TransfereGOV",
              ROUND(OFFSET($P178,0,AC$13),15-13*ORÇAMENTO!$AF$7)/$H178*OFFSET(ORÇAMENTO!$X$15,ROW(AC178)-ROW(AC$15),0),
              ROUND(ROUND(OFFSET($P178,0,AC$13),15-13*ORÇAMENTO!$AF$7)*OFFSET(ORÇAMENTO!$W$15,ROW(AC178)-ROW(AC$15),0),15-13*ORÇAMENTO!$AF$11)),
         0)</f>
        <v>0</v>
      </c>
      <c r="AD178" s="454">
        <f ca="1">IF(AND($D178="Serviço",AD$12&lt;&gt;0,$H178&gt;0,OR(AUTOEVENTO&lt;&gt;"manual",$M178&lt;&gt;$A$15)),
        IF(Import.TipoArredondamento&lt;&gt;"TransfereGOV",
              ROUND(OFFSET($P178,0,AD$13),15-13*ORÇAMENTO!$AF$7)/$H178*OFFSET(ORÇAMENTO!$X$15,ROW(AD178)-ROW(AD$15),0),
              ROUND(ROUND(OFFSET($P178,0,AD$13),15-13*ORÇAMENTO!$AF$7)*OFFSET(ORÇAMENTO!$W$15,ROW(AD178)-ROW(AD$15),0),15-13*ORÇAMENTO!$AF$11)),
         0)</f>
        <v>0</v>
      </c>
      <c r="AE178" s="454">
        <f ca="1">IF(AND($D178="Serviço",AE$12&lt;&gt;0,$H178&gt;0,OR(AUTOEVENTO&lt;&gt;"manual",$M178&lt;&gt;$A$15)),
        IF(Import.TipoArredondamento&lt;&gt;"TransfereGOV",
              ROUND(OFFSET($P178,0,AE$13),15-13*ORÇAMENTO!$AF$7)/$H178*OFFSET(ORÇAMENTO!$X$15,ROW(AE178)-ROW(AE$15),0),
              ROUND(ROUND(OFFSET($P178,0,AE$13),15-13*ORÇAMENTO!$AF$7)*OFFSET(ORÇAMENTO!$W$15,ROW(AE178)-ROW(AE$15),0),15-13*ORÇAMENTO!$AF$11)),
         0)</f>
        <v>0</v>
      </c>
      <c r="AF178" s="454">
        <f ca="1">IF(AND($D178="Serviço",AF$12&lt;&gt;0,$H178&gt;0,OR(AUTOEVENTO&lt;&gt;"manual",$M178&lt;&gt;$A$15)),
        IF(Import.TipoArredondamento&lt;&gt;"TransfereGOV",
              ROUND(OFFSET($P178,0,AF$13),15-13*ORÇAMENTO!$AF$7)/$H178*OFFSET(ORÇAMENTO!$X$15,ROW(AF178)-ROW(AF$15),0),
              ROUND(ROUND(OFFSET($P178,0,AF$13),15-13*ORÇAMENTO!$AF$7)*OFFSET(ORÇAMENTO!$W$15,ROW(AF178)-ROW(AF$15),0),15-13*ORÇAMENTO!$AF$11)),
         0)</f>
        <v>0</v>
      </c>
      <c r="AG178" s="454">
        <f ca="1">IF(AND($D178="Serviço",AG$12&lt;&gt;0,$H178&gt;0,OR(AUTOEVENTO&lt;&gt;"manual",$M178&lt;&gt;$A$15)),
        IF(Import.TipoArredondamento&lt;&gt;"TransfereGOV",
              ROUND(OFFSET($P178,0,AG$13),15-13*ORÇAMENTO!$AF$7)/$H178*OFFSET(ORÇAMENTO!$X$15,ROW(AG178)-ROW(AG$15),0),
              ROUND(ROUND(OFFSET($P178,0,AG$13),15-13*ORÇAMENTO!$AF$7)*OFFSET(ORÇAMENTO!$W$15,ROW(AG178)-ROW(AG$15),0),15-13*ORÇAMENTO!$AF$11)),
         0)</f>
        <v>0</v>
      </c>
      <c r="AH178" s="454">
        <f ca="1">IF(AND($D178="Serviço",AH$12&lt;&gt;0,$H178&gt;0,OR(AUTOEVENTO&lt;&gt;"manual",$M178&lt;&gt;$A$15)),
        IF(Import.TipoArredondamento&lt;&gt;"TransfereGOV",
              ROUND(OFFSET($P178,0,AH$13),15-13*ORÇAMENTO!$AF$7)/$H178*OFFSET(ORÇAMENTO!$X$15,ROW(AH178)-ROW(AH$15),0),
              ROUND(ROUND(OFFSET($P178,0,AH$13),15-13*ORÇAMENTO!$AF$7)*OFFSET(ORÇAMENTO!$W$15,ROW(AH178)-ROW(AH$15),0),15-13*ORÇAMENTO!$AF$11)),
         0)</f>
        <v>0</v>
      </c>
      <c r="AI178" s="454">
        <f ca="1">IF(AND($D178="Serviço",AI$12&lt;&gt;0,$H178&gt;0,OR(AUTOEVENTO&lt;&gt;"manual",$M178&lt;&gt;$A$15)),
        IF(Import.TipoArredondamento&lt;&gt;"TransfereGOV",
              ROUND(OFFSET($P178,0,AI$13),15-13*ORÇAMENTO!$AF$7)/$H178*OFFSET(ORÇAMENTO!$X$15,ROW(AI178)-ROW(AI$15),0),
              ROUND(ROUND(OFFSET($P178,0,AI$13),15-13*ORÇAMENTO!$AF$7)*OFFSET(ORÇAMENTO!$W$15,ROW(AI178)-ROW(AI$15),0),15-13*ORÇAMENTO!$AF$11)),
         0)</f>
        <v>0</v>
      </c>
      <c r="AJ178" s="454">
        <f ca="1">IF(AND($D178="Serviço",AJ$12&lt;&gt;0,$H178&gt;0,OR(AUTOEVENTO&lt;&gt;"manual",$M178&lt;&gt;$A$15)),
        IF(Import.TipoArredondamento&lt;&gt;"TransfereGOV",
              ROUND(OFFSET($P178,0,AJ$13),15-13*ORÇAMENTO!$AF$7)/$H178*OFFSET(ORÇAMENTO!$X$15,ROW(AJ178)-ROW(AJ$15),0),
              ROUND(ROUND(OFFSET($P178,0,AJ$13),15-13*ORÇAMENTO!$AF$7)*OFFSET(ORÇAMENTO!$W$15,ROW(AJ178)-ROW(AJ$15),0),15-13*ORÇAMENTO!$AF$11)),
         0)</f>
        <v>0</v>
      </c>
      <c r="AK178" s="454">
        <f ca="1">IF(AND($D178="Serviço",AK$12&lt;&gt;0,$H178&gt;0,OR(AUTOEVENTO&lt;&gt;"manual",$M178&lt;&gt;$A$15)),
        IF(Import.TipoArredondamento&lt;&gt;"TransfereGOV",
              ROUND(OFFSET($P178,0,AK$13),15-13*ORÇAMENTO!$AF$7)/$H178*OFFSET(ORÇAMENTO!$X$15,ROW(AK178)-ROW(AK$15),0),
              ROUND(ROUND(OFFSET($P178,0,AK$13),15-13*ORÇAMENTO!$AF$7)*OFFSET(ORÇAMENTO!$W$15,ROW(AK178)-ROW(AK$15),0),15-13*ORÇAMENTO!$AF$11)),
         0)</f>
        <v>0</v>
      </c>
      <c r="AM178" s="172">
        <f ca="1">IF(OR($D178&lt;&gt;"Serviço",AND(AUTOEVENTO="Manual",$M178=$A$15)),0,
         IF(OFFSET(CRONOPLE!$F$15,$M178-$A$15,AM$13)=0,10^12,OFFSET(CRONOPLE!$F$15,$M178-$A$15,AM$13)))</f>
        <v>1000000000000</v>
      </c>
      <c r="AN178" s="172">
        <f ca="1">IF(OR($D178&lt;&gt;"Serviço",AND(AUTOEVENTO="Manual",$M178=$A$15)),0,
         IF(OFFSET(CRONOPLE!$F$15,$M178-$A$15,AN$13)=0,10^12,OFFSET(CRONOPLE!$F$15,$M178-$A$15,AN$13)))</f>
        <v>1000000000000</v>
      </c>
      <c r="AO178" s="172">
        <f ca="1">IF(OR($D178&lt;&gt;"Serviço",AND(AUTOEVENTO="Manual",$M178=$A$15)),0,
         IF(OFFSET(CRONOPLE!$F$15,$M178-$A$15,AO$13)=0,10^12,OFFSET(CRONOPLE!$F$15,$M178-$A$15,AO$13)))</f>
        <v>1000000000000</v>
      </c>
      <c r="AP178" s="172">
        <f ca="1">IF(OR($D178&lt;&gt;"Serviço",AND(AUTOEVENTO="Manual",$M178=$A$15)),0,
         IF(OFFSET(CRONOPLE!$F$15,$M178-$A$15,AP$13)=0,10^12,OFFSET(CRONOPLE!$F$15,$M178-$A$15,AP$13)))</f>
        <v>1000000000000</v>
      </c>
      <c r="AQ178" s="172">
        <f ca="1">IF(OR($D178&lt;&gt;"Serviço",AND(AUTOEVENTO="Manual",$M178=$A$15)),0,
         IF(OFFSET(CRONOPLE!$F$15,$M178-$A$15,AQ$13)=0,10^12,OFFSET(CRONOPLE!$F$15,$M178-$A$15,AQ$13)))</f>
        <v>1000000000000</v>
      </c>
      <c r="AR178" s="172">
        <f ca="1">IF(OR($D178&lt;&gt;"Serviço",AND(AUTOEVENTO="Manual",$M178=$A$15)),0,
         IF(OFFSET(CRONOPLE!$F$15,$M178-$A$15,AR$13)=0,10^12,OFFSET(CRONOPLE!$F$15,$M178-$A$15,AR$13)))</f>
        <v>1000000000000</v>
      </c>
      <c r="AS178" s="172">
        <f ca="1">IF(OR($D178&lt;&gt;"Serviço",AND(AUTOEVENTO="Manual",$M178=$A$15)),0,
         IF(OFFSET(CRONOPLE!$F$15,$M178-$A$15,AS$13)=0,10^12,OFFSET(CRONOPLE!$F$15,$M178-$A$15,AS$13)))</f>
        <v>1000000000000</v>
      </c>
      <c r="AT178" s="172">
        <f ca="1">IF(OR($D178&lt;&gt;"Serviço",AND(AUTOEVENTO="Manual",$M178=$A$15)),0,
         IF(OFFSET(CRONOPLE!$F$15,$M178-$A$15,AT$13)=0,10^12,OFFSET(CRONOPLE!$F$15,$M178-$A$15,AT$13)))</f>
        <v>1000000000000</v>
      </c>
      <c r="AU178" s="172">
        <f ca="1">IF(OR($D178&lt;&gt;"Serviço",AND(AUTOEVENTO="Manual",$M178=$A$15)),0,
         IF(OFFSET(CRONOPLE!$F$15,$M178-$A$15,AU$13)=0,10^12,OFFSET(CRONOPLE!$F$15,$M178-$A$15,AU$13)))</f>
        <v>1000000000000</v>
      </c>
      <c r="AV178" s="172">
        <f ca="1">IF(OR($D178&lt;&gt;"Serviço",AND(AUTOEVENTO="Manual",$M178=$A$15)),0,
         IF(OFFSET(CRONOPLE!$F$15,$M178-$A$15,AV$13)=0,10^12,OFFSET(CRONOPLE!$F$15,$M178-$A$15,AV$13)))</f>
        <v>1000000000000</v>
      </c>
      <c r="AX178" s="173">
        <f ca="1">IF(OR($D178&lt;&gt;"Serviço",AND(AUTOEVENTO="Manual",$M178=$A$15),$M178&gt;(ROW(PLE.lastrow)-ROW(PLE.firstrow))),0,
           IF(OFFSET(PLE!$G$15,$M178-$A$15,AX$13)="",10^12,OFFSET(PLE!$G$15,$M178-$A$15,AX$13)))</f>
        <v>1000000000000</v>
      </c>
      <c r="AY178" s="173">
        <f ca="1">IF(OR($D178&lt;&gt;"Serviço",AND(AUTOEVENTO="Manual",$M178=$A$15),$M178&gt;(ROW(PLE.lastrow)-ROW(PLE.firstrow))),0,
           IF(OFFSET(PLE!$G$15,$M178-$A$15,AY$13)="",10^12,OFFSET(PLE!$G$15,$M178-$A$15,AY$13)))</f>
        <v>1000000000000</v>
      </c>
      <c r="AZ178" s="173">
        <f ca="1">IF(OR($D178&lt;&gt;"Serviço",AND(AUTOEVENTO="Manual",$M178=$A$15),$M178&gt;(ROW(PLE.lastrow)-ROW(PLE.firstrow))),0,
           IF(OFFSET(PLE!$G$15,$M178-$A$15,AZ$13)="",10^12,OFFSET(PLE!$G$15,$M178-$A$15,AZ$13)))</f>
        <v>1000000000000</v>
      </c>
      <c r="BA178" s="173">
        <f ca="1">IF(OR($D178&lt;&gt;"Serviço",AND(AUTOEVENTO="Manual",$M178=$A$15),$M178&gt;(ROW(PLE.lastrow)-ROW(PLE.firstrow))),0,
           IF(OFFSET(PLE!$G$15,$M178-$A$15,BA$13)="",10^12,OFFSET(PLE!$G$15,$M178-$A$15,BA$13)))</f>
        <v>1000000000000</v>
      </c>
      <c r="BB178" s="173">
        <f ca="1">IF(OR($D178&lt;&gt;"Serviço",AND(AUTOEVENTO="Manual",$M178=$A$15),$M178&gt;(ROW(PLE.lastrow)-ROW(PLE.firstrow))),0,
           IF(OFFSET(PLE!$G$15,$M178-$A$15,BB$13)="",10^12,OFFSET(PLE!$G$15,$M178-$A$15,BB$13)))</f>
        <v>1000000000000</v>
      </c>
      <c r="BC178" s="173">
        <f ca="1">IF(OR($D178&lt;&gt;"Serviço",AND(AUTOEVENTO="Manual",$M178=$A$15),$M178&gt;(ROW(PLE.lastrow)-ROW(PLE.firstrow))),0,
           IF(OFFSET(PLE!$G$15,$M178-$A$15,BC$13)="",10^12,OFFSET(PLE!$G$15,$M178-$A$15,BC$13)))</f>
        <v>1000000000000</v>
      </c>
      <c r="BD178" s="173">
        <f ca="1">IF(OR($D178&lt;&gt;"Serviço",AND(AUTOEVENTO="Manual",$M178=$A$15),$M178&gt;(ROW(PLE.lastrow)-ROW(PLE.firstrow))),0,
           IF(OFFSET(PLE!$G$15,$M178-$A$15,BD$13)="",10^12,OFFSET(PLE!$G$15,$M178-$A$15,BD$13)))</f>
        <v>1000000000000</v>
      </c>
      <c r="BE178" s="173">
        <f ca="1">IF(OR($D178&lt;&gt;"Serviço",AND(AUTOEVENTO="Manual",$M178=$A$15),$M178&gt;(ROW(PLE.lastrow)-ROW(PLE.firstrow))),0,
           IF(OFFSET(PLE!$G$15,$M178-$A$15,BE$13)="",10^12,OFFSET(PLE!$G$15,$M178-$A$15,BE$13)))</f>
        <v>1000000000000</v>
      </c>
      <c r="BF178" s="173">
        <f ca="1">IF(OR($D178&lt;&gt;"Serviço",AND(AUTOEVENTO="Manual",$M178=$A$15),$M178&gt;(ROW(PLE.lastrow)-ROW(PLE.firstrow))),0,
           IF(OFFSET(PLE!$G$15,$M178-$A$15,BF$13)="",10^12,OFFSET(PLE!$G$15,$M178-$A$15,BF$13)))</f>
        <v>1000000000000</v>
      </c>
      <c r="BG178" s="173">
        <f ca="1">IF(OR($D178&lt;&gt;"Serviço",AND(AUTOEVENTO="Manual",$M178=$A$15),$M178&gt;(ROW(PLE.lastrow)-ROW(PLE.firstrow))),0,
           IF(OFFSET(PLE!$G$15,$M178-$A$15,BG$13)="",10^12,OFFSET(PLE!$G$15,$M178-$A$15,BG$13)))</f>
        <v>1000000000000</v>
      </c>
    </row>
    <row r="179" spans="1:59" s="675" customFormat="1" ht="38.25" x14ac:dyDescent="0.2">
      <c r="A179" s="671" t="str">
        <f t="shared" ca="1" si="11"/>
        <v>158</v>
      </c>
      <c r="B179" s="671" t="str">
        <f ca="1">OFFSET(ORÇAMENTO!C$15,ROW(B179)-ROW(B$15),0)</f>
        <v>S</v>
      </c>
      <c r="C179" s="671" t="str">
        <f ca="1">OFFSET(ORÇAMENTO!L$15,ROW(C179)-ROW(C$15),0)</f>
        <v/>
      </c>
      <c r="D179" s="117" t="str">
        <f ca="1">OFFSET(ORÇAMENTO!N$15,ROW(D179)-ROW(D$15),0)</f>
        <v>Serviço</v>
      </c>
      <c r="E179" s="118" t="str">
        <f ca="1">OFFSET(ORÇAMENTO!O$15,ROW(E179)-ROW(E$15),0)</f>
        <v>-</v>
      </c>
      <c r="F179" s="164" t="str">
        <f ca="1">OFFSET(ORÇAMENTO!R$15,ROW(F179)-ROW(F$15),0)</f>
        <v>(abra o arquivo 'Referência 09-2025.xlsm)</v>
      </c>
      <c r="G179" s="165" t="str">
        <f ca="1">IF($D179&lt;&gt;"Serviço","",OFFSET(ORÇAMENTO!S$15,ROW(G179)-ROW(G$15),0))</f>
        <v>-</v>
      </c>
      <c r="H179" s="123">
        <f ca="1">IF($D179&lt;&gt;"Serviço",0,IF(ACOMPANHAMENTO="BM",ROUND(OFFSET(ORÇAMENTO!AJ$15,ROW(H179)-ROW(H$15),0),15-13*ORÇAMENTO!$AF$7),SUMPRODUCT(($Q$1:$AA$1=1)*ROUND($Q179:$AA179,15-13*ORÇAMENTO!$AF$7))))</f>
        <v>2.16</v>
      </c>
      <c r="I179" s="469" t="s">
        <v>1110</v>
      </c>
      <c r="J179" s="667" t="str">
        <f ca="1">IF(OR(B179&lt;&gt;"S",CÁLCULO.FrentesPreenchidas=0),"",IF(AND(ACOMPANHAMENTO="PLE",AUTOEVENTO="Manual",OR(H179&gt;0,ORÇAMENTO!AC179="QUANT."),OR(K179="",M179=0,N179="")),"►",IF(AND(ACOMPANHAMENTO="PLE",ORÇAMENTO!AC179="QUANT."),"►►",IF(AND(COUNTIF($P$11:$AA$11,"▼")=0,H179&gt;0,I179=""),"◄",""))))</f>
        <v/>
      </c>
      <c r="K179" s="668"/>
      <c r="L179" s="166" t="s">
        <v>765</v>
      </c>
      <c r="M179" s="167">
        <f ca="1">IF($D179&lt;&gt;"Serviço","",
          IF(AUTOEVENTO="manual",$A179,
                IF(ISERROR(MATCH($A179,$A$15:OFFSET($A179,-1,0),0)),MAX($M$15:OFFSET(M179,-1,0))+1,
                      INDEX($M$15:OFFSET(M179,-1,0),MATCH($A179,$A$15:OFFSET($A179,-1,0),0)))))</f>
        <v>18</v>
      </c>
      <c r="N179" s="168" t="str">
        <f ca="1">IF($D179&lt;&gt;"Serviço","",
         IF(AUTOEVENTO="Manual",
                IF($A179=0,"&lt;-- defina o número do agrupador",
                       OFFSET(EVENTOS!$D$15,$A179-$A$15,0)),
                OFFSET($F$15,$A179,0)))</f>
        <v>FUNDAÇÃO</v>
      </c>
      <c r="O179" s="169"/>
      <c r="Q179" s="169"/>
      <c r="R179" s="170"/>
      <c r="S179" s="170"/>
      <c r="T179" s="170"/>
      <c r="U179" s="170"/>
      <c r="V179" s="170"/>
      <c r="W179" s="170"/>
      <c r="X179" s="170"/>
      <c r="Y179" s="170"/>
      <c r="Z179" s="171"/>
      <c r="AB179" s="454">
        <f ca="1">IF(AND($D179="Serviço",AB$12&lt;&gt;0,$H179&gt;0,OR(AUTOEVENTO&lt;&gt;"manual",$M179&lt;&gt;$A$15)),
        IF(Import.TipoArredondamento&lt;&gt;"TransfereGOV",
              ROUND(OFFSET($P179,0,AB$13),15-13*ORÇAMENTO!$AF$7)/$H179*OFFSET(ORÇAMENTO!$X$15,ROW(AB179)-ROW(AB$15),0),
              ROUND(ROUND(OFFSET($P179,0,AB$13),15-13*ORÇAMENTO!$AF$7)*OFFSET(ORÇAMENTO!$W$15,ROW(AB179)-ROW(AB$15),0),15-13*ORÇAMENTO!$AF$11)),
         0)</f>
        <v>0</v>
      </c>
      <c r="AC179" s="454">
        <f ca="1">IF(AND($D179="Serviço",AC$12&lt;&gt;0,$H179&gt;0,OR(AUTOEVENTO&lt;&gt;"manual",$M179&lt;&gt;$A$15)),
        IF(Import.TipoArredondamento&lt;&gt;"TransfereGOV",
              ROUND(OFFSET($P179,0,AC$13),15-13*ORÇAMENTO!$AF$7)/$H179*OFFSET(ORÇAMENTO!$X$15,ROW(AC179)-ROW(AC$15),0),
              ROUND(ROUND(OFFSET($P179,0,AC$13),15-13*ORÇAMENTO!$AF$7)*OFFSET(ORÇAMENTO!$W$15,ROW(AC179)-ROW(AC$15),0),15-13*ORÇAMENTO!$AF$11)),
         0)</f>
        <v>0</v>
      </c>
      <c r="AD179" s="454">
        <f ca="1">IF(AND($D179="Serviço",AD$12&lt;&gt;0,$H179&gt;0,OR(AUTOEVENTO&lt;&gt;"manual",$M179&lt;&gt;$A$15)),
        IF(Import.TipoArredondamento&lt;&gt;"TransfereGOV",
              ROUND(OFFSET($P179,0,AD$13),15-13*ORÇAMENTO!$AF$7)/$H179*OFFSET(ORÇAMENTO!$X$15,ROW(AD179)-ROW(AD$15),0),
              ROUND(ROUND(OFFSET($P179,0,AD$13),15-13*ORÇAMENTO!$AF$7)*OFFSET(ORÇAMENTO!$W$15,ROW(AD179)-ROW(AD$15),0),15-13*ORÇAMENTO!$AF$11)),
         0)</f>
        <v>0</v>
      </c>
      <c r="AE179" s="454">
        <f ca="1">IF(AND($D179="Serviço",AE$12&lt;&gt;0,$H179&gt;0,OR(AUTOEVENTO&lt;&gt;"manual",$M179&lt;&gt;$A$15)),
        IF(Import.TipoArredondamento&lt;&gt;"TransfereGOV",
              ROUND(OFFSET($P179,0,AE$13),15-13*ORÇAMENTO!$AF$7)/$H179*OFFSET(ORÇAMENTO!$X$15,ROW(AE179)-ROW(AE$15),0),
              ROUND(ROUND(OFFSET($P179,0,AE$13),15-13*ORÇAMENTO!$AF$7)*OFFSET(ORÇAMENTO!$W$15,ROW(AE179)-ROW(AE$15),0),15-13*ORÇAMENTO!$AF$11)),
         0)</f>
        <v>0</v>
      </c>
      <c r="AF179" s="454">
        <f ca="1">IF(AND($D179="Serviço",AF$12&lt;&gt;0,$H179&gt;0,OR(AUTOEVENTO&lt;&gt;"manual",$M179&lt;&gt;$A$15)),
        IF(Import.TipoArredondamento&lt;&gt;"TransfereGOV",
              ROUND(OFFSET($P179,0,AF$13),15-13*ORÇAMENTO!$AF$7)/$H179*OFFSET(ORÇAMENTO!$X$15,ROW(AF179)-ROW(AF$15),0),
              ROUND(ROUND(OFFSET($P179,0,AF$13),15-13*ORÇAMENTO!$AF$7)*OFFSET(ORÇAMENTO!$W$15,ROW(AF179)-ROW(AF$15),0),15-13*ORÇAMENTO!$AF$11)),
         0)</f>
        <v>0</v>
      </c>
      <c r="AG179" s="454">
        <f ca="1">IF(AND($D179="Serviço",AG$12&lt;&gt;0,$H179&gt;0,OR(AUTOEVENTO&lt;&gt;"manual",$M179&lt;&gt;$A$15)),
        IF(Import.TipoArredondamento&lt;&gt;"TransfereGOV",
              ROUND(OFFSET($P179,0,AG$13),15-13*ORÇAMENTO!$AF$7)/$H179*OFFSET(ORÇAMENTO!$X$15,ROW(AG179)-ROW(AG$15),0),
              ROUND(ROUND(OFFSET($P179,0,AG$13),15-13*ORÇAMENTO!$AF$7)*OFFSET(ORÇAMENTO!$W$15,ROW(AG179)-ROW(AG$15),0),15-13*ORÇAMENTO!$AF$11)),
         0)</f>
        <v>0</v>
      </c>
      <c r="AH179" s="454">
        <f ca="1">IF(AND($D179="Serviço",AH$12&lt;&gt;0,$H179&gt;0,OR(AUTOEVENTO&lt;&gt;"manual",$M179&lt;&gt;$A$15)),
        IF(Import.TipoArredondamento&lt;&gt;"TransfereGOV",
              ROUND(OFFSET($P179,0,AH$13),15-13*ORÇAMENTO!$AF$7)/$H179*OFFSET(ORÇAMENTO!$X$15,ROW(AH179)-ROW(AH$15),0),
              ROUND(ROUND(OFFSET($P179,0,AH$13),15-13*ORÇAMENTO!$AF$7)*OFFSET(ORÇAMENTO!$W$15,ROW(AH179)-ROW(AH$15),0),15-13*ORÇAMENTO!$AF$11)),
         0)</f>
        <v>0</v>
      </c>
      <c r="AI179" s="454">
        <f ca="1">IF(AND($D179="Serviço",AI$12&lt;&gt;0,$H179&gt;0,OR(AUTOEVENTO&lt;&gt;"manual",$M179&lt;&gt;$A$15)),
        IF(Import.TipoArredondamento&lt;&gt;"TransfereGOV",
              ROUND(OFFSET($P179,0,AI$13),15-13*ORÇAMENTO!$AF$7)/$H179*OFFSET(ORÇAMENTO!$X$15,ROW(AI179)-ROW(AI$15),0),
              ROUND(ROUND(OFFSET($P179,0,AI$13),15-13*ORÇAMENTO!$AF$7)*OFFSET(ORÇAMENTO!$W$15,ROW(AI179)-ROW(AI$15),0),15-13*ORÇAMENTO!$AF$11)),
         0)</f>
        <v>0</v>
      </c>
      <c r="AJ179" s="454">
        <f ca="1">IF(AND($D179="Serviço",AJ$12&lt;&gt;0,$H179&gt;0,OR(AUTOEVENTO&lt;&gt;"manual",$M179&lt;&gt;$A$15)),
        IF(Import.TipoArredondamento&lt;&gt;"TransfereGOV",
              ROUND(OFFSET($P179,0,AJ$13),15-13*ORÇAMENTO!$AF$7)/$H179*OFFSET(ORÇAMENTO!$X$15,ROW(AJ179)-ROW(AJ$15),0),
              ROUND(ROUND(OFFSET($P179,0,AJ$13),15-13*ORÇAMENTO!$AF$7)*OFFSET(ORÇAMENTO!$W$15,ROW(AJ179)-ROW(AJ$15),0),15-13*ORÇAMENTO!$AF$11)),
         0)</f>
        <v>0</v>
      </c>
      <c r="AK179" s="454">
        <f ca="1">IF(AND($D179="Serviço",AK$12&lt;&gt;0,$H179&gt;0,OR(AUTOEVENTO&lt;&gt;"manual",$M179&lt;&gt;$A$15)),
        IF(Import.TipoArredondamento&lt;&gt;"TransfereGOV",
              ROUND(OFFSET($P179,0,AK$13),15-13*ORÇAMENTO!$AF$7)/$H179*OFFSET(ORÇAMENTO!$X$15,ROW(AK179)-ROW(AK$15),0),
              ROUND(ROUND(OFFSET($P179,0,AK$13),15-13*ORÇAMENTO!$AF$7)*OFFSET(ORÇAMENTO!$W$15,ROW(AK179)-ROW(AK$15),0),15-13*ORÇAMENTO!$AF$11)),
         0)</f>
        <v>0</v>
      </c>
      <c r="AM179" s="172">
        <f ca="1">IF(OR($D179&lt;&gt;"Serviço",AND(AUTOEVENTO="Manual",$M179=$A$15)),0,
         IF(OFFSET(CRONOPLE!$F$15,$M179-$A$15,AM$13)=0,10^12,OFFSET(CRONOPLE!$F$15,$M179-$A$15,AM$13)))</f>
        <v>1000000000000</v>
      </c>
      <c r="AN179" s="172">
        <f ca="1">IF(OR($D179&lt;&gt;"Serviço",AND(AUTOEVENTO="Manual",$M179=$A$15)),0,
         IF(OFFSET(CRONOPLE!$F$15,$M179-$A$15,AN$13)=0,10^12,OFFSET(CRONOPLE!$F$15,$M179-$A$15,AN$13)))</f>
        <v>1000000000000</v>
      </c>
      <c r="AO179" s="172">
        <f ca="1">IF(OR($D179&lt;&gt;"Serviço",AND(AUTOEVENTO="Manual",$M179=$A$15)),0,
         IF(OFFSET(CRONOPLE!$F$15,$M179-$A$15,AO$13)=0,10^12,OFFSET(CRONOPLE!$F$15,$M179-$A$15,AO$13)))</f>
        <v>1000000000000</v>
      </c>
      <c r="AP179" s="172">
        <f ca="1">IF(OR($D179&lt;&gt;"Serviço",AND(AUTOEVENTO="Manual",$M179=$A$15)),0,
         IF(OFFSET(CRONOPLE!$F$15,$M179-$A$15,AP$13)=0,10^12,OFFSET(CRONOPLE!$F$15,$M179-$A$15,AP$13)))</f>
        <v>1000000000000</v>
      </c>
      <c r="AQ179" s="172">
        <f ca="1">IF(OR($D179&lt;&gt;"Serviço",AND(AUTOEVENTO="Manual",$M179=$A$15)),0,
         IF(OFFSET(CRONOPLE!$F$15,$M179-$A$15,AQ$13)=0,10^12,OFFSET(CRONOPLE!$F$15,$M179-$A$15,AQ$13)))</f>
        <v>1000000000000</v>
      </c>
      <c r="AR179" s="172">
        <f ca="1">IF(OR($D179&lt;&gt;"Serviço",AND(AUTOEVENTO="Manual",$M179=$A$15)),0,
         IF(OFFSET(CRONOPLE!$F$15,$M179-$A$15,AR$13)=0,10^12,OFFSET(CRONOPLE!$F$15,$M179-$A$15,AR$13)))</f>
        <v>1000000000000</v>
      </c>
      <c r="AS179" s="172">
        <f ca="1">IF(OR($D179&lt;&gt;"Serviço",AND(AUTOEVENTO="Manual",$M179=$A$15)),0,
         IF(OFFSET(CRONOPLE!$F$15,$M179-$A$15,AS$13)=0,10^12,OFFSET(CRONOPLE!$F$15,$M179-$A$15,AS$13)))</f>
        <v>1000000000000</v>
      </c>
      <c r="AT179" s="172">
        <f ca="1">IF(OR($D179&lt;&gt;"Serviço",AND(AUTOEVENTO="Manual",$M179=$A$15)),0,
         IF(OFFSET(CRONOPLE!$F$15,$M179-$A$15,AT$13)=0,10^12,OFFSET(CRONOPLE!$F$15,$M179-$A$15,AT$13)))</f>
        <v>1000000000000</v>
      </c>
      <c r="AU179" s="172">
        <f ca="1">IF(OR($D179&lt;&gt;"Serviço",AND(AUTOEVENTO="Manual",$M179=$A$15)),0,
         IF(OFFSET(CRONOPLE!$F$15,$M179-$A$15,AU$13)=0,10^12,OFFSET(CRONOPLE!$F$15,$M179-$A$15,AU$13)))</f>
        <v>1000000000000</v>
      </c>
      <c r="AV179" s="172">
        <f ca="1">IF(OR($D179&lt;&gt;"Serviço",AND(AUTOEVENTO="Manual",$M179=$A$15)),0,
         IF(OFFSET(CRONOPLE!$F$15,$M179-$A$15,AV$13)=0,10^12,OFFSET(CRONOPLE!$F$15,$M179-$A$15,AV$13)))</f>
        <v>1000000000000</v>
      </c>
      <c r="AX179" s="173">
        <f ca="1">IF(OR($D179&lt;&gt;"Serviço",AND(AUTOEVENTO="Manual",$M179=$A$15),$M179&gt;(ROW(PLE.lastrow)-ROW(PLE.firstrow))),0,
           IF(OFFSET(PLE!$G$15,$M179-$A$15,AX$13)="",10^12,OFFSET(PLE!$G$15,$M179-$A$15,AX$13)))</f>
        <v>1000000000000</v>
      </c>
      <c r="AY179" s="173">
        <f ca="1">IF(OR($D179&lt;&gt;"Serviço",AND(AUTOEVENTO="Manual",$M179=$A$15),$M179&gt;(ROW(PLE.lastrow)-ROW(PLE.firstrow))),0,
           IF(OFFSET(PLE!$G$15,$M179-$A$15,AY$13)="",10^12,OFFSET(PLE!$G$15,$M179-$A$15,AY$13)))</f>
        <v>1000000000000</v>
      </c>
      <c r="AZ179" s="173">
        <f ca="1">IF(OR($D179&lt;&gt;"Serviço",AND(AUTOEVENTO="Manual",$M179=$A$15),$M179&gt;(ROW(PLE.lastrow)-ROW(PLE.firstrow))),0,
           IF(OFFSET(PLE!$G$15,$M179-$A$15,AZ$13)="",10^12,OFFSET(PLE!$G$15,$M179-$A$15,AZ$13)))</f>
        <v>1000000000000</v>
      </c>
      <c r="BA179" s="173">
        <f ca="1">IF(OR($D179&lt;&gt;"Serviço",AND(AUTOEVENTO="Manual",$M179=$A$15),$M179&gt;(ROW(PLE.lastrow)-ROW(PLE.firstrow))),0,
           IF(OFFSET(PLE!$G$15,$M179-$A$15,BA$13)="",10^12,OFFSET(PLE!$G$15,$M179-$A$15,BA$13)))</f>
        <v>1000000000000</v>
      </c>
      <c r="BB179" s="173">
        <f ca="1">IF(OR($D179&lt;&gt;"Serviço",AND(AUTOEVENTO="Manual",$M179=$A$15),$M179&gt;(ROW(PLE.lastrow)-ROW(PLE.firstrow))),0,
           IF(OFFSET(PLE!$G$15,$M179-$A$15,BB$13)="",10^12,OFFSET(PLE!$G$15,$M179-$A$15,BB$13)))</f>
        <v>1000000000000</v>
      </c>
      <c r="BC179" s="173">
        <f ca="1">IF(OR($D179&lt;&gt;"Serviço",AND(AUTOEVENTO="Manual",$M179=$A$15),$M179&gt;(ROW(PLE.lastrow)-ROW(PLE.firstrow))),0,
           IF(OFFSET(PLE!$G$15,$M179-$A$15,BC$13)="",10^12,OFFSET(PLE!$G$15,$M179-$A$15,BC$13)))</f>
        <v>1000000000000</v>
      </c>
      <c r="BD179" s="173">
        <f ca="1">IF(OR($D179&lt;&gt;"Serviço",AND(AUTOEVENTO="Manual",$M179=$A$15),$M179&gt;(ROW(PLE.lastrow)-ROW(PLE.firstrow))),0,
           IF(OFFSET(PLE!$G$15,$M179-$A$15,BD$13)="",10^12,OFFSET(PLE!$G$15,$M179-$A$15,BD$13)))</f>
        <v>1000000000000</v>
      </c>
      <c r="BE179" s="173">
        <f ca="1">IF(OR($D179&lt;&gt;"Serviço",AND(AUTOEVENTO="Manual",$M179=$A$15),$M179&gt;(ROW(PLE.lastrow)-ROW(PLE.firstrow))),0,
           IF(OFFSET(PLE!$G$15,$M179-$A$15,BE$13)="",10^12,OFFSET(PLE!$G$15,$M179-$A$15,BE$13)))</f>
        <v>1000000000000</v>
      </c>
      <c r="BF179" s="173">
        <f ca="1">IF(OR($D179&lt;&gt;"Serviço",AND(AUTOEVENTO="Manual",$M179=$A$15),$M179&gt;(ROW(PLE.lastrow)-ROW(PLE.firstrow))),0,
           IF(OFFSET(PLE!$G$15,$M179-$A$15,BF$13)="",10^12,OFFSET(PLE!$G$15,$M179-$A$15,BF$13)))</f>
        <v>1000000000000</v>
      </c>
      <c r="BG179" s="173">
        <f ca="1">IF(OR($D179&lt;&gt;"Serviço",AND(AUTOEVENTO="Manual",$M179=$A$15),$M179&gt;(ROW(PLE.lastrow)-ROW(PLE.firstrow))),0,
           IF(OFFSET(PLE!$G$15,$M179-$A$15,BG$13)="",10^12,OFFSET(PLE!$G$15,$M179-$A$15,BG$13)))</f>
        <v>1000000000000</v>
      </c>
    </row>
    <row r="180" spans="1:59" s="675" customFormat="1" ht="38.25" x14ac:dyDescent="0.2">
      <c r="A180" s="671" t="str">
        <f t="shared" ca="1" si="11"/>
        <v>158</v>
      </c>
      <c r="B180" s="671" t="str">
        <f ca="1">OFFSET(ORÇAMENTO!C$15,ROW(B180)-ROW(B$15),0)</f>
        <v>S</v>
      </c>
      <c r="C180" s="671" t="str">
        <f ca="1">OFFSET(ORÇAMENTO!L$15,ROW(C180)-ROW(C$15),0)</f>
        <v/>
      </c>
      <c r="D180" s="117" t="str">
        <f ca="1">OFFSET(ORÇAMENTO!N$15,ROW(D180)-ROW(D$15),0)</f>
        <v>Serviço</v>
      </c>
      <c r="E180" s="118" t="str">
        <f ca="1">OFFSET(ORÇAMENTO!O$15,ROW(E180)-ROW(E$15),0)</f>
        <v>-</v>
      </c>
      <c r="F180" s="164" t="str">
        <f ca="1">OFFSET(ORÇAMENTO!R$15,ROW(F180)-ROW(F$15),0)</f>
        <v>(abra o arquivo 'Referência 09-2025.xlsm)</v>
      </c>
      <c r="G180" s="165" t="str">
        <f ca="1">IF($D180&lt;&gt;"Serviço","",OFFSET(ORÇAMENTO!S$15,ROW(G180)-ROW(G$15),0))</f>
        <v>-</v>
      </c>
      <c r="H180" s="123">
        <f ca="1">IF($D180&lt;&gt;"Serviço",0,IF(ACOMPANHAMENTO="BM",ROUND(OFFSET(ORÇAMENTO!AJ$15,ROW(H180)-ROW(H$15),0),15-13*ORÇAMENTO!$AF$7),SUMPRODUCT(($Q$1:$AA$1=1)*ROUND($Q180:$AA180,15-13*ORÇAMENTO!$AF$7))))</f>
        <v>16</v>
      </c>
      <c r="I180" s="469" t="s">
        <v>1110</v>
      </c>
      <c r="J180" s="667" t="str">
        <f ca="1">IF(OR(B180&lt;&gt;"S",CÁLCULO.FrentesPreenchidas=0),"",IF(AND(ACOMPANHAMENTO="PLE",AUTOEVENTO="Manual",OR(H180&gt;0,ORÇAMENTO!AC180="QUANT."),OR(K180="",M180=0,N180="")),"►",IF(AND(ACOMPANHAMENTO="PLE",ORÇAMENTO!AC180="QUANT."),"►►",IF(AND(COUNTIF($P$11:$AA$11,"▼")=0,H180&gt;0,I180=""),"◄",""))))</f>
        <v/>
      </c>
      <c r="K180" s="668"/>
      <c r="L180" s="166" t="s">
        <v>765</v>
      </c>
      <c r="M180" s="167">
        <f ca="1">IF($D180&lt;&gt;"Serviço","",
          IF(AUTOEVENTO="manual",$A180,
                IF(ISERROR(MATCH($A180,$A$15:OFFSET($A180,-1,0),0)),MAX($M$15:OFFSET(M180,-1,0))+1,
                      INDEX($M$15:OFFSET(M180,-1,0),MATCH($A180,$A$15:OFFSET($A180,-1,0),0)))))</f>
        <v>18</v>
      </c>
      <c r="N180" s="168" t="str">
        <f ca="1">IF($D180&lt;&gt;"Serviço","",
         IF(AUTOEVENTO="Manual",
                IF($A180=0,"&lt;-- defina o número do agrupador",
                       OFFSET(EVENTOS!$D$15,$A180-$A$15,0)),
                OFFSET($F$15,$A180,0)))</f>
        <v>FUNDAÇÃO</v>
      </c>
      <c r="O180" s="169"/>
      <c r="Q180" s="169"/>
      <c r="R180" s="170"/>
      <c r="S180" s="170"/>
      <c r="T180" s="170"/>
      <c r="U180" s="170"/>
      <c r="V180" s="170"/>
      <c r="W180" s="170"/>
      <c r="X180" s="170"/>
      <c r="Y180" s="170"/>
      <c r="Z180" s="171"/>
      <c r="AB180" s="454">
        <f ca="1">IF(AND($D180="Serviço",AB$12&lt;&gt;0,$H180&gt;0,OR(AUTOEVENTO&lt;&gt;"manual",$M180&lt;&gt;$A$15)),
        IF(Import.TipoArredondamento&lt;&gt;"TransfereGOV",
              ROUND(OFFSET($P180,0,AB$13),15-13*ORÇAMENTO!$AF$7)/$H180*OFFSET(ORÇAMENTO!$X$15,ROW(AB180)-ROW(AB$15),0),
              ROUND(ROUND(OFFSET($P180,0,AB$13),15-13*ORÇAMENTO!$AF$7)*OFFSET(ORÇAMENTO!$W$15,ROW(AB180)-ROW(AB$15),0),15-13*ORÇAMENTO!$AF$11)),
         0)</f>
        <v>0</v>
      </c>
      <c r="AC180" s="454">
        <f ca="1">IF(AND($D180="Serviço",AC$12&lt;&gt;0,$H180&gt;0,OR(AUTOEVENTO&lt;&gt;"manual",$M180&lt;&gt;$A$15)),
        IF(Import.TipoArredondamento&lt;&gt;"TransfereGOV",
              ROUND(OFFSET($P180,0,AC$13),15-13*ORÇAMENTO!$AF$7)/$H180*OFFSET(ORÇAMENTO!$X$15,ROW(AC180)-ROW(AC$15),0),
              ROUND(ROUND(OFFSET($P180,0,AC$13),15-13*ORÇAMENTO!$AF$7)*OFFSET(ORÇAMENTO!$W$15,ROW(AC180)-ROW(AC$15),0),15-13*ORÇAMENTO!$AF$11)),
         0)</f>
        <v>0</v>
      </c>
      <c r="AD180" s="454">
        <f ca="1">IF(AND($D180="Serviço",AD$12&lt;&gt;0,$H180&gt;0,OR(AUTOEVENTO&lt;&gt;"manual",$M180&lt;&gt;$A$15)),
        IF(Import.TipoArredondamento&lt;&gt;"TransfereGOV",
              ROUND(OFFSET($P180,0,AD$13),15-13*ORÇAMENTO!$AF$7)/$H180*OFFSET(ORÇAMENTO!$X$15,ROW(AD180)-ROW(AD$15),0),
              ROUND(ROUND(OFFSET($P180,0,AD$13),15-13*ORÇAMENTO!$AF$7)*OFFSET(ORÇAMENTO!$W$15,ROW(AD180)-ROW(AD$15),0),15-13*ORÇAMENTO!$AF$11)),
         0)</f>
        <v>0</v>
      </c>
      <c r="AE180" s="454">
        <f ca="1">IF(AND($D180="Serviço",AE$12&lt;&gt;0,$H180&gt;0,OR(AUTOEVENTO&lt;&gt;"manual",$M180&lt;&gt;$A$15)),
        IF(Import.TipoArredondamento&lt;&gt;"TransfereGOV",
              ROUND(OFFSET($P180,0,AE$13),15-13*ORÇAMENTO!$AF$7)/$H180*OFFSET(ORÇAMENTO!$X$15,ROW(AE180)-ROW(AE$15),0),
              ROUND(ROUND(OFFSET($P180,0,AE$13),15-13*ORÇAMENTO!$AF$7)*OFFSET(ORÇAMENTO!$W$15,ROW(AE180)-ROW(AE$15),0),15-13*ORÇAMENTO!$AF$11)),
         0)</f>
        <v>0</v>
      </c>
      <c r="AF180" s="454">
        <f ca="1">IF(AND($D180="Serviço",AF$12&lt;&gt;0,$H180&gt;0,OR(AUTOEVENTO&lt;&gt;"manual",$M180&lt;&gt;$A$15)),
        IF(Import.TipoArredondamento&lt;&gt;"TransfereGOV",
              ROUND(OFFSET($P180,0,AF$13),15-13*ORÇAMENTO!$AF$7)/$H180*OFFSET(ORÇAMENTO!$X$15,ROW(AF180)-ROW(AF$15),0),
              ROUND(ROUND(OFFSET($P180,0,AF$13),15-13*ORÇAMENTO!$AF$7)*OFFSET(ORÇAMENTO!$W$15,ROW(AF180)-ROW(AF$15),0),15-13*ORÇAMENTO!$AF$11)),
         0)</f>
        <v>0</v>
      </c>
      <c r="AG180" s="454">
        <f ca="1">IF(AND($D180="Serviço",AG$12&lt;&gt;0,$H180&gt;0,OR(AUTOEVENTO&lt;&gt;"manual",$M180&lt;&gt;$A$15)),
        IF(Import.TipoArredondamento&lt;&gt;"TransfereGOV",
              ROUND(OFFSET($P180,0,AG$13),15-13*ORÇAMENTO!$AF$7)/$H180*OFFSET(ORÇAMENTO!$X$15,ROW(AG180)-ROW(AG$15),0),
              ROUND(ROUND(OFFSET($P180,0,AG$13),15-13*ORÇAMENTO!$AF$7)*OFFSET(ORÇAMENTO!$W$15,ROW(AG180)-ROW(AG$15),0),15-13*ORÇAMENTO!$AF$11)),
         0)</f>
        <v>0</v>
      </c>
      <c r="AH180" s="454">
        <f ca="1">IF(AND($D180="Serviço",AH$12&lt;&gt;0,$H180&gt;0,OR(AUTOEVENTO&lt;&gt;"manual",$M180&lt;&gt;$A$15)),
        IF(Import.TipoArredondamento&lt;&gt;"TransfereGOV",
              ROUND(OFFSET($P180,0,AH$13),15-13*ORÇAMENTO!$AF$7)/$H180*OFFSET(ORÇAMENTO!$X$15,ROW(AH180)-ROW(AH$15),0),
              ROUND(ROUND(OFFSET($P180,0,AH$13),15-13*ORÇAMENTO!$AF$7)*OFFSET(ORÇAMENTO!$W$15,ROW(AH180)-ROW(AH$15),0),15-13*ORÇAMENTO!$AF$11)),
         0)</f>
        <v>0</v>
      </c>
      <c r="AI180" s="454">
        <f ca="1">IF(AND($D180="Serviço",AI$12&lt;&gt;0,$H180&gt;0,OR(AUTOEVENTO&lt;&gt;"manual",$M180&lt;&gt;$A$15)),
        IF(Import.TipoArredondamento&lt;&gt;"TransfereGOV",
              ROUND(OFFSET($P180,0,AI$13),15-13*ORÇAMENTO!$AF$7)/$H180*OFFSET(ORÇAMENTO!$X$15,ROW(AI180)-ROW(AI$15),0),
              ROUND(ROUND(OFFSET($P180,0,AI$13),15-13*ORÇAMENTO!$AF$7)*OFFSET(ORÇAMENTO!$W$15,ROW(AI180)-ROW(AI$15),0),15-13*ORÇAMENTO!$AF$11)),
         0)</f>
        <v>0</v>
      </c>
      <c r="AJ180" s="454">
        <f ca="1">IF(AND($D180="Serviço",AJ$12&lt;&gt;0,$H180&gt;0,OR(AUTOEVENTO&lt;&gt;"manual",$M180&lt;&gt;$A$15)),
        IF(Import.TipoArredondamento&lt;&gt;"TransfereGOV",
              ROUND(OFFSET($P180,0,AJ$13),15-13*ORÇAMENTO!$AF$7)/$H180*OFFSET(ORÇAMENTO!$X$15,ROW(AJ180)-ROW(AJ$15),0),
              ROUND(ROUND(OFFSET($P180,0,AJ$13),15-13*ORÇAMENTO!$AF$7)*OFFSET(ORÇAMENTO!$W$15,ROW(AJ180)-ROW(AJ$15),0),15-13*ORÇAMENTO!$AF$11)),
         0)</f>
        <v>0</v>
      </c>
      <c r="AK180" s="454">
        <f ca="1">IF(AND($D180="Serviço",AK$12&lt;&gt;0,$H180&gt;0,OR(AUTOEVENTO&lt;&gt;"manual",$M180&lt;&gt;$A$15)),
        IF(Import.TipoArredondamento&lt;&gt;"TransfereGOV",
              ROUND(OFFSET($P180,0,AK$13),15-13*ORÇAMENTO!$AF$7)/$H180*OFFSET(ORÇAMENTO!$X$15,ROW(AK180)-ROW(AK$15),0),
              ROUND(ROUND(OFFSET($P180,0,AK$13),15-13*ORÇAMENTO!$AF$7)*OFFSET(ORÇAMENTO!$W$15,ROW(AK180)-ROW(AK$15),0),15-13*ORÇAMENTO!$AF$11)),
         0)</f>
        <v>0</v>
      </c>
      <c r="AM180" s="172">
        <f ca="1">IF(OR($D180&lt;&gt;"Serviço",AND(AUTOEVENTO="Manual",$M180=$A$15)),0,
         IF(OFFSET(CRONOPLE!$F$15,$M180-$A$15,AM$13)=0,10^12,OFFSET(CRONOPLE!$F$15,$M180-$A$15,AM$13)))</f>
        <v>1000000000000</v>
      </c>
      <c r="AN180" s="172">
        <f ca="1">IF(OR($D180&lt;&gt;"Serviço",AND(AUTOEVENTO="Manual",$M180=$A$15)),0,
         IF(OFFSET(CRONOPLE!$F$15,$M180-$A$15,AN$13)=0,10^12,OFFSET(CRONOPLE!$F$15,$M180-$A$15,AN$13)))</f>
        <v>1000000000000</v>
      </c>
      <c r="AO180" s="172">
        <f ca="1">IF(OR($D180&lt;&gt;"Serviço",AND(AUTOEVENTO="Manual",$M180=$A$15)),0,
         IF(OFFSET(CRONOPLE!$F$15,$M180-$A$15,AO$13)=0,10^12,OFFSET(CRONOPLE!$F$15,$M180-$A$15,AO$13)))</f>
        <v>1000000000000</v>
      </c>
      <c r="AP180" s="172">
        <f ca="1">IF(OR($D180&lt;&gt;"Serviço",AND(AUTOEVENTO="Manual",$M180=$A$15)),0,
         IF(OFFSET(CRONOPLE!$F$15,$M180-$A$15,AP$13)=0,10^12,OFFSET(CRONOPLE!$F$15,$M180-$A$15,AP$13)))</f>
        <v>1000000000000</v>
      </c>
      <c r="AQ180" s="172">
        <f ca="1">IF(OR($D180&lt;&gt;"Serviço",AND(AUTOEVENTO="Manual",$M180=$A$15)),0,
         IF(OFFSET(CRONOPLE!$F$15,$M180-$A$15,AQ$13)=0,10^12,OFFSET(CRONOPLE!$F$15,$M180-$A$15,AQ$13)))</f>
        <v>1000000000000</v>
      </c>
      <c r="AR180" s="172">
        <f ca="1">IF(OR($D180&lt;&gt;"Serviço",AND(AUTOEVENTO="Manual",$M180=$A$15)),0,
         IF(OFFSET(CRONOPLE!$F$15,$M180-$A$15,AR$13)=0,10^12,OFFSET(CRONOPLE!$F$15,$M180-$A$15,AR$13)))</f>
        <v>1000000000000</v>
      </c>
      <c r="AS180" s="172">
        <f ca="1">IF(OR($D180&lt;&gt;"Serviço",AND(AUTOEVENTO="Manual",$M180=$A$15)),0,
         IF(OFFSET(CRONOPLE!$F$15,$M180-$A$15,AS$13)=0,10^12,OFFSET(CRONOPLE!$F$15,$M180-$A$15,AS$13)))</f>
        <v>1000000000000</v>
      </c>
      <c r="AT180" s="172">
        <f ca="1">IF(OR($D180&lt;&gt;"Serviço",AND(AUTOEVENTO="Manual",$M180=$A$15)),0,
         IF(OFFSET(CRONOPLE!$F$15,$M180-$A$15,AT$13)=0,10^12,OFFSET(CRONOPLE!$F$15,$M180-$A$15,AT$13)))</f>
        <v>1000000000000</v>
      </c>
      <c r="AU180" s="172">
        <f ca="1">IF(OR($D180&lt;&gt;"Serviço",AND(AUTOEVENTO="Manual",$M180=$A$15)),0,
         IF(OFFSET(CRONOPLE!$F$15,$M180-$A$15,AU$13)=0,10^12,OFFSET(CRONOPLE!$F$15,$M180-$A$15,AU$13)))</f>
        <v>1000000000000</v>
      </c>
      <c r="AV180" s="172">
        <f ca="1">IF(OR($D180&lt;&gt;"Serviço",AND(AUTOEVENTO="Manual",$M180=$A$15)),0,
         IF(OFFSET(CRONOPLE!$F$15,$M180-$A$15,AV$13)=0,10^12,OFFSET(CRONOPLE!$F$15,$M180-$A$15,AV$13)))</f>
        <v>1000000000000</v>
      </c>
      <c r="AX180" s="173">
        <f ca="1">IF(OR($D180&lt;&gt;"Serviço",AND(AUTOEVENTO="Manual",$M180=$A$15),$M180&gt;(ROW(PLE.lastrow)-ROW(PLE.firstrow))),0,
           IF(OFFSET(PLE!$G$15,$M180-$A$15,AX$13)="",10^12,OFFSET(PLE!$G$15,$M180-$A$15,AX$13)))</f>
        <v>1000000000000</v>
      </c>
      <c r="AY180" s="173">
        <f ca="1">IF(OR($D180&lt;&gt;"Serviço",AND(AUTOEVENTO="Manual",$M180=$A$15),$M180&gt;(ROW(PLE.lastrow)-ROW(PLE.firstrow))),0,
           IF(OFFSET(PLE!$G$15,$M180-$A$15,AY$13)="",10^12,OFFSET(PLE!$G$15,$M180-$A$15,AY$13)))</f>
        <v>1000000000000</v>
      </c>
      <c r="AZ180" s="173">
        <f ca="1">IF(OR($D180&lt;&gt;"Serviço",AND(AUTOEVENTO="Manual",$M180=$A$15),$M180&gt;(ROW(PLE.lastrow)-ROW(PLE.firstrow))),0,
           IF(OFFSET(PLE!$G$15,$M180-$A$15,AZ$13)="",10^12,OFFSET(PLE!$G$15,$M180-$A$15,AZ$13)))</f>
        <v>1000000000000</v>
      </c>
      <c r="BA180" s="173">
        <f ca="1">IF(OR($D180&lt;&gt;"Serviço",AND(AUTOEVENTO="Manual",$M180=$A$15),$M180&gt;(ROW(PLE.lastrow)-ROW(PLE.firstrow))),0,
           IF(OFFSET(PLE!$G$15,$M180-$A$15,BA$13)="",10^12,OFFSET(PLE!$G$15,$M180-$A$15,BA$13)))</f>
        <v>1000000000000</v>
      </c>
      <c r="BB180" s="173">
        <f ca="1">IF(OR($D180&lt;&gt;"Serviço",AND(AUTOEVENTO="Manual",$M180=$A$15),$M180&gt;(ROW(PLE.lastrow)-ROW(PLE.firstrow))),0,
           IF(OFFSET(PLE!$G$15,$M180-$A$15,BB$13)="",10^12,OFFSET(PLE!$G$15,$M180-$A$15,BB$13)))</f>
        <v>1000000000000</v>
      </c>
      <c r="BC180" s="173">
        <f ca="1">IF(OR($D180&lt;&gt;"Serviço",AND(AUTOEVENTO="Manual",$M180=$A$15),$M180&gt;(ROW(PLE.lastrow)-ROW(PLE.firstrow))),0,
           IF(OFFSET(PLE!$G$15,$M180-$A$15,BC$13)="",10^12,OFFSET(PLE!$G$15,$M180-$A$15,BC$13)))</f>
        <v>1000000000000</v>
      </c>
      <c r="BD180" s="173">
        <f ca="1">IF(OR($D180&lt;&gt;"Serviço",AND(AUTOEVENTO="Manual",$M180=$A$15),$M180&gt;(ROW(PLE.lastrow)-ROW(PLE.firstrow))),0,
           IF(OFFSET(PLE!$G$15,$M180-$A$15,BD$13)="",10^12,OFFSET(PLE!$G$15,$M180-$A$15,BD$13)))</f>
        <v>1000000000000</v>
      </c>
      <c r="BE180" s="173">
        <f ca="1">IF(OR($D180&lt;&gt;"Serviço",AND(AUTOEVENTO="Manual",$M180=$A$15),$M180&gt;(ROW(PLE.lastrow)-ROW(PLE.firstrow))),0,
           IF(OFFSET(PLE!$G$15,$M180-$A$15,BE$13)="",10^12,OFFSET(PLE!$G$15,$M180-$A$15,BE$13)))</f>
        <v>1000000000000</v>
      </c>
      <c r="BF180" s="173">
        <f ca="1">IF(OR($D180&lt;&gt;"Serviço",AND(AUTOEVENTO="Manual",$M180=$A$15),$M180&gt;(ROW(PLE.lastrow)-ROW(PLE.firstrow))),0,
           IF(OFFSET(PLE!$G$15,$M180-$A$15,BF$13)="",10^12,OFFSET(PLE!$G$15,$M180-$A$15,BF$13)))</f>
        <v>1000000000000</v>
      </c>
      <c r="BG180" s="173">
        <f ca="1">IF(OR($D180&lt;&gt;"Serviço",AND(AUTOEVENTO="Manual",$M180=$A$15),$M180&gt;(ROW(PLE.lastrow)-ROW(PLE.firstrow))),0,
           IF(OFFSET(PLE!$G$15,$M180-$A$15,BG$13)="",10^12,OFFSET(PLE!$G$15,$M180-$A$15,BG$13)))</f>
        <v>1000000000000</v>
      </c>
    </row>
    <row r="181" spans="1:59" s="675" customFormat="1" ht="38.25" x14ac:dyDescent="0.2">
      <c r="A181" s="671" t="str">
        <f t="shared" ca="1" si="11"/>
        <v>158</v>
      </c>
      <c r="B181" s="671" t="str">
        <f ca="1">OFFSET(ORÇAMENTO!C$15,ROW(B181)-ROW(B$15),0)</f>
        <v>S</v>
      </c>
      <c r="C181" s="671" t="str">
        <f ca="1">OFFSET(ORÇAMENTO!L$15,ROW(C181)-ROW(C$15),0)</f>
        <v/>
      </c>
      <c r="D181" s="117" t="str">
        <f ca="1">OFFSET(ORÇAMENTO!N$15,ROW(D181)-ROW(D$15),0)</f>
        <v>Serviço</v>
      </c>
      <c r="E181" s="118" t="str">
        <f ca="1">OFFSET(ORÇAMENTO!O$15,ROW(E181)-ROW(E$15),0)</f>
        <v>-</v>
      </c>
      <c r="F181" s="164" t="str">
        <f ca="1">OFFSET(ORÇAMENTO!R$15,ROW(F181)-ROW(F$15),0)</f>
        <v>(abra o arquivo 'Referência 09-2025.xlsm)</v>
      </c>
      <c r="G181" s="165" t="str">
        <f ca="1">IF($D181&lt;&gt;"Serviço","",OFFSET(ORÇAMENTO!S$15,ROW(G181)-ROW(G$15),0))</f>
        <v>-</v>
      </c>
      <c r="H181" s="123">
        <f ca="1">IF($D181&lt;&gt;"Serviço",0,IF(ACOMPANHAMENTO="BM",ROUND(OFFSET(ORÇAMENTO!AJ$15,ROW(H181)-ROW(H$15),0),15-13*ORÇAMENTO!$AF$7),SUMPRODUCT(($Q$1:$AA$1=1)*ROUND($Q181:$AA181,15-13*ORÇAMENTO!$AF$7))))</f>
        <v>15.82</v>
      </c>
      <c r="I181" s="469" t="s">
        <v>1110</v>
      </c>
      <c r="J181" s="667" t="str">
        <f ca="1">IF(OR(B181&lt;&gt;"S",CÁLCULO.FrentesPreenchidas=0),"",IF(AND(ACOMPANHAMENTO="PLE",AUTOEVENTO="Manual",OR(H181&gt;0,ORÇAMENTO!AC181="QUANT."),OR(K181="",M181=0,N181="")),"►",IF(AND(ACOMPANHAMENTO="PLE",ORÇAMENTO!AC181="QUANT."),"►►",IF(AND(COUNTIF($P$11:$AA$11,"▼")=0,H181&gt;0,I181=""),"◄",""))))</f>
        <v/>
      </c>
      <c r="K181" s="668"/>
      <c r="L181" s="166" t="s">
        <v>765</v>
      </c>
      <c r="M181" s="167">
        <f ca="1">IF($D181&lt;&gt;"Serviço","",
          IF(AUTOEVENTO="manual",$A181,
                IF(ISERROR(MATCH($A181,$A$15:OFFSET($A181,-1,0),0)),MAX($M$15:OFFSET(M181,-1,0))+1,
                      INDEX($M$15:OFFSET(M181,-1,0),MATCH($A181,$A$15:OFFSET($A181,-1,0),0)))))</f>
        <v>18</v>
      </c>
      <c r="N181" s="168" t="str">
        <f ca="1">IF($D181&lt;&gt;"Serviço","",
         IF(AUTOEVENTO="Manual",
                IF($A181=0,"&lt;-- defina o número do agrupador",
                       OFFSET(EVENTOS!$D$15,$A181-$A$15,0)),
                OFFSET($F$15,$A181,0)))</f>
        <v>FUNDAÇÃO</v>
      </c>
      <c r="O181" s="169"/>
      <c r="Q181" s="169"/>
      <c r="R181" s="170"/>
      <c r="S181" s="170"/>
      <c r="T181" s="170"/>
      <c r="U181" s="170"/>
      <c r="V181" s="170"/>
      <c r="W181" s="170"/>
      <c r="X181" s="170"/>
      <c r="Y181" s="170"/>
      <c r="Z181" s="171"/>
      <c r="AB181" s="454">
        <f ca="1">IF(AND($D181="Serviço",AB$12&lt;&gt;0,$H181&gt;0,OR(AUTOEVENTO&lt;&gt;"manual",$M181&lt;&gt;$A$15)),
        IF(Import.TipoArredondamento&lt;&gt;"TransfereGOV",
              ROUND(OFFSET($P181,0,AB$13),15-13*ORÇAMENTO!$AF$7)/$H181*OFFSET(ORÇAMENTO!$X$15,ROW(AB181)-ROW(AB$15),0),
              ROUND(ROUND(OFFSET($P181,0,AB$13),15-13*ORÇAMENTO!$AF$7)*OFFSET(ORÇAMENTO!$W$15,ROW(AB181)-ROW(AB$15),0),15-13*ORÇAMENTO!$AF$11)),
         0)</f>
        <v>0</v>
      </c>
      <c r="AC181" s="454">
        <f ca="1">IF(AND($D181="Serviço",AC$12&lt;&gt;0,$H181&gt;0,OR(AUTOEVENTO&lt;&gt;"manual",$M181&lt;&gt;$A$15)),
        IF(Import.TipoArredondamento&lt;&gt;"TransfereGOV",
              ROUND(OFFSET($P181,0,AC$13),15-13*ORÇAMENTO!$AF$7)/$H181*OFFSET(ORÇAMENTO!$X$15,ROW(AC181)-ROW(AC$15),0),
              ROUND(ROUND(OFFSET($P181,0,AC$13),15-13*ORÇAMENTO!$AF$7)*OFFSET(ORÇAMENTO!$W$15,ROW(AC181)-ROW(AC$15),0),15-13*ORÇAMENTO!$AF$11)),
         0)</f>
        <v>0</v>
      </c>
      <c r="AD181" s="454">
        <f ca="1">IF(AND($D181="Serviço",AD$12&lt;&gt;0,$H181&gt;0,OR(AUTOEVENTO&lt;&gt;"manual",$M181&lt;&gt;$A$15)),
        IF(Import.TipoArredondamento&lt;&gt;"TransfereGOV",
              ROUND(OFFSET($P181,0,AD$13),15-13*ORÇAMENTO!$AF$7)/$H181*OFFSET(ORÇAMENTO!$X$15,ROW(AD181)-ROW(AD$15),0),
              ROUND(ROUND(OFFSET($P181,0,AD$13),15-13*ORÇAMENTO!$AF$7)*OFFSET(ORÇAMENTO!$W$15,ROW(AD181)-ROW(AD$15),0),15-13*ORÇAMENTO!$AF$11)),
         0)</f>
        <v>0</v>
      </c>
      <c r="AE181" s="454">
        <f ca="1">IF(AND($D181="Serviço",AE$12&lt;&gt;0,$H181&gt;0,OR(AUTOEVENTO&lt;&gt;"manual",$M181&lt;&gt;$A$15)),
        IF(Import.TipoArredondamento&lt;&gt;"TransfereGOV",
              ROUND(OFFSET($P181,0,AE$13),15-13*ORÇAMENTO!$AF$7)/$H181*OFFSET(ORÇAMENTO!$X$15,ROW(AE181)-ROW(AE$15),0),
              ROUND(ROUND(OFFSET($P181,0,AE$13),15-13*ORÇAMENTO!$AF$7)*OFFSET(ORÇAMENTO!$W$15,ROW(AE181)-ROW(AE$15),0),15-13*ORÇAMENTO!$AF$11)),
         0)</f>
        <v>0</v>
      </c>
      <c r="AF181" s="454">
        <f ca="1">IF(AND($D181="Serviço",AF$12&lt;&gt;0,$H181&gt;0,OR(AUTOEVENTO&lt;&gt;"manual",$M181&lt;&gt;$A$15)),
        IF(Import.TipoArredondamento&lt;&gt;"TransfereGOV",
              ROUND(OFFSET($P181,0,AF$13),15-13*ORÇAMENTO!$AF$7)/$H181*OFFSET(ORÇAMENTO!$X$15,ROW(AF181)-ROW(AF$15),0),
              ROUND(ROUND(OFFSET($P181,0,AF$13),15-13*ORÇAMENTO!$AF$7)*OFFSET(ORÇAMENTO!$W$15,ROW(AF181)-ROW(AF$15),0),15-13*ORÇAMENTO!$AF$11)),
         0)</f>
        <v>0</v>
      </c>
      <c r="AG181" s="454">
        <f ca="1">IF(AND($D181="Serviço",AG$12&lt;&gt;0,$H181&gt;0,OR(AUTOEVENTO&lt;&gt;"manual",$M181&lt;&gt;$A$15)),
        IF(Import.TipoArredondamento&lt;&gt;"TransfereGOV",
              ROUND(OFFSET($P181,0,AG$13),15-13*ORÇAMENTO!$AF$7)/$H181*OFFSET(ORÇAMENTO!$X$15,ROW(AG181)-ROW(AG$15),0),
              ROUND(ROUND(OFFSET($P181,0,AG$13),15-13*ORÇAMENTO!$AF$7)*OFFSET(ORÇAMENTO!$W$15,ROW(AG181)-ROW(AG$15),0),15-13*ORÇAMENTO!$AF$11)),
         0)</f>
        <v>0</v>
      </c>
      <c r="AH181" s="454">
        <f ca="1">IF(AND($D181="Serviço",AH$12&lt;&gt;0,$H181&gt;0,OR(AUTOEVENTO&lt;&gt;"manual",$M181&lt;&gt;$A$15)),
        IF(Import.TipoArredondamento&lt;&gt;"TransfereGOV",
              ROUND(OFFSET($P181,0,AH$13),15-13*ORÇAMENTO!$AF$7)/$H181*OFFSET(ORÇAMENTO!$X$15,ROW(AH181)-ROW(AH$15),0),
              ROUND(ROUND(OFFSET($P181,0,AH$13),15-13*ORÇAMENTO!$AF$7)*OFFSET(ORÇAMENTO!$W$15,ROW(AH181)-ROW(AH$15),0),15-13*ORÇAMENTO!$AF$11)),
         0)</f>
        <v>0</v>
      </c>
      <c r="AI181" s="454">
        <f ca="1">IF(AND($D181="Serviço",AI$12&lt;&gt;0,$H181&gt;0,OR(AUTOEVENTO&lt;&gt;"manual",$M181&lt;&gt;$A$15)),
        IF(Import.TipoArredondamento&lt;&gt;"TransfereGOV",
              ROUND(OFFSET($P181,0,AI$13),15-13*ORÇAMENTO!$AF$7)/$H181*OFFSET(ORÇAMENTO!$X$15,ROW(AI181)-ROW(AI$15),0),
              ROUND(ROUND(OFFSET($P181,0,AI$13),15-13*ORÇAMENTO!$AF$7)*OFFSET(ORÇAMENTO!$W$15,ROW(AI181)-ROW(AI$15),0),15-13*ORÇAMENTO!$AF$11)),
         0)</f>
        <v>0</v>
      </c>
      <c r="AJ181" s="454">
        <f ca="1">IF(AND($D181="Serviço",AJ$12&lt;&gt;0,$H181&gt;0,OR(AUTOEVENTO&lt;&gt;"manual",$M181&lt;&gt;$A$15)),
        IF(Import.TipoArredondamento&lt;&gt;"TransfereGOV",
              ROUND(OFFSET($P181,0,AJ$13),15-13*ORÇAMENTO!$AF$7)/$H181*OFFSET(ORÇAMENTO!$X$15,ROW(AJ181)-ROW(AJ$15),0),
              ROUND(ROUND(OFFSET($P181,0,AJ$13),15-13*ORÇAMENTO!$AF$7)*OFFSET(ORÇAMENTO!$W$15,ROW(AJ181)-ROW(AJ$15),0),15-13*ORÇAMENTO!$AF$11)),
         0)</f>
        <v>0</v>
      </c>
      <c r="AK181" s="454">
        <f ca="1">IF(AND($D181="Serviço",AK$12&lt;&gt;0,$H181&gt;0,OR(AUTOEVENTO&lt;&gt;"manual",$M181&lt;&gt;$A$15)),
        IF(Import.TipoArredondamento&lt;&gt;"TransfereGOV",
              ROUND(OFFSET($P181,0,AK$13),15-13*ORÇAMENTO!$AF$7)/$H181*OFFSET(ORÇAMENTO!$X$15,ROW(AK181)-ROW(AK$15),0),
              ROUND(ROUND(OFFSET($P181,0,AK$13),15-13*ORÇAMENTO!$AF$7)*OFFSET(ORÇAMENTO!$W$15,ROW(AK181)-ROW(AK$15),0),15-13*ORÇAMENTO!$AF$11)),
         0)</f>
        <v>0</v>
      </c>
      <c r="AM181" s="172">
        <f ca="1">IF(OR($D181&lt;&gt;"Serviço",AND(AUTOEVENTO="Manual",$M181=$A$15)),0,
         IF(OFFSET(CRONOPLE!$F$15,$M181-$A$15,AM$13)=0,10^12,OFFSET(CRONOPLE!$F$15,$M181-$A$15,AM$13)))</f>
        <v>1000000000000</v>
      </c>
      <c r="AN181" s="172">
        <f ca="1">IF(OR($D181&lt;&gt;"Serviço",AND(AUTOEVENTO="Manual",$M181=$A$15)),0,
         IF(OFFSET(CRONOPLE!$F$15,$M181-$A$15,AN$13)=0,10^12,OFFSET(CRONOPLE!$F$15,$M181-$A$15,AN$13)))</f>
        <v>1000000000000</v>
      </c>
      <c r="AO181" s="172">
        <f ca="1">IF(OR($D181&lt;&gt;"Serviço",AND(AUTOEVENTO="Manual",$M181=$A$15)),0,
         IF(OFFSET(CRONOPLE!$F$15,$M181-$A$15,AO$13)=0,10^12,OFFSET(CRONOPLE!$F$15,$M181-$A$15,AO$13)))</f>
        <v>1000000000000</v>
      </c>
      <c r="AP181" s="172">
        <f ca="1">IF(OR($D181&lt;&gt;"Serviço",AND(AUTOEVENTO="Manual",$M181=$A$15)),0,
         IF(OFFSET(CRONOPLE!$F$15,$M181-$A$15,AP$13)=0,10^12,OFFSET(CRONOPLE!$F$15,$M181-$A$15,AP$13)))</f>
        <v>1000000000000</v>
      </c>
      <c r="AQ181" s="172">
        <f ca="1">IF(OR($D181&lt;&gt;"Serviço",AND(AUTOEVENTO="Manual",$M181=$A$15)),0,
         IF(OFFSET(CRONOPLE!$F$15,$M181-$A$15,AQ$13)=0,10^12,OFFSET(CRONOPLE!$F$15,$M181-$A$15,AQ$13)))</f>
        <v>1000000000000</v>
      </c>
      <c r="AR181" s="172">
        <f ca="1">IF(OR($D181&lt;&gt;"Serviço",AND(AUTOEVENTO="Manual",$M181=$A$15)),0,
         IF(OFFSET(CRONOPLE!$F$15,$M181-$A$15,AR$13)=0,10^12,OFFSET(CRONOPLE!$F$15,$M181-$A$15,AR$13)))</f>
        <v>1000000000000</v>
      </c>
      <c r="AS181" s="172">
        <f ca="1">IF(OR($D181&lt;&gt;"Serviço",AND(AUTOEVENTO="Manual",$M181=$A$15)),0,
         IF(OFFSET(CRONOPLE!$F$15,$M181-$A$15,AS$13)=0,10^12,OFFSET(CRONOPLE!$F$15,$M181-$A$15,AS$13)))</f>
        <v>1000000000000</v>
      </c>
      <c r="AT181" s="172">
        <f ca="1">IF(OR($D181&lt;&gt;"Serviço",AND(AUTOEVENTO="Manual",$M181=$A$15)),0,
         IF(OFFSET(CRONOPLE!$F$15,$M181-$A$15,AT$13)=0,10^12,OFFSET(CRONOPLE!$F$15,$M181-$A$15,AT$13)))</f>
        <v>1000000000000</v>
      </c>
      <c r="AU181" s="172">
        <f ca="1">IF(OR($D181&lt;&gt;"Serviço",AND(AUTOEVENTO="Manual",$M181=$A$15)),0,
         IF(OFFSET(CRONOPLE!$F$15,$M181-$A$15,AU$13)=0,10^12,OFFSET(CRONOPLE!$F$15,$M181-$A$15,AU$13)))</f>
        <v>1000000000000</v>
      </c>
      <c r="AV181" s="172">
        <f ca="1">IF(OR($D181&lt;&gt;"Serviço",AND(AUTOEVENTO="Manual",$M181=$A$15)),0,
         IF(OFFSET(CRONOPLE!$F$15,$M181-$A$15,AV$13)=0,10^12,OFFSET(CRONOPLE!$F$15,$M181-$A$15,AV$13)))</f>
        <v>1000000000000</v>
      </c>
      <c r="AX181" s="173">
        <f ca="1">IF(OR($D181&lt;&gt;"Serviço",AND(AUTOEVENTO="Manual",$M181=$A$15),$M181&gt;(ROW(PLE.lastrow)-ROW(PLE.firstrow))),0,
           IF(OFFSET(PLE!$G$15,$M181-$A$15,AX$13)="",10^12,OFFSET(PLE!$G$15,$M181-$A$15,AX$13)))</f>
        <v>1000000000000</v>
      </c>
      <c r="AY181" s="173">
        <f ca="1">IF(OR($D181&lt;&gt;"Serviço",AND(AUTOEVENTO="Manual",$M181=$A$15),$M181&gt;(ROW(PLE.lastrow)-ROW(PLE.firstrow))),0,
           IF(OFFSET(PLE!$G$15,$M181-$A$15,AY$13)="",10^12,OFFSET(PLE!$G$15,$M181-$A$15,AY$13)))</f>
        <v>1000000000000</v>
      </c>
      <c r="AZ181" s="173">
        <f ca="1">IF(OR($D181&lt;&gt;"Serviço",AND(AUTOEVENTO="Manual",$M181=$A$15),$M181&gt;(ROW(PLE.lastrow)-ROW(PLE.firstrow))),0,
           IF(OFFSET(PLE!$G$15,$M181-$A$15,AZ$13)="",10^12,OFFSET(PLE!$G$15,$M181-$A$15,AZ$13)))</f>
        <v>1000000000000</v>
      </c>
      <c r="BA181" s="173">
        <f ca="1">IF(OR($D181&lt;&gt;"Serviço",AND(AUTOEVENTO="Manual",$M181=$A$15),$M181&gt;(ROW(PLE.lastrow)-ROW(PLE.firstrow))),0,
           IF(OFFSET(PLE!$G$15,$M181-$A$15,BA$13)="",10^12,OFFSET(PLE!$G$15,$M181-$A$15,BA$13)))</f>
        <v>1000000000000</v>
      </c>
      <c r="BB181" s="173">
        <f ca="1">IF(OR($D181&lt;&gt;"Serviço",AND(AUTOEVENTO="Manual",$M181=$A$15),$M181&gt;(ROW(PLE.lastrow)-ROW(PLE.firstrow))),0,
           IF(OFFSET(PLE!$G$15,$M181-$A$15,BB$13)="",10^12,OFFSET(PLE!$G$15,$M181-$A$15,BB$13)))</f>
        <v>1000000000000</v>
      </c>
      <c r="BC181" s="173">
        <f ca="1">IF(OR($D181&lt;&gt;"Serviço",AND(AUTOEVENTO="Manual",$M181=$A$15),$M181&gt;(ROW(PLE.lastrow)-ROW(PLE.firstrow))),0,
           IF(OFFSET(PLE!$G$15,$M181-$A$15,BC$13)="",10^12,OFFSET(PLE!$G$15,$M181-$A$15,BC$13)))</f>
        <v>1000000000000</v>
      </c>
      <c r="BD181" s="173">
        <f ca="1">IF(OR($D181&lt;&gt;"Serviço",AND(AUTOEVENTO="Manual",$M181=$A$15),$M181&gt;(ROW(PLE.lastrow)-ROW(PLE.firstrow))),0,
           IF(OFFSET(PLE!$G$15,$M181-$A$15,BD$13)="",10^12,OFFSET(PLE!$G$15,$M181-$A$15,BD$13)))</f>
        <v>1000000000000</v>
      </c>
      <c r="BE181" s="173">
        <f ca="1">IF(OR($D181&lt;&gt;"Serviço",AND(AUTOEVENTO="Manual",$M181=$A$15),$M181&gt;(ROW(PLE.lastrow)-ROW(PLE.firstrow))),0,
           IF(OFFSET(PLE!$G$15,$M181-$A$15,BE$13)="",10^12,OFFSET(PLE!$G$15,$M181-$A$15,BE$13)))</f>
        <v>1000000000000</v>
      </c>
      <c r="BF181" s="173">
        <f ca="1">IF(OR($D181&lt;&gt;"Serviço",AND(AUTOEVENTO="Manual",$M181=$A$15),$M181&gt;(ROW(PLE.lastrow)-ROW(PLE.firstrow))),0,
           IF(OFFSET(PLE!$G$15,$M181-$A$15,BF$13)="",10^12,OFFSET(PLE!$G$15,$M181-$A$15,BF$13)))</f>
        <v>1000000000000</v>
      </c>
      <c r="BG181" s="173">
        <f ca="1">IF(OR($D181&lt;&gt;"Serviço",AND(AUTOEVENTO="Manual",$M181=$A$15),$M181&gt;(ROW(PLE.lastrow)-ROW(PLE.firstrow))),0,
           IF(OFFSET(PLE!$G$15,$M181-$A$15,BG$13)="",10^12,OFFSET(PLE!$G$15,$M181-$A$15,BG$13)))</f>
        <v>1000000000000</v>
      </c>
    </row>
    <row r="182" spans="1:59" s="675" customFormat="1" ht="38.25" x14ac:dyDescent="0.2">
      <c r="A182" s="671" t="str">
        <f t="shared" ca="1" si="11"/>
        <v>158</v>
      </c>
      <c r="B182" s="671" t="str">
        <f ca="1">OFFSET(ORÇAMENTO!C$15,ROW(B182)-ROW(B$15),0)</f>
        <v>S</v>
      </c>
      <c r="C182" s="671" t="str">
        <f ca="1">OFFSET(ORÇAMENTO!L$15,ROW(C182)-ROW(C$15),0)</f>
        <v/>
      </c>
      <c r="D182" s="117" t="str">
        <f ca="1">OFFSET(ORÇAMENTO!N$15,ROW(D182)-ROW(D$15),0)</f>
        <v>Serviço</v>
      </c>
      <c r="E182" s="118" t="str">
        <f ca="1">OFFSET(ORÇAMENTO!O$15,ROW(E182)-ROW(E$15),0)</f>
        <v>-</v>
      </c>
      <c r="F182" s="164" t="str">
        <f ca="1">OFFSET(ORÇAMENTO!R$15,ROW(F182)-ROW(F$15),0)</f>
        <v>(abra o arquivo 'Referência 09-2025.xlsm)</v>
      </c>
      <c r="G182" s="165" t="str">
        <f ca="1">IF($D182&lt;&gt;"Serviço","",OFFSET(ORÇAMENTO!S$15,ROW(G182)-ROW(G$15),0))</f>
        <v>-</v>
      </c>
      <c r="H182" s="123">
        <f ca="1">IF($D182&lt;&gt;"Serviço",0,IF(ACOMPANHAMENTO="BM",ROUND(OFFSET(ORÇAMENTO!AJ$15,ROW(H182)-ROW(H$15),0),15-13*ORÇAMENTO!$AF$7),SUMPRODUCT(($Q$1:$AA$1=1)*ROUND($Q182:$AA182,15-13*ORÇAMENTO!$AF$7))))</f>
        <v>0.3</v>
      </c>
      <c r="I182" s="469" t="s">
        <v>1110</v>
      </c>
      <c r="J182" s="667" t="str">
        <f ca="1">IF(OR(B182&lt;&gt;"S",CÁLCULO.FrentesPreenchidas=0),"",IF(AND(ACOMPANHAMENTO="PLE",AUTOEVENTO="Manual",OR(H182&gt;0,ORÇAMENTO!AC182="QUANT."),OR(K182="",M182=0,N182="")),"►",IF(AND(ACOMPANHAMENTO="PLE",ORÇAMENTO!AC182="QUANT."),"►►",IF(AND(COUNTIF($P$11:$AA$11,"▼")=0,H182&gt;0,I182=""),"◄",""))))</f>
        <v/>
      </c>
      <c r="K182" s="668"/>
      <c r="L182" s="166" t="s">
        <v>765</v>
      </c>
      <c r="M182" s="167">
        <f ca="1">IF($D182&lt;&gt;"Serviço","",
          IF(AUTOEVENTO="manual",$A182,
                IF(ISERROR(MATCH($A182,$A$15:OFFSET($A182,-1,0),0)),MAX($M$15:OFFSET(M182,-1,0))+1,
                      INDEX($M$15:OFFSET(M182,-1,0),MATCH($A182,$A$15:OFFSET($A182,-1,0),0)))))</f>
        <v>18</v>
      </c>
      <c r="N182" s="168" t="str">
        <f ca="1">IF($D182&lt;&gt;"Serviço","",
         IF(AUTOEVENTO="Manual",
                IF($A182=0,"&lt;-- defina o número do agrupador",
                       OFFSET(EVENTOS!$D$15,$A182-$A$15,0)),
                OFFSET($F$15,$A182,0)))</f>
        <v>FUNDAÇÃO</v>
      </c>
      <c r="O182" s="169"/>
      <c r="Q182" s="169"/>
      <c r="R182" s="170"/>
      <c r="S182" s="170"/>
      <c r="T182" s="170"/>
      <c r="U182" s="170"/>
      <c r="V182" s="170"/>
      <c r="W182" s="170"/>
      <c r="X182" s="170"/>
      <c r="Y182" s="170"/>
      <c r="Z182" s="171"/>
      <c r="AB182" s="454">
        <f ca="1">IF(AND($D182="Serviço",AB$12&lt;&gt;0,$H182&gt;0,OR(AUTOEVENTO&lt;&gt;"manual",$M182&lt;&gt;$A$15)),
        IF(Import.TipoArredondamento&lt;&gt;"TransfereGOV",
              ROUND(OFFSET($P182,0,AB$13),15-13*ORÇAMENTO!$AF$7)/$H182*OFFSET(ORÇAMENTO!$X$15,ROW(AB182)-ROW(AB$15),0),
              ROUND(ROUND(OFFSET($P182,0,AB$13),15-13*ORÇAMENTO!$AF$7)*OFFSET(ORÇAMENTO!$W$15,ROW(AB182)-ROW(AB$15),0),15-13*ORÇAMENTO!$AF$11)),
         0)</f>
        <v>0</v>
      </c>
      <c r="AC182" s="454">
        <f ca="1">IF(AND($D182="Serviço",AC$12&lt;&gt;0,$H182&gt;0,OR(AUTOEVENTO&lt;&gt;"manual",$M182&lt;&gt;$A$15)),
        IF(Import.TipoArredondamento&lt;&gt;"TransfereGOV",
              ROUND(OFFSET($P182,0,AC$13),15-13*ORÇAMENTO!$AF$7)/$H182*OFFSET(ORÇAMENTO!$X$15,ROW(AC182)-ROW(AC$15),0),
              ROUND(ROUND(OFFSET($P182,0,AC$13),15-13*ORÇAMENTO!$AF$7)*OFFSET(ORÇAMENTO!$W$15,ROW(AC182)-ROW(AC$15),0),15-13*ORÇAMENTO!$AF$11)),
         0)</f>
        <v>0</v>
      </c>
      <c r="AD182" s="454">
        <f ca="1">IF(AND($D182="Serviço",AD$12&lt;&gt;0,$H182&gt;0,OR(AUTOEVENTO&lt;&gt;"manual",$M182&lt;&gt;$A$15)),
        IF(Import.TipoArredondamento&lt;&gt;"TransfereGOV",
              ROUND(OFFSET($P182,0,AD$13),15-13*ORÇAMENTO!$AF$7)/$H182*OFFSET(ORÇAMENTO!$X$15,ROW(AD182)-ROW(AD$15),0),
              ROUND(ROUND(OFFSET($P182,0,AD$13),15-13*ORÇAMENTO!$AF$7)*OFFSET(ORÇAMENTO!$W$15,ROW(AD182)-ROW(AD$15),0),15-13*ORÇAMENTO!$AF$11)),
         0)</f>
        <v>0</v>
      </c>
      <c r="AE182" s="454">
        <f ca="1">IF(AND($D182="Serviço",AE$12&lt;&gt;0,$H182&gt;0,OR(AUTOEVENTO&lt;&gt;"manual",$M182&lt;&gt;$A$15)),
        IF(Import.TipoArredondamento&lt;&gt;"TransfereGOV",
              ROUND(OFFSET($P182,0,AE$13),15-13*ORÇAMENTO!$AF$7)/$H182*OFFSET(ORÇAMENTO!$X$15,ROW(AE182)-ROW(AE$15),0),
              ROUND(ROUND(OFFSET($P182,0,AE$13),15-13*ORÇAMENTO!$AF$7)*OFFSET(ORÇAMENTO!$W$15,ROW(AE182)-ROW(AE$15),0),15-13*ORÇAMENTO!$AF$11)),
         0)</f>
        <v>0</v>
      </c>
      <c r="AF182" s="454">
        <f ca="1">IF(AND($D182="Serviço",AF$12&lt;&gt;0,$H182&gt;0,OR(AUTOEVENTO&lt;&gt;"manual",$M182&lt;&gt;$A$15)),
        IF(Import.TipoArredondamento&lt;&gt;"TransfereGOV",
              ROUND(OFFSET($P182,0,AF$13),15-13*ORÇAMENTO!$AF$7)/$H182*OFFSET(ORÇAMENTO!$X$15,ROW(AF182)-ROW(AF$15),0),
              ROUND(ROUND(OFFSET($P182,0,AF$13),15-13*ORÇAMENTO!$AF$7)*OFFSET(ORÇAMENTO!$W$15,ROW(AF182)-ROW(AF$15),0),15-13*ORÇAMENTO!$AF$11)),
         0)</f>
        <v>0</v>
      </c>
      <c r="AG182" s="454">
        <f ca="1">IF(AND($D182="Serviço",AG$12&lt;&gt;0,$H182&gt;0,OR(AUTOEVENTO&lt;&gt;"manual",$M182&lt;&gt;$A$15)),
        IF(Import.TipoArredondamento&lt;&gt;"TransfereGOV",
              ROUND(OFFSET($P182,0,AG$13),15-13*ORÇAMENTO!$AF$7)/$H182*OFFSET(ORÇAMENTO!$X$15,ROW(AG182)-ROW(AG$15),0),
              ROUND(ROUND(OFFSET($P182,0,AG$13),15-13*ORÇAMENTO!$AF$7)*OFFSET(ORÇAMENTO!$W$15,ROW(AG182)-ROW(AG$15),0),15-13*ORÇAMENTO!$AF$11)),
         0)</f>
        <v>0</v>
      </c>
      <c r="AH182" s="454">
        <f ca="1">IF(AND($D182="Serviço",AH$12&lt;&gt;0,$H182&gt;0,OR(AUTOEVENTO&lt;&gt;"manual",$M182&lt;&gt;$A$15)),
        IF(Import.TipoArredondamento&lt;&gt;"TransfereGOV",
              ROUND(OFFSET($P182,0,AH$13),15-13*ORÇAMENTO!$AF$7)/$H182*OFFSET(ORÇAMENTO!$X$15,ROW(AH182)-ROW(AH$15),0),
              ROUND(ROUND(OFFSET($P182,0,AH$13),15-13*ORÇAMENTO!$AF$7)*OFFSET(ORÇAMENTO!$W$15,ROW(AH182)-ROW(AH$15),0),15-13*ORÇAMENTO!$AF$11)),
         0)</f>
        <v>0</v>
      </c>
      <c r="AI182" s="454">
        <f ca="1">IF(AND($D182="Serviço",AI$12&lt;&gt;0,$H182&gt;0,OR(AUTOEVENTO&lt;&gt;"manual",$M182&lt;&gt;$A$15)),
        IF(Import.TipoArredondamento&lt;&gt;"TransfereGOV",
              ROUND(OFFSET($P182,0,AI$13),15-13*ORÇAMENTO!$AF$7)/$H182*OFFSET(ORÇAMENTO!$X$15,ROW(AI182)-ROW(AI$15),0),
              ROUND(ROUND(OFFSET($P182,0,AI$13),15-13*ORÇAMENTO!$AF$7)*OFFSET(ORÇAMENTO!$W$15,ROW(AI182)-ROW(AI$15),0),15-13*ORÇAMENTO!$AF$11)),
         0)</f>
        <v>0</v>
      </c>
      <c r="AJ182" s="454">
        <f ca="1">IF(AND($D182="Serviço",AJ$12&lt;&gt;0,$H182&gt;0,OR(AUTOEVENTO&lt;&gt;"manual",$M182&lt;&gt;$A$15)),
        IF(Import.TipoArredondamento&lt;&gt;"TransfereGOV",
              ROUND(OFFSET($P182,0,AJ$13),15-13*ORÇAMENTO!$AF$7)/$H182*OFFSET(ORÇAMENTO!$X$15,ROW(AJ182)-ROW(AJ$15),0),
              ROUND(ROUND(OFFSET($P182,0,AJ$13),15-13*ORÇAMENTO!$AF$7)*OFFSET(ORÇAMENTO!$W$15,ROW(AJ182)-ROW(AJ$15),0),15-13*ORÇAMENTO!$AF$11)),
         0)</f>
        <v>0</v>
      </c>
      <c r="AK182" s="454">
        <f ca="1">IF(AND($D182="Serviço",AK$12&lt;&gt;0,$H182&gt;0,OR(AUTOEVENTO&lt;&gt;"manual",$M182&lt;&gt;$A$15)),
        IF(Import.TipoArredondamento&lt;&gt;"TransfereGOV",
              ROUND(OFFSET($P182,0,AK$13),15-13*ORÇAMENTO!$AF$7)/$H182*OFFSET(ORÇAMENTO!$X$15,ROW(AK182)-ROW(AK$15),0),
              ROUND(ROUND(OFFSET($P182,0,AK$13),15-13*ORÇAMENTO!$AF$7)*OFFSET(ORÇAMENTO!$W$15,ROW(AK182)-ROW(AK$15),0),15-13*ORÇAMENTO!$AF$11)),
         0)</f>
        <v>0</v>
      </c>
      <c r="AM182" s="172">
        <f ca="1">IF(OR($D182&lt;&gt;"Serviço",AND(AUTOEVENTO="Manual",$M182=$A$15)),0,
         IF(OFFSET(CRONOPLE!$F$15,$M182-$A$15,AM$13)=0,10^12,OFFSET(CRONOPLE!$F$15,$M182-$A$15,AM$13)))</f>
        <v>1000000000000</v>
      </c>
      <c r="AN182" s="172">
        <f ca="1">IF(OR($D182&lt;&gt;"Serviço",AND(AUTOEVENTO="Manual",$M182=$A$15)),0,
         IF(OFFSET(CRONOPLE!$F$15,$M182-$A$15,AN$13)=0,10^12,OFFSET(CRONOPLE!$F$15,$M182-$A$15,AN$13)))</f>
        <v>1000000000000</v>
      </c>
      <c r="AO182" s="172">
        <f ca="1">IF(OR($D182&lt;&gt;"Serviço",AND(AUTOEVENTO="Manual",$M182=$A$15)),0,
         IF(OFFSET(CRONOPLE!$F$15,$M182-$A$15,AO$13)=0,10^12,OFFSET(CRONOPLE!$F$15,$M182-$A$15,AO$13)))</f>
        <v>1000000000000</v>
      </c>
      <c r="AP182" s="172">
        <f ca="1">IF(OR($D182&lt;&gt;"Serviço",AND(AUTOEVENTO="Manual",$M182=$A$15)),0,
         IF(OFFSET(CRONOPLE!$F$15,$M182-$A$15,AP$13)=0,10^12,OFFSET(CRONOPLE!$F$15,$M182-$A$15,AP$13)))</f>
        <v>1000000000000</v>
      </c>
      <c r="AQ182" s="172">
        <f ca="1">IF(OR($D182&lt;&gt;"Serviço",AND(AUTOEVENTO="Manual",$M182=$A$15)),0,
         IF(OFFSET(CRONOPLE!$F$15,$M182-$A$15,AQ$13)=0,10^12,OFFSET(CRONOPLE!$F$15,$M182-$A$15,AQ$13)))</f>
        <v>1000000000000</v>
      </c>
      <c r="AR182" s="172">
        <f ca="1">IF(OR($D182&lt;&gt;"Serviço",AND(AUTOEVENTO="Manual",$M182=$A$15)),0,
         IF(OFFSET(CRONOPLE!$F$15,$M182-$A$15,AR$13)=0,10^12,OFFSET(CRONOPLE!$F$15,$M182-$A$15,AR$13)))</f>
        <v>1000000000000</v>
      </c>
      <c r="AS182" s="172">
        <f ca="1">IF(OR($D182&lt;&gt;"Serviço",AND(AUTOEVENTO="Manual",$M182=$A$15)),0,
         IF(OFFSET(CRONOPLE!$F$15,$M182-$A$15,AS$13)=0,10^12,OFFSET(CRONOPLE!$F$15,$M182-$A$15,AS$13)))</f>
        <v>1000000000000</v>
      </c>
      <c r="AT182" s="172">
        <f ca="1">IF(OR($D182&lt;&gt;"Serviço",AND(AUTOEVENTO="Manual",$M182=$A$15)),0,
         IF(OFFSET(CRONOPLE!$F$15,$M182-$A$15,AT$13)=0,10^12,OFFSET(CRONOPLE!$F$15,$M182-$A$15,AT$13)))</f>
        <v>1000000000000</v>
      </c>
      <c r="AU182" s="172">
        <f ca="1">IF(OR($D182&lt;&gt;"Serviço",AND(AUTOEVENTO="Manual",$M182=$A$15)),0,
         IF(OFFSET(CRONOPLE!$F$15,$M182-$A$15,AU$13)=0,10^12,OFFSET(CRONOPLE!$F$15,$M182-$A$15,AU$13)))</f>
        <v>1000000000000</v>
      </c>
      <c r="AV182" s="172">
        <f ca="1">IF(OR($D182&lt;&gt;"Serviço",AND(AUTOEVENTO="Manual",$M182=$A$15)),0,
         IF(OFFSET(CRONOPLE!$F$15,$M182-$A$15,AV$13)=0,10^12,OFFSET(CRONOPLE!$F$15,$M182-$A$15,AV$13)))</f>
        <v>1000000000000</v>
      </c>
      <c r="AX182" s="173">
        <f ca="1">IF(OR($D182&lt;&gt;"Serviço",AND(AUTOEVENTO="Manual",$M182=$A$15),$M182&gt;(ROW(PLE.lastrow)-ROW(PLE.firstrow))),0,
           IF(OFFSET(PLE!$G$15,$M182-$A$15,AX$13)="",10^12,OFFSET(PLE!$G$15,$M182-$A$15,AX$13)))</f>
        <v>1000000000000</v>
      </c>
      <c r="AY182" s="173">
        <f ca="1">IF(OR($D182&lt;&gt;"Serviço",AND(AUTOEVENTO="Manual",$M182=$A$15),$M182&gt;(ROW(PLE.lastrow)-ROW(PLE.firstrow))),0,
           IF(OFFSET(PLE!$G$15,$M182-$A$15,AY$13)="",10^12,OFFSET(PLE!$G$15,$M182-$A$15,AY$13)))</f>
        <v>1000000000000</v>
      </c>
      <c r="AZ182" s="173">
        <f ca="1">IF(OR($D182&lt;&gt;"Serviço",AND(AUTOEVENTO="Manual",$M182=$A$15),$M182&gt;(ROW(PLE.lastrow)-ROW(PLE.firstrow))),0,
           IF(OFFSET(PLE!$G$15,$M182-$A$15,AZ$13)="",10^12,OFFSET(PLE!$G$15,$M182-$A$15,AZ$13)))</f>
        <v>1000000000000</v>
      </c>
      <c r="BA182" s="173">
        <f ca="1">IF(OR($D182&lt;&gt;"Serviço",AND(AUTOEVENTO="Manual",$M182=$A$15),$M182&gt;(ROW(PLE.lastrow)-ROW(PLE.firstrow))),0,
           IF(OFFSET(PLE!$G$15,$M182-$A$15,BA$13)="",10^12,OFFSET(PLE!$G$15,$M182-$A$15,BA$13)))</f>
        <v>1000000000000</v>
      </c>
      <c r="BB182" s="173">
        <f ca="1">IF(OR($D182&lt;&gt;"Serviço",AND(AUTOEVENTO="Manual",$M182=$A$15),$M182&gt;(ROW(PLE.lastrow)-ROW(PLE.firstrow))),0,
           IF(OFFSET(PLE!$G$15,$M182-$A$15,BB$13)="",10^12,OFFSET(PLE!$G$15,$M182-$A$15,BB$13)))</f>
        <v>1000000000000</v>
      </c>
      <c r="BC182" s="173">
        <f ca="1">IF(OR($D182&lt;&gt;"Serviço",AND(AUTOEVENTO="Manual",$M182=$A$15),$M182&gt;(ROW(PLE.lastrow)-ROW(PLE.firstrow))),0,
           IF(OFFSET(PLE!$G$15,$M182-$A$15,BC$13)="",10^12,OFFSET(PLE!$G$15,$M182-$A$15,BC$13)))</f>
        <v>1000000000000</v>
      </c>
      <c r="BD182" s="173">
        <f ca="1">IF(OR($D182&lt;&gt;"Serviço",AND(AUTOEVENTO="Manual",$M182=$A$15),$M182&gt;(ROW(PLE.lastrow)-ROW(PLE.firstrow))),0,
           IF(OFFSET(PLE!$G$15,$M182-$A$15,BD$13)="",10^12,OFFSET(PLE!$G$15,$M182-$A$15,BD$13)))</f>
        <v>1000000000000</v>
      </c>
      <c r="BE182" s="173">
        <f ca="1">IF(OR($D182&lt;&gt;"Serviço",AND(AUTOEVENTO="Manual",$M182=$A$15),$M182&gt;(ROW(PLE.lastrow)-ROW(PLE.firstrow))),0,
           IF(OFFSET(PLE!$G$15,$M182-$A$15,BE$13)="",10^12,OFFSET(PLE!$G$15,$M182-$A$15,BE$13)))</f>
        <v>1000000000000</v>
      </c>
      <c r="BF182" s="173">
        <f ca="1">IF(OR($D182&lt;&gt;"Serviço",AND(AUTOEVENTO="Manual",$M182=$A$15),$M182&gt;(ROW(PLE.lastrow)-ROW(PLE.firstrow))),0,
           IF(OFFSET(PLE!$G$15,$M182-$A$15,BF$13)="",10^12,OFFSET(PLE!$G$15,$M182-$A$15,BF$13)))</f>
        <v>1000000000000</v>
      </c>
      <c r="BG182" s="173">
        <f ca="1">IF(OR($D182&lt;&gt;"Serviço",AND(AUTOEVENTO="Manual",$M182=$A$15),$M182&gt;(ROW(PLE.lastrow)-ROW(PLE.firstrow))),0,
           IF(OFFSET(PLE!$G$15,$M182-$A$15,BG$13)="",10^12,OFFSET(PLE!$G$15,$M182-$A$15,BG$13)))</f>
        <v>1000000000000</v>
      </c>
    </row>
    <row r="183" spans="1:59" s="675" customFormat="1" ht="25.5" x14ac:dyDescent="0.2">
      <c r="A183" s="671" t="str">
        <f t="shared" ca="1" si="11"/>
        <v>158</v>
      </c>
      <c r="B183" s="671" t="str">
        <f ca="1">OFFSET(ORÇAMENTO!C$15,ROW(B183)-ROW(B$15),0)</f>
        <v>S</v>
      </c>
      <c r="C183" s="671" t="str">
        <f ca="1">OFFSET(ORÇAMENTO!L$15,ROW(C183)-ROW(C$15),0)</f>
        <v/>
      </c>
      <c r="D183" s="117" t="str">
        <f ca="1">OFFSET(ORÇAMENTO!N$15,ROW(D183)-ROW(D$15),0)</f>
        <v>Serviço</v>
      </c>
      <c r="E183" s="118" t="str">
        <f ca="1">OFFSET(ORÇAMENTO!O$15,ROW(E183)-ROW(E$15),0)</f>
        <v>-</v>
      </c>
      <c r="F183" s="164" t="str">
        <f ca="1">OFFSET(ORÇAMENTO!R$15,ROW(F183)-ROW(F$15),0)</f>
        <v>(abra o arquivo 'Referência 09-2025.xlsm)</v>
      </c>
      <c r="G183" s="165" t="str">
        <f ca="1">IF($D183&lt;&gt;"Serviço","",OFFSET(ORÇAMENTO!S$15,ROW(G183)-ROW(G$15),0))</f>
        <v>-</v>
      </c>
      <c r="H183" s="123">
        <f ca="1">IF($D183&lt;&gt;"Serviço",0,IF(ACOMPANHAMENTO="BM",ROUND(OFFSET(ORÇAMENTO!AJ$15,ROW(H183)-ROW(H$15),0),15-13*ORÇAMENTO!$AF$7),SUMPRODUCT(($Q$1:$AA$1=1)*ROUND($Q183:$AA183,15-13*ORÇAMENTO!$AF$7))))</f>
        <v>8.1300000000000008</v>
      </c>
      <c r="I183" s="469" t="s">
        <v>1110</v>
      </c>
      <c r="J183" s="667" t="str">
        <f ca="1">IF(OR(B183&lt;&gt;"S",CÁLCULO.FrentesPreenchidas=0),"",IF(AND(ACOMPANHAMENTO="PLE",AUTOEVENTO="Manual",OR(H183&gt;0,ORÇAMENTO!AC183="QUANT."),OR(K183="",M183=0,N183="")),"►",IF(AND(ACOMPANHAMENTO="PLE",ORÇAMENTO!AC183="QUANT."),"►►",IF(AND(COUNTIF($P$11:$AA$11,"▼")=0,H183&gt;0,I183=""),"◄",""))))</f>
        <v/>
      </c>
      <c r="K183" s="668"/>
      <c r="L183" s="166" t="s">
        <v>765</v>
      </c>
      <c r="M183" s="167">
        <f ca="1">IF($D183&lt;&gt;"Serviço","",
          IF(AUTOEVENTO="manual",$A183,
                IF(ISERROR(MATCH($A183,$A$15:OFFSET($A183,-1,0),0)),MAX($M$15:OFFSET(M183,-1,0))+1,
                      INDEX($M$15:OFFSET(M183,-1,0),MATCH($A183,$A$15:OFFSET($A183,-1,0),0)))))</f>
        <v>18</v>
      </c>
      <c r="N183" s="168" t="str">
        <f ca="1">IF($D183&lt;&gt;"Serviço","",
         IF(AUTOEVENTO="Manual",
                IF($A183=0,"&lt;-- defina o número do agrupador",
                       OFFSET(EVENTOS!$D$15,$A183-$A$15,0)),
                OFFSET($F$15,$A183,0)))</f>
        <v>FUNDAÇÃO</v>
      </c>
      <c r="O183" s="169"/>
      <c r="Q183" s="169"/>
      <c r="R183" s="170"/>
      <c r="S183" s="170"/>
      <c r="T183" s="170"/>
      <c r="U183" s="170"/>
      <c r="V183" s="170"/>
      <c r="W183" s="170"/>
      <c r="X183" s="170"/>
      <c r="Y183" s="170"/>
      <c r="Z183" s="171"/>
      <c r="AB183" s="454">
        <f ca="1">IF(AND($D183="Serviço",AB$12&lt;&gt;0,$H183&gt;0,OR(AUTOEVENTO&lt;&gt;"manual",$M183&lt;&gt;$A$15)),
        IF(Import.TipoArredondamento&lt;&gt;"TransfereGOV",
              ROUND(OFFSET($P183,0,AB$13),15-13*ORÇAMENTO!$AF$7)/$H183*OFFSET(ORÇAMENTO!$X$15,ROW(AB183)-ROW(AB$15),0),
              ROUND(ROUND(OFFSET($P183,0,AB$13),15-13*ORÇAMENTO!$AF$7)*OFFSET(ORÇAMENTO!$W$15,ROW(AB183)-ROW(AB$15),0),15-13*ORÇAMENTO!$AF$11)),
         0)</f>
        <v>0</v>
      </c>
      <c r="AC183" s="454">
        <f ca="1">IF(AND($D183="Serviço",AC$12&lt;&gt;0,$H183&gt;0,OR(AUTOEVENTO&lt;&gt;"manual",$M183&lt;&gt;$A$15)),
        IF(Import.TipoArredondamento&lt;&gt;"TransfereGOV",
              ROUND(OFFSET($P183,0,AC$13),15-13*ORÇAMENTO!$AF$7)/$H183*OFFSET(ORÇAMENTO!$X$15,ROW(AC183)-ROW(AC$15),0),
              ROUND(ROUND(OFFSET($P183,0,AC$13),15-13*ORÇAMENTO!$AF$7)*OFFSET(ORÇAMENTO!$W$15,ROW(AC183)-ROW(AC$15),0),15-13*ORÇAMENTO!$AF$11)),
         0)</f>
        <v>0</v>
      </c>
      <c r="AD183" s="454">
        <f ca="1">IF(AND($D183="Serviço",AD$12&lt;&gt;0,$H183&gt;0,OR(AUTOEVENTO&lt;&gt;"manual",$M183&lt;&gt;$A$15)),
        IF(Import.TipoArredondamento&lt;&gt;"TransfereGOV",
              ROUND(OFFSET($P183,0,AD$13),15-13*ORÇAMENTO!$AF$7)/$H183*OFFSET(ORÇAMENTO!$X$15,ROW(AD183)-ROW(AD$15),0),
              ROUND(ROUND(OFFSET($P183,0,AD$13),15-13*ORÇAMENTO!$AF$7)*OFFSET(ORÇAMENTO!$W$15,ROW(AD183)-ROW(AD$15),0),15-13*ORÇAMENTO!$AF$11)),
         0)</f>
        <v>0</v>
      </c>
      <c r="AE183" s="454">
        <f ca="1">IF(AND($D183="Serviço",AE$12&lt;&gt;0,$H183&gt;0,OR(AUTOEVENTO&lt;&gt;"manual",$M183&lt;&gt;$A$15)),
        IF(Import.TipoArredondamento&lt;&gt;"TransfereGOV",
              ROUND(OFFSET($P183,0,AE$13),15-13*ORÇAMENTO!$AF$7)/$H183*OFFSET(ORÇAMENTO!$X$15,ROW(AE183)-ROW(AE$15),0),
              ROUND(ROUND(OFFSET($P183,0,AE$13),15-13*ORÇAMENTO!$AF$7)*OFFSET(ORÇAMENTO!$W$15,ROW(AE183)-ROW(AE$15),0),15-13*ORÇAMENTO!$AF$11)),
         0)</f>
        <v>0</v>
      </c>
      <c r="AF183" s="454">
        <f ca="1">IF(AND($D183="Serviço",AF$12&lt;&gt;0,$H183&gt;0,OR(AUTOEVENTO&lt;&gt;"manual",$M183&lt;&gt;$A$15)),
        IF(Import.TipoArredondamento&lt;&gt;"TransfereGOV",
              ROUND(OFFSET($P183,0,AF$13),15-13*ORÇAMENTO!$AF$7)/$H183*OFFSET(ORÇAMENTO!$X$15,ROW(AF183)-ROW(AF$15),0),
              ROUND(ROUND(OFFSET($P183,0,AF$13),15-13*ORÇAMENTO!$AF$7)*OFFSET(ORÇAMENTO!$W$15,ROW(AF183)-ROW(AF$15),0),15-13*ORÇAMENTO!$AF$11)),
         0)</f>
        <v>0</v>
      </c>
      <c r="AG183" s="454">
        <f ca="1">IF(AND($D183="Serviço",AG$12&lt;&gt;0,$H183&gt;0,OR(AUTOEVENTO&lt;&gt;"manual",$M183&lt;&gt;$A$15)),
        IF(Import.TipoArredondamento&lt;&gt;"TransfereGOV",
              ROUND(OFFSET($P183,0,AG$13),15-13*ORÇAMENTO!$AF$7)/$H183*OFFSET(ORÇAMENTO!$X$15,ROW(AG183)-ROW(AG$15),0),
              ROUND(ROUND(OFFSET($P183,0,AG$13),15-13*ORÇAMENTO!$AF$7)*OFFSET(ORÇAMENTO!$W$15,ROW(AG183)-ROW(AG$15),0),15-13*ORÇAMENTO!$AF$11)),
         0)</f>
        <v>0</v>
      </c>
      <c r="AH183" s="454">
        <f ca="1">IF(AND($D183="Serviço",AH$12&lt;&gt;0,$H183&gt;0,OR(AUTOEVENTO&lt;&gt;"manual",$M183&lt;&gt;$A$15)),
        IF(Import.TipoArredondamento&lt;&gt;"TransfereGOV",
              ROUND(OFFSET($P183,0,AH$13),15-13*ORÇAMENTO!$AF$7)/$H183*OFFSET(ORÇAMENTO!$X$15,ROW(AH183)-ROW(AH$15),0),
              ROUND(ROUND(OFFSET($P183,0,AH$13),15-13*ORÇAMENTO!$AF$7)*OFFSET(ORÇAMENTO!$W$15,ROW(AH183)-ROW(AH$15),0),15-13*ORÇAMENTO!$AF$11)),
         0)</f>
        <v>0</v>
      </c>
      <c r="AI183" s="454">
        <f ca="1">IF(AND($D183="Serviço",AI$12&lt;&gt;0,$H183&gt;0,OR(AUTOEVENTO&lt;&gt;"manual",$M183&lt;&gt;$A$15)),
        IF(Import.TipoArredondamento&lt;&gt;"TransfereGOV",
              ROUND(OFFSET($P183,0,AI$13),15-13*ORÇAMENTO!$AF$7)/$H183*OFFSET(ORÇAMENTO!$X$15,ROW(AI183)-ROW(AI$15),0),
              ROUND(ROUND(OFFSET($P183,0,AI$13),15-13*ORÇAMENTO!$AF$7)*OFFSET(ORÇAMENTO!$W$15,ROW(AI183)-ROW(AI$15),0),15-13*ORÇAMENTO!$AF$11)),
         0)</f>
        <v>0</v>
      </c>
      <c r="AJ183" s="454">
        <f ca="1">IF(AND($D183="Serviço",AJ$12&lt;&gt;0,$H183&gt;0,OR(AUTOEVENTO&lt;&gt;"manual",$M183&lt;&gt;$A$15)),
        IF(Import.TipoArredondamento&lt;&gt;"TransfereGOV",
              ROUND(OFFSET($P183,0,AJ$13),15-13*ORÇAMENTO!$AF$7)/$H183*OFFSET(ORÇAMENTO!$X$15,ROW(AJ183)-ROW(AJ$15),0),
              ROUND(ROUND(OFFSET($P183,0,AJ$13),15-13*ORÇAMENTO!$AF$7)*OFFSET(ORÇAMENTO!$W$15,ROW(AJ183)-ROW(AJ$15),0),15-13*ORÇAMENTO!$AF$11)),
         0)</f>
        <v>0</v>
      </c>
      <c r="AK183" s="454">
        <f ca="1">IF(AND($D183="Serviço",AK$12&lt;&gt;0,$H183&gt;0,OR(AUTOEVENTO&lt;&gt;"manual",$M183&lt;&gt;$A$15)),
        IF(Import.TipoArredondamento&lt;&gt;"TransfereGOV",
              ROUND(OFFSET($P183,0,AK$13),15-13*ORÇAMENTO!$AF$7)/$H183*OFFSET(ORÇAMENTO!$X$15,ROW(AK183)-ROW(AK$15),0),
              ROUND(ROUND(OFFSET($P183,0,AK$13),15-13*ORÇAMENTO!$AF$7)*OFFSET(ORÇAMENTO!$W$15,ROW(AK183)-ROW(AK$15),0),15-13*ORÇAMENTO!$AF$11)),
         0)</f>
        <v>0</v>
      </c>
      <c r="AM183" s="172">
        <f ca="1">IF(OR($D183&lt;&gt;"Serviço",AND(AUTOEVENTO="Manual",$M183=$A$15)),0,
         IF(OFFSET(CRONOPLE!$F$15,$M183-$A$15,AM$13)=0,10^12,OFFSET(CRONOPLE!$F$15,$M183-$A$15,AM$13)))</f>
        <v>1000000000000</v>
      </c>
      <c r="AN183" s="172">
        <f ca="1">IF(OR($D183&lt;&gt;"Serviço",AND(AUTOEVENTO="Manual",$M183=$A$15)),0,
         IF(OFFSET(CRONOPLE!$F$15,$M183-$A$15,AN$13)=0,10^12,OFFSET(CRONOPLE!$F$15,$M183-$A$15,AN$13)))</f>
        <v>1000000000000</v>
      </c>
      <c r="AO183" s="172">
        <f ca="1">IF(OR($D183&lt;&gt;"Serviço",AND(AUTOEVENTO="Manual",$M183=$A$15)),0,
         IF(OFFSET(CRONOPLE!$F$15,$M183-$A$15,AO$13)=0,10^12,OFFSET(CRONOPLE!$F$15,$M183-$A$15,AO$13)))</f>
        <v>1000000000000</v>
      </c>
      <c r="AP183" s="172">
        <f ca="1">IF(OR($D183&lt;&gt;"Serviço",AND(AUTOEVENTO="Manual",$M183=$A$15)),0,
         IF(OFFSET(CRONOPLE!$F$15,$M183-$A$15,AP$13)=0,10^12,OFFSET(CRONOPLE!$F$15,$M183-$A$15,AP$13)))</f>
        <v>1000000000000</v>
      </c>
      <c r="AQ183" s="172">
        <f ca="1">IF(OR($D183&lt;&gt;"Serviço",AND(AUTOEVENTO="Manual",$M183=$A$15)),0,
         IF(OFFSET(CRONOPLE!$F$15,$M183-$A$15,AQ$13)=0,10^12,OFFSET(CRONOPLE!$F$15,$M183-$A$15,AQ$13)))</f>
        <v>1000000000000</v>
      </c>
      <c r="AR183" s="172">
        <f ca="1">IF(OR($D183&lt;&gt;"Serviço",AND(AUTOEVENTO="Manual",$M183=$A$15)),0,
         IF(OFFSET(CRONOPLE!$F$15,$M183-$A$15,AR$13)=0,10^12,OFFSET(CRONOPLE!$F$15,$M183-$A$15,AR$13)))</f>
        <v>1000000000000</v>
      </c>
      <c r="AS183" s="172">
        <f ca="1">IF(OR($D183&lt;&gt;"Serviço",AND(AUTOEVENTO="Manual",$M183=$A$15)),0,
         IF(OFFSET(CRONOPLE!$F$15,$M183-$A$15,AS$13)=0,10^12,OFFSET(CRONOPLE!$F$15,$M183-$A$15,AS$13)))</f>
        <v>1000000000000</v>
      </c>
      <c r="AT183" s="172">
        <f ca="1">IF(OR($D183&lt;&gt;"Serviço",AND(AUTOEVENTO="Manual",$M183=$A$15)),0,
         IF(OFFSET(CRONOPLE!$F$15,$M183-$A$15,AT$13)=0,10^12,OFFSET(CRONOPLE!$F$15,$M183-$A$15,AT$13)))</f>
        <v>1000000000000</v>
      </c>
      <c r="AU183" s="172">
        <f ca="1">IF(OR($D183&lt;&gt;"Serviço",AND(AUTOEVENTO="Manual",$M183=$A$15)),0,
         IF(OFFSET(CRONOPLE!$F$15,$M183-$A$15,AU$13)=0,10^12,OFFSET(CRONOPLE!$F$15,$M183-$A$15,AU$13)))</f>
        <v>1000000000000</v>
      </c>
      <c r="AV183" s="172">
        <f ca="1">IF(OR($D183&lt;&gt;"Serviço",AND(AUTOEVENTO="Manual",$M183=$A$15)),0,
         IF(OFFSET(CRONOPLE!$F$15,$M183-$A$15,AV$13)=0,10^12,OFFSET(CRONOPLE!$F$15,$M183-$A$15,AV$13)))</f>
        <v>1000000000000</v>
      </c>
      <c r="AX183" s="173">
        <f ca="1">IF(OR($D183&lt;&gt;"Serviço",AND(AUTOEVENTO="Manual",$M183=$A$15),$M183&gt;(ROW(PLE.lastrow)-ROW(PLE.firstrow))),0,
           IF(OFFSET(PLE!$G$15,$M183-$A$15,AX$13)="",10^12,OFFSET(PLE!$G$15,$M183-$A$15,AX$13)))</f>
        <v>1000000000000</v>
      </c>
      <c r="AY183" s="173">
        <f ca="1">IF(OR($D183&lt;&gt;"Serviço",AND(AUTOEVENTO="Manual",$M183=$A$15),$M183&gt;(ROW(PLE.lastrow)-ROW(PLE.firstrow))),0,
           IF(OFFSET(PLE!$G$15,$M183-$A$15,AY$13)="",10^12,OFFSET(PLE!$G$15,$M183-$A$15,AY$13)))</f>
        <v>1000000000000</v>
      </c>
      <c r="AZ183" s="173">
        <f ca="1">IF(OR($D183&lt;&gt;"Serviço",AND(AUTOEVENTO="Manual",$M183=$A$15),$M183&gt;(ROW(PLE.lastrow)-ROW(PLE.firstrow))),0,
           IF(OFFSET(PLE!$G$15,$M183-$A$15,AZ$13)="",10^12,OFFSET(PLE!$G$15,$M183-$A$15,AZ$13)))</f>
        <v>1000000000000</v>
      </c>
      <c r="BA183" s="173">
        <f ca="1">IF(OR($D183&lt;&gt;"Serviço",AND(AUTOEVENTO="Manual",$M183=$A$15),$M183&gt;(ROW(PLE.lastrow)-ROW(PLE.firstrow))),0,
           IF(OFFSET(PLE!$G$15,$M183-$A$15,BA$13)="",10^12,OFFSET(PLE!$G$15,$M183-$A$15,BA$13)))</f>
        <v>1000000000000</v>
      </c>
      <c r="BB183" s="173">
        <f ca="1">IF(OR($D183&lt;&gt;"Serviço",AND(AUTOEVENTO="Manual",$M183=$A$15),$M183&gt;(ROW(PLE.lastrow)-ROW(PLE.firstrow))),0,
           IF(OFFSET(PLE!$G$15,$M183-$A$15,BB$13)="",10^12,OFFSET(PLE!$G$15,$M183-$A$15,BB$13)))</f>
        <v>1000000000000</v>
      </c>
      <c r="BC183" s="173">
        <f ca="1">IF(OR($D183&lt;&gt;"Serviço",AND(AUTOEVENTO="Manual",$M183=$A$15),$M183&gt;(ROW(PLE.lastrow)-ROW(PLE.firstrow))),0,
           IF(OFFSET(PLE!$G$15,$M183-$A$15,BC$13)="",10^12,OFFSET(PLE!$G$15,$M183-$A$15,BC$13)))</f>
        <v>1000000000000</v>
      </c>
      <c r="BD183" s="173">
        <f ca="1">IF(OR($D183&lt;&gt;"Serviço",AND(AUTOEVENTO="Manual",$M183=$A$15),$M183&gt;(ROW(PLE.lastrow)-ROW(PLE.firstrow))),0,
           IF(OFFSET(PLE!$G$15,$M183-$A$15,BD$13)="",10^12,OFFSET(PLE!$G$15,$M183-$A$15,BD$13)))</f>
        <v>1000000000000</v>
      </c>
      <c r="BE183" s="173">
        <f ca="1">IF(OR($D183&lt;&gt;"Serviço",AND(AUTOEVENTO="Manual",$M183=$A$15),$M183&gt;(ROW(PLE.lastrow)-ROW(PLE.firstrow))),0,
           IF(OFFSET(PLE!$G$15,$M183-$A$15,BE$13)="",10^12,OFFSET(PLE!$G$15,$M183-$A$15,BE$13)))</f>
        <v>1000000000000</v>
      </c>
      <c r="BF183" s="173">
        <f ca="1">IF(OR($D183&lt;&gt;"Serviço",AND(AUTOEVENTO="Manual",$M183=$A$15),$M183&gt;(ROW(PLE.lastrow)-ROW(PLE.firstrow))),0,
           IF(OFFSET(PLE!$G$15,$M183-$A$15,BF$13)="",10^12,OFFSET(PLE!$G$15,$M183-$A$15,BF$13)))</f>
        <v>1000000000000</v>
      </c>
      <c r="BG183" s="173">
        <f ca="1">IF(OR($D183&lt;&gt;"Serviço",AND(AUTOEVENTO="Manual",$M183=$A$15),$M183&gt;(ROW(PLE.lastrow)-ROW(PLE.firstrow))),0,
           IF(OFFSET(PLE!$G$15,$M183-$A$15,BG$13)="",10^12,OFFSET(PLE!$G$15,$M183-$A$15,BG$13)))</f>
        <v>1000000000000</v>
      </c>
    </row>
    <row r="184" spans="1:59" s="675" customFormat="1" ht="25.5" x14ac:dyDescent="0.2">
      <c r="A184" s="671" t="str">
        <f t="shared" ca="1" si="11"/>
        <v>158</v>
      </c>
      <c r="B184" s="671" t="str">
        <f ca="1">OFFSET(ORÇAMENTO!C$15,ROW(B184)-ROW(B$15),0)</f>
        <v>S</v>
      </c>
      <c r="C184" s="671" t="str">
        <f ca="1">OFFSET(ORÇAMENTO!L$15,ROW(C184)-ROW(C$15),0)</f>
        <v/>
      </c>
      <c r="D184" s="117" t="str">
        <f ca="1">OFFSET(ORÇAMENTO!N$15,ROW(D184)-ROW(D$15),0)</f>
        <v>Serviço</v>
      </c>
      <c r="E184" s="118" t="str">
        <f ca="1">OFFSET(ORÇAMENTO!O$15,ROW(E184)-ROW(E$15),0)</f>
        <v>-</v>
      </c>
      <c r="F184" s="164" t="str">
        <f ca="1">OFFSET(ORÇAMENTO!R$15,ROW(F184)-ROW(F$15),0)</f>
        <v>(abra o arquivo 'Referência 09-2025.xlsm)</v>
      </c>
      <c r="G184" s="165" t="str">
        <f ca="1">IF($D184&lt;&gt;"Serviço","",OFFSET(ORÇAMENTO!S$15,ROW(G184)-ROW(G$15),0))</f>
        <v>-</v>
      </c>
      <c r="H184" s="123">
        <f ca="1">IF($D184&lt;&gt;"Serviço",0,IF(ACOMPANHAMENTO="BM",ROUND(OFFSET(ORÇAMENTO!AJ$15,ROW(H184)-ROW(H$15),0),15-13*ORÇAMENTO!$AF$7),SUMPRODUCT(($Q$1:$AA$1=1)*ROUND($Q184:$AA184,15-13*ORÇAMENTO!$AF$7))))</f>
        <v>9.32</v>
      </c>
      <c r="I184" s="469" t="s">
        <v>1110</v>
      </c>
      <c r="J184" s="667" t="str">
        <f ca="1">IF(OR(B184&lt;&gt;"S",CÁLCULO.FrentesPreenchidas=0),"",IF(AND(ACOMPANHAMENTO="PLE",AUTOEVENTO="Manual",OR(H184&gt;0,ORÇAMENTO!AC184="QUANT."),OR(K184="",M184=0,N184="")),"►",IF(AND(ACOMPANHAMENTO="PLE",ORÇAMENTO!AC184="QUANT."),"►►",IF(AND(COUNTIF($P$11:$AA$11,"▼")=0,H184&gt;0,I184=""),"◄",""))))</f>
        <v/>
      </c>
      <c r="K184" s="668"/>
      <c r="L184" s="166" t="s">
        <v>765</v>
      </c>
      <c r="M184" s="167">
        <f ca="1">IF($D184&lt;&gt;"Serviço","",
          IF(AUTOEVENTO="manual",$A184,
                IF(ISERROR(MATCH($A184,$A$15:OFFSET($A184,-1,0),0)),MAX($M$15:OFFSET(M184,-1,0))+1,
                      INDEX($M$15:OFFSET(M184,-1,0),MATCH($A184,$A$15:OFFSET($A184,-1,0),0)))))</f>
        <v>18</v>
      </c>
      <c r="N184" s="168" t="str">
        <f ca="1">IF($D184&lt;&gt;"Serviço","",
         IF(AUTOEVENTO="Manual",
                IF($A184=0,"&lt;-- defina o número do agrupador",
                       OFFSET(EVENTOS!$D$15,$A184-$A$15,0)),
                OFFSET($F$15,$A184,0)))</f>
        <v>FUNDAÇÃO</v>
      </c>
      <c r="O184" s="169"/>
      <c r="Q184" s="169"/>
      <c r="R184" s="170"/>
      <c r="S184" s="170"/>
      <c r="T184" s="170"/>
      <c r="U184" s="170"/>
      <c r="V184" s="170"/>
      <c r="W184" s="170"/>
      <c r="X184" s="170"/>
      <c r="Y184" s="170"/>
      <c r="Z184" s="171"/>
      <c r="AB184" s="454">
        <f ca="1">IF(AND($D184="Serviço",AB$12&lt;&gt;0,$H184&gt;0,OR(AUTOEVENTO&lt;&gt;"manual",$M184&lt;&gt;$A$15)),
        IF(Import.TipoArredondamento&lt;&gt;"TransfereGOV",
              ROUND(OFFSET($P184,0,AB$13),15-13*ORÇAMENTO!$AF$7)/$H184*OFFSET(ORÇAMENTO!$X$15,ROW(AB184)-ROW(AB$15),0),
              ROUND(ROUND(OFFSET($P184,0,AB$13),15-13*ORÇAMENTO!$AF$7)*OFFSET(ORÇAMENTO!$W$15,ROW(AB184)-ROW(AB$15),0),15-13*ORÇAMENTO!$AF$11)),
         0)</f>
        <v>0</v>
      </c>
      <c r="AC184" s="454">
        <f ca="1">IF(AND($D184="Serviço",AC$12&lt;&gt;0,$H184&gt;0,OR(AUTOEVENTO&lt;&gt;"manual",$M184&lt;&gt;$A$15)),
        IF(Import.TipoArredondamento&lt;&gt;"TransfereGOV",
              ROUND(OFFSET($P184,0,AC$13),15-13*ORÇAMENTO!$AF$7)/$H184*OFFSET(ORÇAMENTO!$X$15,ROW(AC184)-ROW(AC$15),0),
              ROUND(ROUND(OFFSET($P184,0,AC$13),15-13*ORÇAMENTO!$AF$7)*OFFSET(ORÇAMENTO!$W$15,ROW(AC184)-ROW(AC$15),0),15-13*ORÇAMENTO!$AF$11)),
         0)</f>
        <v>0</v>
      </c>
      <c r="AD184" s="454">
        <f ca="1">IF(AND($D184="Serviço",AD$12&lt;&gt;0,$H184&gt;0,OR(AUTOEVENTO&lt;&gt;"manual",$M184&lt;&gt;$A$15)),
        IF(Import.TipoArredondamento&lt;&gt;"TransfereGOV",
              ROUND(OFFSET($P184,0,AD$13),15-13*ORÇAMENTO!$AF$7)/$H184*OFFSET(ORÇAMENTO!$X$15,ROW(AD184)-ROW(AD$15),0),
              ROUND(ROUND(OFFSET($P184,0,AD$13),15-13*ORÇAMENTO!$AF$7)*OFFSET(ORÇAMENTO!$W$15,ROW(AD184)-ROW(AD$15),0),15-13*ORÇAMENTO!$AF$11)),
         0)</f>
        <v>0</v>
      </c>
      <c r="AE184" s="454">
        <f ca="1">IF(AND($D184="Serviço",AE$12&lt;&gt;0,$H184&gt;0,OR(AUTOEVENTO&lt;&gt;"manual",$M184&lt;&gt;$A$15)),
        IF(Import.TipoArredondamento&lt;&gt;"TransfereGOV",
              ROUND(OFFSET($P184,0,AE$13),15-13*ORÇAMENTO!$AF$7)/$H184*OFFSET(ORÇAMENTO!$X$15,ROW(AE184)-ROW(AE$15),0),
              ROUND(ROUND(OFFSET($P184,0,AE$13),15-13*ORÇAMENTO!$AF$7)*OFFSET(ORÇAMENTO!$W$15,ROW(AE184)-ROW(AE$15),0),15-13*ORÇAMENTO!$AF$11)),
         0)</f>
        <v>0</v>
      </c>
      <c r="AF184" s="454">
        <f ca="1">IF(AND($D184="Serviço",AF$12&lt;&gt;0,$H184&gt;0,OR(AUTOEVENTO&lt;&gt;"manual",$M184&lt;&gt;$A$15)),
        IF(Import.TipoArredondamento&lt;&gt;"TransfereGOV",
              ROUND(OFFSET($P184,0,AF$13),15-13*ORÇAMENTO!$AF$7)/$H184*OFFSET(ORÇAMENTO!$X$15,ROW(AF184)-ROW(AF$15),0),
              ROUND(ROUND(OFFSET($P184,0,AF$13),15-13*ORÇAMENTO!$AF$7)*OFFSET(ORÇAMENTO!$W$15,ROW(AF184)-ROW(AF$15),0),15-13*ORÇAMENTO!$AF$11)),
         0)</f>
        <v>0</v>
      </c>
      <c r="AG184" s="454">
        <f ca="1">IF(AND($D184="Serviço",AG$12&lt;&gt;0,$H184&gt;0,OR(AUTOEVENTO&lt;&gt;"manual",$M184&lt;&gt;$A$15)),
        IF(Import.TipoArredondamento&lt;&gt;"TransfereGOV",
              ROUND(OFFSET($P184,0,AG$13),15-13*ORÇAMENTO!$AF$7)/$H184*OFFSET(ORÇAMENTO!$X$15,ROW(AG184)-ROW(AG$15),0),
              ROUND(ROUND(OFFSET($P184,0,AG$13),15-13*ORÇAMENTO!$AF$7)*OFFSET(ORÇAMENTO!$W$15,ROW(AG184)-ROW(AG$15),0),15-13*ORÇAMENTO!$AF$11)),
         0)</f>
        <v>0</v>
      </c>
      <c r="AH184" s="454">
        <f ca="1">IF(AND($D184="Serviço",AH$12&lt;&gt;0,$H184&gt;0,OR(AUTOEVENTO&lt;&gt;"manual",$M184&lt;&gt;$A$15)),
        IF(Import.TipoArredondamento&lt;&gt;"TransfereGOV",
              ROUND(OFFSET($P184,0,AH$13),15-13*ORÇAMENTO!$AF$7)/$H184*OFFSET(ORÇAMENTO!$X$15,ROW(AH184)-ROW(AH$15),0),
              ROUND(ROUND(OFFSET($P184,0,AH$13),15-13*ORÇAMENTO!$AF$7)*OFFSET(ORÇAMENTO!$W$15,ROW(AH184)-ROW(AH$15),0),15-13*ORÇAMENTO!$AF$11)),
         0)</f>
        <v>0</v>
      </c>
      <c r="AI184" s="454">
        <f ca="1">IF(AND($D184="Serviço",AI$12&lt;&gt;0,$H184&gt;0,OR(AUTOEVENTO&lt;&gt;"manual",$M184&lt;&gt;$A$15)),
        IF(Import.TipoArredondamento&lt;&gt;"TransfereGOV",
              ROUND(OFFSET($P184,0,AI$13),15-13*ORÇAMENTO!$AF$7)/$H184*OFFSET(ORÇAMENTO!$X$15,ROW(AI184)-ROW(AI$15),0),
              ROUND(ROUND(OFFSET($P184,0,AI$13),15-13*ORÇAMENTO!$AF$7)*OFFSET(ORÇAMENTO!$W$15,ROW(AI184)-ROW(AI$15),0),15-13*ORÇAMENTO!$AF$11)),
         0)</f>
        <v>0</v>
      </c>
      <c r="AJ184" s="454">
        <f ca="1">IF(AND($D184="Serviço",AJ$12&lt;&gt;0,$H184&gt;0,OR(AUTOEVENTO&lt;&gt;"manual",$M184&lt;&gt;$A$15)),
        IF(Import.TipoArredondamento&lt;&gt;"TransfereGOV",
              ROUND(OFFSET($P184,0,AJ$13),15-13*ORÇAMENTO!$AF$7)/$H184*OFFSET(ORÇAMENTO!$X$15,ROW(AJ184)-ROW(AJ$15),0),
              ROUND(ROUND(OFFSET($P184,0,AJ$13),15-13*ORÇAMENTO!$AF$7)*OFFSET(ORÇAMENTO!$W$15,ROW(AJ184)-ROW(AJ$15),0),15-13*ORÇAMENTO!$AF$11)),
         0)</f>
        <v>0</v>
      </c>
      <c r="AK184" s="454">
        <f ca="1">IF(AND($D184="Serviço",AK$12&lt;&gt;0,$H184&gt;0,OR(AUTOEVENTO&lt;&gt;"manual",$M184&lt;&gt;$A$15)),
        IF(Import.TipoArredondamento&lt;&gt;"TransfereGOV",
              ROUND(OFFSET($P184,0,AK$13),15-13*ORÇAMENTO!$AF$7)/$H184*OFFSET(ORÇAMENTO!$X$15,ROW(AK184)-ROW(AK$15),0),
              ROUND(ROUND(OFFSET($P184,0,AK$13),15-13*ORÇAMENTO!$AF$7)*OFFSET(ORÇAMENTO!$W$15,ROW(AK184)-ROW(AK$15),0),15-13*ORÇAMENTO!$AF$11)),
         0)</f>
        <v>0</v>
      </c>
      <c r="AM184" s="172">
        <f ca="1">IF(OR($D184&lt;&gt;"Serviço",AND(AUTOEVENTO="Manual",$M184=$A$15)),0,
         IF(OFFSET(CRONOPLE!$F$15,$M184-$A$15,AM$13)=0,10^12,OFFSET(CRONOPLE!$F$15,$M184-$A$15,AM$13)))</f>
        <v>1000000000000</v>
      </c>
      <c r="AN184" s="172">
        <f ca="1">IF(OR($D184&lt;&gt;"Serviço",AND(AUTOEVENTO="Manual",$M184=$A$15)),0,
         IF(OFFSET(CRONOPLE!$F$15,$M184-$A$15,AN$13)=0,10^12,OFFSET(CRONOPLE!$F$15,$M184-$A$15,AN$13)))</f>
        <v>1000000000000</v>
      </c>
      <c r="AO184" s="172">
        <f ca="1">IF(OR($D184&lt;&gt;"Serviço",AND(AUTOEVENTO="Manual",$M184=$A$15)),0,
         IF(OFFSET(CRONOPLE!$F$15,$M184-$A$15,AO$13)=0,10^12,OFFSET(CRONOPLE!$F$15,$M184-$A$15,AO$13)))</f>
        <v>1000000000000</v>
      </c>
      <c r="AP184" s="172">
        <f ca="1">IF(OR($D184&lt;&gt;"Serviço",AND(AUTOEVENTO="Manual",$M184=$A$15)),0,
         IF(OFFSET(CRONOPLE!$F$15,$M184-$A$15,AP$13)=0,10^12,OFFSET(CRONOPLE!$F$15,$M184-$A$15,AP$13)))</f>
        <v>1000000000000</v>
      </c>
      <c r="AQ184" s="172">
        <f ca="1">IF(OR($D184&lt;&gt;"Serviço",AND(AUTOEVENTO="Manual",$M184=$A$15)),0,
         IF(OFFSET(CRONOPLE!$F$15,$M184-$A$15,AQ$13)=0,10^12,OFFSET(CRONOPLE!$F$15,$M184-$A$15,AQ$13)))</f>
        <v>1000000000000</v>
      </c>
      <c r="AR184" s="172">
        <f ca="1">IF(OR($D184&lt;&gt;"Serviço",AND(AUTOEVENTO="Manual",$M184=$A$15)),0,
         IF(OFFSET(CRONOPLE!$F$15,$M184-$A$15,AR$13)=0,10^12,OFFSET(CRONOPLE!$F$15,$M184-$A$15,AR$13)))</f>
        <v>1000000000000</v>
      </c>
      <c r="AS184" s="172">
        <f ca="1">IF(OR($D184&lt;&gt;"Serviço",AND(AUTOEVENTO="Manual",$M184=$A$15)),0,
         IF(OFFSET(CRONOPLE!$F$15,$M184-$A$15,AS$13)=0,10^12,OFFSET(CRONOPLE!$F$15,$M184-$A$15,AS$13)))</f>
        <v>1000000000000</v>
      </c>
      <c r="AT184" s="172">
        <f ca="1">IF(OR($D184&lt;&gt;"Serviço",AND(AUTOEVENTO="Manual",$M184=$A$15)),0,
         IF(OFFSET(CRONOPLE!$F$15,$M184-$A$15,AT$13)=0,10^12,OFFSET(CRONOPLE!$F$15,$M184-$A$15,AT$13)))</f>
        <v>1000000000000</v>
      </c>
      <c r="AU184" s="172">
        <f ca="1">IF(OR($D184&lt;&gt;"Serviço",AND(AUTOEVENTO="Manual",$M184=$A$15)),0,
         IF(OFFSET(CRONOPLE!$F$15,$M184-$A$15,AU$13)=0,10^12,OFFSET(CRONOPLE!$F$15,$M184-$A$15,AU$13)))</f>
        <v>1000000000000</v>
      </c>
      <c r="AV184" s="172">
        <f ca="1">IF(OR($D184&lt;&gt;"Serviço",AND(AUTOEVENTO="Manual",$M184=$A$15)),0,
         IF(OFFSET(CRONOPLE!$F$15,$M184-$A$15,AV$13)=0,10^12,OFFSET(CRONOPLE!$F$15,$M184-$A$15,AV$13)))</f>
        <v>1000000000000</v>
      </c>
      <c r="AX184" s="173">
        <f ca="1">IF(OR($D184&lt;&gt;"Serviço",AND(AUTOEVENTO="Manual",$M184=$A$15),$M184&gt;(ROW(PLE.lastrow)-ROW(PLE.firstrow))),0,
           IF(OFFSET(PLE!$G$15,$M184-$A$15,AX$13)="",10^12,OFFSET(PLE!$G$15,$M184-$A$15,AX$13)))</f>
        <v>1000000000000</v>
      </c>
      <c r="AY184" s="173">
        <f ca="1">IF(OR($D184&lt;&gt;"Serviço",AND(AUTOEVENTO="Manual",$M184=$A$15),$M184&gt;(ROW(PLE.lastrow)-ROW(PLE.firstrow))),0,
           IF(OFFSET(PLE!$G$15,$M184-$A$15,AY$13)="",10^12,OFFSET(PLE!$G$15,$M184-$A$15,AY$13)))</f>
        <v>1000000000000</v>
      </c>
      <c r="AZ184" s="173">
        <f ca="1">IF(OR($D184&lt;&gt;"Serviço",AND(AUTOEVENTO="Manual",$M184=$A$15),$M184&gt;(ROW(PLE.lastrow)-ROW(PLE.firstrow))),0,
           IF(OFFSET(PLE!$G$15,$M184-$A$15,AZ$13)="",10^12,OFFSET(PLE!$G$15,$M184-$A$15,AZ$13)))</f>
        <v>1000000000000</v>
      </c>
      <c r="BA184" s="173">
        <f ca="1">IF(OR($D184&lt;&gt;"Serviço",AND(AUTOEVENTO="Manual",$M184=$A$15),$M184&gt;(ROW(PLE.lastrow)-ROW(PLE.firstrow))),0,
           IF(OFFSET(PLE!$G$15,$M184-$A$15,BA$13)="",10^12,OFFSET(PLE!$G$15,$M184-$A$15,BA$13)))</f>
        <v>1000000000000</v>
      </c>
      <c r="BB184" s="173">
        <f ca="1">IF(OR($D184&lt;&gt;"Serviço",AND(AUTOEVENTO="Manual",$M184=$A$15),$M184&gt;(ROW(PLE.lastrow)-ROW(PLE.firstrow))),0,
           IF(OFFSET(PLE!$G$15,$M184-$A$15,BB$13)="",10^12,OFFSET(PLE!$G$15,$M184-$A$15,BB$13)))</f>
        <v>1000000000000</v>
      </c>
      <c r="BC184" s="173">
        <f ca="1">IF(OR($D184&lt;&gt;"Serviço",AND(AUTOEVENTO="Manual",$M184=$A$15),$M184&gt;(ROW(PLE.lastrow)-ROW(PLE.firstrow))),0,
           IF(OFFSET(PLE!$G$15,$M184-$A$15,BC$13)="",10^12,OFFSET(PLE!$G$15,$M184-$A$15,BC$13)))</f>
        <v>1000000000000</v>
      </c>
      <c r="BD184" s="173">
        <f ca="1">IF(OR($D184&lt;&gt;"Serviço",AND(AUTOEVENTO="Manual",$M184=$A$15),$M184&gt;(ROW(PLE.lastrow)-ROW(PLE.firstrow))),0,
           IF(OFFSET(PLE!$G$15,$M184-$A$15,BD$13)="",10^12,OFFSET(PLE!$G$15,$M184-$A$15,BD$13)))</f>
        <v>1000000000000</v>
      </c>
      <c r="BE184" s="173">
        <f ca="1">IF(OR($D184&lt;&gt;"Serviço",AND(AUTOEVENTO="Manual",$M184=$A$15),$M184&gt;(ROW(PLE.lastrow)-ROW(PLE.firstrow))),0,
           IF(OFFSET(PLE!$G$15,$M184-$A$15,BE$13)="",10^12,OFFSET(PLE!$G$15,$M184-$A$15,BE$13)))</f>
        <v>1000000000000</v>
      </c>
      <c r="BF184" s="173">
        <f ca="1">IF(OR($D184&lt;&gt;"Serviço",AND(AUTOEVENTO="Manual",$M184=$A$15),$M184&gt;(ROW(PLE.lastrow)-ROW(PLE.firstrow))),0,
           IF(OFFSET(PLE!$G$15,$M184-$A$15,BF$13)="",10^12,OFFSET(PLE!$G$15,$M184-$A$15,BF$13)))</f>
        <v>1000000000000</v>
      </c>
      <c r="BG184" s="173">
        <f ca="1">IF(OR($D184&lt;&gt;"Serviço",AND(AUTOEVENTO="Manual",$M184=$A$15),$M184&gt;(ROW(PLE.lastrow)-ROW(PLE.firstrow))),0,
           IF(OFFSET(PLE!$G$15,$M184-$A$15,BG$13)="",10^12,OFFSET(PLE!$G$15,$M184-$A$15,BG$13)))</f>
        <v>1000000000000</v>
      </c>
    </row>
    <row r="185" spans="1:59" s="675" customFormat="1" ht="25.5" x14ac:dyDescent="0.2">
      <c r="A185" s="671" t="str">
        <f t="shared" ca="1" si="11"/>
        <v>158</v>
      </c>
      <c r="B185" s="671" t="str">
        <f ca="1">OFFSET(ORÇAMENTO!C$15,ROW(B185)-ROW(B$15),0)</f>
        <v>S</v>
      </c>
      <c r="C185" s="671" t="str">
        <f ca="1">OFFSET(ORÇAMENTO!L$15,ROW(C185)-ROW(C$15),0)</f>
        <v/>
      </c>
      <c r="D185" s="117" t="str">
        <f ca="1">OFFSET(ORÇAMENTO!N$15,ROW(D185)-ROW(D$15),0)</f>
        <v>Serviço</v>
      </c>
      <c r="E185" s="118" t="str">
        <f ca="1">OFFSET(ORÇAMENTO!O$15,ROW(E185)-ROW(E$15),0)</f>
        <v>-</v>
      </c>
      <c r="F185" s="164" t="str">
        <f ca="1">OFFSET(ORÇAMENTO!R$15,ROW(F185)-ROW(F$15),0)</f>
        <v>(abra o arquivo 'Referência 09-2025.xlsm)</v>
      </c>
      <c r="G185" s="165" t="str">
        <f ca="1">IF($D185&lt;&gt;"Serviço","",OFFSET(ORÇAMENTO!S$15,ROW(G185)-ROW(G$15),0))</f>
        <v>-</v>
      </c>
      <c r="H185" s="123">
        <f ca="1">IF($D185&lt;&gt;"Serviço",0,IF(ACOMPANHAMENTO="BM",ROUND(OFFSET(ORÇAMENTO!AJ$15,ROW(H185)-ROW(H$15),0),15-13*ORÇAMENTO!$AF$7),SUMPRODUCT(($Q$1:$AA$1=1)*ROUND($Q185:$AA185,15-13*ORÇAMENTO!$AF$7))))</f>
        <v>65.41</v>
      </c>
      <c r="I185" s="469" t="s">
        <v>1110</v>
      </c>
      <c r="J185" s="667" t="str">
        <f ca="1">IF(OR(B185&lt;&gt;"S",CÁLCULO.FrentesPreenchidas=0),"",IF(AND(ACOMPANHAMENTO="PLE",AUTOEVENTO="Manual",OR(H185&gt;0,ORÇAMENTO!AC185="QUANT."),OR(K185="",M185=0,N185="")),"►",IF(AND(ACOMPANHAMENTO="PLE",ORÇAMENTO!AC185="QUANT."),"►►",IF(AND(COUNTIF($P$11:$AA$11,"▼")=0,H185&gt;0,I185=""),"◄",""))))</f>
        <v/>
      </c>
      <c r="K185" s="668"/>
      <c r="L185" s="166" t="s">
        <v>765</v>
      </c>
      <c r="M185" s="167">
        <f ca="1">IF($D185&lt;&gt;"Serviço","",
          IF(AUTOEVENTO="manual",$A185,
                IF(ISERROR(MATCH($A185,$A$15:OFFSET($A185,-1,0),0)),MAX($M$15:OFFSET(M185,-1,0))+1,
                      INDEX($M$15:OFFSET(M185,-1,0),MATCH($A185,$A$15:OFFSET($A185,-1,0),0)))))</f>
        <v>18</v>
      </c>
      <c r="N185" s="168" t="str">
        <f ca="1">IF($D185&lt;&gt;"Serviço","",
         IF(AUTOEVENTO="Manual",
                IF($A185=0,"&lt;-- defina o número do agrupador",
                       OFFSET(EVENTOS!$D$15,$A185-$A$15,0)),
                OFFSET($F$15,$A185,0)))</f>
        <v>FUNDAÇÃO</v>
      </c>
      <c r="O185" s="169"/>
      <c r="Q185" s="169"/>
      <c r="R185" s="170"/>
      <c r="S185" s="170"/>
      <c r="T185" s="170"/>
      <c r="U185" s="170"/>
      <c r="V185" s="170"/>
      <c r="W185" s="170"/>
      <c r="X185" s="170"/>
      <c r="Y185" s="170"/>
      <c r="Z185" s="171"/>
      <c r="AB185" s="454">
        <f ca="1">IF(AND($D185="Serviço",AB$12&lt;&gt;0,$H185&gt;0,OR(AUTOEVENTO&lt;&gt;"manual",$M185&lt;&gt;$A$15)),
        IF(Import.TipoArredondamento&lt;&gt;"TransfereGOV",
              ROUND(OFFSET($P185,0,AB$13),15-13*ORÇAMENTO!$AF$7)/$H185*OFFSET(ORÇAMENTO!$X$15,ROW(AB185)-ROW(AB$15),0),
              ROUND(ROUND(OFFSET($P185,0,AB$13),15-13*ORÇAMENTO!$AF$7)*OFFSET(ORÇAMENTO!$W$15,ROW(AB185)-ROW(AB$15),0),15-13*ORÇAMENTO!$AF$11)),
         0)</f>
        <v>0</v>
      </c>
      <c r="AC185" s="454">
        <f ca="1">IF(AND($D185="Serviço",AC$12&lt;&gt;0,$H185&gt;0,OR(AUTOEVENTO&lt;&gt;"manual",$M185&lt;&gt;$A$15)),
        IF(Import.TipoArredondamento&lt;&gt;"TransfereGOV",
              ROUND(OFFSET($P185,0,AC$13),15-13*ORÇAMENTO!$AF$7)/$H185*OFFSET(ORÇAMENTO!$X$15,ROW(AC185)-ROW(AC$15),0),
              ROUND(ROUND(OFFSET($P185,0,AC$13),15-13*ORÇAMENTO!$AF$7)*OFFSET(ORÇAMENTO!$W$15,ROW(AC185)-ROW(AC$15),0),15-13*ORÇAMENTO!$AF$11)),
         0)</f>
        <v>0</v>
      </c>
      <c r="AD185" s="454">
        <f ca="1">IF(AND($D185="Serviço",AD$12&lt;&gt;0,$H185&gt;0,OR(AUTOEVENTO&lt;&gt;"manual",$M185&lt;&gt;$A$15)),
        IF(Import.TipoArredondamento&lt;&gt;"TransfereGOV",
              ROUND(OFFSET($P185,0,AD$13),15-13*ORÇAMENTO!$AF$7)/$H185*OFFSET(ORÇAMENTO!$X$15,ROW(AD185)-ROW(AD$15),0),
              ROUND(ROUND(OFFSET($P185,0,AD$13),15-13*ORÇAMENTO!$AF$7)*OFFSET(ORÇAMENTO!$W$15,ROW(AD185)-ROW(AD$15),0),15-13*ORÇAMENTO!$AF$11)),
         0)</f>
        <v>0</v>
      </c>
      <c r="AE185" s="454">
        <f ca="1">IF(AND($D185="Serviço",AE$12&lt;&gt;0,$H185&gt;0,OR(AUTOEVENTO&lt;&gt;"manual",$M185&lt;&gt;$A$15)),
        IF(Import.TipoArredondamento&lt;&gt;"TransfereGOV",
              ROUND(OFFSET($P185,0,AE$13),15-13*ORÇAMENTO!$AF$7)/$H185*OFFSET(ORÇAMENTO!$X$15,ROW(AE185)-ROW(AE$15),0),
              ROUND(ROUND(OFFSET($P185,0,AE$13),15-13*ORÇAMENTO!$AF$7)*OFFSET(ORÇAMENTO!$W$15,ROW(AE185)-ROW(AE$15),0),15-13*ORÇAMENTO!$AF$11)),
         0)</f>
        <v>0</v>
      </c>
      <c r="AF185" s="454">
        <f ca="1">IF(AND($D185="Serviço",AF$12&lt;&gt;0,$H185&gt;0,OR(AUTOEVENTO&lt;&gt;"manual",$M185&lt;&gt;$A$15)),
        IF(Import.TipoArredondamento&lt;&gt;"TransfereGOV",
              ROUND(OFFSET($P185,0,AF$13),15-13*ORÇAMENTO!$AF$7)/$H185*OFFSET(ORÇAMENTO!$X$15,ROW(AF185)-ROW(AF$15),0),
              ROUND(ROUND(OFFSET($P185,0,AF$13),15-13*ORÇAMENTO!$AF$7)*OFFSET(ORÇAMENTO!$W$15,ROW(AF185)-ROW(AF$15),0),15-13*ORÇAMENTO!$AF$11)),
         0)</f>
        <v>0</v>
      </c>
      <c r="AG185" s="454">
        <f ca="1">IF(AND($D185="Serviço",AG$12&lt;&gt;0,$H185&gt;0,OR(AUTOEVENTO&lt;&gt;"manual",$M185&lt;&gt;$A$15)),
        IF(Import.TipoArredondamento&lt;&gt;"TransfereGOV",
              ROUND(OFFSET($P185,0,AG$13),15-13*ORÇAMENTO!$AF$7)/$H185*OFFSET(ORÇAMENTO!$X$15,ROW(AG185)-ROW(AG$15),0),
              ROUND(ROUND(OFFSET($P185,0,AG$13),15-13*ORÇAMENTO!$AF$7)*OFFSET(ORÇAMENTO!$W$15,ROW(AG185)-ROW(AG$15),0),15-13*ORÇAMENTO!$AF$11)),
         0)</f>
        <v>0</v>
      </c>
      <c r="AH185" s="454">
        <f ca="1">IF(AND($D185="Serviço",AH$12&lt;&gt;0,$H185&gt;0,OR(AUTOEVENTO&lt;&gt;"manual",$M185&lt;&gt;$A$15)),
        IF(Import.TipoArredondamento&lt;&gt;"TransfereGOV",
              ROUND(OFFSET($P185,0,AH$13),15-13*ORÇAMENTO!$AF$7)/$H185*OFFSET(ORÇAMENTO!$X$15,ROW(AH185)-ROW(AH$15),0),
              ROUND(ROUND(OFFSET($P185,0,AH$13),15-13*ORÇAMENTO!$AF$7)*OFFSET(ORÇAMENTO!$W$15,ROW(AH185)-ROW(AH$15),0),15-13*ORÇAMENTO!$AF$11)),
         0)</f>
        <v>0</v>
      </c>
      <c r="AI185" s="454">
        <f ca="1">IF(AND($D185="Serviço",AI$12&lt;&gt;0,$H185&gt;0,OR(AUTOEVENTO&lt;&gt;"manual",$M185&lt;&gt;$A$15)),
        IF(Import.TipoArredondamento&lt;&gt;"TransfereGOV",
              ROUND(OFFSET($P185,0,AI$13),15-13*ORÇAMENTO!$AF$7)/$H185*OFFSET(ORÇAMENTO!$X$15,ROW(AI185)-ROW(AI$15),0),
              ROUND(ROUND(OFFSET($P185,0,AI$13),15-13*ORÇAMENTO!$AF$7)*OFFSET(ORÇAMENTO!$W$15,ROW(AI185)-ROW(AI$15),0),15-13*ORÇAMENTO!$AF$11)),
         0)</f>
        <v>0</v>
      </c>
      <c r="AJ185" s="454">
        <f ca="1">IF(AND($D185="Serviço",AJ$12&lt;&gt;0,$H185&gt;0,OR(AUTOEVENTO&lt;&gt;"manual",$M185&lt;&gt;$A$15)),
        IF(Import.TipoArredondamento&lt;&gt;"TransfereGOV",
              ROUND(OFFSET($P185,0,AJ$13),15-13*ORÇAMENTO!$AF$7)/$H185*OFFSET(ORÇAMENTO!$X$15,ROW(AJ185)-ROW(AJ$15),0),
              ROUND(ROUND(OFFSET($P185,0,AJ$13),15-13*ORÇAMENTO!$AF$7)*OFFSET(ORÇAMENTO!$W$15,ROW(AJ185)-ROW(AJ$15),0),15-13*ORÇAMENTO!$AF$11)),
         0)</f>
        <v>0</v>
      </c>
      <c r="AK185" s="454">
        <f ca="1">IF(AND($D185="Serviço",AK$12&lt;&gt;0,$H185&gt;0,OR(AUTOEVENTO&lt;&gt;"manual",$M185&lt;&gt;$A$15)),
        IF(Import.TipoArredondamento&lt;&gt;"TransfereGOV",
              ROUND(OFFSET($P185,0,AK$13),15-13*ORÇAMENTO!$AF$7)/$H185*OFFSET(ORÇAMENTO!$X$15,ROW(AK185)-ROW(AK$15),0),
              ROUND(ROUND(OFFSET($P185,0,AK$13),15-13*ORÇAMENTO!$AF$7)*OFFSET(ORÇAMENTO!$W$15,ROW(AK185)-ROW(AK$15),0),15-13*ORÇAMENTO!$AF$11)),
         0)</f>
        <v>0</v>
      </c>
      <c r="AM185" s="172">
        <f ca="1">IF(OR($D185&lt;&gt;"Serviço",AND(AUTOEVENTO="Manual",$M185=$A$15)),0,
         IF(OFFSET(CRONOPLE!$F$15,$M185-$A$15,AM$13)=0,10^12,OFFSET(CRONOPLE!$F$15,$M185-$A$15,AM$13)))</f>
        <v>1000000000000</v>
      </c>
      <c r="AN185" s="172">
        <f ca="1">IF(OR($D185&lt;&gt;"Serviço",AND(AUTOEVENTO="Manual",$M185=$A$15)),0,
         IF(OFFSET(CRONOPLE!$F$15,$M185-$A$15,AN$13)=0,10^12,OFFSET(CRONOPLE!$F$15,$M185-$A$15,AN$13)))</f>
        <v>1000000000000</v>
      </c>
      <c r="AO185" s="172">
        <f ca="1">IF(OR($D185&lt;&gt;"Serviço",AND(AUTOEVENTO="Manual",$M185=$A$15)),0,
         IF(OFFSET(CRONOPLE!$F$15,$M185-$A$15,AO$13)=0,10^12,OFFSET(CRONOPLE!$F$15,$M185-$A$15,AO$13)))</f>
        <v>1000000000000</v>
      </c>
      <c r="AP185" s="172">
        <f ca="1">IF(OR($D185&lt;&gt;"Serviço",AND(AUTOEVENTO="Manual",$M185=$A$15)),0,
         IF(OFFSET(CRONOPLE!$F$15,$M185-$A$15,AP$13)=0,10^12,OFFSET(CRONOPLE!$F$15,$M185-$A$15,AP$13)))</f>
        <v>1000000000000</v>
      </c>
      <c r="AQ185" s="172">
        <f ca="1">IF(OR($D185&lt;&gt;"Serviço",AND(AUTOEVENTO="Manual",$M185=$A$15)),0,
         IF(OFFSET(CRONOPLE!$F$15,$M185-$A$15,AQ$13)=0,10^12,OFFSET(CRONOPLE!$F$15,$M185-$A$15,AQ$13)))</f>
        <v>1000000000000</v>
      </c>
      <c r="AR185" s="172">
        <f ca="1">IF(OR($D185&lt;&gt;"Serviço",AND(AUTOEVENTO="Manual",$M185=$A$15)),0,
         IF(OFFSET(CRONOPLE!$F$15,$M185-$A$15,AR$13)=0,10^12,OFFSET(CRONOPLE!$F$15,$M185-$A$15,AR$13)))</f>
        <v>1000000000000</v>
      </c>
      <c r="AS185" s="172">
        <f ca="1">IF(OR($D185&lt;&gt;"Serviço",AND(AUTOEVENTO="Manual",$M185=$A$15)),0,
         IF(OFFSET(CRONOPLE!$F$15,$M185-$A$15,AS$13)=0,10^12,OFFSET(CRONOPLE!$F$15,$M185-$A$15,AS$13)))</f>
        <v>1000000000000</v>
      </c>
      <c r="AT185" s="172">
        <f ca="1">IF(OR($D185&lt;&gt;"Serviço",AND(AUTOEVENTO="Manual",$M185=$A$15)),0,
         IF(OFFSET(CRONOPLE!$F$15,$M185-$A$15,AT$13)=0,10^12,OFFSET(CRONOPLE!$F$15,$M185-$A$15,AT$13)))</f>
        <v>1000000000000</v>
      </c>
      <c r="AU185" s="172">
        <f ca="1">IF(OR($D185&lt;&gt;"Serviço",AND(AUTOEVENTO="Manual",$M185=$A$15)),0,
         IF(OFFSET(CRONOPLE!$F$15,$M185-$A$15,AU$13)=0,10^12,OFFSET(CRONOPLE!$F$15,$M185-$A$15,AU$13)))</f>
        <v>1000000000000</v>
      </c>
      <c r="AV185" s="172">
        <f ca="1">IF(OR($D185&lt;&gt;"Serviço",AND(AUTOEVENTO="Manual",$M185=$A$15)),0,
         IF(OFFSET(CRONOPLE!$F$15,$M185-$A$15,AV$13)=0,10^12,OFFSET(CRONOPLE!$F$15,$M185-$A$15,AV$13)))</f>
        <v>1000000000000</v>
      </c>
      <c r="AX185" s="173">
        <f ca="1">IF(OR($D185&lt;&gt;"Serviço",AND(AUTOEVENTO="Manual",$M185=$A$15),$M185&gt;(ROW(PLE.lastrow)-ROW(PLE.firstrow))),0,
           IF(OFFSET(PLE!$G$15,$M185-$A$15,AX$13)="",10^12,OFFSET(PLE!$G$15,$M185-$A$15,AX$13)))</f>
        <v>1000000000000</v>
      </c>
      <c r="AY185" s="173">
        <f ca="1">IF(OR($D185&lt;&gt;"Serviço",AND(AUTOEVENTO="Manual",$M185=$A$15),$M185&gt;(ROW(PLE.lastrow)-ROW(PLE.firstrow))),0,
           IF(OFFSET(PLE!$G$15,$M185-$A$15,AY$13)="",10^12,OFFSET(PLE!$G$15,$M185-$A$15,AY$13)))</f>
        <v>1000000000000</v>
      </c>
      <c r="AZ185" s="173">
        <f ca="1">IF(OR($D185&lt;&gt;"Serviço",AND(AUTOEVENTO="Manual",$M185=$A$15),$M185&gt;(ROW(PLE.lastrow)-ROW(PLE.firstrow))),0,
           IF(OFFSET(PLE!$G$15,$M185-$A$15,AZ$13)="",10^12,OFFSET(PLE!$G$15,$M185-$A$15,AZ$13)))</f>
        <v>1000000000000</v>
      </c>
      <c r="BA185" s="173">
        <f ca="1">IF(OR($D185&lt;&gt;"Serviço",AND(AUTOEVENTO="Manual",$M185=$A$15),$M185&gt;(ROW(PLE.lastrow)-ROW(PLE.firstrow))),0,
           IF(OFFSET(PLE!$G$15,$M185-$A$15,BA$13)="",10^12,OFFSET(PLE!$G$15,$M185-$A$15,BA$13)))</f>
        <v>1000000000000</v>
      </c>
      <c r="BB185" s="173">
        <f ca="1">IF(OR($D185&lt;&gt;"Serviço",AND(AUTOEVENTO="Manual",$M185=$A$15),$M185&gt;(ROW(PLE.lastrow)-ROW(PLE.firstrow))),0,
           IF(OFFSET(PLE!$G$15,$M185-$A$15,BB$13)="",10^12,OFFSET(PLE!$G$15,$M185-$A$15,BB$13)))</f>
        <v>1000000000000</v>
      </c>
      <c r="BC185" s="173">
        <f ca="1">IF(OR($D185&lt;&gt;"Serviço",AND(AUTOEVENTO="Manual",$M185=$A$15),$M185&gt;(ROW(PLE.lastrow)-ROW(PLE.firstrow))),0,
           IF(OFFSET(PLE!$G$15,$M185-$A$15,BC$13)="",10^12,OFFSET(PLE!$G$15,$M185-$A$15,BC$13)))</f>
        <v>1000000000000</v>
      </c>
      <c r="BD185" s="173">
        <f ca="1">IF(OR($D185&lt;&gt;"Serviço",AND(AUTOEVENTO="Manual",$M185=$A$15),$M185&gt;(ROW(PLE.lastrow)-ROW(PLE.firstrow))),0,
           IF(OFFSET(PLE!$G$15,$M185-$A$15,BD$13)="",10^12,OFFSET(PLE!$G$15,$M185-$A$15,BD$13)))</f>
        <v>1000000000000</v>
      </c>
      <c r="BE185" s="173">
        <f ca="1">IF(OR($D185&lt;&gt;"Serviço",AND(AUTOEVENTO="Manual",$M185=$A$15),$M185&gt;(ROW(PLE.lastrow)-ROW(PLE.firstrow))),0,
           IF(OFFSET(PLE!$G$15,$M185-$A$15,BE$13)="",10^12,OFFSET(PLE!$G$15,$M185-$A$15,BE$13)))</f>
        <v>1000000000000</v>
      </c>
      <c r="BF185" s="173">
        <f ca="1">IF(OR($D185&lt;&gt;"Serviço",AND(AUTOEVENTO="Manual",$M185=$A$15),$M185&gt;(ROW(PLE.lastrow)-ROW(PLE.firstrow))),0,
           IF(OFFSET(PLE!$G$15,$M185-$A$15,BF$13)="",10^12,OFFSET(PLE!$G$15,$M185-$A$15,BF$13)))</f>
        <v>1000000000000</v>
      </c>
      <c r="BG185" s="173">
        <f ca="1">IF(OR($D185&lt;&gt;"Serviço",AND(AUTOEVENTO="Manual",$M185=$A$15),$M185&gt;(ROW(PLE.lastrow)-ROW(PLE.firstrow))),0,
           IF(OFFSET(PLE!$G$15,$M185-$A$15,BG$13)="",10^12,OFFSET(PLE!$G$15,$M185-$A$15,BG$13)))</f>
        <v>1000000000000</v>
      </c>
    </row>
    <row r="186" spans="1:59" s="675" customFormat="1" ht="38.25" x14ac:dyDescent="0.2">
      <c r="A186" s="671" t="str">
        <f t="shared" ca="1" si="11"/>
        <v>158</v>
      </c>
      <c r="B186" s="671" t="str">
        <f ca="1">OFFSET(ORÇAMENTO!C$15,ROW(B186)-ROW(B$15),0)</f>
        <v>S</v>
      </c>
      <c r="C186" s="671" t="str">
        <f ca="1">OFFSET(ORÇAMENTO!L$15,ROW(C186)-ROW(C$15),0)</f>
        <v/>
      </c>
      <c r="D186" s="117" t="str">
        <f ca="1">OFFSET(ORÇAMENTO!N$15,ROW(D186)-ROW(D$15),0)</f>
        <v>Serviço</v>
      </c>
      <c r="E186" s="118" t="str">
        <f ca="1">OFFSET(ORÇAMENTO!O$15,ROW(E186)-ROW(E$15),0)</f>
        <v>-</v>
      </c>
      <c r="F186" s="164" t="str">
        <f ca="1">OFFSET(ORÇAMENTO!R$15,ROW(F186)-ROW(F$15),0)</f>
        <v>(abra o arquivo 'Referência 09-2025.xlsm)</v>
      </c>
      <c r="G186" s="165" t="str">
        <f ca="1">IF($D186&lt;&gt;"Serviço","",OFFSET(ORÇAMENTO!S$15,ROW(G186)-ROW(G$15),0))</f>
        <v>-</v>
      </c>
      <c r="H186" s="123">
        <f ca="1">IF($D186&lt;&gt;"Serviço",0,IF(ACOMPANHAMENTO="BM",ROUND(OFFSET(ORÇAMENTO!AJ$15,ROW(H186)-ROW(H$15),0),15-13*ORÇAMENTO!$AF$7),SUMPRODUCT(($Q$1:$AA$1=1)*ROUND($Q186:$AA186,15-13*ORÇAMENTO!$AF$7))))</f>
        <v>4.55</v>
      </c>
      <c r="I186" s="469" t="s">
        <v>1110</v>
      </c>
      <c r="J186" s="667" t="str">
        <f ca="1">IF(OR(B186&lt;&gt;"S",CÁLCULO.FrentesPreenchidas=0),"",IF(AND(ACOMPANHAMENTO="PLE",AUTOEVENTO="Manual",OR(H186&gt;0,ORÇAMENTO!AC186="QUANT."),OR(K186="",M186=0,N186="")),"►",IF(AND(ACOMPANHAMENTO="PLE",ORÇAMENTO!AC186="QUANT."),"►►",IF(AND(COUNTIF($P$11:$AA$11,"▼")=0,H186&gt;0,I186=""),"◄",""))))</f>
        <v/>
      </c>
      <c r="K186" s="668"/>
      <c r="L186" s="166" t="s">
        <v>765</v>
      </c>
      <c r="M186" s="167">
        <f ca="1">IF($D186&lt;&gt;"Serviço","",
          IF(AUTOEVENTO="manual",$A186,
                IF(ISERROR(MATCH($A186,$A$15:OFFSET($A186,-1,0),0)),MAX($M$15:OFFSET(M186,-1,0))+1,
                      INDEX($M$15:OFFSET(M186,-1,0),MATCH($A186,$A$15:OFFSET($A186,-1,0),0)))))</f>
        <v>18</v>
      </c>
      <c r="N186" s="168" t="str">
        <f ca="1">IF($D186&lt;&gt;"Serviço","",
         IF(AUTOEVENTO="Manual",
                IF($A186=0,"&lt;-- defina o número do agrupador",
                       OFFSET(EVENTOS!$D$15,$A186-$A$15,0)),
                OFFSET($F$15,$A186,0)))</f>
        <v>FUNDAÇÃO</v>
      </c>
      <c r="O186" s="169"/>
      <c r="Q186" s="169"/>
      <c r="R186" s="170"/>
      <c r="S186" s="170"/>
      <c r="T186" s="170"/>
      <c r="U186" s="170"/>
      <c r="V186" s="170"/>
      <c r="W186" s="170"/>
      <c r="X186" s="170"/>
      <c r="Y186" s="170"/>
      <c r="Z186" s="171"/>
      <c r="AB186" s="454">
        <f ca="1">IF(AND($D186="Serviço",AB$12&lt;&gt;0,$H186&gt;0,OR(AUTOEVENTO&lt;&gt;"manual",$M186&lt;&gt;$A$15)),
        IF(Import.TipoArredondamento&lt;&gt;"TransfereGOV",
              ROUND(OFFSET($P186,0,AB$13),15-13*ORÇAMENTO!$AF$7)/$H186*OFFSET(ORÇAMENTO!$X$15,ROW(AB186)-ROW(AB$15),0),
              ROUND(ROUND(OFFSET($P186,0,AB$13),15-13*ORÇAMENTO!$AF$7)*OFFSET(ORÇAMENTO!$W$15,ROW(AB186)-ROW(AB$15),0),15-13*ORÇAMENTO!$AF$11)),
         0)</f>
        <v>0</v>
      </c>
      <c r="AC186" s="454">
        <f ca="1">IF(AND($D186="Serviço",AC$12&lt;&gt;0,$H186&gt;0,OR(AUTOEVENTO&lt;&gt;"manual",$M186&lt;&gt;$A$15)),
        IF(Import.TipoArredondamento&lt;&gt;"TransfereGOV",
              ROUND(OFFSET($P186,0,AC$13),15-13*ORÇAMENTO!$AF$7)/$H186*OFFSET(ORÇAMENTO!$X$15,ROW(AC186)-ROW(AC$15),0),
              ROUND(ROUND(OFFSET($P186,0,AC$13),15-13*ORÇAMENTO!$AF$7)*OFFSET(ORÇAMENTO!$W$15,ROW(AC186)-ROW(AC$15),0),15-13*ORÇAMENTO!$AF$11)),
         0)</f>
        <v>0</v>
      </c>
      <c r="AD186" s="454">
        <f ca="1">IF(AND($D186="Serviço",AD$12&lt;&gt;0,$H186&gt;0,OR(AUTOEVENTO&lt;&gt;"manual",$M186&lt;&gt;$A$15)),
        IF(Import.TipoArredondamento&lt;&gt;"TransfereGOV",
              ROUND(OFFSET($P186,0,AD$13),15-13*ORÇAMENTO!$AF$7)/$H186*OFFSET(ORÇAMENTO!$X$15,ROW(AD186)-ROW(AD$15),0),
              ROUND(ROUND(OFFSET($P186,0,AD$13),15-13*ORÇAMENTO!$AF$7)*OFFSET(ORÇAMENTO!$W$15,ROW(AD186)-ROW(AD$15),0),15-13*ORÇAMENTO!$AF$11)),
         0)</f>
        <v>0</v>
      </c>
      <c r="AE186" s="454">
        <f ca="1">IF(AND($D186="Serviço",AE$12&lt;&gt;0,$H186&gt;0,OR(AUTOEVENTO&lt;&gt;"manual",$M186&lt;&gt;$A$15)),
        IF(Import.TipoArredondamento&lt;&gt;"TransfereGOV",
              ROUND(OFFSET($P186,0,AE$13),15-13*ORÇAMENTO!$AF$7)/$H186*OFFSET(ORÇAMENTO!$X$15,ROW(AE186)-ROW(AE$15),0),
              ROUND(ROUND(OFFSET($P186,0,AE$13),15-13*ORÇAMENTO!$AF$7)*OFFSET(ORÇAMENTO!$W$15,ROW(AE186)-ROW(AE$15),0),15-13*ORÇAMENTO!$AF$11)),
         0)</f>
        <v>0</v>
      </c>
      <c r="AF186" s="454">
        <f ca="1">IF(AND($D186="Serviço",AF$12&lt;&gt;0,$H186&gt;0,OR(AUTOEVENTO&lt;&gt;"manual",$M186&lt;&gt;$A$15)),
        IF(Import.TipoArredondamento&lt;&gt;"TransfereGOV",
              ROUND(OFFSET($P186,0,AF$13),15-13*ORÇAMENTO!$AF$7)/$H186*OFFSET(ORÇAMENTO!$X$15,ROW(AF186)-ROW(AF$15),0),
              ROUND(ROUND(OFFSET($P186,0,AF$13),15-13*ORÇAMENTO!$AF$7)*OFFSET(ORÇAMENTO!$W$15,ROW(AF186)-ROW(AF$15),0),15-13*ORÇAMENTO!$AF$11)),
         0)</f>
        <v>0</v>
      </c>
      <c r="AG186" s="454">
        <f ca="1">IF(AND($D186="Serviço",AG$12&lt;&gt;0,$H186&gt;0,OR(AUTOEVENTO&lt;&gt;"manual",$M186&lt;&gt;$A$15)),
        IF(Import.TipoArredondamento&lt;&gt;"TransfereGOV",
              ROUND(OFFSET($P186,0,AG$13),15-13*ORÇAMENTO!$AF$7)/$H186*OFFSET(ORÇAMENTO!$X$15,ROW(AG186)-ROW(AG$15),0),
              ROUND(ROUND(OFFSET($P186,0,AG$13),15-13*ORÇAMENTO!$AF$7)*OFFSET(ORÇAMENTO!$W$15,ROW(AG186)-ROW(AG$15),0),15-13*ORÇAMENTO!$AF$11)),
         0)</f>
        <v>0</v>
      </c>
      <c r="AH186" s="454">
        <f ca="1">IF(AND($D186="Serviço",AH$12&lt;&gt;0,$H186&gt;0,OR(AUTOEVENTO&lt;&gt;"manual",$M186&lt;&gt;$A$15)),
        IF(Import.TipoArredondamento&lt;&gt;"TransfereGOV",
              ROUND(OFFSET($P186,0,AH$13),15-13*ORÇAMENTO!$AF$7)/$H186*OFFSET(ORÇAMENTO!$X$15,ROW(AH186)-ROW(AH$15),0),
              ROUND(ROUND(OFFSET($P186,0,AH$13),15-13*ORÇAMENTO!$AF$7)*OFFSET(ORÇAMENTO!$W$15,ROW(AH186)-ROW(AH$15),0),15-13*ORÇAMENTO!$AF$11)),
         0)</f>
        <v>0</v>
      </c>
      <c r="AI186" s="454">
        <f ca="1">IF(AND($D186="Serviço",AI$12&lt;&gt;0,$H186&gt;0,OR(AUTOEVENTO&lt;&gt;"manual",$M186&lt;&gt;$A$15)),
        IF(Import.TipoArredondamento&lt;&gt;"TransfereGOV",
              ROUND(OFFSET($P186,0,AI$13),15-13*ORÇAMENTO!$AF$7)/$H186*OFFSET(ORÇAMENTO!$X$15,ROW(AI186)-ROW(AI$15),0),
              ROUND(ROUND(OFFSET($P186,0,AI$13),15-13*ORÇAMENTO!$AF$7)*OFFSET(ORÇAMENTO!$W$15,ROW(AI186)-ROW(AI$15),0),15-13*ORÇAMENTO!$AF$11)),
         0)</f>
        <v>0</v>
      </c>
      <c r="AJ186" s="454">
        <f ca="1">IF(AND($D186="Serviço",AJ$12&lt;&gt;0,$H186&gt;0,OR(AUTOEVENTO&lt;&gt;"manual",$M186&lt;&gt;$A$15)),
        IF(Import.TipoArredondamento&lt;&gt;"TransfereGOV",
              ROUND(OFFSET($P186,0,AJ$13),15-13*ORÇAMENTO!$AF$7)/$H186*OFFSET(ORÇAMENTO!$X$15,ROW(AJ186)-ROW(AJ$15),0),
              ROUND(ROUND(OFFSET($P186,0,AJ$13),15-13*ORÇAMENTO!$AF$7)*OFFSET(ORÇAMENTO!$W$15,ROW(AJ186)-ROW(AJ$15),0),15-13*ORÇAMENTO!$AF$11)),
         0)</f>
        <v>0</v>
      </c>
      <c r="AK186" s="454">
        <f ca="1">IF(AND($D186="Serviço",AK$12&lt;&gt;0,$H186&gt;0,OR(AUTOEVENTO&lt;&gt;"manual",$M186&lt;&gt;$A$15)),
        IF(Import.TipoArredondamento&lt;&gt;"TransfereGOV",
              ROUND(OFFSET($P186,0,AK$13),15-13*ORÇAMENTO!$AF$7)/$H186*OFFSET(ORÇAMENTO!$X$15,ROW(AK186)-ROW(AK$15),0),
              ROUND(ROUND(OFFSET($P186,0,AK$13),15-13*ORÇAMENTO!$AF$7)*OFFSET(ORÇAMENTO!$W$15,ROW(AK186)-ROW(AK$15),0),15-13*ORÇAMENTO!$AF$11)),
         0)</f>
        <v>0</v>
      </c>
      <c r="AM186" s="172">
        <f ca="1">IF(OR($D186&lt;&gt;"Serviço",AND(AUTOEVENTO="Manual",$M186=$A$15)),0,
         IF(OFFSET(CRONOPLE!$F$15,$M186-$A$15,AM$13)=0,10^12,OFFSET(CRONOPLE!$F$15,$M186-$A$15,AM$13)))</f>
        <v>1000000000000</v>
      </c>
      <c r="AN186" s="172">
        <f ca="1">IF(OR($D186&lt;&gt;"Serviço",AND(AUTOEVENTO="Manual",$M186=$A$15)),0,
         IF(OFFSET(CRONOPLE!$F$15,$M186-$A$15,AN$13)=0,10^12,OFFSET(CRONOPLE!$F$15,$M186-$A$15,AN$13)))</f>
        <v>1000000000000</v>
      </c>
      <c r="AO186" s="172">
        <f ca="1">IF(OR($D186&lt;&gt;"Serviço",AND(AUTOEVENTO="Manual",$M186=$A$15)),0,
         IF(OFFSET(CRONOPLE!$F$15,$M186-$A$15,AO$13)=0,10^12,OFFSET(CRONOPLE!$F$15,$M186-$A$15,AO$13)))</f>
        <v>1000000000000</v>
      </c>
      <c r="AP186" s="172">
        <f ca="1">IF(OR($D186&lt;&gt;"Serviço",AND(AUTOEVENTO="Manual",$M186=$A$15)),0,
         IF(OFFSET(CRONOPLE!$F$15,$M186-$A$15,AP$13)=0,10^12,OFFSET(CRONOPLE!$F$15,$M186-$A$15,AP$13)))</f>
        <v>1000000000000</v>
      </c>
      <c r="AQ186" s="172">
        <f ca="1">IF(OR($D186&lt;&gt;"Serviço",AND(AUTOEVENTO="Manual",$M186=$A$15)),0,
         IF(OFFSET(CRONOPLE!$F$15,$M186-$A$15,AQ$13)=0,10^12,OFFSET(CRONOPLE!$F$15,$M186-$A$15,AQ$13)))</f>
        <v>1000000000000</v>
      </c>
      <c r="AR186" s="172">
        <f ca="1">IF(OR($D186&lt;&gt;"Serviço",AND(AUTOEVENTO="Manual",$M186=$A$15)),0,
         IF(OFFSET(CRONOPLE!$F$15,$M186-$A$15,AR$13)=0,10^12,OFFSET(CRONOPLE!$F$15,$M186-$A$15,AR$13)))</f>
        <v>1000000000000</v>
      </c>
      <c r="AS186" s="172">
        <f ca="1">IF(OR($D186&lt;&gt;"Serviço",AND(AUTOEVENTO="Manual",$M186=$A$15)),0,
         IF(OFFSET(CRONOPLE!$F$15,$M186-$A$15,AS$13)=0,10^12,OFFSET(CRONOPLE!$F$15,$M186-$A$15,AS$13)))</f>
        <v>1000000000000</v>
      </c>
      <c r="AT186" s="172">
        <f ca="1">IF(OR($D186&lt;&gt;"Serviço",AND(AUTOEVENTO="Manual",$M186=$A$15)),0,
         IF(OFFSET(CRONOPLE!$F$15,$M186-$A$15,AT$13)=0,10^12,OFFSET(CRONOPLE!$F$15,$M186-$A$15,AT$13)))</f>
        <v>1000000000000</v>
      </c>
      <c r="AU186" s="172">
        <f ca="1">IF(OR($D186&lt;&gt;"Serviço",AND(AUTOEVENTO="Manual",$M186=$A$15)),0,
         IF(OFFSET(CRONOPLE!$F$15,$M186-$A$15,AU$13)=0,10^12,OFFSET(CRONOPLE!$F$15,$M186-$A$15,AU$13)))</f>
        <v>1000000000000</v>
      </c>
      <c r="AV186" s="172">
        <f ca="1">IF(OR($D186&lt;&gt;"Serviço",AND(AUTOEVENTO="Manual",$M186=$A$15)),0,
         IF(OFFSET(CRONOPLE!$F$15,$M186-$A$15,AV$13)=0,10^12,OFFSET(CRONOPLE!$F$15,$M186-$A$15,AV$13)))</f>
        <v>1000000000000</v>
      </c>
      <c r="AX186" s="173">
        <f ca="1">IF(OR($D186&lt;&gt;"Serviço",AND(AUTOEVENTO="Manual",$M186=$A$15),$M186&gt;(ROW(PLE.lastrow)-ROW(PLE.firstrow))),0,
           IF(OFFSET(PLE!$G$15,$M186-$A$15,AX$13)="",10^12,OFFSET(PLE!$G$15,$M186-$A$15,AX$13)))</f>
        <v>1000000000000</v>
      </c>
      <c r="AY186" s="173">
        <f ca="1">IF(OR($D186&lt;&gt;"Serviço",AND(AUTOEVENTO="Manual",$M186=$A$15),$M186&gt;(ROW(PLE.lastrow)-ROW(PLE.firstrow))),0,
           IF(OFFSET(PLE!$G$15,$M186-$A$15,AY$13)="",10^12,OFFSET(PLE!$G$15,$M186-$A$15,AY$13)))</f>
        <v>1000000000000</v>
      </c>
      <c r="AZ186" s="173">
        <f ca="1">IF(OR($D186&lt;&gt;"Serviço",AND(AUTOEVENTO="Manual",$M186=$A$15),$M186&gt;(ROW(PLE.lastrow)-ROW(PLE.firstrow))),0,
           IF(OFFSET(PLE!$G$15,$M186-$A$15,AZ$13)="",10^12,OFFSET(PLE!$G$15,$M186-$A$15,AZ$13)))</f>
        <v>1000000000000</v>
      </c>
      <c r="BA186" s="173">
        <f ca="1">IF(OR($D186&lt;&gt;"Serviço",AND(AUTOEVENTO="Manual",$M186=$A$15),$M186&gt;(ROW(PLE.lastrow)-ROW(PLE.firstrow))),0,
           IF(OFFSET(PLE!$G$15,$M186-$A$15,BA$13)="",10^12,OFFSET(PLE!$G$15,$M186-$A$15,BA$13)))</f>
        <v>1000000000000</v>
      </c>
      <c r="BB186" s="173">
        <f ca="1">IF(OR($D186&lt;&gt;"Serviço",AND(AUTOEVENTO="Manual",$M186=$A$15),$M186&gt;(ROW(PLE.lastrow)-ROW(PLE.firstrow))),0,
           IF(OFFSET(PLE!$G$15,$M186-$A$15,BB$13)="",10^12,OFFSET(PLE!$G$15,$M186-$A$15,BB$13)))</f>
        <v>1000000000000</v>
      </c>
      <c r="BC186" s="173">
        <f ca="1">IF(OR($D186&lt;&gt;"Serviço",AND(AUTOEVENTO="Manual",$M186=$A$15),$M186&gt;(ROW(PLE.lastrow)-ROW(PLE.firstrow))),0,
           IF(OFFSET(PLE!$G$15,$M186-$A$15,BC$13)="",10^12,OFFSET(PLE!$G$15,$M186-$A$15,BC$13)))</f>
        <v>1000000000000</v>
      </c>
      <c r="BD186" s="173">
        <f ca="1">IF(OR($D186&lt;&gt;"Serviço",AND(AUTOEVENTO="Manual",$M186=$A$15),$M186&gt;(ROW(PLE.lastrow)-ROW(PLE.firstrow))),0,
           IF(OFFSET(PLE!$G$15,$M186-$A$15,BD$13)="",10^12,OFFSET(PLE!$G$15,$M186-$A$15,BD$13)))</f>
        <v>1000000000000</v>
      </c>
      <c r="BE186" s="173">
        <f ca="1">IF(OR($D186&lt;&gt;"Serviço",AND(AUTOEVENTO="Manual",$M186=$A$15),$M186&gt;(ROW(PLE.lastrow)-ROW(PLE.firstrow))),0,
           IF(OFFSET(PLE!$G$15,$M186-$A$15,BE$13)="",10^12,OFFSET(PLE!$G$15,$M186-$A$15,BE$13)))</f>
        <v>1000000000000</v>
      </c>
      <c r="BF186" s="173">
        <f ca="1">IF(OR($D186&lt;&gt;"Serviço",AND(AUTOEVENTO="Manual",$M186=$A$15),$M186&gt;(ROW(PLE.lastrow)-ROW(PLE.firstrow))),0,
           IF(OFFSET(PLE!$G$15,$M186-$A$15,BF$13)="",10^12,OFFSET(PLE!$G$15,$M186-$A$15,BF$13)))</f>
        <v>1000000000000</v>
      </c>
      <c r="BG186" s="173">
        <f ca="1">IF(OR($D186&lt;&gt;"Serviço",AND(AUTOEVENTO="Manual",$M186=$A$15),$M186&gt;(ROW(PLE.lastrow)-ROW(PLE.firstrow))),0,
           IF(OFFSET(PLE!$G$15,$M186-$A$15,BG$13)="",10^12,OFFSET(PLE!$G$15,$M186-$A$15,BG$13)))</f>
        <v>1000000000000</v>
      </c>
    </row>
    <row r="187" spans="1:59" s="675" customFormat="1" ht="38.25" x14ac:dyDescent="0.2">
      <c r="A187" s="671" t="str">
        <f t="shared" ca="1" si="11"/>
        <v>158</v>
      </c>
      <c r="B187" s="671" t="str">
        <f ca="1">OFFSET(ORÇAMENTO!C$15,ROW(B187)-ROW(B$15),0)</f>
        <v>S</v>
      </c>
      <c r="C187" s="671" t="str">
        <f ca="1">OFFSET(ORÇAMENTO!L$15,ROW(C187)-ROW(C$15),0)</f>
        <v/>
      </c>
      <c r="D187" s="117" t="str">
        <f ca="1">OFFSET(ORÇAMENTO!N$15,ROW(D187)-ROW(D$15),0)</f>
        <v>Serviço</v>
      </c>
      <c r="E187" s="118" t="str">
        <f ca="1">OFFSET(ORÇAMENTO!O$15,ROW(E187)-ROW(E$15),0)</f>
        <v>-</v>
      </c>
      <c r="F187" s="164" t="str">
        <f ca="1">OFFSET(ORÇAMENTO!R$15,ROW(F187)-ROW(F$15),0)</f>
        <v>(abra o arquivo 'Referência 09-2025.xlsm)</v>
      </c>
      <c r="G187" s="165" t="str">
        <f ca="1">IF($D187&lt;&gt;"Serviço","",OFFSET(ORÇAMENTO!S$15,ROW(G187)-ROW(G$15),0))</f>
        <v>-</v>
      </c>
      <c r="H187" s="123">
        <f ca="1">IF($D187&lt;&gt;"Serviço",0,IF(ACOMPANHAMENTO="BM",ROUND(OFFSET(ORÇAMENTO!AJ$15,ROW(H187)-ROW(H$15),0),15-13*ORÇAMENTO!$AF$7),SUMPRODUCT(($Q$1:$AA$1=1)*ROUND($Q187:$AA187,15-13*ORÇAMENTO!$AF$7))))</f>
        <v>37.729999999999997</v>
      </c>
      <c r="I187" s="469" t="s">
        <v>1110</v>
      </c>
      <c r="J187" s="667" t="str">
        <f ca="1">IF(OR(B187&lt;&gt;"S",CÁLCULO.FrentesPreenchidas=0),"",IF(AND(ACOMPANHAMENTO="PLE",AUTOEVENTO="Manual",OR(H187&gt;0,ORÇAMENTO!AC187="QUANT."),OR(K187="",M187=0,N187="")),"►",IF(AND(ACOMPANHAMENTO="PLE",ORÇAMENTO!AC187="QUANT."),"►►",IF(AND(COUNTIF($P$11:$AA$11,"▼")=0,H187&gt;0,I187=""),"◄",""))))</f>
        <v/>
      </c>
      <c r="K187" s="668"/>
      <c r="L187" s="166" t="s">
        <v>765</v>
      </c>
      <c r="M187" s="167">
        <f ca="1">IF($D187&lt;&gt;"Serviço","",
          IF(AUTOEVENTO="manual",$A187,
                IF(ISERROR(MATCH($A187,$A$15:OFFSET($A187,-1,0),0)),MAX($M$15:OFFSET(M187,-1,0))+1,
                      INDEX($M$15:OFFSET(M187,-1,0),MATCH($A187,$A$15:OFFSET($A187,-1,0),0)))))</f>
        <v>18</v>
      </c>
      <c r="N187" s="168" t="str">
        <f ca="1">IF($D187&lt;&gt;"Serviço","",
         IF(AUTOEVENTO="Manual",
                IF($A187=0,"&lt;-- defina o número do agrupador",
                       OFFSET(EVENTOS!$D$15,$A187-$A$15,0)),
                OFFSET($F$15,$A187,0)))</f>
        <v>FUNDAÇÃO</v>
      </c>
      <c r="O187" s="169"/>
      <c r="Q187" s="169"/>
      <c r="R187" s="170"/>
      <c r="S187" s="170"/>
      <c r="T187" s="170"/>
      <c r="U187" s="170"/>
      <c r="V187" s="170"/>
      <c r="W187" s="170"/>
      <c r="X187" s="170"/>
      <c r="Y187" s="170"/>
      <c r="Z187" s="171"/>
      <c r="AB187" s="454">
        <f ca="1">IF(AND($D187="Serviço",AB$12&lt;&gt;0,$H187&gt;0,OR(AUTOEVENTO&lt;&gt;"manual",$M187&lt;&gt;$A$15)),
        IF(Import.TipoArredondamento&lt;&gt;"TransfereGOV",
              ROUND(OFFSET($P187,0,AB$13),15-13*ORÇAMENTO!$AF$7)/$H187*OFFSET(ORÇAMENTO!$X$15,ROW(AB187)-ROW(AB$15),0),
              ROUND(ROUND(OFFSET($P187,0,AB$13),15-13*ORÇAMENTO!$AF$7)*OFFSET(ORÇAMENTO!$W$15,ROW(AB187)-ROW(AB$15),0),15-13*ORÇAMENTO!$AF$11)),
         0)</f>
        <v>0</v>
      </c>
      <c r="AC187" s="454">
        <f ca="1">IF(AND($D187="Serviço",AC$12&lt;&gt;0,$H187&gt;0,OR(AUTOEVENTO&lt;&gt;"manual",$M187&lt;&gt;$A$15)),
        IF(Import.TipoArredondamento&lt;&gt;"TransfereGOV",
              ROUND(OFFSET($P187,0,AC$13),15-13*ORÇAMENTO!$AF$7)/$H187*OFFSET(ORÇAMENTO!$X$15,ROW(AC187)-ROW(AC$15),0),
              ROUND(ROUND(OFFSET($P187,0,AC$13),15-13*ORÇAMENTO!$AF$7)*OFFSET(ORÇAMENTO!$W$15,ROW(AC187)-ROW(AC$15),0),15-13*ORÇAMENTO!$AF$11)),
         0)</f>
        <v>0</v>
      </c>
      <c r="AD187" s="454">
        <f ca="1">IF(AND($D187="Serviço",AD$12&lt;&gt;0,$H187&gt;0,OR(AUTOEVENTO&lt;&gt;"manual",$M187&lt;&gt;$A$15)),
        IF(Import.TipoArredondamento&lt;&gt;"TransfereGOV",
              ROUND(OFFSET($P187,0,AD$13),15-13*ORÇAMENTO!$AF$7)/$H187*OFFSET(ORÇAMENTO!$X$15,ROW(AD187)-ROW(AD$15),0),
              ROUND(ROUND(OFFSET($P187,0,AD$13),15-13*ORÇAMENTO!$AF$7)*OFFSET(ORÇAMENTO!$W$15,ROW(AD187)-ROW(AD$15),0),15-13*ORÇAMENTO!$AF$11)),
         0)</f>
        <v>0</v>
      </c>
      <c r="AE187" s="454">
        <f ca="1">IF(AND($D187="Serviço",AE$12&lt;&gt;0,$H187&gt;0,OR(AUTOEVENTO&lt;&gt;"manual",$M187&lt;&gt;$A$15)),
        IF(Import.TipoArredondamento&lt;&gt;"TransfereGOV",
              ROUND(OFFSET($P187,0,AE$13),15-13*ORÇAMENTO!$AF$7)/$H187*OFFSET(ORÇAMENTO!$X$15,ROW(AE187)-ROW(AE$15),0),
              ROUND(ROUND(OFFSET($P187,0,AE$13),15-13*ORÇAMENTO!$AF$7)*OFFSET(ORÇAMENTO!$W$15,ROW(AE187)-ROW(AE$15),0),15-13*ORÇAMENTO!$AF$11)),
         0)</f>
        <v>0</v>
      </c>
      <c r="AF187" s="454">
        <f ca="1">IF(AND($D187="Serviço",AF$12&lt;&gt;0,$H187&gt;0,OR(AUTOEVENTO&lt;&gt;"manual",$M187&lt;&gt;$A$15)),
        IF(Import.TipoArredondamento&lt;&gt;"TransfereGOV",
              ROUND(OFFSET($P187,0,AF$13),15-13*ORÇAMENTO!$AF$7)/$H187*OFFSET(ORÇAMENTO!$X$15,ROW(AF187)-ROW(AF$15),0),
              ROUND(ROUND(OFFSET($P187,0,AF$13),15-13*ORÇAMENTO!$AF$7)*OFFSET(ORÇAMENTO!$W$15,ROW(AF187)-ROW(AF$15),0),15-13*ORÇAMENTO!$AF$11)),
         0)</f>
        <v>0</v>
      </c>
      <c r="AG187" s="454">
        <f ca="1">IF(AND($D187="Serviço",AG$12&lt;&gt;0,$H187&gt;0,OR(AUTOEVENTO&lt;&gt;"manual",$M187&lt;&gt;$A$15)),
        IF(Import.TipoArredondamento&lt;&gt;"TransfereGOV",
              ROUND(OFFSET($P187,0,AG$13),15-13*ORÇAMENTO!$AF$7)/$H187*OFFSET(ORÇAMENTO!$X$15,ROW(AG187)-ROW(AG$15),0),
              ROUND(ROUND(OFFSET($P187,0,AG$13),15-13*ORÇAMENTO!$AF$7)*OFFSET(ORÇAMENTO!$W$15,ROW(AG187)-ROW(AG$15),0),15-13*ORÇAMENTO!$AF$11)),
         0)</f>
        <v>0</v>
      </c>
      <c r="AH187" s="454">
        <f ca="1">IF(AND($D187="Serviço",AH$12&lt;&gt;0,$H187&gt;0,OR(AUTOEVENTO&lt;&gt;"manual",$M187&lt;&gt;$A$15)),
        IF(Import.TipoArredondamento&lt;&gt;"TransfereGOV",
              ROUND(OFFSET($P187,0,AH$13),15-13*ORÇAMENTO!$AF$7)/$H187*OFFSET(ORÇAMENTO!$X$15,ROW(AH187)-ROW(AH$15),0),
              ROUND(ROUND(OFFSET($P187,0,AH$13),15-13*ORÇAMENTO!$AF$7)*OFFSET(ORÇAMENTO!$W$15,ROW(AH187)-ROW(AH$15),0),15-13*ORÇAMENTO!$AF$11)),
         0)</f>
        <v>0</v>
      </c>
      <c r="AI187" s="454">
        <f ca="1">IF(AND($D187="Serviço",AI$12&lt;&gt;0,$H187&gt;0,OR(AUTOEVENTO&lt;&gt;"manual",$M187&lt;&gt;$A$15)),
        IF(Import.TipoArredondamento&lt;&gt;"TransfereGOV",
              ROUND(OFFSET($P187,0,AI$13),15-13*ORÇAMENTO!$AF$7)/$H187*OFFSET(ORÇAMENTO!$X$15,ROW(AI187)-ROW(AI$15),0),
              ROUND(ROUND(OFFSET($P187,0,AI$13),15-13*ORÇAMENTO!$AF$7)*OFFSET(ORÇAMENTO!$W$15,ROW(AI187)-ROW(AI$15),0),15-13*ORÇAMENTO!$AF$11)),
         0)</f>
        <v>0</v>
      </c>
      <c r="AJ187" s="454">
        <f ca="1">IF(AND($D187="Serviço",AJ$12&lt;&gt;0,$H187&gt;0,OR(AUTOEVENTO&lt;&gt;"manual",$M187&lt;&gt;$A$15)),
        IF(Import.TipoArredondamento&lt;&gt;"TransfereGOV",
              ROUND(OFFSET($P187,0,AJ$13),15-13*ORÇAMENTO!$AF$7)/$H187*OFFSET(ORÇAMENTO!$X$15,ROW(AJ187)-ROW(AJ$15),0),
              ROUND(ROUND(OFFSET($P187,0,AJ$13),15-13*ORÇAMENTO!$AF$7)*OFFSET(ORÇAMENTO!$W$15,ROW(AJ187)-ROW(AJ$15),0),15-13*ORÇAMENTO!$AF$11)),
         0)</f>
        <v>0</v>
      </c>
      <c r="AK187" s="454">
        <f ca="1">IF(AND($D187="Serviço",AK$12&lt;&gt;0,$H187&gt;0,OR(AUTOEVENTO&lt;&gt;"manual",$M187&lt;&gt;$A$15)),
        IF(Import.TipoArredondamento&lt;&gt;"TransfereGOV",
              ROUND(OFFSET($P187,0,AK$13),15-13*ORÇAMENTO!$AF$7)/$H187*OFFSET(ORÇAMENTO!$X$15,ROW(AK187)-ROW(AK$15),0),
              ROUND(ROUND(OFFSET($P187,0,AK$13),15-13*ORÇAMENTO!$AF$7)*OFFSET(ORÇAMENTO!$W$15,ROW(AK187)-ROW(AK$15),0),15-13*ORÇAMENTO!$AF$11)),
         0)</f>
        <v>0</v>
      </c>
      <c r="AM187" s="172">
        <f ca="1">IF(OR($D187&lt;&gt;"Serviço",AND(AUTOEVENTO="Manual",$M187=$A$15)),0,
         IF(OFFSET(CRONOPLE!$F$15,$M187-$A$15,AM$13)=0,10^12,OFFSET(CRONOPLE!$F$15,$M187-$A$15,AM$13)))</f>
        <v>1000000000000</v>
      </c>
      <c r="AN187" s="172">
        <f ca="1">IF(OR($D187&lt;&gt;"Serviço",AND(AUTOEVENTO="Manual",$M187=$A$15)),0,
         IF(OFFSET(CRONOPLE!$F$15,$M187-$A$15,AN$13)=0,10^12,OFFSET(CRONOPLE!$F$15,$M187-$A$15,AN$13)))</f>
        <v>1000000000000</v>
      </c>
      <c r="AO187" s="172">
        <f ca="1">IF(OR($D187&lt;&gt;"Serviço",AND(AUTOEVENTO="Manual",$M187=$A$15)),0,
         IF(OFFSET(CRONOPLE!$F$15,$M187-$A$15,AO$13)=0,10^12,OFFSET(CRONOPLE!$F$15,$M187-$A$15,AO$13)))</f>
        <v>1000000000000</v>
      </c>
      <c r="AP187" s="172">
        <f ca="1">IF(OR($D187&lt;&gt;"Serviço",AND(AUTOEVENTO="Manual",$M187=$A$15)),0,
         IF(OFFSET(CRONOPLE!$F$15,$M187-$A$15,AP$13)=0,10^12,OFFSET(CRONOPLE!$F$15,$M187-$A$15,AP$13)))</f>
        <v>1000000000000</v>
      </c>
      <c r="AQ187" s="172">
        <f ca="1">IF(OR($D187&lt;&gt;"Serviço",AND(AUTOEVENTO="Manual",$M187=$A$15)),0,
         IF(OFFSET(CRONOPLE!$F$15,$M187-$A$15,AQ$13)=0,10^12,OFFSET(CRONOPLE!$F$15,$M187-$A$15,AQ$13)))</f>
        <v>1000000000000</v>
      </c>
      <c r="AR187" s="172">
        <f ca="1">IF(OR($D187&lt;&gt;"Serviço",AND(AUTOEVENTO="Manual",$M187=$A$15)),0,
         IF(OFFSET(CRONOPLE!$F$15,$M187-$A$15,AR$13)=0,10^12,OFFSET(CRONOPLE!$F$15,$M187-$A$15,AR$13)))</f>
        <v>1000000000000</v>
      </c>
      <c r="AS187" s="172">
        <f ca="1">IF(OR($D187&lt;&gt;"Serviço",AND(AUTOEVENTO="Manual",$M187=$A$15)),0,
         IF(OFFSET(CRONOPLE!$F$15,$M187-$A$15,AS$13)=0,10^12,OFFSET(CRONOPLE!$F$15,$M187-$A$15,AS$13)))</f>
        <v>1000000000000</v>
      </c>
      <c r="AT187" s="172">
        <f ca="1">IF(OR($D187&lt;&gt;"Serviço",AND(AUTOEVENTO="Manual",$M187=$A$15)),0,
         IF(OFFSET(CRONOPLE!$F$15,$M187-$A$15,AT$13)=0,10^12,OFFSET(CRONOPLE!$F$15,$M187-$A$15,AT$13)))</f>
        <v>1000000000000</v>
      </c>
      <c r="AU187" s="172">
        <f ca="1">IF(OR($D187&lt;&gt;"Serviço",AND(AUTOEVENTO="Manual",$M187=$A$15)),0,
         IF(OFFSET(CRONOPLE!$F$15,$M187-$A$15,AU$13)=0,10^12,OFFSET(CRONOPLE!$F$15,$M187-$A$15,AU$13)))</f>
        <v>1000000000000</v>
      </c>
      <c r="AV187" s="172">
        <f ca="1">IF(OR($D187&lt;&gt;"Serviço",AND(AUTOEVENTO="Manual",$M187=$A$15)),0,
         IF(OFFSET(CRONOPLE!$F$15,$M187-$A$15,AV$13)=0,10^12,OFFSET(CRONOPLE!$F$15,$M187-$A$15,AV$13)))</f>
        <v>1000000000000</v>
      </c>
      <c r="AX187" s="173">
        <f ca="1">IF(OR($D187&lt;&gt;"Serviço",AND(AUTOEVENTO="Manual",$M187=$A$15),$M187&gt;(ROW(PLE.lastrow)-ROW(PLE.firstrow))),0,
           IF(OFFSET(PLE!$G$15,$M187-$A$15,AX$13)="",10^12,OFFSET(PLE!$G$15,$M187-$A$15,AX$13)))</f>
        <v>1000000000000</v>
      </c>
      <c r="AY187" s="173">
        <f ca="1">IF(OR($D187&lt;&gt;"Serviço",AND(AUTOEVENTO="Manual",$M187=$A$15),$M187&gt;(ROW(PLE.lastrow)-ROW(PLE.firstrow))),0,
           IF(OFFSET(PLE!$G$15,$M187-$A$15,AY$13)="",10^12,OFFSET(PLE!$G$15,$M187-$A$15,AY$13)))</f>
        <v>1000000000000</v>
      </c>
      <c r="AZ187" s="173">
        <f ca="1">IF(OR($D187&lt;&gt;"Serviço",AND(AUTOEVENTO="Manual",$M187=$A$15),$M187&gt;(ROW(PLE.lastrow)-ROW(PLE.firstrow))),0,
           IF(OFFSET(PLE!$G$15,$M187-$A$15,AZ$13)="",10^12,OFFSET(PLE!$G$15,$M187-$A$15,AZ$13)))</f>
        <v>1000000000000</v>
      </c>
      <c r="BA187" s="173">
        <f ca="1">IF(OR($D187&lt;&gt;"Serviço",AND(AUTOEVENTO="Manual",$M187=$A$15),$M187&gt;(ROW(PLE.lastrow)-ROW(PLE.firstrow))),0,
           IF(OFFSET(PLE!$G$15,$M187-$A$15,BA$13)="",10^12,OFFSET(PLE!$G$15,$M187-$A$15,BA$13)))</f>
        <v>1000000000000</v>
      </c>
      <c r="BB187" s="173">
        <f ca="1">IF(OR($D187&lt;&gt;"Serviço",AND(AUTOEVENTO="Manual",$M187=$A$15),$M187&gt;(ROW(PLE.lastrow)-ROW(PLE.firstrow))),0,
           IF(OFFSET(PLE!$G$15,$M187-$A$15,BB$13)="",10^12,OFFSET(PLE!$G$15,$M187-$A$15,BB$13)))</f>
        <v>1000000000000</v>
      </c>
      <c r="BC187" s="173">
        <f ca="1">IF(OR($D187&lt;&gt;"Serviço",AND(AUTOEVENTO="Manual",$M187=$A$15),$M187&gt;(ROW(PLE.lastrow)-ROW(PLE.firstrow))),0,
           IF(OFFSET(PLE!$G$15,$M187-$A$15,BC$13)="",10^12,OFFSET(PLE!$G$15,$M187-$A$15,BC$13)))</f>
        <v>1000000000000</v>
      </c>
      <c r="BD187" s="173">
        <f ca="1">IF(OR($D187&lt;&gt;"Serviço",AND(AUTOEVENTO="Manual",$M187=$A$15),$M187&gt;(ROW(PLE.lastrow)-ROW(PLE.firstrow))),0,
           IF(OFFSET(PLE!$G$15,$M187-$A$15,BD$13)="",10^12,OFFSET(PLE!$G$15,$M187-$A$15,BD$13)))</f>
        <v>1000000000000</v>
      </c>
      <c r="BE187" s="173">
        <f ca="1">IF(OR($D187&lt;&gt;"Serviço",AND(AUTOEVENTO="Manual",$M187=$A$15),$M187&gt;(ROW(PLE.lastrow)-ROW(PLE.firstrow))),0,
           IF(OFFSET(PLE!$G$15,$M187-$A$15,BE$13)="",10^12,OFFSET(PLE!$G$15,$M187-$A$15,BE$13)))</f>
        <v>1000000000000</v>
      </c>
      <c r="BF187" s="173">
        <f ca="1">IF(OR($D187&lt;&gt;"Serviço",AND(AUTOEVENTO="Manual",$M187=$A$15),$M187&gt;(ROW(PLE.lastrow)-ROW(PLE.firstrow))),0,
           IF(OFFSET(PLE!$G$15,$M187-$A$15,BF$13)="",10^12,OFFSET(PLE!$G$15,$M187-$A$15,BF$13)))</f>
        <v>1000000000000</v>
      </c>
      <c r="BG187" s="173">
        <f ca="1">IF(OR($D187&lt;&gt;"Serviço",AND(AUTOEVENTO="Manual",$M187=$A$15),$M187&gt;(ROW(PLE.lastrow)-ROW(PLE.firstrow))),0,
           IF(OFFSET(PLE!$G$15,$M187-$A$15,BG$13)="",10^12,OFFSET(PLE!$G$15,$M187-$A$15,BG$13)))</f>
        <v>1000000000000</v>
      </c>
    </row>
    <row r="188" spans="1:59" s="675" customFormat="1" ht="38.25" x14ac:dyDescent="0.2">
      <c r="A188" s="671" t="str">
        <f t="shared" ca="1" si="11"/>
        <v>158</v>
      </c>
      <c r="B188" s="671" t="str">
        <f ca="1">OFFSET(ORÇAMENTO!C$15,ROW(B188)-ROW(B$15),0)</f>
        <v>S</v>
      </c>
      <c r="C188" s="671" t="str">
        <f ca="1">OFFSET(ORÇAMENTO!L$15,ROW(C188)-ROW(C$15),0)</f>
        <v/>
      </c>
      <c r="D188" s="117" t="str">
        <f ca="1">OFFSET(ORÇAMENTO!N$15,ROW(D188)-ROW(D$15),0)</f>
        <v>Serviço</v>
      </c>
      <c r="E188" s="118" t="str">
        <f ca="1">OFFSET(ORÇAMENTO!O$15,ROW(E188)-ROW(E$15),0)</f>
        <v>-</v>
      </c>
      <c r="F188" s="164" t="str">
        <f ca="1">OFFSET(ORÇAMENTO!R$15,ROW(F188)-ROW(F$15),0)</f>
        <v>(abra o arquivo 'Referência 09-2025.xlsm)</v>
      </c>
      <c r="G188" s="165" t="str">
        <f ca="1">IF($D188&lt;&gt;"Serviço","",OFFSET(ORÇAMENTO!S$15,ROW(G188)-ROW(G$15),0))</f>
        <v>-</v>
      </c>
      <c r="H188" s="123">
        <f ca="1">IF($D188&lt;&gt;"Serviço",0,IF(ACOMPANHAMENTO="BM",ROUND(OFFSET(ORÇAMENTO!AJ$15,ROW(H188)-ROW(H$15),0),15-13*ORÇAMENTO!$AF$7),SUMPRODUCT(($Q$1:$AA$1=1)*ROUND($Q188:$AA188,15-13*ORÇAMENTO!$AF$7))))</f>
        <v>155.47999999999999</v>
      </c>
      <c r="I188" s="469" t="s">
        <v>1110</v>
      </c>
      <c r="J188" s="667" t="str">
        <f ca="1">IF(OR(B188&lt;&gt;"S",CÁLCULO.FrentesPreenchidas=0),"",IF(AND(ACOMPANHAMENTO="PLE",AUTOEVENTO="Manual",OR(H188&gt;0,ORÇAMENTO!AC188="QUANT."),OR(K188="",M188=0,N188="")),"►",IF(AND(ACOMPANHAMENTO="PLE",ORÇAMENTO!AC188="QUANT."),"►►",IF(AND(COUNTIF($P$11:$AA$11,"▼")=0,H188&gt;0,I188=""),"◄",""))))</f>
        <v/>
      </c>
      <c r="K188" s="668"/>
      <c r="L188" s="166" t="s">
        <v>765</v>
      </c>
      <c r="M188" s="167">
        <f ca="1">IF($D188&lt;&gt;"Serviço","",
          IF(AUTOEVENTO="manual",$A188,
                IF(ISERROR(MATCH($A188,$A$15:OFFSET($A188,-1,0),0)),MAX($M$15:OFFSET(M188,-1,0))+1,
                      INDEX($M$15:OFFSET(M188,-1,0),MATCH($A188,$A$15:OFFSET($A188,-1,0),0)))))</f>
        <v>18</v>
      </c>
      <c r="N188" s="168" t="str">
        <f ca="1">IF($D188&lt;&gt;"Serviço","",
         IF(AUTOEVENTO="Manual",
                IF($A188=0,"&lt;-- defina o número do agrupador",
                       OFFSET(EVENTOS!$D$15,$A188-$A$15,0)),
                OFFSET($F$15,$A188,0)))</f>
        <v>FUNDAÇÃO</v>
      </c>
      <c r="O188" s="169"/>
      <c r="Q188" s="169"/>
      <c r="R188" s="170"/>
      <c r="S188" s="170"/>
      <c r="T188" s="170"/>
      <c r="U188" s="170"/>
      <c r="V188" s="170"/>
      <c r="W188" s="170"/>
      <c r="X188" s="170"/>
      <c r="Y188" s="170"/>
      <c r="Z188" s="171"/>
      <c r="AB188" s="454">
        <f ca="1">IF(AND($D188="Serviço",AB$12&lt;&gt;0,$H188&gt;0,OR(AUTOEVENTO&lt;&gt;"manual",$M188&lt;&gt;$A$15)),
        IF(Import.TipoArredondamento&lt;&gt;"TransfereGOV",
              ROUND(OFFSET($P188,0,AB$13),15-13*ORÇAMENTO!$AF$7)/$H188*OFFSET(ORÇAMENTO!$X$15,ROW(AB188)-ROW(AB$15),0),
              ROUND(ROUND(OFFSET($P188,0,AB$13),15-13*ORÇAMENTO!$AF$7)*OFFSET(ORÇAMENTO!$W$15,ROW(AB188)-ROW(AB$15),0),15-13*ORÇAMENTO!$AF$11)),
         0)</f>
        <v>0</v>
      </c>
      <c r="AC188" s="454">
        <f ca="1">IF(AND($D188="Serviço",AC$12&lt;&gt;0,$H188&gt;0,OR(AUTOEVENTO&lt;&gt;"manual",$M188&lt;&gt;$A$15)),
        IF(Import.TipoArredondamento&lt;&gt;"TransfereGOV",
              ROUND(OFFSET($P188,0,AC$13),15-13*ORÇAMENTO!$AF$7)/$H188*OFFSET(ORÇAMENTO!$X$15,ROW(AC188)-ROW(AC$15),0),
              ROUND(ROUND(OFFSET($P188,0,AC$13),15-13*ORÇAMENTO!$AF$7)*OFFSET(ORÇAMENTO!$W$15,ROW(AC188)-ROW(AC$15),0),15-13*ORÇAMENTO!$AF$11)),
         0)</f>
        <v>0</v>
      </c>
      <c r="AD188" s="454">
        <f ca="1">IF(AND($D188="Serviço",AD$12&lt;&gt;0,$H188&gt;0,OR(AUTOEVENTO&lt;&gt;"manual",$M188&lt;&gt;$A$15)),
        IF(Import.TipoArredondamento&lt;&gt;"TransfereGOV",
              ROUND(OFFSET($P188,0,AD$13),15-13*ORÇAMENTO!$AF$7)/$H188*OFFSET(ORÇAMENTO!$X$15,ROW(AD188)-ROW(AD$15),0),
              ROUND(ROUND(OFFSET($P188,0,AD$13),15-13*ORÇAMENTO!$AF$7)*OFFSET(ORÇAMENTO!$W$15,ROW(AD188)-ROW(AD$15),0),15-13*ORÇAMENTO!$AF$11)),
         0)</f>
        <v>0</v>
      </c>
      <c r="AE188" s="454">
        <f ca="1">IF(AND($D188="Serviço",AE$12&lt;&gt;0,$H188&gt;0,OR(AUTOEVENTO&lt;&gt;"manual",$M188&lt;&gt;$A$15)),
        IF(Import.TipoArredondamento&lt;&gt;"TransfereGOV",
              ROUND(OFFSET($P188,0,AE$13),15-13*ORÇAMENTO!$AF$7)/$H188*OFFSET(ORÇAMENTO!$X$15,ROW(AE188)-ROW(AE$15),0),
              ROUND(ROUND(OFFSET($P188,0,AE$13),15-13*ORÇAMENTO!$AF$7)*OFFSET(ORÇAMENTO!$W$15,ROW(AE188)-ROW(AE$15),0),15-13*ORÇAMENTO!$AF$11)),
         0)</f>
        <v>0</v>
      </c>
      <c r="AF188" s="454">
        <f ca="1">IF(AND($D188="Serviço",AF$12&lt;&gt;0,$H188&gt;0,OR(AUTOEVENTO&lt;&gt;"manual",$M188&lt;&gt;$A$15)),
        IF(Import.TipoArredondamento&lt;&gt;"TransfereGOV",
              ROUND(OFFSET($P188,0,AF$13),15-13*ORÇAMENTO!$AF$7)/$H188*OFFSET(ORÇAMENTO!$X$15,ROW(AF188)-ROW(AF$15),0),
              ROUND(ROUND(OFFSET($P188,0,AF$13),15-13*ORÇAMENTO!$AF$7)*OFFSET(ORÇAMENTO!$W$15,ROW(AF188)-ROW(AF$15),0),15-13*ORÇAMENTO!$AF$11)),
         0)</f>
        <v>0</v>
      </c>
      <c r="AG188" s="454">
        <f ca="1">IF(AND($D188="Serviço",AG$12&lt;&gt;0,$H188&gt;0,OR(AUTOEVENTO&lt;&gt;"manual",$M188&lt;&gt;$A$15)),
        IF(Import.TipoArredondamento&lt;&gt;"TransfereGOV",
              ROUND(OFFSET($P188,0,AG$13),15-13*ORÇAMENTO!$AF$7)/$H188*OFFSET(ORÇAMENTO!$X$15,ROW(AG188)-ROW(AG$15),0),
              ROUND(ROUND(OFFSET($P188,0,AG$13),15-13*ORÇAMENTO!$AF$7)*OFFSET(ORÇAMENTO!$W$15,ROW(AG188)-ROW(AG$15),0),15-13*ORÇAMENTO!$AF$11)),
         0)</f>
        <v>0</v>
      </c>
      <c r="AH188" s="454">
        <f ca="1">IF(AND($D188="Serviço",AH$12&lt;&gt;0,$H188&gt;0,OR(AUTOEVENTO&lt;&gt;"manual",$M188&lt;&gt;$A$15)),
        IF(Import.TipoArredondamento&lt;&gt;"TransfereGOV",
              ROUND(OFFSET($P188,0,AH$13),15-13*ORÇAMENTO!$AF$7)/$H188*OFFSET(ORÇAMENTO!$X$15,ROW(AH188)-ROW(AH$15),0),
              ROUND(ROUND(OFFSET($P188,0,AH$13),15-13*ORÇAMENTO!$AF$7)*OFFSET(ORÇAMENTO!$W$15,ROW(AH188)-ROW(AH$15),0),15-13*ORÇAMENTO!$AF$11)),
         0)</f>
        <v>0</v>
      </c>
      <c r="AI188" s="454">
        <f ca="1">IF(AND($D188="Serviço",AI$12&lt;&gt;0,$H188&gt;0,OR(AUTOEVENTO&lt;&gt;"manual",$M188&lt;&gt;$A$15)),
        IF(Import.TipoArredondamento&lt;&gt;"TransfereGOV",
              ROUND(OFFSET($P188,0,AI$13),15-13*ORÇAMENTO!$AF$7)/$H188*OFFSET(ORÇAMENTO!$X$15,ROW(AI188)-ROW(AI$15),0),
              ROUND(ROUND(OFFSET($P188,0,AI$13),15-13*ORÇAMENTO!$AF$7)*OFFSET(ORÇAMENTO!$W$15,ROW(AI188)-ROW(AI$15),0),15-13*ORÇAMENTO!$AF$11)),
         0)</f>
        <v>0</v>
      </c>
      <c r="AJ188" s="454">
        <f ca="1">IF(AND($D188="Serviço",AJ$12&lt;&gt;0,$H188&gt;0,OR(AUTOEVENTO&lt;&gt;"manual",$M188&lt;&gt;$A$15)),
        IF(Import.TipoArredondamento&lt;&gt;"TransfereGOV",
              ROUND(OFFSET($P188,0,AJ$13),15-13*ORÇAMENTO!$AF$7)/$H188*OFFSET(ORÇAMENTO!$X$15,ROW(AJ188)-ROW(AJ$15),0),
              ROUND(ROUND(OFFSET($P188,0,AJ$13),15-13*ORÇAMENTO!$AF$7)*OFFSET(ORÇAMENTO!$W$15,ROW(AJ188)-ROW(AJ$15),0),15-13*ORÇAMENTO!$AF$11)),
         0)</f>
        <v>0</v>
      </c>
      <c r="AK188" s="454">
        <f ca="1">IF(AND($D188="Serviço",AK$12&lt;&gt;0,$H188&gt;0,OR(AUTOEVENTO&lt;&gt;"manual",$M188&lt;&gt;$A$15)),
        IF(Import.TipoArredondamento&lt;&gt;"TransfereGOV",
              ROUND(OFFSET($P188,0,AK$13),15-13*ORÇAMENTO!$AF$7)/$H188*OFFSET(ORÇAMENTO!$X$15,ROW(AK188)-ROW(AK$15),0),
              ROUND(ROUND(OFFSET($P188,0,AK$13),15-13*ORÇAMENTO!$AF$7)*OFFSET(ORÇAMENTO!$W$15,ROW(AK188)-ROW(AK$15),0),15-13*ORÇAMENTO!$AF$11)),
         0)</f>
        <v>0</v>
      </c>
      <c r="AM188" s="172">
        <f ca="1">IF(OR($D188&lt;&gt;"Serviço",AND(AUTOEVENTO="Manual",$M188=$A$15)),0,
         IF(OFFSET(CRONOPLE!$F$15,$M188-$A$15,AM$13)=0,10^12,OFFSET(CRONOPLE!$F$15,$M188-$A$15,AM$13)))</f>
        <v>1000000000000</v>
      </c>
      <c r="AN188" s="172">
        <f ca="1">IF(OR($D188&lt;&gt;"Serviço",AND(AUTOEVENTO="Manual",$M188=$A$15)),0,
         IF(OFFSET(CRONOPLE!$F$15,$M188-$A$15,AN$13)=0,10^12,OFFSET(CRONOPLE!$F$15,$M188-$A$15,AN$13)))</f>
        <v>1000000000000</v>
      </c>
      <c r="AO188" s="172">
        <f ca="1">IF(OR($D188&lt;&gt;"Serviço",AND(AUTOEVENTO="Manual",$M188=$A$15)),0,
         IF(OFFSET(CRONOPLE!$F$15,$M188-$A$15,AO$13)=0,10^12,OFFSET(CRONOPLE!$F$15,$M188-$A$15,AO$13)))</f>
        <v>1000000000000</v>
      </c>
      <c r="AP188" s="172">
        <f ca="1">IF(OR($D188&lt;&gt;"Serviço",AND(AUTOEVENTO="Manual",$M188=$A$15)),0,
         IF(OFFSET(CRONOPLE!$F$15,$M188-$A$15,AP$13)=0,10^12,OFFSET(CRONOPLE!$F$15,$M188-$A$15,AP$13)))</f>
        <v>1000000000000</v>
      </c>
      <c r="AQ188" s="172">
        <f ca="1">IF(OR($D188&lt;&gt;"Serviço",AND(AUTOEVENTO="Manual",$M188=$A$15)),0,
         IF(OFFSET(CRONOPLE!$F$15,$M188-$A$15,AQ$13)=0,10^12,OFFSET(CRONOPLE!$F$15,$M188-$A$15,AQ$13)))</f>
        <v>1000000000000</v>
      </c>
      <c r="AR188" s="172">
        <f ca="1">IF(OR($D188&lt;&gt;"Serviço",AND(AUTOEVENTO="Manual",$M188=$A$15)),0,
         IF(OFFSET(CRONOPLE!$F$15,$M188-$A$15,AR$13)=0,10^12,OFFSET(CRONOPLE!$F$15,$M188-$A$15,AR$13)))</f>
        <v>1000000000000</v>
      </c>
      <c r="AS188" s="172">
        <f ca="1">IF(OR($D188&lt;&gt;"Serviço",AND(AUTOEVENTO="Manual",$M188=$A$15)),0,
         IF(OFFSET(CRONOPLE!$F$15,$M188-$A$15,AS$13)=0,10^12,OFFSET(CRONOPLE!$F$15,$M188-$A$15,AS$13)))</f>
        <v>1000000000000</v>
      </c>
      <c r="AT188" s="172">
        <f ca="1">IF(OR($D188&lt;&gt;"Serviço",AND(AUTOEVENTO="Manual",$M188=$A$15)),0,
         IF(OFFSET(CRONOPLE!$F$15,$M188-$A$15,AT$13)=0,10^12,OFFSET(CRONOPLE!$F$15,$M188-$A$15,AT$13)))</f>
        <v>1000000000000</v>
      </c>
      <c r="AU188" s="172">
        <f ca="1">IF(OR($D188&lt;&gt;"Serviço",AND(AUTOEVENTO="Manual",$M188=$A$15)),0,
         IF(OFFSET(CRONOPLE!$F$15,$M188-$A$15,AU$13)=0,10^12,OFFSET(CRONOPLE!$F$15,$M188-$A$15,AU$13)))</f>
        <v>1000000000000</v>
      </c>
      <c r="AV188" s="172">
        <f ca="1">IF(OR($D188&lt;&gt;"Serviço",AND(AUTOEVENTO="Manual",$M188=$A$15)),0,
         IF(OFFSET(CRONOPLE!$F$15,$M188-$A$15,AV$13)=0,10^12,OFFSET(CRONOPLE!$F$15,$M188-$A$15,AV$13)))</f>
        <v>1000000000000</v>
      </c>
      <c r="AX188" s="173">
        <f ca="1">IF(OR($D188&lt;&gt;"Serviço",AND(AUTOEVENTO="Manual",$M188=$A$15),$M188&gt;(ROW(PLE.lastrow)-ROW(PLE.firstrow))),0,
           IF(OFFSET(PLE!$G$15,$M188-$A$15,AX$13)="",10^12,OFFSET(PLE!$G$15,$M188-$A$15,AX$13)))</f>
        <v>1000000000000</v>
      </c>
      <c r="AY188" s="173">
        <f ca="1">IF(OR($D188&lt;&gt;"Serviço",AND(AUTOEVENTO="Manual",$M188=$A$15),$M188&gt;(ROW(PLE.lastrow)-ROW(PLE.firstrow))),0,
           IF(OFFSET(PLE!$G$15,$M188-$A$15,AY$13)="",10^12,OFFSET(PLE!$G$15,$M188-$A$15,AY$13)))</f>
        <v>1000000000000</v>
      </c>
      <c r="AZ188" s="173">
        <f ca="1">IF(OR($D188&lt;&gt;"Serviço",AND(AUTOEVENTO="Manual",$M188=$A$15),$M188&gt;(ROW(PLE.lastrow)-ROW(PLE.firstrow))),0,
           IF(OFFSET(PLE!$G$15,$M188-$A$15,AZ$13)="",10^12,OFFSET(PLE!$G$15,$M188-$A$15,AZ$13)))</f>
        <v>1000000000000</v>
      </c>
      <c r="BA188" s="173">
        <f ca="1">IF(OR($D188&lt;&gt;"Serviço",AND(AUTOEVENTO="Manual",$M188=$A$15),$M188&gt;(ROW(PLE.lastrow)-ROW(PLE.firstrow))),0,
           IF(OFFSET(PLE!$G$15,$M188-$A$15,BA$13)="",10^12,OFFSET(PLE!$G$15,$M188-$A$15,BA$13)))</f>
        <v>1000000000000</v>
      </c>
      <c r="BB188" s="173">
        <f ca="1">IF(OR($D188&lt;&gt;"Serviço",AND(AUTOEVENTO="Manual",$M188=$A$15),$M188&gt;(ROW(PLE.lastrow)-ROW(PLE.firstrow))),0,
           IF(OFFSET(PLE!$G$15,$M188-$A$15,BB$13)="",10^12,OFFSET(PLE!$G$15,$M188-$A$15,BB$13)))</f>
        <v>1000000000000</v>
      </c>
      <c r="BC188" s="173">
        <f ca="1">IF(OR($D188&lt;&gt;"Serviço",AND(AUTOEVENTO="Manual",$M188=$A$15),$M188&gt;(ROW(PLE.lastrow)-ROW(PLE.firstrow))),0,
           IF(OFFSET(PLE!$G$15,$M188-$A$15,BC$13)="",10^12,OFFSET(PLE!$G$15,$M188-$A$15,BC$13)))</f>
        <v>1000000000000</v>
      </c>
      <c r="BD188" s="173">
        <f ca="1">IF(OR($D188&lt;&gt;"Serviço",AND(AUTOEVENTO="Manual",$M188=$A$15),$M188&gt;(ROW(PLE.lastrow)-ROW(PLE.firstrow))),0,
           IF(OFFSET(PLE!$G$15,$M188-$A$15,BD$13)="",10^12,OFFSET(PLE!$G$15,$M188-$A$15,BD$13)))</f>
        <v>1000000000000</v>
      </c>
      <c r="BE188" s="173">
        <f ca="1">IF(OR($D188&lt;&gt;"Serviço",AND(AUTOEVENTO="Manual",$M188=$A$15),$M188&gt;(ROW(PLE.lastrow)-ROW(PLE.firstrow))),0,
           IF(OFFSET(PLE!$G$15,$M188-$A$15,BE$13)="",10^12,OFFSET(PLE!$G$15,$M188-$A$15,BE$13)))</f>
        <v>1000000000000</v>
      </c>
      <c r="BF188" s="173">
        <f ca="1">IF(OR($D188&lt;&gt;"Serviço",AND(AUTOEVENTO="Manual",$M188=$A$15),$M188&gt;(ROW(PLE.lastrow)-ROW(PLE.firstrow))),0,
           IF(OFFSET(PLE!$G$15,$M188-$A$15,BF$13)="",10^12,OFFSET(PLE!$G$15,$M188-$A$15,BF$13)))</f>
        <v>1000000000000</v>
      </c>
      <c r="BG188" s="173">
        <f ca="1">IF(OR($D188&lt;&gt;"Serviço",AND(AUTOEVENTO="Manual",$M188=$A$15),$M188&gt;(ROW(PLE.lastrow)-ROW(PLE.firstrow))),0,
           IF(OFFSET(PLE!$G$15,$M188-$A$15,BG$13)="",10^12,OFFSET(PLE!$G$15,$M188-$A$15,BG$13)))</f>
        <v>1000000000000</v>
      </c>
    </row>
    <row r="189" spans="1:59" s="720" customFormat="1" ht="25.5" x14ac:dyDescent="0.2">
      <c r="A189" s="718" t="str">
        <f t="shared" ca="1" si="11"/>
        <v>158</v>
      </c>
      <c r="B189" s="718" t="str">
        <f ca="1">OFFSET(ORÇAMENTO!C$15,ROW(B189)-ROW(B$15),0)</f>
        <v>S</v>
      </c>
      <c r="C189" s="718" t="str">
        <f ca="1">OFFSET(ORÇAMENTO!L$15,ROW(C189)-ROW(C$15),0)</f>
        <v/>
      </c>
      <c r="D189" s="117" t="str">
        <f ca="1">OFFSET(ORÇAMENTO!N$15,ROW(D189)-ROW(D$15),0)</f>
        <v>Serviço</v>
      </c>
      <c r="E189" s="118" t="str">
        <f ca="1">OFFSET(ORÇAMENTO!O$15,ROW(E189)-ROW(E$15),0)</f>
        <v>-</v>
      </c>
      <c r="F189" s="164" t="str">
        <f ca="1">OFFSET(ORÇAMENTO!R$15,ROW(F189)-ROW(F$15),0)</f>
        <v>(abra o arquivo 'Referência 09-2025.xlsm)</v>
      </c>
      <c r="G189" s="165" t="str">
        <f ca="1">IF($D189&lt;&gt;"Serviço","",OFFSET(ORÇAMENTO!S$15,ROW(G189)-ROW(G$15),0))</f>
        <v>-</v>
      </c>
      <c r="H189" s="123">
        <f ca="1">IF($D189&lt;&gt;"Serviço",0,IF(ACOMPANHAMENTO="BM",ROUND(OFFSET(ORÇAMENTO!AJ$15,ROW(H189)-ROW(H$15),0),15-13*ORÇAMENTO!$AF$7),SUMPRODUCT(($Q$1:$AA$1=1)*ROUND($Q189:$AA189,15-13*ORÇAMENTO!$AF$7))))</f>
        <v>2.75</v>
      </c>
      <c r="I189" s="469" t="s">
        <v>1152</v>
      </c>
      <c r="J189" s="667" t="str">
        <f ca="1">IF(OR(B189&lt;&gt;"S",CÁLCULO.FrentesPreenchidas=0),"",IF(AND(ACOMPANHAMENTO="PLE",AUTOEVENTO="Manual",OR(H189&gt;0,ORÇAMENTO!AC189="QUANT."),OR(K189="",M189=0,N189="")),"►",IF(AND(ACOMPANHAMENTO="PLE",ORÇAMENTO!AC189="QUANT."),"►►",IF(AND(COUNTIF($P$11:$AA$11,"▼")=0,H189&gt;0,I189=""),"◄",""))))</f>
        <v/>
      </c>
      <c r="K189" s="668"/>
      <c r="L189" s="166" t="s">
        <v>765</v>
      </c>
      <c r="M189" s="167">
        <f ca="1">IF($D189&lt;&gt;"Serviço","",
          IF(AUTOEVENTO="manual",$A189,
                IF(ISERROR(MATCH($A189,$A$15:OFFSET($A189,-1,0),0)),MAX($M$15:OFFSET(M189,-1,0))+1,
                      INDEX($M$15:OFFSET(M189,-1,0),MATCH($A189,$A$15:OFFSET($A189,-1,0),0)))))</f>
        <v>18</v>
      </c>
      <c r="N189" s="168" t="str">
        <f ca="1">IF($D189&lt;&gt;"Serviço","",
         IF(AUTOEVENTO="Manual",
                IF($A189=0,"&lt;-- defina o número do agrupador",
                       OFFSET(EVENTOS!$D$15,$A189-$A$15,0)),
                OFFSET($F$15,$A189,0)))</f>
        <v>FUNDAÇÃO</v>
      </c>
      <c r="O189" s="169"/>
      <c r="Q189" s="169"/>
      <c r="R189" s="170"/>
      <c r="S189" s="170"/>
      <c r="T189" s="170"/>
      <c r="U189" s="170"/>
      <c r="V189" s="170"/>
      <c r="W189" s="170"/>
      <c r="X189" s="170"/>
      <c r="Y189" s="170"/>
      <c r="Z189" s="171"/>
      <c r="AB189" s="454">
        <f ca="1">IF(AND($D189="Serviço",AB$12&lt;&gt;0,$H189&gt;0,OR(AUTOEVENTO&lt;&gt;"manual",$M189&lt;&gt;$A$15)),
        IF(Import.TipoArredondamento&lt;&gt;"TransfereGOV",
              ROUND(OFFSET($P189,0,AB$13),15-13*ORÇAMENTO!$AF$7)/$H189*OFFSET(ORÇAMENTO!$X$15,ROW(AB189)-ROW(AB$15),0),
              ROUND(ROUND(OFFSET($P189,0,AB$13),15-13*ORÇAMENTO!$AF$7)*OFFSET(ORÇAMENTO!$W$15,ROW(AB189)-ROW(AB$15),0),15-13*ORÇAMENTO!$AF$11)),
         0)</f>
        <v>0</v>
      </c>
      <c r="AC189" s="454">
        <f ca="1">IF(AND($D189="Serviço",AC$12&lt;&gt;0,$H189&gt;0,OR(AUTOEVENTO&lt;&gt;"manual",$M189&lt;&gt;$A$15)),
        IF(Import.TipoArredondamento&lt;&gt;"TransfereGOV",
              ROUND(OFFSET($P189,0,AC$13),15-13*ORÇAMENTO!$AF$7)/$H189*OFFSET(ORÇAMENTO!$X$15,ROW(AC189)-ROW(AC$15),0),
              ROUND(ROUND(OFFSET($P189,0,AC$13),15-13*ORÇAMENTO!$AF$7)*OFFSET(ORÇAMENTO!$W$15,ROW(AC189)-ROW(AC$15),0),15-13*ORÇAMENTO!$AF$11)),
         0)</f>
        <v>0</v>
      </c>
      <c r="AD189" s="454">
        <f ca="1">IF(AND($D189="Serviço",AD$12&lt;&gt;0,$H189&gt;0,OR(AUTOEVENTO&lt;&gt;"manual",$M189&lt;&gt;$A$15)),
        IF(Import.TipoArredondamento&lt;&gt;"TransfereGOV",
              ROUND(OFFSET($P189,0,AD$13),15-13*ORÇAMENTO!$AF$7)/$H189*OFFSET(ORÇAMENTO!$X$15,ROW(AD189)-ROW(AD$15),0),
              ROUND(ROUND(OFFSET($P189,0,AD$13),15-13*ORÇAMENTO!$AF$7)*OFFSET(ORÇAMENTO!$W$15,ROW(AD189)-ROW(AD$15),0),15-13*ORÇAMENTO!$AF$11)),
         0)</f>
        <v>0</v>
      </c>
      <c r="AE189" s="454">
        <f ca="1">IF(AND($D189="Serviço",AE$12&lt;&gt;0,$H189&gt;0,OR(AUTOEVENTO&lt;&gt;"manual",$M189&lt;&gt;$A$15)),
        IF(Import.TipoArredondamento&lt;&gt;"TransfereGOV",
              ROUND(OFFSET($P189,0,AE$13),15-13*ORÇAMENTO!$AF$7)/$H189*OFFSET(ORÇAMENTO!$X$15,ROW(AE189)-ROW(AE$15),0),
              ROUND(ROUND(OFFSET($P189,0,AE$13),15-13*ORÇAMENTO!$AF$7)*OFFSET(ORÇAMENTO!$W$15,ROW(AE189)-ROW(AE$15),0),15-13*ORÇAMENTO!$AF$11)),
         0)</f>
        <v>0</v>
      </c>
      <c r="AF189" s="454">
        <f ca="1">IF(AND($D189="Serviço",AF$12&lt;&gt;0,$H189&gt;0,OR(AUTOEVENTO&lt;&gt;"manual",$M189&lt;&gt;$A$15)),
        IF(Import.TipoArredondamento&lt;&gt;"TransfereGOV",
              ROUND(OFFSET($P189,0,AF$13),15-13*ORÇAMENTO!$AF$7)/$H189*OFFSET(ORÇAMENTO!$X$15,ROW(AF189)-ROW(AF$15),0),
              ROUND(ROUND(OFFSET($P189,0,AF$13),15-13*ORÇAMENTO!$AF$7)*OFFSET(ORÇAMENTO!$W$15,ROW(AF189)-ROW(AF$15),0),15-13*ORÇAMENTO!$AF$11)),
         0)</f>
        <v>0</v>
      </c>
      <c r="AG189" s="454">
        <f ca="1">IF(AND($D189="Serviço",AG$12&lt;&gt;0,$H189&gt;0,OR(AUTOEVENTO&lt;&gt;"manual",$M189&lt;&gt;$A$15)),
        IF(Import.TipoArredondamento&lt;&gt;"TransfereGOV",
              ROUND(OFFSET($P189,0,AG$13),15-13*ORÇAMENTO!$AF$7)/$H189*OFFSET(ORÇAMENTO!$X$15,ROW(AG189)-ROW(AG$15),0),
              ROUND(ROUND(OFFSET($P189,0,AG$13),15-13*ORÇAMENTO!$AF$7)*OFFSET(ORÇAMENTO!$W$15,ROW(AG189)-ROW(AG$15),0),15-13*ORÇAMENTO!$AF$11)),
         0)</f>
        <v>0</v>
      </c>
      <c r="AH189" s="454">
        <f ca="1">IF(AND($D189="Serviço",AH$12&lt;&gt;0,$H189&gt;0,OR(AUTOEVENTO&lt;&gt;"manual",$M189&lt;&gt;$A$15)),
        IF(Import.TipoArredondamento&lt;&gt;"TransfereGOV",
              ROUND(OFFSET($P189,0,AH$13),15-13*ORÇAMENTO!$AF$7)/$H189*OFFSET(ORÇAMENTO!$X$15,ROW(AH189)-ROW(AH$15),0),
              ROUND(ROUND(OFFSET($P189,0,AH$13),15-13*ORÇAMENTO!$AF$7)*OFFSET(ORÇAMENTO!$W$15,ROW(AH189)-ROW(AH$15),0),15-13*ORÇAMENTO!$AF$11)),
         0)</f>
        <v>0</v>
      </c>
      <c r="AI189" s="454">
        <f ca="1">IF(AND($D189="Serviço",AI$12&lt;&gt;0,$H189&gt;0,OR(AUTOEVENTO&lt;&gt;"manual",$M189&lt;&gt;$A$15)),
        IF(Import.TipoArredondamento&lt;&gt;"TransfereGOV",
              ROUND(OFFSET($P189,0,AI$13),15-13*ORÇAMENTO!$AF$7)/$H189*OFFSET(ORÇAMENTO!$X$15,ROW(AI189)-ROW(AI$15),0),
              ROUND(ROUND(OFFSET($P189,0,AI$13),15-13*ORÇAMENTO!$AF$7)*OFFSET(ORÇAMENTO!$W$15,ROW(AI189)-ROW(AI$15),0),15-13*ORÇAMENTO!$AF$11)),
         0)</f>
        <v>0</v>
      </c>
      <c r="AJ189" s="454">
        <f ca="1">IF(AND($D189="Serviço",AJ$12&lt;&gt;0,$H189&gt;0,OR(AUTOEVENTO&lt;&gt;"manual",$M189&lt;&gt;$A$15)),
        IF(Import.TipoArredondamento&lt;&gt;"TransfereGOV",
              ROUND(OFFSET($P189,0,AJ$13),15-13*ORÇAMENTO!$AF$7)/$H189*OFFSET(ORÇAMENTO!$X$15,ROW(AJ189)-ROW(AJ$15),0),
              ROUND(ROUND(OFFSET($P189,0,AJ$13),15-13*ORÇAMENTO!$AF$7)*OFFSET(ORÇAMENTO!$W$15,ROW(AJ189)-ROW(AJ$15),0),15-13*ORÇAMENTO!$AF$11)),
         0)</f>
        <v>0</v>
      </c>
      <c r="AK189" s="454">
        <f ca="1">IF(AND($D189="Serviço",AK$12&lt;&gt;0,$H189&gt;0,OR(AUTOEVENTO&lt;&gt;"manual",$M189&lt;&gt;$A$15)),
        IF(Import.TipoArredondamento&lt;&gt;"TransfereGOV",
              ROUND(OFFSET($P189,0,AK$13),15-13*ORÇAMENTO!$AF$7)/$H189*OFFSET(ORÇAMENTO!$X$15,ROW(AK189)-ROW(AK$15),0),
              ROUND(ROUND(OFFSET($P189,0,AK$13),15-13*ORÇAMENTO!$AF$7)*OFFSET(ORÇAMENTO!$W$15,ROW(AK189)-ROW(AK$15),0),15-13*ORÇAMENTO!$AF$11)),
         0)</f>
        <v>0</v>
      </c>
      <c r="AM189" s="172">
        <f ca="1">IF(OR($D189&lt;&gt;"Serviço",AND(AUTOEVENTO="Manual",$M189=$A$15)),0,
         IF(OFFSET(CRONOPLE!$F$15,$M189-$A$15,AM$13)=0,10^12,OFFSET(CRONOPLE!$F$15,$M189-$A$15,AM$13)))</f>
        <v>1000000000000</v>
      </c>
      <c r="AN189" s="172">
        <f ca="1">IF(OR($D189&lt;&gt;"Serviço",AND(AUTOEVENTO="Manual",$M189=$A$15)),0,
         IF(OFFSET(CRONOPLE!$F$15,$M189-$A$15,AN$13)=0,10^12,OFFSET(CRONOPLE!$F$15,$M189-$A$15,AN$13)))</f>
        <v>1000000000000</v>
      </c>
      <c r="AO189" s="172">
        <f ca="1">IF(OR($D189&lt;&gt;"Serviço",AND(AUTOEVENTO="Manual",$M189=$A$15)),0,
         IF(OFFSET(CRONOPLE!$F$15,$M189-$A$15,AO$13)=0,10^12,OFFSET(CRONOPLE!$F$15,$M189-$A$15,AO$13)))</f>
        <v>1000000000000</v>
      </c>
      <c r="AP189" s="172">
        <f ca="1">IF(OR($D189&lt;&gt;"Serviço",AND(AUTOEVENTO="Manual",$M189=$A$15)),0,
         IF(OFFSET(CRONOPLE!$F$15,$M189-$A$15,AP$13)=0,10^12,OFFSET(CRONOPLE!$F$15,$M189-$A$15,AP$13)))</f>
        <v>1000000000000</v>
      </c>
      <c r="AQ189" s="172">
        <f ca="1">IF(OR($D189&lt;&gt;"Serviço",AND(AUTOEVENTO="Manual",$M189=$A$15)),0,
         IF(OFFSET(CRONOPLE!$F$15,$M189-$A$15,AQ$13)=0,10^12,OFFSET(CRONOPLE!$F$15,$M189-$A$15,AQ$13)))</f>
        <v>1000000000000</v>
      </c>
      <c r="AR189" s="172">
        <f ca="1">IF(OR($D189&lt;&gt;"Serviço",AND(AUTOEVENTO="Manual",$M189=$A$15)),0,
         IF(OFFSET(CRONOPLE!$F$15,$M189-$A$15,AR$13)=0,10^12,OFFSET(CRONOPLE!$F$15,$M189-$A$15,AR$13)))</f>
        <v>1000000000000</v>
      </c>
      <c r="AS189" s="172">
        <f ca="1">IF(OR($D189&lt;&gt;"Serviço",AND(AUTOEVENTO="Manual",$M189=$A$15)),0,
         IF(OFFSET(CRONOPLE!$F$15,$M189-$A$15,AS$13)=0,10^12,OFFSET(CRONOPLE!$F$15,$M189-$A$15,AS$13)))</f>
        <v>1000000000000</v>
      </c>
      <c r="AT189" s="172">
        <f ca="1">IF(OR($D189&lt;&gt;"Serviço",AND(AUTOEVENTO="Manual",$M189=$A$15)),0,
         IF(OFFSET(CRONOPLE!$F$15,$M189-$A$15,AT$13)=0,10^12,OFFSET(CRONOPLE!$F$15,$M189-$A$15,AT$13)))</f>
        <v>1000000000000</v>
      </c>
      <c r="AU189" s="172">
        <f ca="1">IF(OR($D189&lt;&gt;"Serviço",AND(AUTOEVENTO="Manual",$M189=$A$15)),0,
         IF(OFFSET(CRONOPLE!$F$15,$M189-$A$15,AU$13)=0,10^12,OFFSET(CRONOPLE!$F$15,$M189-$A$15,AU$13)))</f>
        <v>1000000000000</v>
      </c>
      <c r="AV189" s="172">
        <f ca="1">IF(OR($D189&lt;&gt;"Serviço",AND(AUTOEVENTO="Manual",$M189=$A$15)),0,
         IF(OFFSET(CRONOPLE!$F$15,$M189-$A$15,AV$13)=0,10^12,OFFSET(CRONOPLE!$F$15,$M189-$A$15,AV$13)))</f>
        <v>1000000000000</v>
      </c>
      <c r="AX189" s="173">
        <f ca="1">IF(OR($D189&lt;&gt;"Serviço",AND(AUTOEVENTO="Manual",$M189=$A$15),$M189&gt;(ROW(PLE.lastrow)-ROW(PLE.firstrow))),0,
           IF(OFFSET(PLE!$G$15,$M189-$A$15,AX$13)="",10^12,OFFSET(PLE!$G$15,$M189-$A$15,AX$13)))</f>
        <v>1000000000000</v>
      </c>
      <c r="AY189" s="173">
        <f ca="1">IF(OR($D189&lt;&gt;"Serviço",AND(AUTOEVENTO="Manual",$M189=$A$15),$M189&gt;(ROW(PLE.lastrow)-ROW(PLE.firstrow))),0,
           IF(OFFSET(PLE!$G$15,$M189-$A$15,AY$13)="",10^12,OFFSET(PLE!$G$15,$M189-$A$15,AY$13)))</f>
        <v>1000000000000</v>
      </c>
      <c r="AZ189" s="173">
        <f ca="1">IF(OR($D189&lt;&gt;"Serviço",AND(AUTOEVENTO="Manual",$M189=$A$15),$M189&gt;(ROW(PLE.lastrow)-ROW(PLE.firstrow))),0,
           IF(OFFSET(PLE!$G$15,$M189-$A$15,AZ$13)="",10^12,OFFSET(PLE!$G$15,$M189-$A$15,AZ$13)))</f>
        <v>1000000000000</v>
      </c>
      <c r="BA189" s="173">
        <f ca="1">IF(OR($D189&lt;&gt;"Serviço",AND(AUTOEVENTO="Manual",$M189=$A$15),$M189&gt;(ROW(PLE.lastrow)-ROW(PLE.firstrow))),0,
           IF(OFFSET(PLE!$G$15,$M189-$A$15,BA$13)="",10^12,OFFSET(PLE!$G$15,$M189-$A$15,BA$13)))</f>
        <v>1000000000000</v>
      </c>
      <c r="BB189" s="173">
        <f ca="1">IF(OR($D189&lt;&gt;"Serviço",AND(AUTOEVENTO="Manual",$M189=$A$15),$M189&gt;(ROW(PLE.lastrow)-ROW(PLE.firstrow))),0,
           IF(OFFSET(PLE!$G$15,$M189-$A$15,BB$13)="",10^12,OFFSET(PLE!$G$15,$M189-$A$15,BB$13)))</f>
        <v>1000000000000</v>
      </c>
      <c r="BC189" s="173">
        <f ca="1">IF(OR($D189&lt;&gt;"Serviço",AND(AUTOEVENTO="Manual",$M189=$A$15),$M189&gt;(ROW(PLE.lastrow)-ROW(PLE.firstrow))),0,
           IF(OFFSET(PLE!$G$15,$M189-$A$15,BC$13)="",10^12,OFFSET(PLE!$G$15,$M189-$A$15,BC$13)))</f>
        <v>1000000000000</v>
      </c>
      <c r="BD189" s="173">
        <f ca="1">IF(OR($D189&lt;&gt;"Serviço",AND(AUTOEVENTO="Manual",$M189=$A$15),$M189&gt;(ROW(PLE.lastrow)-ROW(PLE.firstrow))),0,
           IF(OFFSET(PLE!$G$15,$M189-$A$15,BD$13)="",10^12,OFFSET(PLE!$G$15,$M189-$A$15,BD$13)))</f>
        <v>1000000000000</v>
      </c>
      <c r="BE189" s="173">
        <f ca="1">IF(OR($D189&lt;&gt;"Serviço",AND(AUTOEVENTO="Manual",$M189=$A$15),$M189&gt;(ROW(PLE.lastrow)-ROW(PLE.firstrow))),0,
           IF(OFFSET(PLE!$G$15,$M189-$A$15,BE$13)="",10^12,OFFSET(PLE!$G$15,$M189-$A$15,BE$13)))</f>
        <v>1000000000000</v>
      </c>
      <c r="BF189" s="173">
        <f ca="1">IF(OR($D189&lt;&gt;"Serviço",AND(AUTOEVENTO="Manual",$M189=$A$15),$M189&gt;(ROW(PLE.lastrow)-ROW(PLE.firstrow))),0,
           IF(OFFSET(PLE!$G$15,$M189-$A$15,BF$13)="",10^12,OFFSET(PLE!$G$15,$M189-$A$15,BF$13)))</f>
        <v>1000000000000</v>
      </c>
      <c r="BG189" s="173">
        <f ca="1">IF(OR($D189&lt;&gt;"Serviço",AND(AUTOEVENTO="Manual",$M189=$A$15),$M189&gt;(ROW(PLE.lastrow)-ROW(PLE.firstrow))),0,
           IF(OFFSET(PLE!$G$15,$M189-$A$15,BG$13)="",10^12,OFFSET(PLE!$G$15,$M189-$A$15,BG$13)))</f>
        <v>1000000000000</v>
      </c>
    </row>
    <row r="190" spans="1:59" s="675" customFormat="1" ht="12.75" x14ac:dyDescent="0.2">
      <c r="A190" s="671" t="str">
        <f t="shared" ca="1" si="11"/>
        <v>175.</v>
      </c>
      <c r="B190" s="671">
        <f ca="1">OFFSET(ORÇAMENTO!C$15,ROW(B190)-ROW(B$15),0)</f>
        <v>2</v>
      </c>
      <c r="C190" s="671" t="str">
        <f ca="1">OFFSET(ORÇAMENTO!L$15,ROW(C190)-ROW(C$15),0)</f>
        <v>F</v>
      </c>
      <c r="D190" s="117" t="str">
        <f ca="1">OFFSET(ORÇAMENTO!N$15,ROW(D190)-ROW(D$15),0)</f>
        <v>Nível 2</v>
      </c>
      <c r="E190" s="118" t="str">
        <f ca="1">OFFSET(ORÇAMENTO!O$15,ROW(E190)-ROW(E$15),0)</f>
        <v>1.23.</v>
      </c>
      <c r="F190" s="164" t="str">
        <f ca="1">OFFSET(ORÇAMENTO!R$15,ROW(F190)-ROW(F$15),0)</f>
        <v>PISO</v>
      </c>
      <c r="G190" s="165" t="str">
        <f ca="1">IF($D190&lt;&gt;"Serviço","",OFFSET(ORÇAMENTO!S$15,ROW(G190)-ROW(G$15),0))</f>
        <v/>
      </c>
      <c r="H190" s="123">
        <f ca="1">IF($D190&lt;&gt;"Serviço",0,IF(ACOMPANHAMENTO="BM",ROUND(OFFSET(ORÇAMENTO!AJ$15,ROW(H190)-ROW(H$15),0),15-13*ORÇAMENTO!$AF$7),SUMPRODUCT(($Q$1:$AA$1=1)*ROUND($Q190:$AA190,15-13*ORÇAMENTO!$AF$7))))</f>
        <v>0</v>
      </c>
      <c r="I190" s="469"/>
      <c r="J190" s="667" t="str">
        <f ca="1">IF(OR(B190&lt;&gt;"S",CÁLCULO.FrentesPreenchidas=0),"",IF(AND(ACOMPANHAMENTO="PLE",AUTOEVENTO="Manual",OR(H190&gt;0,ORÇAMENTO!AC190="QUANT."),OR(K190="",M190=0,N190="")),"►",IF(AND(ACOMPANHAMENTO="PLE",ORÇAMENTO!AC190="QUANT."),"►►",IF(AND(COUNTIF($P$11:$AA$11,"▼")=0,H190&gt;0,I190=""),"◄",""))))</f>
        <v/>
      </c>
      <c r="K190" s="668"/>
      <c r="L190" s="166" t="s">
        <v>765</v>
      </c>
      <c r="M190" s="167" t="str">
        <f ca="1">IF($D190&lt;&gt;"Serviço","",
          IF(AUTOEVENTO="manual",$A190,
                IF(ISERROR(MATCH($A190,$A$15:OFFSET($A190,-1,0),0)),MAX($M$15:OFFSET(M190,-1,0))+1,
                      INDEX($M$15:OFFSET(M190,-1,0),MATCH($A190,$A$15:OFFSET($A190,-1,0),0)))))</f>
        <v/>
      </c>
      <c r="N190" s="168" t="str">
        <f ca="1">IF($D190&lt;&gt;"Serviço","",
         IF(AUTOEVENTO="Manual",
                IF($A190=0,"&lt;-- defina o número do agrupador",
                       OFFSET(EVENTOS!$D$15,$A190-$A$15,0)),
                OFFSET($F$15,$A190,0)))</f>
        <v/>
      </c>
      <c r="O190" s="169"/>
      <c r="Q190" s="169"/>
      <c r="R190" s="170"/>
      <c r="S190" s="170"/>
      <c r="T190" s="170"/>
      <c r="U190" s="170"/>
      <c r="V190" s="170"/>
      <c r="W190" s="170"/>
      <c r="X190" s="170"/>
      <c r="Y190" s="170"/>
      <c r="Z190" s="171"/>
      <c r="AB190" s="454">
        <f ca="1">IF(AND($D190="Serviço",AB$12&lt;&gt;0,$H190&gt;0,OR(AUTOEVENTO&lt;&gt;"manual",$M190&lt;&gt;$A$15)),
        IF(Import.TipoArredondamento&lt;&gt;"TransfereGOV",
              ROUND(OFFSET($P190,0,AB$13),15-13*ORÇAMENTO!$AF$7)/$H190*OFFSET(ORÇAMENTO!$X$15,ROW(AB190)-ROW(AB$15),0),
              ROUND(ROUND(OFFSET($P190,0,AB$13),15-13*ORÇAMENTO!$AF$7)*OFFSET(ORÇAMENTO!$W$15,ROW(AB190)-ROW(AB$15),0),15-13*ORÇAMENTO!$AF$11)),
         0)</f>
        <v>0</v>
      </c>
      <c r="AC190" s="454">
        <f ca="1">IF(AND($D190="Serviço",AC$12&lt;&gt;0,$H190&gt;0,OR(AUTOEVENTO&lt;&gt;"manual",$M190&lt;&gt;$A$15)),
        IF(Import.TipoArredondamento&lt;&gt;"TransfereGOV",
              ROUND(OFFSET($P190,0,AC$13),15-13*ORÇAMENTO!$AF$7)/$H190*OFFSET(ORÇAMENTO!$X$15,ROW(AC190)-ROW(AC$15),0),
              ROUND(ROUND(OFFSET($P190,0,AC$13),15-13*ORÇAMENTO!$AF$7)*OFFSET(ORÇAMENTO!$W$15,ROW(AC190)-ROW(AC$15),0),15-13*ORÇAMENTO!$AF$11)),
         0)</f>
        <v>0</v>
      </c>
      <c r="AD190" s="454">
        <f ca="1">IF(AND($D190="Serviço",AD$12&lt;&gt;0,$H190&gt;0,OR(AUTOEVENTO&lt;&gt;"manual",$M190&lt;&gt;$A$15)),
        IF(Import.TipoArredondamento&lt;&gt;"TransfereGOV",
              ROUND(OFFSET($P190,0,AD$13),15-13*ORÇAMENTO!$AF$7)/$H190*OFFSET(ORÇAMENTO!$X$15,ROW(AD190)-ROW(AD$15),0),
              ROUND(ROUND(OFFSET($P190,0,AD$13),15-13*ORÇAMENTO!$AF$7)*OFFSET(ORÇAMENTO!$W$15,ROW(AD190)-ROW(AD$15),0),15-13*ORÇAMENTO!$AF$11)),
         0)</f>
        <v>0</v>
      </c>
      <c r="AE190" s="454">
        <f ca="1">IF(AND($D190="Serviço",AE$12&lt;&gt;0,$H190&gt;0,OR(AUTOEVENTO&lt;&gt;"manual",$M190&lt;&gt;$A$15)),
        IF(Import.TipoArredondamento&lt;&gt;"TransfereGOV",
              ROUND(OFFSET($P190,0,AE$13),15-13*ORÇAMENTO!$AF$7)/$H190*OFFSET(ORÇAMENTO!$X$15,ROW(AE190)-ROW(AE$15),0),
              ROUND(ROUND(OFFSET($P190,0,AE$13),15-13*ORÇAMENTO!$AF$7)*OFFSET(ORÇAMENTO!$W$15,ROW(AE190)-ROW(AE$15),0),15-13*ORÇAMENTO!$AF$11)),
         0)</f>
        <v>0</v>
      </c>
      <c r="AF190" s="454">
        <f ca="1">IF(AND($D190="Serviço",AF$12&lt;&gt;0,$H190&gt;0,OR(AUTOEVENTO&lt;&gt;"manual",$M190&lt;&gt;$A$15)),
        IF(Import.TipoArredondamento&lt;&gt;"TransfereGOV",
              ROUND(OFFSET($P190,0,AF$13),15-13*ORÇAMENTO!$AF$7)/$H190*OFFSET(ORÇAMENTO!$X$15,ROW(AF190)-ROW(AF$15),0),
              ROUND(ROUND(OFFSET($P190,0,AF$13),15-13*ORÇAMENTO!$AF$7)*OFFSET(ORÇAMENTO!$W$15,ROW(AF190)-ROW(AF$15),0),15-13*ORÇAMENTO!$AF$11)),
         0)</f>
        <v>0</v>
      </c>
      <c r="AG190" s="454">
        <f ca="1">IF(AND($D190="Serviço",AG$12&lt;&gt;0,$H190&gt;0,OR(AUTOEVENTO&lt;&gt;"manual",$M190&lt;&gt;$A$15)),
        IF(Import.TipoArredondamento&lt;&gt;"TransfereGOV",
              ROUND(OFFSET($P190,0,AG$13),15-13*ORÇAMENTO!$AF$7)/$H190*OFFSET(ORÇAMENTO!$X$15,ROW(AG190)-ROW(AG$15),0),
              ROUND(ROUND(OFFSET($P190,0,AG$13),15-13*ORÇAMENTO!$AF$7)*OFFSET(ORÇAMENTO!$W$15,ROW(AG190)-ROW(AG$15),0),15-13*ORÇAMENTO!$AF$11)),
         0)</f>
        <v>0</v>
      </c>
      <c r="AH190" s="454">
        <f ca="1">IF(AND($D190="Serviço",AH$12&lt;&gt;0,$H190&gt;0,OR(AUTOEVENTO&lt;&gt;"manual",$M190&lt;&gt;$A$15)),
        IF(Import.TipoArredondamento&lt;&gt;"TransfereGOV",
              ROUND(OFFSET($P190,0,AH$13),15-13*ORÇAMENTO!$AF$7)/$H190*OFFSET(ORÇAMENTO!$X$15,ROW(AH190)-ROW(AH$15),0),
              ROUND(ROUND(OFFSET($P190,0,AH$13),15-13*ORÇAMENTO!$AF$7)*OFFSET(ORÇAMENTO!$W$15,ROW(AH190)-ROW(AH$15),0),15-13*ORÇAMENTO!$AF$11)),
         0)</f>
        <v>0</v>
      </c>
      <c r="AI190" s="454">
        <f ca="1">IF(AND($D190="Serviço",AI$12&lt;&gt;0,$H190&gt;0,OR(AUTOEVENTO&lt;&gt;"manual",$M190&lt;&gt;$A$15)),
        IF(Import.TipoArredondamento&lt;&gt;"TransfereGOV",
              ROUND(OFFSET($P190,0,AI$13),15-13*ORÇAMENTO!$AF$7)/$H190*OFFSET(ORÇAMENTO!$X$15,ROW(AI190)-ROW(AI$15),0),
              ROUND(ROUND(OFFSET($P190,0,AI$13),15-13*ORÇAMENTO!$AF$7)*OFFSET(ORÇAMENTO!$W$15,ROW(AI190)-ROW(AI$15),0),15-13*ORÇAMENTO!$AF$11)),
         0)</f>
        <v>0</v>
      </c>
      <c r="AJ190" s="454">
        <f ca="1">IF(AND($D190="Serviço",AJ$12&lt;&gt;0,$H190&gt;0,OR(AUTOEVENTO&lt;&gt;"manual",$M190&lt;&gt;$A$15)),
        IF(Import.TipoArredondamento&lt;&gt;"TransfereGOV",
              ROUND(OFFSET($P190,0,AJ$13),15-13*ORÇAMENTO!$AF$7)/$H190*OFFSET(ORÇAMENTO!$X$15,ROW(AJ190)-ROW(AJ$15),0),
              ROUND(ROUND(OFFSET($P190,0,AJ$13),15-13*ORÇAMENTO!$AF$7)*OFFSET(ORÇAMENTO!$W$15,ROW(AJ190)-ROW(AJ$15),0),15-13*ORÇAMENTO!$AF$11)),
         0)</f>
        <v>0</v>
      </c>
      <c r="AK190" s="454">
        <f ca="1">IF(AND($D190="Serviço",AK$12&lt;&gt;0,$H190&gt;0,OR(AUTOEVENTO&lt;&gt;"manual",$M190&lt;&gt;$A$15)),
        IF(Import.TipoArredondamento&lt;&gt;"TransfereGOV",
              ROUND(OFFSET($P190,0,AK$13),15-13*ORÇAMENTO!$AF$7)/$H190*OFFSET(ORÇAMENTO!$X$15,ROW(AK190)-ROW(AK$15),0),
              ROUND(ROUND(OFFSET($P190,0,AK$13),15-13*ORÇAMENTO!$AF$7)*OFFSET(ORÇAMENTO!$W$15,ROW(AK190)-ROW(AK$15),0),15-13*ORÇAMENTO!$AF$11)),
         0)</f>
        <v>0</v>
      </c>
      <c r="AM190" s="172">
        <f ca="1">IF(OR($D190&lt;&gt;"Serviço",AND(AUTOEVENTO="Manual",$M190=$A$15)),0,
         IF(OFFSET(CRONOPLE!$F$15,$M190-$A$15,AM$13)=0,10^12,OFFSET(CRONOPLE!$F$15,$M190-$A$15,AM$13)))</f>
        <v>0</v>
      </c>
      <c r="AN190" s="172">
        <f ca="1">IF(OR($D190&lt;&gt;"Serviço",AND(AUTOEVENTO="Manual",$M190=$A$15)),0,
         IF(OFFSET(CRONOPLE!$F$15,$M190-$A$15,AN$13)=0,10^12,OFFSET(CRONOPLE!$F$15,$M190-$A$15,AN$13)))</f>
        <v>0</v>
      </c>
      <c r="AO190" s="172">
        <f ca="1">IF(OR($D190&lt;&gt;"Serviço",AND(AUTOEVENTO="Manual",$M190=$A$15)),0,
         IF(OFFSET(CRONOPLE!$F$15,$M190-$A$15,AO$13)=0,10^12,OFFSET(CRONOPLE!$F$15,$M190-$A$15,AO$13)))</f>
        <v>0</v>
      </c>
      <c r="AP190" s="172">
        <f ca="1">IF(OR($D190&lt;&gt;"Serviço",AND(AUTOEVENTO="Manual",$M190=$A$15)),0,
         IF(OFFSET(CRONOPLE!$F$15,$M190-$A$15,AP$13)=0,10^12,OFFSET(CRONOPLE!$F$15,$M190-$A$15,AP$13)))</f>
        <v>0</v>
      </c>
      <c r="AQ190" s="172">
        <f ca="1">IF(OR($D190&lt;&gt;"Serviço",AND(AUTOEVENTO="Manual",$M190=$A$15)),0,
         IF(OFFSET(CRONOPLE!$F$15,$M190-$A$15,AQ$13)=0,10^12,OFFSET(CRONOPLE!$F$15,$M190-$A$15,AQ$13)))</f>
        <v>0</v>
      </c>
      <c r="AR190" s="172">
        <f ca="1">IF(OR($D190&lt;&gt;"Serviço",AND(AUTOEVENTO="Manual",$M190=$A$15)),0,
         IF(OFFSET(CRONOPLE!$F$15,$M190-$A$15,AR$13)=0,10^12,OFFSET(CRONOPLE!$F$15,$M190-$A$15,AR$13)))</f>
        <v>0</v>
      </c>
      <c r="AS190" s="172">
        <f ca="1">IF(OR($D190&lt;&gt;"Serviço",AND(AUTOEVENTO="Manual",$M190=$A$15)),0,
         IF(OFFSET(CRONOPLE!$F$15,$M190-$A$15,AS$13)=0,10^12,OFFSET(CRONOPLE!$F$15,$M190-$A$15,AS$13)))</f>
        <v>0</v>
      </c>
      <c r="AT190" s="172">
        <f ca="1">IF(OR($D190&lt;&gt;"Serviço",AND(AUTOEVENTO="Manual",$M190=$A$15)),0,
         IF(OFFSET(CRONOPLE!$F$15,$M190-$A$15,AT$13)=0,10^12,OFFSET(CRONOPLE!$F$15,$M190-$A$15,AT$13)))</f>
        <v>0</v>
      </c>
      <c r="AU190" s="172">
        <f ca="1">IF(OR($D190&lt;&gt;"Serviço",AND(AUTOEVENTO="Manual",$M190=$A$15)),0,
         IF(OFFSET(CRONOPLE!$F$15,$M190-$A$15,AU$13)=0,10^12,OFFSET(CRONOPLE!$F$15,$M190-$A$15,AU$13)))</f>
        <v>0</v>
      </c>
      <c r="AV190" s="172">
        <f ca="1">IF(OR($D190&lt;&gt;"Serviço",AND(AUTOEVENTO="Manual",$M190=$A$15)),0,
         IF(OFFSET(CRONOPLE!$F$15,$M190-$A$15,AV$13)=0,10^12,OFFSET(CRONOPLE!$F$15,$M190-$A$15,AV$13)))</f>
        <v>0</v>
      </c>
      <c r="AX190" s="173">
        <f ca="1">IF(OR($D190&lt;&gt;"Serviço",AND(AUTOEVENTO="Manual",$M190=$A$15),$M190&gt;(ROW(PLE.lastrow)-ROW(PLE.firstrow))),0,
           IF(OFFSET(PLE!$G$15,$M190-$A$15,AX$13)="",10^12,OFFSET(PLE!$G$15,$M190-$A$15,AX$13)))</f>
        <v>0</v>
      </c>
      <c r="AY190" s="173">
        <f ca="1">IF(OR($D190&lt;&gt;"Serviço",AND(AUTOEVENTO="Manual",$M190=$A$15),$M190&gt;(ROW(PLE.lastrow)-ROW(PLE.firstrow))),0,
           IF(OFFSET(PLE!$G$15,$M190-$A$15,AY$13)="",10^12,OFFSET(PLE!$G$15,$M190-$A$15,AY$13)))</f>
        <v>0</v>
      </c>
      <c r="AZ190" s="173">
        <f ca="1">IF(OR($D190&lt;&gt;"Serviço",AND(AUTOEVENTO="Manual",$M190=$A$15),$M190&gt;(ROW(PLE.lastrow)-ROW(PLE.firstrow))),0,
           IF(OFFSET(PLE!$G$15,$M190-$A$15,AZ$13)="",10^12,OFFSET(PLE!$G$15,$M190-$A$15,AZ$13)))</f>
        <v>0</v>
      </c>
      <c r="BA190" s="173">
        <f ca="1">IF(OR($D190&lt;&gt;"Serviço",AND(AUTOEVENTO="Manual",$M190=$A$15),$M190&gt;(ROW(PLE.lastrow)-ROW(PLE.firstrow))),0,
           IF(OFFSET(PLE!$G$15,$M190-$A$15,BA$13)="",10^12,OFFSET(PLE!$G$15,$M190-$A$15,BA$13)))</f>
        <v>0</v>
      </c>
      <c r="BB190" s="173">
        <f ca="1">IF(OR($D190&lt;&gt;"Serviço",AND(AUTOEVENTO="Manual",$M190=$A$15),$M190&gt;(ROW(PLE.lastrow)-ROW(PLE.firstrow))),0,
           IF(OFFSET(PLE!$G$15,$M190-$A$15,BB$13)="",10^12,OFFSET(PLE!$G$15,$M190-$A$15,BB$13)))</f>
        <v>0</v>
      </c>
      <c r="BC190" s="173">
        <f ca="1">IF(OR($D190&lt;&gt;"Serviço",AND(AUTOEVENTO="Manual",$M190=$A$15),$M190&gt;(ROW(PLE.lastrow)-ROW(PLE.firstrow))),0,
           IF(OFFSET(PLE!$G$15,$M190-$A$15,BC$13)="",10^12,OFFSET(PLE!$G$15,$M190-$A$15,BC$13)))</f>
        <v>0</v>
      </c>
      <c r="BD190" s="173">
        <f ca="1">IF(OR($D190&lt;&gt;"Serviço",AND(AUTOEVENTO="Manual",$M190=$A$15),$M190&gt;(ROW(PLE.lastrow)-ROW(PLE.firstrow))),0,
           IF(OFFSET(PLE!$G$15,$M190-$A$15,BD$13)="",10^12,OFFSET(PLE!$G$15,$M190-$A$15,BD$13)))</f>
        <v>0</v>
      </c>
      <c r="BE190" s="173">
        <f ca="1">IF(OR($D190&lt;&gt;"Serviço",AND(AUTOEVENTO="Manual",$M190=$A$15),$M190&gt;(ROW(PLE.lastrow)-ROW(PLE.firstrow))),0,
           IF(OFFSET(PLE!$G$15,$M190-$A$15,BE$13)="",10^12,OFFSET(PLE!$G$15,$M190-$A$15,BE$13)))</f>
        <v>0</v>
      </c>
      <c r="BF190" s="173">
        <f ca="1">IF(OR($D190&lt;&gt;"Serviço",AND(AUTOEVENTO="Manual",$M190=$A$15),$M190&gt;(ROW(PLE.lastrow)-ROW(PLE.firstrow))),0,
           IF(OFFSET(PLE!$G$15,$M190-$A$15,BF$13)="",10^12,OFFSET(PLE!$G$15,$M190-$A$15,BF$13)))</f>
        <v>0</v>
      </c>
      <c r="BG190" s="173">
        <f ca="1">IF(OR($D190&lt;&gt;"Serviço",AND(AUTOEVENTO="Manual",$M190=$A$15),$M190&gt;(ROW(PLE.lastrow)-ROW(PLE.firstrow))),0,
           IF(OFFSET(PLE!$G$15,$M190-$A$15,BG$13)="",10^12,OFFSET(PLE!$G$15,$M190-$A$15,BG$13)))</f>
        <v>0</v>
      </c>
    </row>
    <row r="191" spans="1:59" s="675" customFormat="1" ht="38.25" x14ac:dyDescent="0.2">
      <c r="A191" s="671" t="str">
        <f t="shared" ca="1" si="11"/>
        <v>175</v>
      </c>
      <c r="B191" s="671" t="str">
        <f ca="1">OFFSET(ORÇAMENTO!C$15,ROW(B191)-ROW(B$15),0)</f>
        <v>S</v>
      </c>
      <c r="C191" s="671" t="str">
        <f ca="1">OFFSET(ORÇAMENTO!L$15,ROW(C191)-ROW(C$15),0)</f>
        <v/>
      </c>
      <c r="D191" s="117" t="str">
        <f ca="1">OFFSET(ORÇAMENTO!N$15,ROW(D191)-ROW(D$15),0)</f>
        <v>Serviço</v>
      </c>
      <c r="E191" s="118" t="str">
        <f ca="1">OFFSET(ORÇAMENTO!O$15,ROW(E191)-ROW(E$15),0)</f>
        <v>-</v>
      </c>
      <c r="F191" s="164" t="str">
        <f ca="1">OFFSET(ORÇAMENTO!R$15,ROW(F191)-ROW(F$15),0)</f>
        <v>(abra o arquivo 'Referência 09-2025.xlsm)</v>
      </c>
      <c r="G191" s="165" t="str">
        <f ca="1">IF($D191&lt;&gt;"Serviço","",OFFSET(ORÇAMENTO!S$15,ROW(G191)-ROW(G$15),0))</f>
        <v>-</v>
      </c>
      <c r="H191" s="123">
        <f ca="1">IF($D191&lt;&gt;"Serviço",0,IF(ACOMPANHAMENTO="BM",ROUND(OFFSET(ORÇAMENTO!AJ$15,ROW(H191)-ROW(H$15),0),15-13*ORÇAMENTO!$AF$7),SUMPRODUCT(($Q$1:$AA$1=1)*ROUND($Q191:$AA191,15-13*ORÇAMENTO!$AF$7))))</f>
        <v>10.3</v>
      </c>
      <c r="I191" s="469" t="s">
        <v>1110</v>
      </c>
      <c r="J191" s="667" t="str">
        <f ca="1">IF(OR(B191&lt;&gt;"S",CÁLCULO.FrentesPreenchidas=0),"",IF(AND(ACOMPANHAMENTO="PLE",AUTOEVENTO="Manual",OR(H191&gt;0,ORÇAMENTO!AC191="QUANT."),OR(K191="",M191=0,N191="")),"►",IF(AND(ACOMPANHAMENTO="PLE",ORÇAMENTO!AC191="QUANT."),"►►",IF(AND(COUNTIF($P$11:$AA$11,"▼")=0,H191&gt;0,I191=""),"◄",""))))</f>
        <v/>
      </c>
      <c r="K191" s="668"/>
      <c r="L191" s="166" t="s">
        <v>765</v>
      </c>
      <c r="M191" s="167">
        <f ca="1">IF($D191&lt;&gt;"Serviço","",
          IF(AUTOEVENTO="manual",$A191,
                IF(ISERROR(MATCH($A191,$A$15:OFFSET($A191,-1,0),0)),MAX($M$15:OFFSET(M191,-1,0))+1,
                      INDEX($M$15:OFFSET(M191,-1,0),MATCH($A191,$A$15:OFFSET($A191,-1,0),0)))))</f>
        <v>19</v>
      </c>
      <c r="N191" s="168" t="str">
        <f ca="1">IF($D191&lt;&gt;"Serviço","",
         IF(AUTOEVENTO="Manual",
                IF($A191=0,"&lt;-- defina o número do agrupador",
                       OFFSET(EVENTOS!$D$15,$A191-$A$15,0)),
                OFFSET($F$15,$A191,0)))</f>
        <v>PISO</v>
      </c>
      <c r="O191" s="169"/>
      <c r="Q191" s="169"/>
      <c r="R191" s="170"/>
      <c r="S191" s="170"/>
      <c r="T191" s="170"/>
      <c r="U191" s="170"/>
      <c r="V191" s="170"/>
      <c r="W191" s="170"/>
      <c r="X191" s="170"/>
      <c r="Y191" s="170"/>
      <c r="Z191" s="171"/>
      <c r="AB191" s="454">
        <f ca="1">IF(AND($D191="Serviço",AB$12&lt;&gt;0,$H191&gt;0,OR(AUTOEVENTO&lt;&gt;"manual",$M191&lt;&gt;$A$15)),
        IF(Import.TipoArredondamento&lt;&gt;"TransfereGOV",
              ROUND(OFFSET($P191,0,AB$13),15-13*ORÇAMENTO!$AF$7)/$H191*OFFSET(ORÇAMENTO!$X$15,ROW(AB191)-ROW(AB$15),0),
              ROUND(ROUND(OFFSET($P191,0,AB$13),15-13*ORÇAMENTO!$AF$7)*OFFSET(ORÇAMENTO!$W$15,ROW(AB191)-ROW(AB$15),0),15-13*ORÇAMENTO!$AF$11)),
         0)</f>
        <v>0</v>
      </c>
      <c r="AC191" s="454">
        <f ca="1">IF(AND($D191="Serviço",AC$12&lt;&gt;0,$H191&gt;0,OR(AUTOEVENTO&lt;&gt;"manual",$M191&lt;&gt;$A$15)),
        IF(Import.TipoArredondamento&lt;&gt;"TransfereGOV",
              ROUND(OFFSET($P191,0,AC$13),15-13*ORÇAMENTO!$AF$7)/$H191*OFFSET(ORÇAMENTO!$X$15,ROW(AC191)-ROW(AC$15),0),
              ROUND(ROUND(OFFSET($P191,0,AC$13),15-13*ORÇAMENTO!$AF$7)*OFFSET(ORÇAMENTO!$W$15,ROW(AC191)-ROW(AC$15),0),15-13*ORÇAMENTO!$AF$11)),
         0)</f>
        <v>0</v>
      </c>
      <c r="AD191" s="454">
        <f ca="1">IF(AND($D191="Serviço",AD$12&lt;&gt;0,$H191&gt;0,OR(AUTOEVENTO&lt;&gt;"manual",$M191&lt;&gt;$A$15)),
        IF(Import.TipoArredondamento&lt;&gt;"TransfereGOV",
              ROUND(OFFSET($P191,0,AD$13),15-13*ORÇAMENTO!$AF$7)/$H191*OFFSET(ORÇAMENTO!$X$15,ROW(AD191)-ROW(AD$15),0),
              ROUND(ROUND(OFFSET($P191,0,AD$13),15-13*ORÇAMENTO!$AF$7)*OFFSET(ORÇAMENTO!$W$15,ROW(AD191)-ROW(AD$15),0),15-13*ORÇAMENTO!$AF$11)),
         0)</f>
        <v>0</v>
      </c>
      <c r="AE191" s="454">
        <f ca="1">IF(AND($D191="Serviço",AE$12&lt;&gt;0,$H191&gt;0,OR(AUTOEVENTO&lt;&gt;"manual",$M191&lt;&gt;$A$15)),
        IF(Import.TipoArredondamento&lt;&gt;"TransfereGOV",
              ROUND(OFFSET($P191,0,AE$13),15-13*ORÇAMENTO!$AF$7)/$H191*OFFSET(ORÇAMENTO!$X$15,ROW(AE191)-ROW(AE$15),0),
              ROUND(ROUND(OFFSET($P191,0,AE$13),15-13*ORÇAMENTO!$AF$7)*OFFSET(ORÇAMENTO!$W$15,ROW(AE191)-ROW(AE$15),0),15-13*ORÇAMENTO!$AF$11)),
         0)</f>
        <v>0</v>
      </c>
      <c r="AF191" s="454">
        <f ca="1">IF(AND($D191="Serviço",AF$12&lt;&gt;0,$H191&gt;0,OR(AUTOEVENTO&lt;&gt;"manual",$M191&lt;&gt;$A$15)),
        IF(Import.TipoArredondamento&lt;&gt;"TransfereGOV",
              ROUND(OFFSET($P191,0,AF$13),15-13*ORÇAMENTO!$AF$7)/$H191*OFFSET(ORÇAMENTO!$X$15,ROW(AF191)-ROW(AF$15),0),
              ROUND(ROUND(OFFSET($P191,0,AF$13),15-13*ORÇAMENTO!$AF$7)*OFFSET(ORÇAMENTO!$W$15,ROW(AF191)-ROW(AF$15),0),15-13*ORÇAMENTO!$AF$11)),
         0)</f>
        <v>0</v>
      </c>
      <c r="AG191" s="454">
        <f ca="1">IF(AND($D191="Serviço",AG$12&lt;&gt;0,$H191&gt;0,OR(AUTOEVENTO&lt;&gt;"manual",$M191&lt;&gt;$A$15)),
        IF(Import.TipoArredondamento&lt;&gt;"TransfereGOV",
              ROUND(OFFSET($P191,0,AG$13),15-13*ORÇAMENTO!$AF$7)/$H191*OFFSET(ORÇAMENTO!$X$15,ROW(AG191)-ROW(AG$15),0),
              ROUND(ROUND(OFFSET($P191,0,AG$13),15-13*ORÇAMENTO!$AF$7)*OFFSET(ORÇAMENTO!$W$15,ROW(AG191)-ROW(AG$15),0),15-13*ORÇAMENTO!$AF$11)),
         0)</f>
        <v>0</v>
      </c>
      <c r="AH191" s="454">
        <f ca="1">IF(AND($D191="Serviço",AH$12&lt;&gt;0,$H191&gt;0,OR(AUTOEVENTO&lt;&gt;"manual",$M191&lt;&gt;$A$15)),
        IF(Import.TipoArredondamento&lt;&gt;"TransfereGOV",
              ROUND(OFFSET($P191,0,AH$13),15-13*ORÇAMENTO!$AF$7)/$H191*OFFSET(ORÇAMENTO!$X$15,ROW(AH191)-ROW(AH$15),0),
              ROUND(ROUND(OFFSET($P191,0,AH$13),15-13*ORÇAMENTO!$AF$7)*OFFSET(ORÇAMENTO!$W$15,ROW(AH191)-ROW(AH$15),0),15-13*ORÇAMENTO!$AF$11)),
         0)</f>
        <v>0</v>
      </c>
      <c r="AI191" s="454">
        <f ca="1">IF(AND($D191="Serviço",AI$12&lt;&gt;0,$H191&gt;0,OR(AUTOEVENTO&lt;&gt;"manual",$M191&lt;&gt;$A$15)),
        IF(Import.TipoArredondamento&lt;&gt;"TransfereGOV",
              ROUND(OFFSET($P191,0,AI$13),15-13*ORÇAMENTO!$AF$7)/$H191*OFFSET(ORÇAMENTO!$X$15,ROW(AI191)-ROW(AI$15),0),
              ROUND(ROUND(OFFSET($P191,0,AI$13),15-13*ORÇAMENTO!$AF$7)*OFFSET(ORÇAMENTO!$W$15,ROW(AI191)-ROW(AI$15),0),15-13*ORÇAMENTO!$AF$11)),
         0)</f>
        <v>0</v>
      </c>
      <c r="AJ191" s="454">
        <f ca="1">IF(AND($D191="Serviço",AJ$12&lt;&gt;0,$H191&gt;0,OR(AUTOEVENTO&lt;&gt;"manual",$M191&lt;&gt;$A$15)),
        IF(Import.TipoArredondamento&lt;&gt;"TransfereGOV",
              ROUND(OFFSET($P191,0,AJ$13),15-13*ORÇAMENTO!$AF$7)/$H191*OFFSET(ORÇAMENTO!$X$15,ROW(AJ191)-ROW(AJ$15),0),
              ROUND(ROUND(OFFSET($P191,0,AJ$13),15-13*ORÇAMENTO!$AF$7)*OFFSET(ORÇAMENTO!$W$15,ROW(AJ191)-ROW(AJ$15),0),15-13*ORÇAMENTO!$AF$11)),
         0)</f>
        <v>0</v>
      </c>
      <c r="AK191" s="454">
        <f ca="1">IF(AND($D191="Serviço",AK$12&lt;&gt;0,$H191&gt;0,OR(AUTOEVENTO&lt;&gt;"manual",$M191&lt;&gt;$A$15)),
        IF(Import.TipoArredondamento&lt;&gt;"TransfereGOV",
              ROUND(OFFSET($P191,0,AK$13),15-13*ORÇAMENTO!$AF$7)/$H191*OFFSET(ORÇAMENTO!$X$15,ROW(AK191)-ROW(AK$15),0),
              ROUND(ROUND(OFFSET($P191,0,AK$13),15-13*ORÇAMENTO!$AF$7)*OFFSET(ORÇAMENTO!$W$15,ROW(AK191)-ROW(AK$15),0),15-13*ORÇAMENTO!$AF$11)),
         0)</f>
        <v>0</v>
      </c>
      <c r="AM191" s="172">
        <f ca="1">IF(OR($D191&lt;&gt;"Serviço",AND(AUTOEVENTO="Manual",$M191=$A$15)),0,
         IF(OFFSET(CRONOPLE!$F$15,$M191-$A$15,AM$13)=0,10^12,OFFSET(CRONOPLE!$F$15,$M191-$A$15,AM$13)))</f>
        <v>1000000000000</v>
      </c>
      <c r="AN191" s="172">
        <f ca="1">IF(OR($D191&lt;&gt;"Serviço",AND(AUTOEVENTO="Manual",$M191=$A$15)),0,
         IF(OFFSET(CRONOPLE!$F$15,$M191-$A$15,AN$13)=0,10^12,OFFSET(CRONOPLE!$F$15,$M191-$A$15,AN$13)))</f>
        <v>1000000000000</v>
      </c>
      <c r="AO191" s="172">
        <f ca="1">IF(OR($D191&lt;&gt;"Serviço",AND(AUTOEVENTO="Manual",$M191=$A$15)),0,
         IF(OFFSET(CRONOPLE!$F$15,$M191-$A$15,AO$13)=0,10^12,OFFSET(CRONOPLE!$F$15,$M191-$A$15,AO$13)))</f>
        <v>1000000000000</v>
      </c>
      <c r="AP191" s="172">
        <f ca="1">IF(OR($D191&lt;&gt;"Serviço",AND(AUTOEVENTO="Manual",$M191=$A$15)),0,
         IF(OFFSET(CRONOPLE!$F$15,$M191-$A$15,AP$13)=0,10^12,OFFSET(CRONOPLE!$F$15,$M191-$A$15,AP$13)))</f>
        <v>1000000000000</v>
      </c>
      <c r="AQ191" s="172">
        <f ca="1">IF(OR($D191&lt;&gt;"Serviço",AND(AUTOEVENTO="Manual",$M191=$A$15)),0,
         IF(OFFSET(CRONOPLE!$F$15,$M191-$A$15,AQ$13)=0,10^12,OFFSET(CRONOPLE!$F$15,$M191-$A$15,AQ$13)))</f>
        <v>1000000000000</v>
      </c>
      <c r="AR191" s="172">
        <f ca="1">IF(OR($D191&lt;&gt;"Serviço",AND(AUTOEVENTO="Manual",$M191=$A$15)),0,
         IF(OFFSET(CRONOPLE!$F$15,$M191-$A$15,AR$13)=0,10^12,OFFSET(CRONOPLE!$F$15,$M191-$A$15,AR$13)))</f>
        <v>1000000000000</v>
      </c>
      <c r="AS191" s="172">
        <f ca="1">IF(OR($D191&lt;&gt;"Serviço",AND(AUTOEVENTO="Manual",$M191=$A$15)),0,
         IF(OFFSET(CRONOPLE!$F$15,$M191-$A$15,AS$13)=0,10^12,OFFSET(CRONOPLE!$F$15,$M191-$A$15,AS$13)))</f>
        <v>1000000000000</v>
      </c>
      <c r="AT191" s="172">
        <f ca="1">IF(OR($D191&lt;&gt;"Serviço",AND(AUTOEVENTO="Manual",$M191=$A$15)),0,
         IF(OFFSET(CRONOPLE!$F$15,$M191-$A$15,AT$13)=0,10^12,OFFSET(CRONOPLE!$F$15,$M191-$A$15,AT$13)))</f>
        <v>1000000000000</v>
      </c>
      <c r="AU191" s="172">
        <f ca="1">IF(OR($D191&lt;&gt;"Serviço",AND(AUTOEVENTO="Manual",$M191=$A$15)),0,
         IF(OFFSET(CRONOPLE!$F$15,$M191-$A$15,AU$13)=0,10^12,OFFSET(CRONOPLE!$F$15,$M191-$A$15,AU$13)))</f>
        <v>1000000000000</v>
      </c>
      <c r="AV191" s="172">
        <f ca="1">IF(OR($D191&lt;&gt;"Serviço",AND(AUTOEVENTO="Manual",$M191=$A$15)),0,
         IF(OFFSET(CRONOPLE!$F$15,$M191-$A$15,AV$13)=0,10^12,OFFSET(CRONOPLE!$F$15,$M191-$A$15,AV$13)))</f>
        <v>1000000000000</v>
      </c>
      <c r="AX191" s="173">
        <f ca="1">IF(OR($D191&lt;&gt;"Serviço",AND(AUTOEVENTO="Manual",$M191=$A$15),$M191&gt;(ROW(PLE.lastrow)-ROW(PLE.firstrow))),0,
           IF(OFFSET(PLE!$G$15,$M191-$A$15,AX$13)="",10^12,OFFSET(PLE!$G$15,$M191-$A$15,AX$13)))</f>
        <v>1000000000000</v>
      </c>
      <c r="AY191" s="173">
        <f ca="1">IF(OR($D191&lt;&gt;"Serviço",AND(AUTOEVENTO="Manual",$M191=$A$15),$M191&gt;(ROW(PLE.lastrow)-ROW(PLE.firstrow))),0,
           IF(OFFSET(PLE!$G$15,$M191-$A$15,AY$13)="",10^12,OFFSET(PLE!$G$15,$M191-$A$15,AY$13)))</f>
        <v>1000000000000</v>
      </c>
      <c r="AZ191" s="173">
        <f ca="1">IF(OR($D191&lt;&gt;"Serviço",AND(AUTOEVENTO="Manual",$M191=$A$15),$M191&gt;(ROW(PLE.lastrow)-ROW(PLE.firstrow))),0,
           IF(OFFSET(PLE!$G$15,$M191-$A$15,AZ$13)="",10^12,OFFSET(PLE!$G$15,$M191-$A$15,AZ$13)))</f>
        <v>1000000000000</v>
      </c>
      <c r="BA191" s="173">
        <f ca="1">IF(OR($D191&lt;&gt;"Serviço",AND(AUTOEVENTO="Manual",$M191=$A$15),$M191&gt;(ROW(PLE.lastrow)-ROW(PLE.firstrow))),0,
           IF(OFFSET(PLE!$G$15,$M191-$A$15,BA$13)="",10^12,OFFSET(PLE!$G$15,$M191-$A$15,BA$13)))</f>
        <v>1000000000000</v>
      </c>
      <c r="BB191" s="173">
        <f ca="1">IF(OR($D191&lt;&gt;"Serviço",AND(AUTOEVENTO="Manual",$M191=$A$15),$M191&gt;(ROW(PLE.lastrow)-ROW(PLE.firstrow))),0,
           IF(OFFSET(PLE!$G$15,$M191-$A$15,BB$13)="",10^12,OFFSET(PLE!$G$15,$M191-$A$15,BB$13)))</f>
        <v>1000000000000</v>
      </c>
      <c r="BC191" s="173">
        <f ca="1">IF(OR($D191&lt;&gt;"Serviço",AND(AUTOEVENTO="Manual",$M191=$A$15),$M191&gt;(ROW(PLE.lastrow)-ROW(PLE.firstrow))),0,
           IF(OFFSET(PLE!$G$15,$M191-$A$15,BC$13)="",10^12,OFFSET(PLE!$G$15,$M191-$A$15,BC$13)))</f>
        <v>1000000000000</v>
      </c>
      <c r="BD191" s="173">
        <f ca="1">IF(OR($D191&lt;&gt;"Serviço",AND(AUTOEVENTO="Manual",$M191=$A$15),$M191&gt;(ROW(PLE.lastrow)-ROW(PLE.firstrow))),0,
           IF(OFFSET(PLE!$G$15,$M191-$A$15,BD$13)="",10^12,OFFSET(PLE!$G$15,$M191-$A$15,BD$13)))</f>
        <v>1000000000000</v>
      </c>
      <c r="BE191" s="173">
        <f ca="1">IF(OR($D191&lt;&gt;"Serviço",AND(AUTOEVENTO="Manual",$M191=$A$15),$M191&gt;(ROW(PLE.lastrow)-ROW(PLE.firstrow))),0,
           IF(OFFSET(PLE!$G$15,$M191-$A$15,BE$13)="",10^12,OFFSET(PLE!$G$15,$M191-$A$15,BE$13)))</f>
        <v>1000000000000</v>
      </c>
      <c r="BF191" s="173">
        <f ca="1">IF(OR($D191&lt;&gt;"Serviço",AND(AUTOEVENTO="Manual",$M191=$A$15),$M191&gt;(ROW(PLE.lastrow)-ROW(PLE.firstrow))),0,
           IF(OFFSET(PLE!$G$15,$M191-$A$15,BF$13)="",10^12,OFFSET(PLE!$G$15,$M191-$A$15,BF$13)))</f>
        <v>1000000000000</v>
      </c>
      <c r="BG191" s="173">
        <f ca="1">IF(OR($D191&lt;&gt;"Serviço",AND(AUTOEVENTO="Manual",$M191=$A$15),$M191&gt;(ROW(PLE.lastrow)-ROW(PLE.firstrow))),0,
           IF(OFFSET(PLE!$G$15,$M191-$A$15,BG$13)="",10^12,OFFSET(PLE!$G$15,$M191-$A$15,BG$13)))</f>
        <v>1000000000000</v>
      </c>
    </row>
    <row r="192" spans="1:59" s="675" customFormat="1" ht="38.25" x14ac:dyDescent="0.2">
      <c r="A192" s="671" t="str">
        <f t="shared" ca="1" si="11"/>
        <v>175</v>
      </c>
      <c r="B192" s="671" t="str">
        <f ca="1">OFFSET(ORÇAMENTO!C$15,ROW(B192)-ROW(B$15),0)</f>
        <v>S</v>
      </c>
      <c r="C192" s="671" t="str">
        <f ca="1">OFFSET(ORÇAMENTO!L$15,ROW(C192)-ROW(C$15),0)</f>
        <v/>
      </c>
      <c r="D192" s="117" t="str">
        <f ca="1">OFFSET(ORÇAMENTO!N$15,ROW(D192)-ROW(D$15),0)</f>
        <v>Serviço</v>
      </c>
      <c r="E192" s="118" t="str">
        <f ca="1">OFFSET(ORÇAMENTO!O$15,ROW(E192)-ROW(E$15),0)</f>
        <v>-</v>
      </c>
      <c r="F192" s="164" t="str">
        <f ca="1">OFFSET(ORÇAMENTO!R$15,ROW(F192)-ROW(F$15),0)</f>
        <v>(abra o arquivo 'Referência 09-2025.xlsm)</v>
      </c>
      <c r="G192" s="165" t="str">
        <f ca="1">IF($D192&lt;&gt;"Serviço","",OFFSET(ORÇAMENTO!S$15,ROW(G192)-ROW(G$15),0))</f>
        <v>-</v>
      </c>
      <c r="H192" s="123">
        <f ca="1">IF($D192&lt;&gt;"Serviço",0,IF(ACOMPANHAMENTO="BM",ROUND(OFFSET(ORÇAMENTO!AJ$15,ROW(H192)-ROW(H$15),0),15-13*ORÇAMENTO!$AF$7),SUMPRODUCT(($Q$1:$AA$1=1)*ROUND($Q192:$AA192,15-13*ORÇAMENTO!$AF$7))))</f>
        <v>0.8</v>
      </c>
      <c r="I192" s="469" t="s">
        <v>1110</v>
      </c>
      <c r="J192" s="667" t="str">
        <f ca="1">IF(OR(B192&lt;&gt;"S",CÁLCULO.FrentesPreenchidas=0),"",IF(AND(ACOMPANHAMENTO="PLE",AUTOEVENTO="Manual",OR(H192&gt;0,ORÇAMENTO!AC192="QUANT."),OR(K192="",M192=0,N192="")),"►",IF(AND(ACOMPANHAMENTO="PLE",ORÇAMENTO!AC192="QUANT."),"►►",IF(AND(COUNTIF($P$11:$AA$11,"▼")=0,H192&gt;0,I192=""),"◄",""))))</f>
        <v/>
      </c>
      <c r="K192" s="668"/>
      <c r="L192" s="166" t="s">
        <v>765</v>
      </c>
      <c r="M192" s="167">
        <f ca="1">IF($D192&lt;&gt;"Serviço","",
          IF(AUTOEVENTO="manual",$A192,
                IF(ISERROR(MATCH($A192,$A$15:OFFSET($A192,-1,0),0)),MAX($M$15:OFFSET(M192,-1,0))+1,
                      INDEX($M$15:OFFSET(M192,-1,0),MATCH($A192,$A$15:OFFSET($A192,-1,0),0)))))</f>
        <v>19</v>
      </c>
      <c r="N192" s="168" t="str">
        <f ca="1">IF($D192&lt;&gt;"Serviço","",
         IF(AUTOEVENTO="Manual",
                IF($A192=0,"&lt;-- defina o número do agrupador",
                       OFFSET(EVENTOS!$D$15,$A192-$A$15,0)),
                OFFSET($F$15,$A192,0)))</f>
        <v>PISO</v>
      </c>
      <c r="O192" s="169"/>
      <c r="Q192" s="169"/>
      <c r="R192" s="170"/>
      <c r="S192" s="170"/>
      <c r="T192" s="170"/>
      <c r="U192" s="170"/>
      <c r="V192" s="170"/>
      <c r="W192" s="170"/>
      <c r="X192" s="170"/>
      <c r="Y192" s="170"/>
      <c r="Z192" s="171"/>
      <c r="AB192" s="454">
        <f ca="1">IF(AND($D192="Serviço",AB$12&lt;&gt;0,$H192&gt;0,OR(AUTOEVENTO&lt;&gt;"manual",$M192&lt;&gt;$A$15)),
        IF(Import.TipoArredondamento&lt;&gt;"TransfereGOV",
              ROUND(OFFSET($P192,0,AB$13),15-13*ORÇAMENTO!$AF$7)/$H192*OFFSET(ORÇAMENTO!$X$15,ROW(AB192)-ROW(AB$15),0),
              ROUND(ROUND(OFFSET($P192,0,AB$13),15-13*ORÇAMENTO!$AF$7)*OFFSET(ORÇAMENTO!$W$15,ROW(AB192)-ROW(AB$15),0),15-13*ORÇAMENTO!$AF$11)),
         0)</f>
        <v>0</v>
      </c>
      <c r="AC192" s="454">
        <f ca="1">IF(AND($D192="Serviço",AC$12&lt;&gt;0,$H192&gt;0,OR(AUTOEVENTO&lt;&gt;"manual",$M192&lt;&gt;$A$15)),
        IF(Import.TipoArredondamento&lt;&gt;"TransfereGOV",
              ROUND(OFFSET($P192,0,AC$13),15-13*ORÇAMENTO!$AF$7)/$H192*OFFSET(ORÇAMENTO!$X$15,ROW(AC192)-ROW(AC$15),0),
              ROUND(ROUND(OFFSET($P192,0,AC$13),15-13*ORÇAMENTO!$AF$7)*OFFSET(ORÇAMENTO!$W$15,ROW(AC192)-ROW(AC$15),0),15-13*ORÇAMENTO!$AF$11)),
         0)</f>
        <v>0</v>
      </c>
      <c r="AD192" s="454">
        <f ca="1">IF(AND($D192="Serviço",AD$12&lt;&gt;0,$H192&gt;0,OR(AUTOEVENTO&lt;&gt;"manual",$M192&lt;&gt;$A$15)),
        IF(Import.TipoArredondamento&lt;&gt;"TransfereGOV",
              ROUND(OFFSET($P192,0,AD$13),15-13*ORÇAMENTO!$AF$7)/$H192*OFFSET(ORÇAMENTO!$X$15,ROW(AD192)-ROW(AD$15),0),
              ROUND(ROUND(OFFSET($P192,0,AD$13),15-13*ORÇAMENTO!$AF$7)*OFFSET(ORÇAMENTO!$W$15,ROW(AD192)-ROW(AD$15),0),15-13*ORÇAMENTO!$AF$11)),
         0)</f>
        <v>0</v>
      </c>
      <c r="AE192" s="454">
        <f ca="1">IF(AND($D192="Serviço",AE$12&lt;&gt;0,$H192&gt;0,OR(AUTOEVENTO&lt;&gt;"manual",$M192&lt;&gt;$A$15)),
        IF(Import.TipoArredondamento&lt;&gt;"TransfereGOV",
              ROUND(OFFSET($P192,0,AE$13),15-13*ORÇAMENTO!$AF$7)/$H192*OFFSET(ORÇAMENTO!$X$15,ROW(AE192)-ROW(AE$15),0),
              ROUND(ROUND(OFFSET($P192,0,AE$13),15-13*ORÇAMENTO!$AF$7)*OFFSET(ORÇAMENTO!$W$15,ROW(AE192)-ROW(AE$15),0),15-13*ORÇAMENTO!$AF$11)),
         0)</f>
        <v>0</v>
      </c>
      <c r="AF192" s="454">
        <f ca="1">IF(AND($D192="Serviço",AF$12&lt;&gt;0,$H192&gt;0,OR(AUTOEVENTO&lt;&gt;"manual",$M192&lt;&gt;$A$15)),
        IF(Import.TipoArredondamento&lt;&gt;"TransfereGOV",
              ROUND(OFFSET($P192,0,AF$13),15-13*ORÇAMENTO!$AF$7)/$H192*OFFSET(ORÇAMENTO!$X$15,ROW(AF192)-ROW(AF$15),0),
              ROUND(ROUND(OFFSET($P192,0,AF$13),15-13*ORÇAMENTO!$AF$7)*OFFSET(ORÇAMENTO!$W$15,ROW(AF192)-ROW(AF$15),0),15-13*ORÇAMENTO!$AF$11)),
         0)</f>
        <v>0</v>
      </c>
      <c r="AG192" s="454">
        <f ca="1">IF(AND($D192="Serviço",AG$12&lt;&gt;0,$H192&gt;0,OR(AUTOEVENTO&lt;&gt;"manual",$M192&lt;&gt;$A$15)),
        IF(Import.TipoArredondamento&lt;&gt;"TransfereGOV",
              ROUND(OFFSET($P192,0,AG$13),15-13*ORÇAMENTO!$AF$7)/$H192*OFFSET(ORÇAMENTO!$X$15,ROW(AG192)-ROW(AG$15),0),
              ROUND(ROUND(OFFSET($P192,0,AG$13),15-13*ORÇAMENTO!$AF$7)*OFFSET(ORÇAMENTO!$W$15,ROW(AG192)-ROW(AG$15),0),15-13*ORÇAMENTO!$AF$11)),
         0)</f>
        <v>0</v>
      </c>
      <c r="AH192" s="454">
        <f ca="1">IF(AND($D192="Serviço",AH$12&lt;&gt;0,$H192&gt;0,OR(AUTOEVENTO&lt;&gt;"manual",$M192&lt;&gt;$A$15)),
        IF(Import.TipoArredondamento&lt;&gt;"TransfereGOV",
              ROUND(OFFSET($P192,0,AH$13),15-13*ORÇAMENTO!$AF$7)/$H192*OFFSET(ORÇAMENTO!$X$15,ROW(AH192)-ROW(AH$15),0),
              ROUND(ROUND(OFFSET($P192,0,AH$13),15-13*ORÇAMENTO!$AF$7)*OFFSET(ORÇAMENTO!$W$15,ROW(AH192)-ROW(AH$15),0),15-13*ORÇAMENTO!$AF$11)),
         0)</f>
        <v>0</v>
      </c>
      <c r="AI192" s="454">
        <f ca="1">IF(AND($D192="Serviço",AI$12&lt;&gt;0,$H192&gt;0,OR(AUTOEVENTO&lt;&gt;"manual",$M192&lt;&gt;$A$15)),
        IF(Import.TipoArredondamento&lt;&gt;"TransfereGOV",
              ROUND(OFFSET($P192,0,AI$13),15-13*ORÇAMENTO!$AF$7)/$H192*OFFSET(ORÇAMENTO!$X$15,ROW(AI192)-ROW(AI$15),0),
              ROUND(ROUND(OFFSET($P192,0,AI$13),15-13*ORÇAMENTO!$AF$7)*OFFSET(ORÇAMENTO!$W$15,ROW(AI192)-ROW(AI$15),0),15-13*ORÇAMENTO!$AF$11)),
         0)</f>
        <v>0</v>
      </c>
      <c r="AJ192" s="454">
        <f ca="1">IF(AND($D192="Serviço",AJ$12&lt;&gt;0,$H192&gt;0,OR(AUTOEVENTO&lt;&gt;"manual",$M192&lt;&gt;$A$15)),
        IF(Import.TipoArredondamento&lt;&gt;"TransfereGOV",
              ROUND(OFFSET($P192,0,AJ$13),15-13*ORÇAMENTO!$AF$7)/$H192*OFFSET(ORÇAMENTO!$X$15,ROW(AJ192)-ROW(AJ$15),0),
              ROUND(ROUND(OFFSET($P192,0,AJ$13),15-13*ORÇAMENTO!$AF$7)*OFFSET(ORÇAMENTO!$W$15,ROW(AJ192)-ROW(AJ$15),0),15-13*ORÇAMENTO!$AF$11)),
         0)</f>
        <v>0</v>
      </c>
      <c r="AK192" s="454">
        <f ca="1">IF(AND($D192="Serviço",AK$12&lt;&gt;0,$H192&gt;0,OR(AUTOEVENTO&lt;&gt;"manual",$M192&lt;&gt;$A$15)),
        IF(Import.TipoArredondamento&lt;&gt;"TransfereGOV",
              ROUND(OFFSET($P192,0,AK$13),15-13*ORÇAMENTO!$AF$7)/$H192*OFFSET(ORÇAMENTO!$X$15,ROW(AK192)-ROW(AK$15),0),
              ROUND(ROUND(OFFSET($P192,0,AK$13),15-13*ORÇAMENTO!$AF$7)*OFFSET(ORÇAMENTO!$W$15,ROW(AK192)-ROW(AK$15),0),15-13*ORÇAMENTO!$AF$11)),
         0)</f>
        <v>0</v>
      </c>
      <c r="AM192" s="172">
        <f ca="1">IF(OR($D192&lt;&gt;"Serviço",AND(AUTOEVENTO="Manual",$M192=$A$15)),0,
         IF(OFFSET(CRONOPLE!$F$15,$M192-$A$15,AM$13)=0,10^12,OFFSET(CRONOPLE!$F$15,$M192-$A$15,AM$13)))</f>
        <v>1000000000000</v>
      </c>
      <c r="AN192" s="172">
        <f ca="1">IF(OR($D192&lt;&gt;"Serviço",AND(AUTOEVENTO="Manual",$M192=$A$15)),0,
         IF(OFFSET(CRONOPLE!$F$15,$M192-$A$15,AN$13)=0,10^12,OFFSET(CRONOPLE!$F$15,$M192-$A$15,AN$13)))</f>
        <v>1000000000000</v>
      </c>
      <c r="AO192" s="172">
        <f ca="1">IF(OR($D192&lt;&gt;"Serviço",AND(AUTOEVENTO="Manual",$M192=$A$15)),0,
         IF(OFFSET(CRONOPLE!$F$15,$M192-$A$15,AO$13)=0,10^12,OFFSET(CRONOPLE!$F$15,$M192-$A$15,AO$13)))</f>
        <v>1000000000000</v>
      </c>
      <c r="AP192" s="172">
        <f ca="1">IF(OR($D192&lt;&gt;"Serviço",AND(AUTOEVENTO="Manual",$M192=$A$15)),0,
         IF(OFFSET(CRONOPLE!$F$15,$M192-$A$15,AP$13)=0,10^12,OFFSET(CRONOPLE!$F$15,$M192-$A$15,AP$13)))</f>
        <v>1000000000000</v>
      </c>
      <c r="AQ192" s="172">
        <f ca="1">IF(OR($D192&lt;&gt;"Serviço",AND(AUTOEVENTO="Manual",$M192=$A$15)),0,
         IF(OFFSET(CRONOPLE!$F$15,$M192-$A$15,AQ$13)=0,10^12,OFFSET(CRONOPLE!$F$15,$M192-$A$15,AQ$13)))</f>
        <v>1000000000000</v>
      </c>
      <c r="AR192" s="172">
        <f ca="1">IF(OR($D192&lt;&gt;"Serviço",AND(AUTOEVENTO="Manual",$M192=$A$15)),0,
         IF(OFFSET(CRONOPLE!$F$15,$M192-$A$15,AR$13)=0,10^12,OFFSET(CRONOPLE!$F$15,$M192-$A$15,AR$13)))</f>
        <v>1000000000000</v>
      </c>
      <c r="AS192" s="172">
        <f ca="1">IF(OR($D192&lt;&gt;"Serviço",AND(AUTOEVENTO="Manual",$M192=$A$15)),0,
         IF(OFFSET(CRONOPLE!$F$15,$M192-$A$15,AS$13)=0,10^12,OFFSET(CRONOPLE!$F$15,$M192-$A$15,AS$13)))</f>
        <v>1000000000000</v>
      </c>
      <c r="AT192" s="172">
        <f ca="1">IF(OR($D192&lt;&gt;"Serviço",AND(AUTOEVENTO="Manual",$M192=$A$15)),0,
         IF(OFFSET(CRONOPLE!$F$15,$M192-$A$15,AT$13)=0,10^12,OFFSET(CRONOPLE!$F$15,$M192-$A$15,AT$13)))</f>
        <v>1000000000000</v>
      </c>
      <c r="AU192" s="172">
        <f ca="1">IF(OR($D192&lt;&gt;"Serviço",AND(AUTOEVENTO="Manual",$M192=$A$15)),0,
         IF(OFFSET(CRONOPLE!$F$15,$M192-$A$15,AU$13)=0,10^12,OFFSET(CRONOPLE!$F$15,$M192-$A$15,AU$13)))</f>
        <v>1000000000000</v>
      </c>
      <c r="AV192" s="172">
        <f ca="1">IF(OR($D192&lt;&gt;"Serviço",AND(AUTOEVENTO="Manual",$M192=$A$15)),0,
         IF(OFFSET(CRONOPLE!$F$15,$M192-$A$15,AV$13)=0,10^12,OFFSET(CRONOPLE!$F$15,$M192-$A$15,AV$13)))</f>
        <v>1000000000000</v>
      </c>
      <c r="AX192" s="173">
        <f ca="1">IF(OR($D192&lt;&gt;"Serviço",AND(AUTOEVENTO="Manual",$M192=$A$15),$M192&gt;(ROW(PLE.lastrow)-ROW(PLE.firstrow))),0,
           IF(OFFSET(PLE!$G$15,$M192-$A$15,AX$13)="",10^12,OFFSET(PLE!$G$15,$M192-$A$15,AX$13)))</f>
        <v>1000000000000</v>
      </c>
      <c r="AY192" s="173">
        <f ca="1">IF(OR($D192&lt;&gt;"Serviço",AND(AUTOEVENTO="Manual",$M192=$A$15),$M192&gt;(ROW(PLE.lastrow)-ROW(PLE.firstrow))),0,
           IF(OFFSET(PLE!$G$15,$M192-$A$15,AY$13)="",10^12,OFFSET(PLE!$G$15,$M192-$A$15,AY$13)))</f>
        <v>1000000000000</v>
      </c>
      <c r="AZ192" s="173">
        <f ca="1">IF(OR($D192&lt;&gt;"Serviço",AND(AUTOEVENTO="Manual",$M192=$A$15),$M192&gt;(ROW(PLE.lastrow)-ROW(PLE.firstrow))),0,
           IF(OFFSET(PLE!$G$15,$M192-$A$15,AZ$13)="",10^12,OFFSET(PLE!$G$15,$M192-$A$15,AZ$13)))</f>
        <v>1000000000000</v>
      </c>
      <c r="BA192" s="173">
        <f ca="1">IF(OR($D192&lt;&gt;"Serviço",AND(AUTOEVENTO="Manual",$M192=$A$15),$M192&gt;(ROW(PLE.lastrow)-ROW(PLE.firstrow))),0,
           IF(OFFSET(PLE!$G$15,$M192-$A$15,BA$13)="",10^12,OFFSET(PLE!$G$15,$M192-$A$15,BA$13)))</f>
        <v>1000000000000</v>
      </c>
      <c r="BB192" s="173">
        <f ca="1">IF(OR($D192&lt;&gt;"Serviço",AND(AUTOEVENTO="Manual",$M192=$A$15),$M192&gt;(ROW(PLE.lastrow)-ROW(PLE.firstrow))),0,
           IF(OFFSET(PLE!$G$15,$M192-$A$15,BB$13)="",10^12,OFFSET(PLE!$G$15,$M192-$A$15,BB$13)))</f>
        <v>1000000000000</v>
      </c>
      <c r="BC192" s="173">
        <f ca="1">IF(OR($D192&lt;&gt;"Serviço",AND(AUTOEVENTO="Manual",$M192=$A$15),$M192&gt;(ROW(PLE.lastrow)-ROW(PLE.firstrow))),0,
           IF(OFFSET(PLE!$G$15,$M192-$A$15,BC$13)="",10^12,OFFSET(PLE!$G$15,$M192-$A$15,BC$13)))</f>
        <v>1000000000000</v>
      </c>
      <c r="BD192" s="173">
        <f ca="1">IF(OR($D192&lt;&gt;"Serviço",AND(AUTOEVENTO="Manual",$M192=$A$15),$M192&gt;(ROW(PLE.lastrow)-ROW(PLE.firstrow))),0,
           IF(OFFSET(PLE!$G$15,$M192-$A$15,BD$13)="",10^12,OFFSET(PLE!$G$15,$M192-$A$15,BD$13)))</f>
        <v>1000000000000</v>
      </c>
      <c r="BE192" s="173">
        <f ca="1">IF(OR($D192&lt;&gt;"Serviço",AND(AUTOEVENTO="Manual",$M192=$A$15),$M192&gt;(ROW(PLE.lastrow)-ROW(PLE.firstrow))),0,
           IF(OFFSET(PLE!$G$15,$M192-$A$15,BE$13)="",10^12,OFFSET(PLE!$G$15,$M192-$A$15,BE$13)))</f>
        <v>1000000000000</v>
      </c>
      <c r="BF192" s="173">
        <f ca="1">IF(OR($D192&lt;&gt;"Serviço",AND(AUTOEVENTO="Manual",$M192=$A$15),$M192&gt;(ROW(PLE.lastrow)-ROW(PLE.firstrow))),0,
           IF(OFFSET(PLE!$G$15,$M192-$A$15,BF$13)="",10^12,OFFSET(PLE!$G$15,$M192-$A$15,BF$13)))</f>
        <v>1000000000000</v>
      </c>
      <c r="BG192" s="173">
        <f ca="1">IF(OR($D192&lt;&gt;"Serviço",AND(AUTOEVENTO="Manual",$M192=$A$15),$M192&gt;(ROW(PLE.lastrow)-ROW(PLE.firstrow))),0,
           IF(OFFSET(PLE!$G$15,$M192-$A$15,BG$13)="",10^12,OFFSET(PLE!$G$15,$M192-$A$15,BG$13)))</f>
        <v>1000000000000</v>
      </c>
    </row>
    <row r="193" spans="1:59" s="675" customFormat="1" ht="38.25" x14ac:dyDescent="0.2">
      <c r="A193" s="671" t="str">
        <f t="shared" ca="1" si="11"/>
        <v>175</v>
      </c>
      <c r="B193" s="671" t="str">
        <f ca="1">OFFSET(ORÇAMENTO!C$15,ROW(B193)-ROW(B$15),0)</f>
        <v>S</v>
      </c>
      <c r="C193" s="671" t="str">
        <f ca="1">OFFSET(ORÇAMENTO!L$15,ROW(C193)-ROW(C$15),0)</f>
        <v/>
      </c>
      <c r="D193" s="117" t="str">
        <f ca="1">OFFSET(ORÇAMENTO!N$15,ROW(D193)-ROW(D$15),0)</f>
        <v>Serviço</v>
      </c>
      <c r="E193" s="118" t="str">
        <f ca="1">OFFSET(ORÇAMENTO!O$15,ROW(E193)-ROW(E$15),0)</f>
        <v>-</v>
      </c>
      <c r="F193" s="164" t="str">
        <f ca="1">OFFSET(ORÇAMENTO!R$15,ROW(F193)-ROW(F$15),0)</f>
        <v>(abra o arquivo 'Referência 09-2025.xlsm)</v>
      </c>
      <c r="G193" s="165" t="str">
        <f ca="1">IF($D193&lt;&gt;"Serviço","",OFFSET(ORÇAMENTO!S$15,ROW(G193)-ROW(G$15),0))</f>
        <v>-</v>
      </c>
      <c r="H193" s="123">
        <f ca="1">IF($D193&lt;&gt;"Serviço",0,IF(ACOMPANHAMENTO="BM",ROUND(OFFSET(ORÇAMENTO!AJ$15,ROW(H193)-ROW(H$15),0),15-13*ORÇAMENTO!$AF$7),SUMPRODUCT(($Q$1:$AA$1=1)*ROUND($Q193:$AA193,15-13*ORÇAMENTO!$AF$7))))</f>
        <v>320.52999999999997</v>
      </c>
      <c r="I193" s="469" t="s">
        <v>1110</v>
      </c>
      <c r="J193" s="667" t="str">
        <f ca="1">IF(OR(B193&lt;&gt;"S",CÁLCULO.FrentesPreenchidas=0),"",IF(AND(ACOMPANHAMENTO="PLE",AUTOEVENTO="Manual",OR(H193&gt;0,ORÇAMENTO!AC193="QUANT."),OR(K193="",M193=0,N193="")),"►",IF(AND(ACOMPANHAMENTO="PLE",ORÇAMENTO!AC193="QUANT."),"►►",IF(AND(COUNTIF($P$11:$AA$11,"▼")=0,H193&gt;0,I193=""),"◄",""))))</f>
        <v/>
      </c>
      <c r="K193" s="668"/>
      <c r="L193" s="166" t="s">
        <v>765</v>
      </c>
      <c r="M193" s="167">
        <f ca="1">IF($D193&lt;&gt;"Serviço","",
          IF(AUTOEVENTO="manual",$A193,
                IF(ISERROR(MATCH($A193,$A$15:OFFSET($A193,-1,0),0)),MAX($M$15:OFFSET(M193,-1,0))+1,
                      INDEX($M$15:OFFSET(M193,-1,0),MATCH($A193,$A$15:OFFSET($A193,-1,0),0)))))</f>
        <v>19</v>
      </c>
      <c r="N193" s="168" t="str">
        <f ca="1">IF($D193&lt;&gt;"Serviço","",
         IF(AUTOEVENTO="Manual",
                IF($A193=0,"&lt;-- defina o número do agrupador",
                       OFFSET(EVENTOS!$D$15,$A193-$A$15,0)),
                OFFSET($F$15,$A193,0)))</f>
        <v>PISO</v>
      </c>
      <c r="O193" s="169"/>
      <c r="Q193" s="169"/>
      <c r="R193" s="170"/>
      <c r="S193" s="170"/>
      <c r="T193" s="170"/>
      <c r="U193" s="170"/>
      <c r="V193" s="170"/>
      <c r="W193" s="170"/>
      <c r="X193" s="170"/>
      <c r="Y193" s="170"/>
      <c r="Z193" s="171"/>
      <c r="AB193" s="454">
        <f ca="1">IF(AND($D193="Serviço",AB$12&lt;&gt;0,$H193&gt;0,OR(AUTOEVENTO&lt;&gt;"manual",$M193&lt;&gt;$A$15)),
        IF(Import.TipoArredondamento&lt;&gt;"TransfereGOV",
              ROUND(OFFSET($P193,0,AB$13),15-13*ORÇAMENTO!$AF$7)/$H193*OFFSET(ORÇAMENTO!$X$15,ROW(AB193)-ROW(AB$15),0),
              ROUND(ROUND(OFFSET($P193,0,AB$13),15-13*ORÇAMENTO!$AF$7)*OFFSET(ORÇAMENTO!$W$15,ROW(AB193)-ROW(AB$15),0),15-13*ORÇAMENTO!$AF$11)),
         0)</f>
        <v>0</v>
      </c>
      <c r="AC193" s="454">
        <f ca="1">IF(AND($D193="Serviço",AC$12&lt;&gt;0,$H193&gt;0,OR(AUTOEVENTO&lt;&gt;"manual",$M193&lt;&gt;$A$15)),
        IF(Import.TipoArredondamento&lt;&gt;"TransfereGOV",
              ROUND(OFFSET($P193,0,AC$13),15-13*ORÇAMENTO!$AF$7)/$H193*OFFSET(ORÇAMENTO!$X$15,ROW(AC193)-ROW(AC$15),0),
              ROUND(ROUND(OFFSET($P193,0,AC$13),15-13*ORÇAMENTO!$AF$7)*OFFSET(ORÇAMENTO!$W$15,ROW(AC193)-ROW(AC$15),0),15-13*ORÇAMENTO!$AF$11)),
         0)</f>
        <v>0</v>
      </c>
      <c r="AD193" s="454">
        <f ca="1">IF(AND($D193="Serviço",AD$12&lt;&gt;0,$H193&gt;0,OR(AUTOEVENTO&lt;&gt;"manual",$M193&lt;&gt;$A$15)),
        IF(Import.TipoArredondamento&lt;&gt;"TransfereGOV",
              ROUND(OFFSET($P193,0,AD$13),15-13*ORÇAMENTO!$AF$7)/$H193*OFFSET(ORÇAMENTO!$X$15,ROW(AD193)-ROW(AD$15),0),
              ROUND(ROUND(OFFSET($P193,0,AD$13),15-13*ORÇAMENTO!$AF$7)*OFFSET(ORÇAMENTO!$W$15,ROW(AD193)-ROW(AD$15),0),15-13*ORÇAMENTO!$AF$11)),
         0)</f>
        <v>0</v>
      </c>
      <c r="AE193" s="454">
        <f ca="1">IF(AND($D193="Serviço",AE$12&lt;&gt;0,$H193&gt;0,OR(AUTOEVENTO&lt;&gt;"manual",$M193&lt;&gt;$A$15)),
        IF(Import.TipoArredondamento&lt;&gt;"TransfereGOV",
              ROUND(OFFSET($P193,0,AE$13),15-13*ORÇAMENTO!$AF$7)/$H193*OFFSET(ORÇAMENTO!$X$15,ROW(AE193)-ROW(AE$15),0),
              ROUND(ROUND(OFFSET($P193,0,AE$13),15-13*ORÇAMENTO!$AF$7)*OFFSET(ORÇAMENTO!$W$15,ROW(AE193)-ROW(AE$15),0),15-13*ORÇAMENTO!$AF$11)),
         0)</f>
        <v>0</v>
      </c>
      <c r="AF193" s="454">
        <f ca="1">IF(AND($D193="Serviço",AF$12&lt;&gt;0,$H193&gt;0,OR(AUTOEVENTO&lt;&gt;"manual",$M193&lt;&gt;$A$15)),
        IF(Import.TipoArredondamento&lt;&gt;"TransfereGOV",
              ROUND(OFFSET($P193,0,AF$13),15-13*ORÇAMENTO!$AF$7)/$H193*OFFSET(ORÇAMENTO!$X$15,ROW(AF193)-ROW(AF$15),0),
              ROUND(ROUND(OFFSET($P193,0,AF$13),15-13*ORÇAMENTO!$AF$7)*OFFSET(ORÇAMENTO!$W$15,ROW(AF193)-ROW(AF$15),0),15-13*ORÇAMENTO!$AF$11)),
         0)</f>
        <v>0</v>
      </c>
      <c r="AG193" s="454">
        <f ca="1">IF(AND($D193="Serviço",AG$12&lt;&gt;0,$H193&gt;0,OR(AUTOEVENTO&lt;&gt;"manual",$M193&lt;&gt;$A$15)),
        IF(Import.TipoArredondamento&lt;&gt;"TransfereGOV",
              ROUND(OFFSET($P193,0,AG$13),15-13*ORÇAMENTO!$AF$7)/$H193*OFFSET(ORÇAMENTO!$X$15,ROW(AG193)-ROW(AG$15),0),
              ROUND(ROUND(OFFSET($P193,0,AG$13),15-13*ORÇAMENTO!$AF$7)*OFFSET(ORÇAMENTO!$W$15,ROW(AG193)-ROW(AG$15),0),15-13*ORÇAMENTO!$AF$11)),
         0)</f>
        <v>0</v>
      </c>
      <c r="AH193" s="454">
        <f ca="1">IF(AND($D193="Serviço",AH$12&lt;&gt;0,$H193&gt;0,OR(AUTOEVENTO&lt;&gt;"manual",$M193&lt;&gt;$A$15)),
        IF(Import.TipoArredondamento&lt;&gt;"TransfereGOV",
              ROUND(OFFSET($P193,0,AH$13),15-13*ORÇAMENTO!$AF$7)/$H193*OFFSET(ORÇAMENTO!$X$15,ROW(AH193)-ROW(AH$15),0),
              ROUND(ROUND(OFFSET($P193,0,AH$13),15-13*ORÇAMENTO!$AF$7)*OFFSET(ORÇAMENTO!$W$15,ROW(AH193)-ROW(AH$15),0),15-13*ORÇAMENTO!$AF$11)),
         0)</f>
        <v>0</v>
      </c>
      <c r="AI193" s="454">
        <f ca="1">IF(AND($D193="Serviço",AI$12&lt;&gt;0,$H193&gt;0,OR(AUTOEVENTO&lt;&gt;"manual",$M193&lt;&gt;$A$15)),
        IF(Import.TipoArredondamento&lt;&gt;"TransfereGOV",
              ROUND(OFFSET($P193,0,AI$13),15-13*ORÇAMENTO!$AF$7)/$H193*OFFSET(ORÇAMENTO!$X$15,ROW(AI193)-ROW(AI$15),0),
              ROUND(ROUND(OFFSET($P193,0,AI$13),15-13*ORÇAMENTO!$AF$7)*OFFSET(ORÇAMENTO!$W$15,ROW(AI193)-ROW(AI$15),0),15-13*ORÇAMENTO!$AF$11)),
         0)</f>
        <v>0</v>
      </c>
      <c r="AJ193" s="454">
        <f ca="1">IF(AND($D193="Serviço",AJ$12&lt;&gt;0,$H193&gt;0,OR(AUTOEVENTO&lt;&gt;"manual",$M193&lt;&gt;$A$15)),
        IF(Import.TipoArredondamento&lt;&gt;"TransfereGOV",
              ROUND(OFFSET($P193,0,AJ$13),15-13*ORÇAMENTO!$AF$7)/$H193*OFFSET(ORÇAMENTO!$X$15,ROW(AJ193)-ROW(AJ$15),0),
              ROUND(ROUND(OFFSET($P193,0,AJ$13),15-13*ORÇAMENTO!$AF$7)*OFFSET(ORÇAMENTO!$W$15,ROW(AJ193)-ROW(AJ$15),0),15-13*ORÇAMENTO!$AF$11)),
         0)</f>
        <v>0</v>
      </c>
      <c r="AK193" s="454">
        <f ca="1">IF(AND($D193="Serviço",AK$12&lt;&gt;0,$H193&gt;0,OR(AUTOEVENTO&lt;&gt;"manual",$M193&lt;&gt;$A$15)),
        IF(Import.TipoArredondamento&lt;&gt;"TransfereGOV",
              ROUND(OFFSET($P193,0,AK$13),15-13*ORÇAMENTO!$AF$7)/$H193*OFFSET(ORÇAMENTO!$X$15,ROW(AK193)-ROW(AK$15),0),
              ROUND(ROUND(OFFSET($P193,0,AK$13),15-13*ORÇAMENTO!$AF$7)*OFFSET(ORÇAMENTO!$W$15,ROW(AK193)-ROW(AK$15),0),15-13*ORÇAMENTO!$AF$11)),
         0)</f>
        <v>0</v>
      </c>
      <c r="AM193" s="172">
        <f ca="1">IF(OR($D193&lt;&gt;"Serviço",AND(AUTOEVENTO="Manual",$M193=$A$15)),0,
         IF(OFFSET(CRONOPLE!$F$15,$M193-$A$15,AM$13)=0,10^12,OFFSET(CRONOPLE!$F$15,$M193-$A$15,AM$13)))</f>
        <v>1000000000000</v>
      </c>
      <c r="AN193" s="172">
        <f ca="1">IF(OR($D193&lt;&gt;"Serviço",AND(AUTOEVENTO="Manual",$M193=$A$15)),0,
         IF(OFFSET(CRONOPLE!$F$15,$M193-$A$15,AN$13)=0,10^12,OFFSET(CRONOPLE!$F$15,$M193-$A$15,AN$13)))</f>
        <v>1000000000000</v>
      </c>
      <c r="AO193" s="172">
        <f ca="1">IF(OR($D193&lt;&gt;"Serviço",AND(AUTOEVENTO="Manual",$M193=$A$15)),0,
         IF(OFFSET(CRONOPLE!$F$15,$M193-$A$15,AO$13)=0,10^12,OFFSET(CRONOPLE!$F$15,$M193-$A$15,AO$13)))</f>
        <v>1000000000000</v>
      </c>
      <c r="AP193" s="172">
        <f ca="1">IF(OR($D193&lt;&gt;"Serviço",AND(AUTOEVENTO="Manual",$M193=$A$15)),0,
         IF(OFFSET(CRONOPLE!$F$15,$M193-$A$15,AP$13)=0,10^12,OFFSET(CRONOPLE!$F$15,$M193-$A$15,AP$13)))</f>
        <v>1000000000000</v>
      </c>
      <c r="AQ193" s="172">
        <f ca="1">IF(OR($D193&lt;&gt;"Serviço",AND(AUTOEVENTO="Manual",$M193=$A$15)),0,
         IF(OFFSET(CRONOPLE!$F$15,$M193-$A$15,AQ$13)=0,10^12,OFFSET(CRONOPLE!$F$15,$M193-$A$15,AQ$13)))</f>
        <v>1000000000000</v>
      </c>
      <c r="AR193" s="172">
        <f ca="1">IF(OR($D193&lt;&gt;"Serviço",AND(AUTOEVENTO="Manual",$M193=$A$15)),0,
         IF(OFFSET(CRONOPLE!$F$15,$M193-$A$15,AR$13)=0,10^12,OFFSET(CRONOPLE!$F$15,$M193-$A$15,AR$13)))</f>
        <v>1000000000000</v>
      </c>
      <c r="AS193" s="172">
        <f ca="1">IF(OR($D193&lt;&gt;"Serviço",AND(AUTOEVENTO="Manual",$M193=$A$15)),0,
         IF(OFFSET(CRONOPLE!$F$15,$M193-$A$15,AS$13)=0,10^12,OFFSET(CRONOPLE!$F$15,$M193-$A$15,AS$13)))</f>
        <v>1000000000000</v>
      </c>
      <c r="AT193" s="172">
        <f ca="1">IF(OR($D193&lt;&gt;"Serviço",AND(AUTOEVENTO="Manual",$M193=$A$15)),0,
         IF(OFFSET(CRONOPLE!$F$15,$M193-$A$15,AT$13)=0,10^12,OFFSET(CRONOPLE!$F$15,$M193-$A$15,AT$13)))</f>
        <v>1000000000000</v>
      </c>
      <c r="AU193" s="172">
        <f ca="1">IF(OR($D193&lt;&gt;"Serviço",AND(AUTOEVENTO="Manual",$M193=$A$15)),0,
         IF(OFFSET(CRONOPLE!$F$15,$M193-$A$15,AU$13)=0,10^12,OFFSET(CRONOPLE!$F$15,$M193-$A$15,AU$13)))</f>
        <v>1000000000000</v>
      </c>
      <c r="AV193" s="172">
        <f ca="1">IF(OR($D193&lt;&gt;"Serviço",AND(AUTOEVENTO="Manual",$M193=$A$15)),0,
         IF(OFFSET(CRONOPLE!$F$15,$M193-$A$15,AV$13)=0,10^12,OFFSET(CRONOPLE!$F$15,$M193-$A$15,AV$13)))</f>
        <v>1000000000000</v>
      </c>
      <c r="AX193" s="173">
        <f ca="1">IF(OR($D193&lt;&gt;"Serviço",AND(AUTOEVENTO="Manual",$M193=$A$15),$M193&gt;(ROW(PLE.lastrow)-ROW(PLE.firstrow))),0,
           IF(OFFSET(PLE!$G$15,$M193-$A$15,AX$13)="",10^12,OFFSET(PLE!$G$15,$M193-$A$15,AX$13)))</f>
        <v>1000000000000</v>
      </c>
      <c r="AY193" s="173">
        <f ca="1">IF(OR($D193&lt;&gt;"Serviço",AND(AUTOEVENTO="Manual",$M193=$A$15),$M193&gt;(ROW(PLE.lastrow)-ROW(PLE.firstrow))),0,
           IF(OFFSET(PLE!$G$15,$M193-$A$15,AY$13)="",10^12,OFFSET(PLE!$G$15,$M193-$A$15,AY$13)))</f>
        <v>1000000000000</v>
      </c>
      <c r="AZ193" s="173">
        <f ca="1">IF(OR($D193&lt;&gt;"Serviço",AND(AUTOEVENTO="Manual",$M193=$A$15),$M193&gt;(ROW(PLE.lastrow)-ROW(PLE.firstrow))),0,
           IF(OFFSET(PLE!$G$15,$M193-$A$15,AZ$13)="",10^12,OFFSET(PLE!$G$15,$M193-$A$15,AZ$13)))</f>
        <v>1000000000000</v>
      </c>
      <c r="BA193" s="173">
        <f ca="1">IF(OR($D193&lt;&gt;"Serviço",AND(AUTOEVENTO="Manual",$M193=$A$15),$M193&gt;(ROW(PLE.lastrow)-ROW(PLE.firstrow))),0,
           IF(OFFSET(PLE!$G$15,$M193-$A$15,BA$13)="",10^12,OFFSET(PLE!$G$15,$M193-$A$15,BA$13)))</f>
        <v>1000000000000</v>
      </c>
      <c r="BB193" s="173">
        <f ca="1">IF(OR($D193&lt;&gt;"Serviço",AND(AUTOEVENTO="Manual",$M193=$A$15),$M193&gt;(ROW(PLE.lastrow)-ROW(PLE.firstrow))),0,
           IF(OFFSET(PLE!$G$15,$M193-$A$15,BB$13)="",10^12,OFFSET(PLE!$G$15,$M193-$A$15,BB$13)))</f>
        <v>1000000000000</v>
      </c>
      <c r="BC193" s="173">
        <f ca="1">IF(OR($D193&lt;&gt;"Serviço",AND(AUTOEVENTO="Manual",$M193=$A$15),$M193&gt;(ROW(PLE.lastrow)-ROW(PLE.firstrow))),0,
           IF(OFFSET(PLE!$G$15,$M193-$A$15,BC$13)="",10^12,OFFSET(PLE!$G$15,$M193-$A$15,BC$13)))</f>
        <v>1000000000000</v>
      </c>
      <c r="BD193" s="173">
        <f ca="1">IF(OR($D193&lt;&gt;"Serviço",AND(AUTOEVENTO="Manual",$M193=$A$15),$M193&gt;(ROW(PLE.lastrow)-ROW(PLE.firstrow))),0,
           IF(OFFSET(PLE!$G$15,$M193-$A$15,BD$13)="",10^12,OFFSET(PLE!$G$15,$M193-$A$15,BD$13)))</f>
        <v>1000000000000</v>
      </c>
      <c r="BE193" s="173">
        <f ca="1">IF(OR($D193&lt;&gt;"Serviço",AND(AUTOEVENTO="Manual",$M193=$A$15),$M193&gt;(ROW(PLE.lastrow)-ROW(PLE.firstrow))),0,
           IF(OFFSET(PLE!$G$15,$M193-$A$15,BE$13)="",10^12,OFFSET(PLE!$G$15,$M193-$A$15,BE$13)))</f>
        <v>1000000000000</v>
      </c>
      <c r="BF193" s="173">
        <f ca="1">IF(OR($D193&lt;&gt;"Serviço",AND(AUTOEVENTO="Manual",$M193=$A$15),$M193&gt;(ROW(PLE.lastrow)-ROW(PLE.firstrow))),0,
           IF(OFFSET(PLE!$G$15,$M193-$A$15,BF$13)="",10^12,OFFSET(PLE!$G$15,$M193-$A$15,BF$13)))</f>
        <v>1000000000000</v>
      </c>
      <c r="BG193" s="173">
        <f ca="1">IF(OR($D193&lt;&gt;"Serviço",AND(AUTOEVENTO="Manual",$M193=$A$15),$M193&gt;(ROW(PLE.lastrow)-ROW(PLE.firstrow))),0,
           IF(OFFSET(PLE!$G$15,$M193-$A$15,BG$13)="",10^12,OFFSET(PLE!$G$15,$M193-$A$15,BG$13)))</f>
        <v>1000000000000</v>
      </c>
    </row>
    <row r="194" spans="1:59" s="675" customFormat="1" ht="38.25" x14ac:dyDescent="0.2">
      <c r="A194" s="671" t="str">
        <f t="shared" ca="1" si="11"/>
        <v>175</v>
      </c>
      <c r="B194" s="671" t="str">
        <f ca="1">OFFSET(ORÇAMENTO!C$15,ROW(B194)-ROW(B$15),0)</f>
        <v>S</v>
      </c>
      <c r="C194" s="671" t="str">
        <f ca="1">OFFSET(ORÇAMENTO!L$15,ROW(C194)-ROW(C$15),0)</f>
        <v/>
      </c>
      <c r="D194" s="117" t="str">
        <f ca="1">OFFSET(ORÇAMENTO!N$15,ROW(D194)-ROW(D$15),0)</f>
        <v>Serviço</v>
      </c>
      <c r="E194" s="118" t="str">
        <f ca="1">OFFSET(ORÇAMENTO!O$15,ROW(E194)-ROW(E$15),0)</f>
        <v>-</v>
      </c>
      <c r="F194" s="164" t="str">
        <f ca="1">OFFSET(ORÇAMENTO!R$15,ROW(F194)-ROW(F$15),0)</f>
        <v>(abra o arquivo 'Referência 09-2025.xlsm)</v>
      </c>
      <c r="G194" s="165" t="str">
        <f ca="1">IF($D194&lt;&gt;"Serviço","",OFFSET(ORÇAMENTO!S$15,ROW(G194)-ROW(G$15),0))</f>
        <v>-</v>
      </c>
      <c r="H194" s="123">
        <f ca="1">IF($D194&lt;&gt;"Serviço",0,IF(ACOMPANHAMENTO="BM",ROUND(OFFSET(ORÇAMENTO!AJ$15,ROW(H194)-ROW(H$15),0),15-13*ORÇAMENTO!$AF$7),SUMPRODUCT(($Q$1:$AA$1=1)*ROUND($Q194:$AA194,15-13*ORÇAMENTO!$AF$7))))</f>
        <v>3</v>
      </c>
      <c r="I194" s="469" t="s">
        <v>1110</v>
      </c>
      <c r="J194" s="667" t="str">
        <f ca="1">IF(OR(B194&lt;&gt;"S",CÁLCULO.FrentesPreenchidas=0),"",IF(AND(ACOMPANHAMENTO="PLE",AUTOEVENTO="Manual",OR(H194&gt;0,ORÇAMENTO!AC194="QUANT."),OR(K194="",M194=0,N194="")),"►",IF(AND(ACOMPANHAMENTO="PLE",ORÇAMENTO!AC194="QUANT."),"►►",IF(AND(COUNTIF($P$11:$AA$11,"▼")=0,H194&gt;0,I194=""),"◄",""))))</f>
        <v/>
      </c>
      <c r="K194" s="668"/>
      <c r="L194" s="166" t="s">
        <v>765</v>
      </c>
      <c r="M194" s="167">
        <f ca="1">IF($D194&lt;&gt;"Serviço","",
          IF(AUTOEVENTO="manual",$A194,
                IF(ISERROR(MATCH($A194,$A$15:OFFSET($A194,-1,0),0)),MAX($M$15:OFFSET(M194,-1,0))+1,
                      INDEX($M$15:OFFSET(M194,-1,0),MATCH($A194,$A$15:OFFSET($A194,-1,0),0)))))</f>
        <v>19</v>
      </c>
      <c r="N194" s="168" t="str">
        <f ca="1">IF($D194&lt;&gt;"Serviço","",
         IF(AUTOEVENTO="Manual",
                IF($A194=0,"&lt;-- defina o número do agrupador",
                       OFFSET(EVENTOS!$D$15,$A194-$A$15,0)),
                OFFSET($F$15,$A194,0)))</f>
        <v>PISO</v>
      </c>
      <c r="O194" s="169"/>
      <c r="Q194" s="169"/>
      <c r="R194" s="170"/>
      <c r="S194" s="170"/>
      <c r="T194" s="170"/>
      <c r="U194" s="170"/>
      <c r="V194" s="170"/>
      <c r="W194" s="170"/>
      <c r="X194" s="170"/>
      <c r="Y194" s="170"/>
      <c r="Z194" s="171"/>
      <c r="AB194" s="454">
        <f ca="1">IF(AND($D194="Serviço",AB$12&lt;&gt;0,$H194&gt;0,OR(AUTOEVENTO&lt;&gt;"manual",$M194&lt;&gt;$A$15)),
        IF(Import.TipoArredondamento&lt;&gt;"TransfereGOV",
              ROUND(OFFSET($P194,0,AB$13),15-13*ORÇAMENTO!$AF$7)/$H194*OFFSET(ORÇAMENTO!$X$15,ROW(AB194)-ROW(AB$15),0),
              ROUND(ROUND(OFFSET($P194,0,AB$13),15-13*ORÇAMENTO!$AF$7)*OFFSET(ORÇAMENTO!$W$15,ROW(AB194)-ROW(AB$15),0),15-13*ORÇAMENTO!$AF$11)),
         0)</f>
        <v>0</v>
      </c>
      <c r="AC194" s="454">
        <f ca="1">IF(AND($D194="Serviço",AC$12&lt;&gt;0,$H194&gt;0,OR(AUTOEVENTO&lt;&gt;"manual",$M194&lt;&gt;$A$15)),
        IF(Import.TipoArredondamento&lt;&gt;"TransfereGOV",
              ROUND(OFFSET($P194,0,AC$13),15-13*ORÇAMENTO!$AF$7)/$H194*OFFSET(ORÇAMENTO!$X$15,ROW(AC194)-ROW(AC$15),0),
              ROUND(ROUND(OFFSET($P194,0,AC$13),15-13*ORÇAMENTO!$AF$7)*OFFSET(ORÇAMENTO!$W$15,ROW(AC194)-ROW(AC$15),0),15-13*ORÇAMENTO!$AF$11)),
         0)</f>
        <v>0</v>
      </c>
      <c r="AD194" s="454">
        <f ca="1">IF(AND($D194="Serviço",AD$12&lt;&gt;0,$H194&gt;0,OR(AUTOEVENTO&lt;&gt;"manual",$M194&lt;&gt;$A$15)),
        IF(Import.TipoArredondamento&lt;&gt;"TransfereGOV",
              ROUND(OFFSET($P194,0,AD$13),15-13*ORÇAMENTO!$AF$7)/$H194*OFFSET(ORÇAMENTO!$X$15,ROW(AD194)-ROW(AD$15),0),
              ROUND(ROUND(OFFSET($P194,0,AD$13),15-13*ORÇAMENTO!$AF$7)*OFFSET(ORÇAMENTO!$W$15,ROW(AD194)-ROW(AD$15),0),15-13*ORÇAMENTO!$AF$11)),
         0)</f>
        <v>0</v>
      </c>
      <c r="AE194" s="454">
        <f ca="1">IF(AND($D194="Serviço",AE$12&lt;&gt;0,$H194&gt;0,OR(AUTOEVENTO&lt;&gt;"manual",$M194&lt;&gt;$A$15)),
        IF(Import.TipoArredondamento&lt;&gt;"TransfereGOV",
              ROUND(OFFSET($P194,0,AE$13),15-13*ORÇAMENTO!$AF$7)/$H194*OFFSET(ORÇAMENTO!$X$15,ROW(AE194)-ROW(AE$15),0),
              ROUND(ROUND(OFFSET($P194,0,AE$13),15-13*ORÇAMENTO!$AF$7)*OFFSET(ORÇAMENTO!$W$15,ROW(AE194)-ROW(AE$15),0),15-13*ORÇAMENTO!$AF$11)),
         0)</f>
        <v>0</v>
      </c>
      <c r="AF194" s="454">
        <f ca="1">IF(AND($D194="Serviço",AF$12&lt;&gt;0,$H194&gt;0,OR(AUTOEVENTO&lt;&gt;"manual",$M194&lt;&gt;$A$15)),
        IF(Import.TipoArredondamento&lt;&gt;"TransfereGOV",
              ROUND(OFFSET($P194,0,AF$13),15-13*ORÇAMENTO!$AF$7)/$H194*OFFSET(ORÇAMENTO!$X$15,ROW(AF194)-ROW(AF$15),0),
              ROUND(ROUND(OFFSET($P194,0,AF$13),15-13*ORÇAMENTO!$AF$7)*OFFSET(ORÇAMENTO!$W$15,ROW(AF194)-ROW(AF$15),0),15-13*ORÇAMENTO!$AF$11)),
         0)</f>
        <v>0</v>
      </c>
      <c r="AG194" s="454">
        <f ca="1">IF(AND($D194="Serviço",AG$12&lt;&gt;0,$H194&gt;0,OR(AUTOEVENTO&lt;&gt;"manual",$M194&lt;&gt;$A$15)),
        IF(Import.TipoArredondamento&lt;&gt;"TransfereGOV",
              ROUND(OFFSET($P194,0,AG$13),15-13*ORÇAMENTO!$AF$7)/$H194*OFFSET(ORÇAMENTO!$X$15,ROW(AG194)-ROW(AG$15),0),
              ROUND(ROUND(OFFSET($P194,0,AG$13),15-13*ORÇAMENTO!$AF$7)*OFFSET(ORÇAMENTO!$W$15,ROW(AG194)-ROW(AG$15),0),15-13*ORÇAMENTO!$AF$11)),
         0)</f>
        <v>0</v>
      </c>
      <c r="AH194" s="454">
        <f ca="1">IF(AND($D194="Serviço",AH$12&lt;&gt;0,$H194&gt;0,OR(AUTOEVENTO&lt;&gt;"manual",$M194&lt;&gt;$A$15)),
        IF(Import.TipoArredondamento&lt;&gt;"TransfereGOV",
              ROUND(OFFSET($P194,0,AH$13),15-13*ORÇAMENTO!$AF$7)/$H194*OFFSET(ORÇAMENTO!$X$15,ROW(AH194)-ROW(AH$15),0),
              ROUND(ROUND(OFFSET($P194,0,AH$13),15-13*ORÇAMENTO!$AF$7)*OFFSET(ORÇAMENTO!$W$15,ROW(AH194)-ROW(AH$15),0),15-13*ORÇAMENTO!$AF$11)),
         0)</f>
        <v>0</v>
      </c>
      <c r="AI194" s="454">
        <f ca="1">IF(AND($D194="Serviço",AI$12&lt;&gt;0,$H194&gt;0,OR(AUTOEVENTO&lt;&gt;"manual",$M194&lt;&gt;$A$15)),
        IF(Import.TipoArredondamento&lt;&gt;"TransfereGOV",
              ROUND(OFFSET($P194,0,AI$13),15-13*ORÇAMENTO!$AF$7)/$H194*OFFSET(ORÇAMENTO!$X$15,ROW(AI194)-ROW(AI$15),0),
              ROUND(ROUND(OFFSET($P194,0,AI$13),15-13*ORÇAMENTO!$AF$7)*OFFSET(ORÇAMENTO!$W$15,ROW(AI194)-ROW(AI$15),0),15-13*ORÇAMENTO!$AF$11)),
         0)</f>
        <v>0</v>
      </c>
      <c r="AJ194" s="454">
        <f ca="1">IF(AND($D194="Serviço",AJ$12&lt;&gt;0,$H194&gt;0,OR(AUTOEVENTO&lt;&gt;"manual",$M194&lt;&gt;$A$15)),
        IF(Import.TipoArredondamento&lt;&gt;"TransfereGOV",
              ROUND(OFFSET($P194,0,AJ$13),15-13*ORÇAMENTO!$AF$7)/$H194*OFFSET(ORÇAMENTO!$X$15,ROW(AJ194)-ROW(AJ$15),0),
              ROUND(ROUND(OFFSET($P194,0,AJ$13),15-13*ORÇAMENTO!$AF$7)*OFFSET(ORÇAMENTO!$W$15,ROW(AJ194)-ROW(AJ$15),0),15-13*ORÇAMENTO!$AF$11)),
         0)</f>
        <v>0</v>
      </c>
      <c r="AK194" s="454">
        <f ca="1">IF(AND($D194="Serviço",AK$12&lt;&gt;0,$H194&gt;0,OR(AUTOEVENTO&lt;&gt;"manual",$M194&lt;&gt;$A$15)),
        IF(Import.TipoArredondamento&lt;&gt;"TransfereGOV",
              ROUND(OFFSET($P194,0,AK$13),15-13*ORÇAMENTO!$AF$7)/$H194*OFFSET(ORÇAMENTO!$X$15,ROW(AK194)-ROW(AK$15),0),
              ROUND(ROUND(OFFSET($P194,0,AK$13),15-13*ORÇAMENTO!$AF$7)*OFFSET(ORÇAMENTO!$W$15,ROW(AK194)-ROW(AK$15),0),15-13*ORÇAMENTO!$AF$11)),
         0)</f>
        <v>0</v>
      </c>
      <c r="AM194" s="172">
        <f ca="1">IF(OR($D194&lt;&gt;"Serviço",AND(AUTOEVENTO="Manual",$M194=$A$15)),0,
         IF(OFFSET(CRONOPLE!$F$15,$M194-$A$15,AM$13)=0,10^12,OFFSET(CRONOPLE!$F$15,$M194-$A$15,AM$13)))</f>
        <v>1000000000000</v>
      </c>
      <c r="AN194" s="172">
        <f ca="1">IF(OR($D194&lt;&gt;"Serviço",AND(AUTOEVENTO="Manual",$M194=$A$15)),0,
         IF(OFFSET(CRONOPLE!$F$15,$M194-$A$15,AN$13)=0,10^12,OFFSET(CRONOPLE!$F$15,$M194-$A$15,AN$13)))</f>
        <v>1000000000000</v>
      </c>
      <c r="AO194" s="172">
        <f ca="1">IF(OR($D194&lt;&gt;"Serviço",AND(AUTOEVENTO="Manual",$M194=$A$15)),0,
         IF(OFFSET(CRONOPLE!$F$15,$M194-$A$15,AO$13)=0,10^12,OFFSET(CRONOPLE!$F$15,$M194-$A$15,AO$13)))</f>
        <v>1000000000000</v>
      </c>
      <c r="AP194" s="172">
        <f ca="1">IF(OR($D194&lt;&gt;"Serviço",AND(AUTOEVENTO="Manual",$M194=$A$15)),0,
         IF(OFFSET(CRONOPLE!$F$15,$M194-$A$15,AP$13)=0,10^12,OFFSET(CRONOPLE!$F$15,$M194-$A$15,AP$13)))</f>
        <v>1000000000000</v>
      </c>
      <c r="AQ194" s="172">
        <f ca="1">IF(OR($D194&lt;&gt;"Serviço",AND(AUTOEVENTO="Manual",$M194=$A$15)),0,
         IF(OFFSET(CRONOPLE!$F$15,$M194-$A$15,AQ$13)=0,10^12,OFFSET(CRONOPLE!$F$15,$M194-$A$15,AQ$13)))</f>
        <v>1000000000000</v>
      </c>
      <c r="AR194" s="172">
        <f ca="1">IF(OR($D194&lt;&gt;"Serviço",AND(AUTOEVENTO="Manual",$M194=$A$15)),0,
         IF(OFFSET(CRONOPLE!$F$15,$M194-$A$15,AR$13)=0,10^12,OFFSET(CRONOPLE!$F$15,$M194-$A$15,AR$13)))</f>
        <v>1000000000000</v>
      </c>
      <c r="AS194" s="172">
        <f ca="1">IF(OR($D194&lt;&gt;"Serviço",AND(AUTOEVENTO="Manual",$M194=$A$15)),0,
         IF(OFFSET(CRONOPLE!$F$15,$M194-$A$15,AS$13)=0,10^12,OFFSET(CRONOPLE!$F$15,$M194-$A$15,AS$13)))</f>
        <v>1000000000000</v>
      </c>
      <c r="AT194" s="172">
        <f ca="1">IF(OR($D194&lt;&gt;"Serviço",AND(AUTOEVENTO="Manual",$M194=$A$15)),0,
         IF(OFFSET(CRONOPLE!$F$15,$M194-$A$15,AT$13)=0,10^12,OFFSET(CRONOPLE!$F$15,$M194-$A$15,AT$13)))</f>
        <v>1000000000000</v>
      </c>
      <c r="AU194" s="172">
        <f ca="1">IF(OR($D194&lt;&gt;"Serviço",AND(AUTOEVENTO="Manual",$M194=$A$15)),0,
         IF(OFFSET(CRONOPLE!$F$15,$M194-$A$15,AU$13)=0,10^12,OFFSET(CRONOPLE!$F$15,$M194-$A$15,AU$13)))</f>
        <v>1000000000000</v>
      </c>
      <c r="AV194" s="172">
        <f ca="1">IF(OR($D194&lt;&gt;"Serviço",AND(AUTOEVENTO="Manual",$M194=$A$15)),0,
         IF(OFFSET(CRONOPLE!$F$15,$M194-$A$15,AV$13)=0,10^12,OFFSET(CRONOPLE!$F$15,$M194-$A$15,AV$13)))</f>
        <v>1000000000000</v>
      </c>
      <c r="AX194" s="173">
        <f ca="1">IF(OR($D194&lt;&gt;"Serviço",AND(AUTOEVENTO="Manual",$M194=$A$15),$M194&gt;(ROW(PLE.lastrow)-ROW(PLE.firstrow))),0,
           IF(OFFSET(PLE!$G$15,$M194-$A$15,AX$13)="",10^12,OFFSET(PLE!$G$15,$M194-$A$15,AX$13)))</f>
        <v>1000000000000</v>
      </c>
      <c r="AY194" s="173">
        <f ca="1">IF(OR($D194&lt;&gt;"Serviço",AND(AUTOEVENTO="Manual",$M194=$A$15),$M194&gt;(ROW(PLE.lastrow)-ROW(PLE.firstrow))),0,
           IF(OFFSET(PLE!$G$15,$M194-$A$15,AY$13)="",10^12,OFFSET(PLE!$G$15,$M194-$A$15,AY$13)))</f>
        <v>1000000000000</v>
      </c>
      <c r="AZ194" s="173">
        <f ca="1">IF(OR($D194&lt;&gt;"Serviço",AND(AUTOEVENTO="Manual",$M194=$A$15),$M194&gt;(ROW(PLE.lastrow)-ROW(PLE.firstrow))),0,
           IF(OFFSET(PLE!$G$15,$M194-$A$15,AZ$13)="",10^12,OFFSET(PLE!$G$15,$M194-$A$15,AZ$13)))</f>
        <v>1000000000000</v>
      </c>
      <c r="BA194" s="173">
        <f ca="1">IF(OR($D194&lt;&gt;"Serviço",AND(AUTOEVENTO="Manual",$M194=$A$15),$M194&gt;(ROW(PLE.lastrow)-ROW(PLE.firstrow))),0,
           IF(OFFSET(PLE!$G$15,$M194-$A$15,BA$13)="",10^12,OFFSET(PLE!$G$15,$M194-$A$15,BA$13)))</f>
        <v>1000000000000</v>
      </c>
      <c r="BB194" s="173">
        <f ca="1">IF(OR($D194&lt;&gt;"Serviço",AND(AUTOEVENTO="Manual",$M194=$A$15),$M194&gt;(ROW(PLE.lastrow)-ROW(PLE.firstrow))),0,
           IF(OFFSET(PLE!$G$15,$M194-$A$15,BB$13)="",10^12,OFFSET(PLE!$G$15,$M194-$A$15,BB$13)))</f>
        <v>1000000000000</v>
      </c>
      <c r="BC194" s="173">
        <f ca="1">IF(OR($D194&lt;&gt;"Serviço",AND(AUTOEVENTO="Manual",$M194=$A$15),$M194&gt;(ROW(PLE.lastrow)-ROW(PLE.firstrow))),0,
           IF(OFFSET(PLE!$G$15,$M194-$A$15,BC$13)="",10^12,OFFSET(PLE!$G$15,$M194-$A$15,BC$13)))</f>
        <v>1000000000000</v>
      </c>
      <c r="BD194" s="173">
        <f ca="1">IF(OR($D194&lt;&gt;"Serviço",AND(AUTOEVENTO="Manual",$M194=$A$15),$M194&gt;(ROW(PLE.lastrow)-ROW(PLE.firstrow))),0,
           IF(OFFSET(PLE!$G$15,$M194-$A$15,BD$13)="",10^12,OFFSET(PLE!$G$15,$M194-$A$15,BD$13)))</f>
        <v>1000000000000</v>
      </c>
      <c r="BE194" s="173">
        <f ca="1">IF(OR($D194&lt;&gt;"Serviço",AND(AUTOEVENTO="Manual",$M194=$A$15),$M194&gt;(ROW(PLE.lastrow)-ROW(PLE.firstrow))),0,
           IF(OFFSET(PLE!$G$15,$M194-$A$15,BE$13)="",10^12,OFFSET(PLE!$G$15,$M194-$A$15,BE$13)))</f>
        <v>1000000000000</v>
      </c>
      <c r="BF194" s="173">
        <f ca="1">IF(OR($D194&lt;&gt;"Serviço",AND(AUTOEVENTO="Manual",$M194=$A$15),$M194&gt;(ROW(PLE.lastrow)-ROW(PLE.firstrow))),0,
           IF(OFFSET(PLE!$G$15,$M194-$A$15,BF$13)="",10^12,OFFSET(PLE!$G$15,$M194-$A$15,BF$13)))</f>
        <v>1000000000000</v>
      </c>
      <c r="BG194" s="173">
        <f ca="1">IF(OR($D194&lt;&gt;"Serviço",AND(AUTOEVENTO="Manual",$M194=$A$15),$M194&gt;(ROW(PLE.lastrow)-ROW(PLE.firstrow))),0,
           IF(OFFSET(PLE!$G$15,$M194-$A$15,BG$13)="",10^12,OFFSET(PLE!$G$15,$M194-$A$15,BG$13)))</f>
        <v>1000000000000</v>
      </c>
    </row>
    <row r="195" spans="1:59" s="675" customFormat="1" ht="12.75" x14ac:dyDescent="0.2">
      <c r="A195" s="671" t="str">
        <f t="shared" ca="1" si="11"/>
        <v>180.</v>
      </c>
      <c r="B195" s="671">
        <f ca="1">OFFSET(ORÇAMENTO!C$15,ROW(B195)-ROW(B$15),0)</f>
        <v>2</v>
      </c>
      <c r="C195" s="671" t="str">
        <f ca="1">OFFSET(ORÇAMENTO!L$15,ROW(C195)-ROW(C$15),0)</f>
        <v>F</v>
      </c>
      <c r="D195" s="117" t="str">
        <f ca="1">OFFSET(ORÇAMENTO!N$15,ROW(D195)-ROW(D$15),0)</f>
        <v>Nível 2</v>
      </c>
      <c r="E195" s="118" t="str">
        <f ca="1">OFFSET(ORÇAMENTO!O$15,ROW(E195)-ROW(E$15),0)</f>
        <v>1.24.</v>
      </c>
      <c r="F195" s="164" t="str">
        <f ca="1">OFFSET(ORÇAMENTO!R$15,ROW(F195)-ROW(F$15),0)</f>
        <v>ESTRUTURA</v>
      </c>
      <c r="G195" s="165" t="str">
        <f ca="1">IF($D195&lt;&gt;"Serviço","",OFFSET(ORÇAMENTO!S$15,ROW(G195)-ROW(G$15),0))</f>
        <v/>
      </c>
      <c r="H195" s="123">
        <f ca="1">IF($D195&lt;&gt;"Serviço",0,IF(ACOMPANHAMENTO="BM",ROUND(OFFSET(ORÇAMENTO!AJ$15,ROW(H195)-ROW(H$15),0),15-13*ORÇAMENTO!$AF$7),SUMPRODUCT(($Q$1:$AA$1=1)*ROUND($Q195:$AA195,15-13*ORÇAMENTO!$AF$7))))</f>
        <v>0</v>
      </c>
      <c r="I195" s="469"/>
      <c r="J195" s="667" t="str">
        <f ca="1">IF(OR(B195&lt;&gt;"S",CÁLCULO.FrentesPreenchidas=0),"",IF(AND(ACOMPANHAMENTO="PLE",AUTOEVENTO="Manual",OR(H195&gt;0,ORÇAMENTO!AC195="QUANT."),OR(K195="",M195=0,N195="")),"►",IF(AND(ACOMPANHAMENTO="PLE",ORÇAMENTO!AC195="QUANT."),"►►",IF(AND(COUNTIF($P$11:$AA$11,"▼")=0,H195&gt;0,I195=""),"◄",""))))</f>
        <v/>
      </c>
      <c r="K195" s="668"/>
      <c r="L195" s="166" t="s">
        <v>765</v>
      </c>
      <c r="M195" s="167" t="str">
        <f ca="1">IF($D195&lt;&gt;"Serviço","",
          IF(AUTOEVENTO="manual",$A195,
                IF(ISERROR(MATCH($A195,$A$15:OFFSET($A195,-1,0),0)),MAX($M$15:OFFSET(M195,-1,0))+1,
                      INDEX($M$15:OFFSET(M195,-1,0),MATCH($A195,$A$15:OFFSET($A195,-1,0),0)))))</f>
        <v/>
      </c>
      <c r="N195" s="168" t="str">
        <f ca="1">IF($D195&lt;&gt;"Serviço","",
         IF(AUTOEVENTO="Manual",
                IF($A195=0,"&lt;-- defina o número do agrupador",
                       OFFSET(EVENTOS!$D$15,$A195-$A$15,0)),
                OFFSET($F$15,$A195,0)))</f>
        <v/>
      </c>
      <c r="O195" s="169"/>
      <c r="Q195" s="169"/>
      <c r="R195" s="170"/>
      <c r="S195" s="170"/>
      <c r="T195" s="170"/>
      <c r="U195" s="170"/>
      <c r="V195" s="170"/>
      <c r="W195" s="170"/>
      <c r="X195" s="170"/>
      <c r="Y195" s="170"/>
      <c r="Z195" s="171"/>
      <c r="AB195" s="454">
        <f ca="1">IF(AND($D195="Serviço",AB$12&lt;&gt;0,$H195&gt;0,OR(AUTOEVENTO&lt;&gt;"manual",$M195&lt;&gt;$A$15)),
        IF(Import.TipoArredondamento&lt;&gt;"TransfereGOV",
              ROUND(OFFSET($P195,0,AB$13),15-13*ORÇAMENTO!$AF$7)/$H195*OFFSET(ORÇAMENTO!$X$15,ROW(AB195)-ROW(AB$15),0),
              ROUND(ROUND(OFFSET($P195,0,AB$13),15-13*ORÇAMENTO!$AF$7)*OFFSET(ORÇAMENTO!$W$15,ROW(AB195)-ROW(AB$15),0),15-13*ORÇAMENTO!$AF$11)),
         0)</f>
        <v>0</v>
      </c>
      <c r="AC195" s="454">
        <f ca="1">IF(AND($D195="Serviço",AC$12&lt;&gt;0,$H195&gt;0,OR(AUTOEVENTO&lt;&gt;"manual",$M195&lt;&gt;$A$15)),
        IF(Import.TipoArredondamento&lt;&gt;"TransfereGOV",
              ROUND(OFFSET($P195,0,AC$13),15-13*ORÇAMENTO!$AF$7)/$H195*OFFSET(ORÇAMENTO!$X$15,ROW(AC195)-ROW(AC$15),0),
              ROUND(ROUND(OFFSET($P195,0,AC$13),15-13*ORÇAMENTO!$AF$7)*OFFSET(ORÇAMENTO!$W$15,ROW(AC195)-ROW(AC$15),0),15-13*ORÇAMENTO!$AF$11)),
         0)</f>
        <v>0</v>
      </c>
      <c r="AD195" s="454">
        <f ca="1">IF(AND($D195="Serviço",AD$12&lt;&gt;0,$H195&gt;0,OR(AUTOEVENTO&lt;&gt;"manual",$M195&lt;&gt;$A$15)),
        IF(Import.TipoArredondamento&lt;&gt;"TransfereGOV",
              ROUND(OFFSET($P195,0,AD$13),15-13*ORÇAMENTO!$AF$7)/$H195*OFFSET(ORÇAMENTO!$X$15,ROW(AD195)-ROW(AD$15),0),
              ROUND(ROUND(OFFSET($P195,0,AD$13),15-13*ORÇAMENTO!$AF$7)*OFFSET(ORÇAMENTO!$W$15,ROW(AD195)-ROW(AD$15),0),15-13*ORÇAMENTO!$AF$11)),
         0)</f>
        <v>0</v>
      </c>
      <c r="AE195" s="454">
        <f ca="1">IF(AND($D195="Serviço",AE$12&lt;&gt;0,$H195&gt;0,OR(AUTOEVENTO&lt;&gt;"manual",$M195&lt;&gt;$A$15)),
        IF(Import.TipoArredondamento&lt;&gt;"TransfereGOV",
              ROUND(OFFSET($P195,0,AE$13),15-13*ORÇAMENTO!$AF$7)/$H195*OFFSET(ORÇAMENTO!$X$15,ROW(AE195)-ROW(AE$15),0),
              ROUND(ROUND(OFFSET($P195,0,AE$13),15-13*ORÇAMENTO!$AF$7)*OFFSET(ORÇAMENTO!$W$15,ROW(AE195)-ROW(AE$15),0),15-13*ORÇAMENTO!$AF$11)),
         0)</f>
        <v>0</v>
      </c>
      <c r="AF195" s="454">
        <f ca="1">IF(AND($D195="Serviço",AF$12&lt;&gt;0,$H195&gt;0,OR(AUTOEVENTO&lt;&gt;"manual",$M195&lt;&gt;$A$15)),
        IF(Import.TipoArredondamento&lt;&gt;"TransfereGOV",
              ROUND(OFFSET($P195,0,AF$13),15-13*ORÇAMENTO!$AF$7)/$H195*OFFSET(ORÇAMENTO!$X$15,ROW(AF195)-ROW(AF$15),0),
              ROUND(ROUND(OFFSET($P195,0,AF$13),15-13*ORÇAMENTO!$AF$7)*OFFSET(ORÇAMENTO!$W$15,ROW(AF195)-ROW(AF$15),0),15-13*ORÇAMENTO!$AF$11)),
         0)</f>
        <v>0</v>
      </c>
      <c r="AG195" s="454">
        <f ca="1">IF(AND($D195="Serviço",AG$12&lt;&gt;0,$H195&gt;0,OR(AUTOEVENTO&lt;&gt;"manual",$M195&lt;&gt;$A$15)),
        IF(Import.TipoArredondamento&lt;&gt;"TransfereGOV",
              ROUND(OFFSET($P195,0,AG$13),15-13*ORÇAMENTO!$AF$7)/$H195*OFFSET(ORÇAMENTO!$X$15,ROW(AG195)-ROW(AG$15),0),
              ROUND(ROUND(OFFSET($P195,0,AG$13),15-13*ORÇAMENTO!$AF$7)*OFFSET(ORÇAMENTO!$W$15,ROW(AG195)-ROW(AG$15),0),15-13*ORÇAMENTO!$AF$11)),
         0)</f>
        <v>0</v>
      </c>
      <c r="AH195" s="454">
        <f ca="1">IF(AND($D195="Serviço",AH$12&lt;&gt;0,$H195&gt;0,OR(AUTOEVENTO&lt;&gt;"manual",$M195&lt;&gt;$A$15)),
        IF(Import.TipoArredondamento&lt;&gt;"TransfereGOV",
              ROUND(OFFSET($P195,0,AH$13),15-13*ORÇAMENTO!$AF$7)/$H195*OFFSET(ORÇAMENTO!$X$15,ROW(AH195)-ROW(AH$15),0),
              ROUND(ROUND(OFFSET($P195,0,AH$13),15-13*ORÇAMENTO!$AF$7)*OFFSET(ORÇAMENTO!$W$15,ROW(AH195)-ROW(AH$15),0),15-13*ORÇAMENTO!$AF$11)),
         0)</f>
        <v>0</v>
      </c>
      <c r="AI195" s="454">
        <f ca="1">IF(AND($D195="Serviço",AI$12&lt;&gt;0,$H195&gt;0,OR(AUTOEVENTO&lt;&gt;"manual",$M195&lt;&gt;$A$15)),
        IF(Import.TipoArredondamento&lt;&gt;"TransfereGOV",
              ROUND(OFFSET($P195,0,AI$13),15-13*ORÇAMENTO!$AF$7)/$H195*OFFSET(ORÇAMENTO!$X$15,ROW(AI195)-ROW(AI$15),0),
              ROUND(ROUND(OFFSET($P195,0,AI$13),15-13*ORÇAMENTO!$AF$7)*OFFSET(ORÇAMENTO!$W$15,ROW(AI195)-ROW(AI$15),0),15-13*ORÇAMENTO!$AF$11)),
         0)</f>
        <v>0</v>
      </c>
      <c r="AJ195" s="454">
        <f ca="1">IF(AND($D195="Serviço",AJ$12&lt;&gt;0,$H195&gt;0,OR(AUTOEVENTO&lt;&gt;"manual",$M195&lt;&gt;$A$15)),
        IF(Import.TipoArredondamento&lt;&gt;"TransfereGOV",
              ROUND(OFFSET($P195,0,AJ$13),15-13*ORÇAMENTO!$AF$7)/$H195*OFFSET(ORÇAMENTO!$X$15,ROW(AJ195)-ROW(AJ$15),0),
              ROUND(ROUND(OFFSET($P195,0,AJ$13),15-13*ORÇAMENTO!$AF$7)*OFFSET(ORÇAMENTO!$W$15,ROW(AJ195)-ROW(AJ$15),0),15-13*ORÇAMENTO!$AF$11)),
         0)</f>
        <v>0</v>
      </c>
      <c r="AK195" s="454">
        <f ca="1">IF(AND($D195="Serviço",AK$12&lt;&gt;0,$H195&gt;0,OR(AUTOEVENTO&lt;&gt;"manual",$M195&lt;&gt;$A$15)),
        IF(Import.TipoArredondamento&lt;&gt;"TransfereGOV",
              ROUND(OFFSET($P195,0,AK$13),15-13*ORÇAMENTO!$AF$7)/$H195*OFFSET(ORÇAMENTO!$X$15,ROW(AK195)-ROW(AK$15),0),
              ROUND(ROUND(OFFSET($P195,0,AK$13),15-13*ORÇAMENTO!$AF$7)*OFFSET(ORÇAMENTO!$W$15,ROW(AK195)-ROW(AK$15),0),15-13*ORÇAMENTO!$AF$11)),
         0)</f>
        <v>0</v>
      </c>
      <c r="AM195" s="172">
        <f ca="1">IF(OR($D195&lt;&gt;"Serviço",AND(AUTOEVENTO="Manual",$M195=$A$15)),0,
         IF(OFFSET(CRONOPLE!$F$15,$M195-$A$15,AM$13)=0,10^12,OFFSET(CRONOPLE!$F$15,$M195-$A$15,AM$13)))</f>
        <v>0</v>
      </c>
      <c r="AN195" s="172">
        <f ca="1">IF(OR($D195&lt;&gt;"Serviço",AND(AUTOEVENTO="Manual",$M195=$A$15)),0,
         IF(OFFSET(CRONOPLE!$F$15,$M195-$A$15,AN$13)=0,10^12,OFFSET(CRONOPLE!$F$15,$M195-$A$15,AN$13)))</f>
        <v>0</v>
      </c>
      <c r="AO195" s="172">
        <f ca="1">IF(OR($D195&lt;&gt;"Serviço",AND(AUTOEVENTO="Manual",$M195=$A$15)),0,
         IF(OFFSET(CRONOPLE!$F$15,$M195-$A$15,AO$13)=0,10^12,OFFSET(CRONOPLE!$F$15,$M195-$A$15,AO$13)))</f>
        <v>0</v>
      </c>
      <c r="AP195" s="172">
        <f ca="1">IF(OR($D195&lt;&gt;"Serviço",AND(AUTOEVENTO="Manual",$M195=$A$15)),0,
         IF(OFFSET(CRONOPLE!$F$15,$M195-$A$15,AP$13)=0,10^12,OFFSET(CRONOPLE!$F$15,$M195-$A$15,AP$13)))</f>
        <v>0</v>
      </c>
      <c r="AQ195" s="172">
        <f ca="1">IF(OR($D195&lt;&gt;"Serviço",AND(AUTOEVENTO="Manual",$M195=$A$15)),0,
         IF(OFFSET(CRONOPLE!$F$15,$M195-$A$15,AQ$13)=0,10^12,OFFSET(CRONOPLE!$F$15,$M195-$A$15,AQ$13)))</f>
        <v>0</v>
      </c>
      <c r="AR195" s="172">
        <f ca="1">IF(OR($D195&lt;&gt;"Serviço",AND(AUTOEVENTO="Manual",$M195=$A$15)),0,
         IF(OFFSET(CRONOPLE!$F$15,$M195-$A$15,AR$13)=0,10^12,OFFSET(CRONOPLE!$F$15,$M195-$A$15,AR$13)))</f>
        <v>0</v>
      </c>
      <c r="AS195" s="172">
        <f ca="1">IF(OR($D195&lt;&gt;"Serviço",AND(AUTOEVENTO="Manual",$M195=$A$15)),0,
         IF(OFFSET(CRONOPLE!$F$15,$M195-$A$15,AS$13)=0,10^12,OFFSET(CRONOPLE!$F$15,$M195-$A$15,AS$13)))</f>
        <v>0</v>
      </c>
      <c r="AT195" s="172">
        <f ca="1">IF(OR($D195&lt;&gt;"Serviço",AND(AUTOEVENTO="Manual",$M195=$A$15)),0,
         IF(OFFSET(CRONOPLE!$F$15,$M195-$A$15,AT$13)=0,10^12,OFFSET(CRONOPLE!$F$15,$M195-$A$15,AT$13)))</f>
        <v>0</v>
      </c>
      <c r="AU195" s="172">
        <f ca="1">IF(OR($D195&lt;&gt;"Serviço",AND(AUTOEVENTO="Manual",$M195=$A$15)),0,
         IF(OFFSET(CRONOPLE!$F$15,$M195-$A$15,AU$13)=0,10^12,OFFSET(CRONOPLE!$F$15,$M195-$A$15,AU$13)))</f>
        <v>0</v>
      </c>
      <c r="AV195" s="172">
        <f ca="1">IF(OR($D195&lt;&gt;"Serviço",AND(AUTOEVENTO="Manual",$M195=$A$15)),0,
         IF(OFFSET(CRONOPLE!$F$15,$M195-$A$15,AV$13)=0,10^12,OFFSET(CRONOPLE!$F$15,$M195-$A$15,AV$13)))</f>
        <v>0</v>
      </c>
      <c r="AX195" s="173">
        <f ca="1">IF(OR($D195&lt;&gt;"Serviço",AND(AUTOEVENTO="Manual",$M195=$A$15),$M195&gt;(ROW(PLE.lastrow)-ROW(PLE.firstrow))),0,
           IF(OFFSET(PLE!$G$15,$M195-$A$15,AX$13)="",10^12,OFFSET(PLE!$G$15,$M195-$A$15,AX$13)))</f>
        <v>0</v>
      </c>
      <c r="AY195" s="173">
        <f ca="1">IF(OR($D195&lt;&gt;"Serviço",AND(AUTOEVENTO="Manual",$M195=$A$15),$M195&gt;(ROW(PLE.lastrow)-ROW(PLE.firstrow))),0,
           IF(OFFSET(PLE!$G$15,$M195-$A$15,AY$13)="",10^12,OFFSET(PLE!$G$15,$M195-$A$15,AY$13)))</f>
        <v>0</v>
      </c>
      <c r="AZ195" s="173">
        <f ca="1">IF(OR($D195&lt;&gt;"Serviço",AND(AUTOEVENTO="Manual",$M195=$A$15),$M195&gt;(ROW(PLE.lastrow)-ROW(PLE.firstrow))),0,
           IF(OFFSET(PLE!$G$15,$M195-$A$15,AZ$13)="",10^12,OFFSET(PLE!$G$15,$M195-$A$15,AZ$13)))</f>
        <v>0</v>
      </c>
      <c r="BA195" s="173">
        <f ca="1">IF(OR($D195&lt;&gt;"Serviço",AND(AUTOEVENTO="Manual",$M195=$A$15),$M195&gt;(ROW(PLE.lastrow)-ROW(PLE.firstrow))),0,
           IF(OFFSET(PLE!$G$15,$M195-$A$15,BA$13)="",10^12,OFFSET(PLE!$G$15,$M195-$A$15,BA$13)))</f>
        <v>0</v>
      </c>
      <c r="BB195" s="173">
        <f ca="1">IF(OR($D195&lt;&gt;"Serviço",AND(AUTOEVENTO="Manual",$M195=$A$15),$M195&gt;(ROW(PLE.lastrow)-ROW(PLE.firstrow))),0,
           IF(OFFSET(PLE!$G$15,$M195-$A$15,BB$13)="",10^12,OFFSET(PLE!$G$15,$M195-$A$15,BB$13)))</f>
        <v>0</v>
      </c>
      <c r="BC195" s="173">
        <f ca="1">IF(OR($D195&lt;&gt;"Serviço",AND(AUTOEVENTO="Manual",$M195=$A$15),$M195&gt;(ROW(PLE.lastrow)-ROW(PLE.firstrow))),0,
           IF(OFFSET(PLE!$G$15,$M195-$A$15,BC$13)="",10^12,OFFSET(PLE!$G$15,$M195-$A$15,BC$13)))</f>
        <v>0</v>
      </c>
      <c r="BD195" s="173">
        <f ca="1">IF(OR($D195&lt;&gt;"Serviço",AND(AUTOEVENTO="Manual",$M195=$A$15),$M195&gt;(ROW(PLE.lastrow)-ROW(PLE.firstrow))),0,
           IF(OFFSET(PLE!$G$15,$M195-$A$15,BD$13)="",10^12,OFFSET(PLE!$G$15,$M195-$A$15,BD$13)))</f>
        <v>0</v>
      </c>
      <c r="BE195" s="173">
        <f ca="1">IF(OR($D195&lt;&gt;"Serviço",AND(AUTOEVENTO="Manual",$M195=$A$15),$M195&gt;(ROW(PLE.lastrow)-ROW(PLE.firstrow))),0,
           IF(OFFSET(PLE!$G$15,$M195-$A$15,BE$13)="",10^12,OFFSET(PLE!$G$15,$M195-$A$15,BE$13)))</f>
        <v>0</v>
      </c>
      <c r="BF195" s="173">
        <f ca="1">IF(OR($D195&lt;&gt;"Serviço",AND(AUTOEVENTO="Manual",$M195=$A$15),$M195&gt;(ROW(PLE.lastrow)-ROW(PLE.firstrow))),0,
           IF(OFFSET(PLE!$G$15,$M195-$A$15,BF$13)="",10^12,OFFSET(PLE!$G$15,$M195-$A$15,BF$13)))</f>
        <v>0</v>
      </c>
      <c r="BG195" s="173">
        <f ca="1">IF(OR($D195&lt;&gt;"Serviço",AND(AUTOEVENTO="Manual",$M195=$A$15),$M195&gt;(ROW(PLE.lastrow)-ROW(PLE.firstrow))),0,
           IF(OFFSET(PLE!$G$15,$M195-$A$15,BG$13)="",10^12,OFFSET(PLE!$G$15,$M195-$A$15,BG$13)))</f>
        <v>0</v>
      </c>
    </row>
    <row r="196" spans="1:59" s="675" customFormat="1" ht="38.25" x14ac:dyDescent="0.2">
      <c r="A196" s="671" t="str">
        <f t="shared" ca="1" si="11"/>
        <v>180</v>
      </c>
      <c r="B196" s="671" t="str">
        <f ca="1">OFFSET(ORÇAMENTO!C$15,ROW(B196)-ROW(B$15),0)</f>
        <v>S</v>
      </c>
      <c r="C196" s="671" t="str">
        <f ca="1">OFFSET(ORÇAMENTO!L$15,ROW(C196)-ROW(C$15),0)</f>
        <v/>
      </c>
      <c r="D196" s="117" t="str">
        <f ca="1">OFFSET(ORÇAMENTO!N$15,ROW(D196)-ROW(D$15),0)</f>
        <v>Serviço</v>
      </c>
      <c r="E196" s="118" t="str">
        <f ca="1">OFFSET(ORÇAMENTO!O$15,ROW(E196)-ROW(E$15),0)</f>
        <v>-</v>
      </c>
      <c r="F196" s="164" t="str">
        <f ca="1">OFFSET(ORÇAMENTO!R$15,ROW(F196)-ROW(F$15),0)</f>
        <v>(abra o arquivo 'Referência 09-2025.xlsm)</v>
      </c>
      <c r="G196" s="165" t="str">
        <f ca="1">IF($D196&lt;&gt;"Serviço","",OFFSET(ORÇAMENTO!S$15,ROW(G196)-ROW(G$15),0))</f>
        <v>-</v>
      </c>
      <c r="H196" s="123">
        <f ca="1">IF($D196&lt;&gt;"Serviço",0,IF(ACOMPANHAMENTO="BM",ROUND(OFFSET(ORÇAMENTO!AJ$15,ROW(H196)-ROW(H$15),0),15-13*ORÇAMENTO!$AF$7),SUMPRODUCT(($Q$1:$AA$1=1)*ROUND($Q196:$AA196,15-13*ORÇAMENTO!$AF$7))))</f>
        <v>339</v>
      </c>
      <c r="I196" s="469" t="s">
        <v>1110</v>
      </c>
      <c r="J196" s="667" t="str">
        <f ca="1">IF(OR(B196&lt;&gt;"S",CÁLCULO.FrentesPreenchidas=0),"",IF(AND(ACOMPANHAMENTO="PLE",AUTOEVENTO="Manual",OR(H196&gt;0,ORÇAMENTO!AC196="QUANT."),OR(K196="",M196=0,N196="")),"►",IF(AND(ACOMPANHAMENTO="PLE",ORÇAMENTO!AC196="QUANT."),"►►",IF(AND(COUNTIF($P$11:$AA$11,"▼")=0,H196&gt;0,I196=""),"◄",""))))</f>
        <v/>
      </c>
      <c r="K196" s="668"/>
      <c r="L196" s="166" t="s">
        <v>765</v>
      </c>
      <c r="M196" s="167">
        <f ca="1">IF($D196&lt;&gt;"Serviço","",
          IF(AUTOEVENTO="manual",$A196,
                IF(ISERROR(MATCH($A196,$A$15:OFFSET($A196,-1,0),0)),MAX($M$15:OFFSET(M196,-1,0))+1,
                      INDEX($M$15:OFFSET(M196,-1,0),MATCH($A196,$A$15:OFFSET($A196,-1,0),0)))))</f>
        <v>20</v>
      </c>
      <c r="N196" s="168" t="str">
        <f ca="1">IF($D196&lt;&gt;"Serviço","",
         IF(AUTOEVENTO="Manual",
                IF($A196=0,"&lt;-- defina o número do agrupador",
                       OFFSET(EVENTOS!$D$15,$A196-$A$15,0)),
                OFFSET($F$15,$A196,0)))</f>
        <v>ESTRUTURA</v>
      </c>
      <c r="O196" s="169"/>
      <c r="Q196" s="169"/>
      <c r="R196" s="170"/>
      <c r="S196" s="170"/>
      <c r="T196" s="170"/>
      <c r="U196" s="170"/>
      <c r="V196" s="170"/>
      <c r="W196" s="170"/>
      <c r="X196" s="170"/>
      <c r="Y196" s="170"/>
      <c r="Z196" s="171"/>
      <c r="AB196" s="454">
        <f ca="1">IF(AND($D196="Serviço",AB$12&lt;&gt;0,$H196&gt;0,OR(AUTOEVENTO&lt;&gt;"manual",$M196&lt;&gt;$A$15)),
        IF(Import.TipoArredondamento&lt;&gt;"TransfereGOV",
              ROUND(OFFSET($P196,0,AB$13),15-13*ORÇAMENTO!$AF$7)/$H196*OFFSET(ORÇAMENTO!$X$15,ROW(AB196)-ROW(AB$15),0),
              ROUND(ROUND(OFFSET($P196,0,AB$13),15-13*ORÇAMENTO!$AF$7)*OFFSET(ORÇAMENTO!$W$15,ROW(AB196)-ROW(AB$15),0),15-13*ORÇAMENTO!$AF$11)),
         0)</f>
        <v>0</v>
      </c>
      <c r="AC196" s="454">
        <f ca="1">IF(AND($D196="Serviço",AC$12&lt;&gt;0,$H196&gt;0,OR(AUTOEVENTO&lt;&gt;"manual",$M196&lt;&gt;$A$15)),
        IF(Import.TipoArredondamento&lt;&gt;"TransfereGOV",
              ROUND(OFFSET($P196,0,AC$13),15-13*ORÇAMENTO!$AF$7)/$H196*OFFSET(ORÇAMENTO!$X$15,ROW(AC196)-ROW(AC$15),0),
              ROUND(ROUND(OFFSET($P196,0,AC$13),15-13*ORÇAMENTO!$AF$7)*OFFSET(ORÇAMENTO!$W$15,ROW(AC196)-ROW(AC$15),0),15-13*ORÇAMENTO!$AF$11)),
         0)</f>
        <v>0</v>
      </c>
      <c r="AD196" s="454">
        <f ca="1">IF(AND($D196="Serviço",AD$12&lt;&gt;0,$H196&gt;0,OR(AUTOEVENTO&lt;&gt;"manual",$M196&lt;&gt;$A$15)),
        IF(Import.TipoArredondamento&lt;&gt;"TransfereGOV",
              ROUND(OFFSET($P196,0,AD$13),15-13*ORÇAMENTO!$AF$7)/$H196*OFFSET(ORÇAMENTO!$X$15,ROW(AD196)-ROW(AD$15),0),
              ROUND(ROUND(OFFSET($P196,0,AD$13),15-13*ORÇAMENTO!$AF$7)*OFFSET(ORÇAMENTO!$W$15,ROW(AD196)-ROW(AD$15),0),15-13*ORÇAMENTO!$AF$11)),
         0)</f>
        <v>0</v>
      </c>
      <c r="AE196" s="454">
        <f ca="1">IF(AND($D196="Serviço",AE$12&lt;&gt;0,$H196&gt;0,OR(AUTOEVENTO&lt;&gt;"manual",$M196&lt;&gt;$A$15)),
        IF(Import.TipoArredondamento&lt;&gt;"TransfereGOV",
              ROUND(OFFSET($P196,0,AE$13),15-13*ORÇAMENTO!$AF$7)/$H196*OFFSET(ORÇAMENTO!$X$15,ROW(AE196)-ROW(AE$15),0),
              ROUND(ROUND(OFFSET($P196,0,AE$13),15-13*ORÇAMENTO!$AF$7)*OFFSET(ORÇAMENTO!$W$15,ROW(AE196)-ROW(AE$15),0),15-13*ORÇAMENTO!$AF$11)),
         0)</f>
        <v>0</v>
      </c>
      <c r="AF196" s="454">
        <f ca="1">IF(AND($D196="Serviço",AF$12&lt;&gt;0,$H196&gt;0,OR(AUTOEVENTO&lt;&gt;"manual",$M196&lt;&gt;$A$15)),
        IF(Import.TipoArredondamento&lt;&gt;"TransfereGOV",
              ROUND(OFFSET($P196,0,AF$13),15-13*ORÇAMENTO!$AF$7)/$H196*OFFSET(ORÇAMENTO!$X$15,ROW(AF196)-ROW(AF$15),0),
              ROUND(ROUND(OFFSET($P196,0,AF$13),15-13*ORÇAMENTO!$AF$7)*OFFSET(ORÇAMENTO!$W$15,ROW(AF196)-ROW(AF$15),0),15-13*ORÇAMENTO!$AF$11)),
         0)</f>
        <v>0</v>
      </c>
      <c r="AG196" s="454">
        <f ca="1">IF(AND($D196="Serviço",AG$12&lt;&gt;0,$H196&gt;0,OR(AUTOEVENTO&lt;&gt;"manual",$M196&lt;&gt;$A$15)),
        IF(Import.TipoArredondamento&lt;&gt;"TransfereGOV",
              ROUND(OFFSET($P196,0,AG$13),15-13*ORÇAMENTO!$AF$7)/$H196*OFFSET(ORÇAMENTO!$X$15,ROW(AG196)-ROW(AG$15),0),
              ROUND(ROUND(OFFSET($P196,0,AG$13),15-13*ORÇAMENTO!$AF$7)*OFFSET(ORÇAMENTO!$W$15,ROW(AG196)-ROW(AG$15),0),15-13*ORÇAMENTO!$AF$11)),
         0)</f>
        <v>0</v>
      </c>
      <c r="AH196" s="454">
        <f ca="1">IF(AND($D196="Serviço",AH$12&lt;&gt;0,$H196&gt;0,OR(AUTOEVENTO&lt;&gt;"manual",$M196&lt;&gt;$A$15)),
        IF(Import.TipoArredondamento&lt;&gt;"TransfereGOV",
              ROUND(OFFSET($P196,0,AH$13),15-13*ORÇAMENTO!$AF$7)/$H196*OFFSET(ORÇAMENTO!$X$15,ROW(AH196)-ROW(AH$15),0),
              ROUND(ROUND(OFFSET($P196,0,AH$13),15-13*ORÇAMENTO!$AF$7)*OFFSET(ORÇAMENTO!$W$15,ROW(AH196)-ROW(AH$15),0),15-13*ORÇAMENTO!$AF$11)),
         0)</f>
        <v>0</v>
      </c>
      <c r="AI196" s="454">
        <f ca="1">IF(AND($D196="Serviço",AI$12&lt;&gt;0,$H196&gt;0,OR(AUTOEVENTO&lt;&gt;"manual",$M196&lt;&gt;$A$15)),
        IF(Import.TipoArredondamento&lt;&gt;"TransfereGOV",
              ROUND(OFFSET($P196,0,AI$13),15-13*ORÇAMENTO!$AF$7)/$H196*OFFSET(ORÇAMENTO!$X$15,ROW(AI196)-ROW(AI$15),0),
              ROUND(ROUND(OFFSET($P196,0,AI$13),15-13*ORÇAMENTO!$AF$7)*OFFSET(ORÇAMENTO!$W$15,ROW(AI196)-ROW(AI$15),0),15-13*ORÇAMENTO!$AF$11)),
         0)</f>
        <v>0</v>
      </c>
      <c r="AJ196" s="454">
        <f ca="1">IF(AND($D196="Serviço",AJ$12&lt;&gt;0,$H196&gt;0,OR(AUTOEVENTO&lt;&gt;"manual",$M196&lt;&gt;$A$15)),
        IF(Import.TipoArredondamento&lt;&gt;"TransfereGOV",
              ROUND(OFFSET($P196,0,AJ$13),15-13*ORÇAMENTO!$AF$7)/$H196*OFFSET(ORÇAMENTO!$X$15,ROW(AJ196)-ROW(AJ$15),0),
              ROUND(ROUND(OFFSET($P196,0,AJ$13),15-13*ORÇAMENTO!$AF$7)*OFFSET(ORÇAMENTO!$W$15,ROW(AJ196)-ROW(AJ$15),0),15-13*ORÇAMENTO!$AF$11)),
         0)</f>
        <v>0</v>
      </c>
      <c r="AK196" s="454">
        <f ca="1">IF(AND($D196="Serviço",AK$12&lt;&gt;0,$H196&gt;0,OR(AUTOEVENTO&lt;&gt;"manual",$M196&lt;&gt;$A$15)),
        IF(Import.TipoArredondamento&lt;&gt;"TransfereGOV",
              ROUND(OFFSET($P196,0,AK$13),15-13*ORÇAMENTO!$AF$7)/$H196*OFFSET(ORÇAMENTO!$X$15,ROW(AK196)-ROW(AK$15),0),
              ROUND(ROUND(OFFSET($P196,0,AK$13),15-13*ORÇAMENTO!$AF$7)*OFFSET(ORÇAMENTO!$W$15,ROW(AK196)-ROW(AK$15),0),15-13*ORÇAMENTO!$AF$11)),
         0)</f>
        <v>0</v>
      </c>
      <c r="AM196" s="172">
        <f ca="1">IF(OR($D196&lt;&gt;"Serviço",AND(AUTOEVENTO="Manual",$M196=$A$15)),0,
         IF(OFFSET(CRONOPLE!$F$15,$M196-$A$15,AM$13)=0,10^12,OFFSET(CRONOPLE!$F$15,$M196-$A$15,AM$13)))</f>
        <v>1000000000000</v>
      </c>
      <c r="AN196" s="172">
        <f ca="1">IF(OR($D196&lt;&gt;"Serviço",AND(AUTOEVENTO="Manual",$M196=$A$15)),0,
         IF(OFFSET(CRONOPLE!$F$15,$M196-$A$15,AN$13)=0,10^12,OFFSET(CRONOPLE!$F$15,$M196-$A$15,AN$13)))</f>
        <v>1000000000000</v>
      </c>
      <c r="AO196" s="172">
        <f ca="1">IF(OR($D196&lt;&gt;"Serviço",AND(AUTOEVENTO="Manual",$M196=$A$15)),0,
         IF(OFFSET(CRONOPLE!$F$15,$M196-$A$15,AO$13)=0,10^12,OFFSET(CRONOPLE!$F$15,$M196-$A$15,AO$13)))</f>
        <v>1000000000000</v>
      </c>
      <c r="AP196" s="172">
        <f ca="1">IF(OR($D196&lt;&gt;"Serviço",AND(AUTOEVENTO="Manual",$M196=$A$15)),0,
         IF(OFFSET(CRONOPLE!$F$15,$M196-$A$15,AP$13)=0,10^12,OFFSET(CRONOPLE!$F$15,$M196-$A$15,AP$13)))</f>
        <v>1000000000000</v>
      </c>
      <c r="AQ196" s="172">
        <f ca="1">IF(OR($D196&lt;&gt;"Serviço",AND(AUTOEVENTO="Manual",$M196=$A$15)),0,
         IF(OFFSET(CRONOPLE!$F$15,$M196-$A$15,AQ$13)=0,10^12,OFFSET(CRONOPLE!$F$15,$M196-$A$15,AQ$13)))</f>
        <v>1000000000000</v>
      </c>
      <c r="AR196" s="172">
        <f ca="1">IF(OR($D196&lt;&gt;"Serviço",AND(AUTOEVENTO="Manual",$M196=$A$15)),0,
         IF(OFFSET(CRONOPLE!$F$15,$M196-$A$15,AR$13)=0,10^12,OFFSET(CRONOPLE!$F$15,$M196-$A$15,AR$13)))</f>
        <v>1000000000000</v>
      </c>
      <c r="AS196" s="172">
        <f ca="1">IF(OR($D196&lt;&gt;"Serviço",AND(AUTOEVENTO="Manual",$M196=$A$15)),0,
         IF(OFFSET(CRONOPLE!$F$15,$M196-$A$15,AS$13)=0,10^12,OFFSET(CRONOPLE!$F$15,$M196-$A$15,AS$13)))</f>
        <v>1000000000000</v>
      </c>
      <c r="AT196" s="172">
        <f ca="1">IF(OR($D196&lt;&gt;"Serviço",AND(AUTOEVENTO="Manual",$M196=$A$15)),0,
         IF(OFFSET(CRONOPLE!$F$15,$M196-$A$15,AT$13)=0,10^12,OFFSET(CRONOPLE!$F$15,$M196-$A$15,AT$13)))</f>
        <v>1000000000000</v>
      </c>
      <c r="AU196" s="172">
        <f ca="1">IF(OR($D196&lt;&gt;"Serviço",AND(AUTOEVENTO="Manual",$M196=$A$15)),0,
         IF(OFFSET(CRONOPLE!$F$15,$M196-$A$15,AU$13)=0,10^12,OFFSET(CRONOPLE!$F$15,$M196-$A$15,AU$13)))</f>
        <v>1000000000000</v>
      </c>
      <c r="AV196" s="172">
        <f ca="1">IF(OR($D196&lt;&gt;"Serviço",AND(AUTOEVENTO="Manual",$M196=$A$15)),0,
         IF(OFFSET(CRONOPLE!$F$15,$M196-$A$15,AV$13)=0,10^12,OFFSET(CRONOPLE!$F$15,$M196-$A$15,AV$13)))</f>
        <v>1000000000000</v>
      </c>
      <c r="AX196" s="173">
        <f ca="1">IF(OR($D196&lt;&gt;"Serviço",AND(AUTOEVENTO="Manual",$M196=$A$15),$M196&gt;(ROW(PLE.lastrow)-ROW(PLE.firstrow))),0,
           IF(OFFSET(PLE!$G$15,$M196-$A$15,AX$13)="",10^12,OFFSET(PLE!$G$15,$M196-$A$15,AX$13)))</f>
        <v>1000000000000</v>
      </c>
      <c r="AY196" s="173">
        <f ca="1">IF(OR($D196&lt;&gt;"Serviço",AND(AUTOEVENTO="Manual",$M196=$A$15),$M196&gt;(ROW(PLE.lastrow)-ROW(PLE.firstrow))),0,
           IF(OFFSET(PLE!$G$15,$M196-$A$15,AY$13)="",10^12,OFFSET(PLE!$G$15,$M196-$A$15,AY$13)))</f>
        <v>1000000000000</v>
      </c>
      <c r="AZ196" s="173">
        <f ca="1">IF(OR($D196&lt;&gt;"Serviço",AND(AUTOEVENTO="Manual",$M196=$A$15),$M196&gt;(ROW(PLE.lastrow)-ROW(PLE.firstrow))),0,
           IF(OFFSET(PLE!$G$15,$M196-$A$15,AZ$13)="",10^12,OFFSET(PLE!$G$15,$M196-$A$15,AZ$13)))</f>
        <v>1000000000000</v>
      </c>
      <c r="BA196" s="173">
        <f ca="1">IF(OR($D196&lt;&gt;"Serviço",AND(AUTOEVENTO="Manual",$M196=$A$15),$M196&gt;(ROW(PLE.lastrow)-ROW(PLE.firstrow))),0,
           IF(OFFSET(PLE!$G$15,$M196-$A$15,BA$13)="",10^12,OFFSET(PLE!$G$15,$M196-$A$15,BA$13)))</f>
        <v>1000000000000</v>
      </c>
      <c r="BB196" s="173">
        <f ca="1">IF(OR($D196&lt;&gt;"Serviço",AND(AUTOEVENTO="Manual",$M196=$A$15),$M196&gt;(ROW(PLE.lastrow)-ROW(PLE.firstrow))),0,
           IF(OFFSET(PLE!$G$15,$M196-$A$15,BB$13)="",10^12,OFFSET(PLE!$G$15,$M196-$A$15,BB$13)))</f>
        <v>1000000000000</v>
      </c>
      <c r="BC196" s="173">
        <f ca="1">IF(OR($D196&lt;&gt;"Serviço",AND(AUTOEVENTO="Manual",$M196=$A$15),$M196&gt;(ROW(PLE.lastrow)-ROW(PLE.firstrow))),0,
           IF(OFFSET(PLE!$G$15,$M196-$A$15,BC$13)="",10^12,OFFSET(PLE!$G$15,$M196-$A$15,BC$13)))</f>
        <v>1000000000000</v>
      </c>
      <c r="BD196" s="173">
        <f ca="1">IF(OR($D196&lt;&gt;"Serviço",AND(AUTOEVENTO="Manual",$M196=$A$15),$M196&gt;(ROW(PLE.lastrow)-ROW(PLE.firstrow))),0,
           IF(OFFSET(PLE!$G$15,$M196-$A$15,BD$13)="",10^12,OFFSET(PLE!$G$15,$M196-$A$15,BD$13)))</f>
        <v>1000000000000</v>
      </c>
      <c r="BE196" s="173">
        <f ca="1">IF(OR($D196&lt;&gt;"Serviço",AND(AUTOEVENTO="Manual",$M196=$A$15),$M196&gt;(ROW(PLE.lastrow)-ROW(PLE.firstrow))),0,
           IF(OFFSET(PLE!$G$15,$M196-$A$15,BE$13)="",10^12,OFFSET(PLE!$G$15,$M196-$A$15,BE$13)))</f>
        <v>1000000000000</v>
      </c>
      <c r="BF196" s="173">
        <f ca="1">IF(OR($D196&lt;&gt;"Serviço",AND(AUTOEVENTO="Manual",$M196=$A$15),$M196&gt;(ROW(PLE.lastrow)-ROW(PLE.firstrow))),0,
           IF(OFFSET(PLE!$G$15,$M196-$A$15,BF$13)="",10^12,OFFSET(PLE!$G$15,$M196-$A$15,BF$13)))</f>
        <v>1000000000000</v>
      </c>
      <c r="BG196" s="173">
        <f ca="1">IF(OR($D196&lt;&gt;"Serviço",AND(AUTOEVENTO="Manual",$M196=$A$15),$M196&gt;(ROW(PLE.lastrow)-ROW(PLE.firstrow))),0,
           IF(OFFSET(PLE!$G$15,$M196-$A$15,BG$13)="",10^12,OFFSET(PLE!$G$15,$M196-$A$15,BG$13)))</f>
        <v>1000000000000</v>
      </c>
    </row>
    <row r="197" spans="1:59" s="675" customFormat="1" ht="38.25" x14ac:dyDescent="0.2">
      <c r="A197" s="671" t="str">
        <f t="shared" ca="1" si="11"/>
        <v>180</v>
      </c>
      <c r="B197" s="671" t="str">
        <f ca="1">OFFSET(ORÇAMENTO!C$15,ROW(B197)-ROW(B$15),0)</f>
        <v>S</v>
      </c>
      <c r="C197" s="671" t="str">
        <f ca="1">OFFSET(ORÇAMENTO!L$15,ROW(C197)-ROW(C$15),0)</f>
        <v/>
      </c>
      <c r="D197" s="117" t="str">
        <f ca="1">OFFSET(ORÇAMENTO!N$15,ROW(D197)-ROW(D$15),0)</f>
        <v>Serviço</v>
      </c>
      <c r="E197" s="118" t="str">
        <f ca="1">OFFSET(ORÇAMENTO!O$15,ROW(E197)-ROW(E$15),0)</f>
        <v>-</v>
      </c>
      <c r="F197" s="164" t="str">
        <f ca="1">OFFSET(ORÇAMENTO!R$15,ROW(F197)-ROW(F$15),0)</f>
        <v>(abra o arquivo 'Referência 09-2025.xlsm)</v>
      </c>
      <c r="G197" s="165" t="str">
        <f ca="1">IF($D197&lt;&gt;"Serviço","",OFFSET(ORÇAMENTO!S$15,ROW(G197)-ROW(G$15),0))</f>
        <v>-</v>
      </c>
      <c r="H197" s="123">
        <f ca="1">IF($D197&lt;&gt;"Serviço",0,IF(ACOMPANHAMENTO="BM",ROUND(OFFSET(ORÇAMENTO!AJ$15,ROW(H197)-ROW(H$15),0),15-13*ORÇAMENTO!$AF$7),SUMPRODUCT(($Q$1:$AA$1=1)*ROUND($Q197:$AA197,15-13*ORÇAMENTO!$AF$7))))</f>
        <v>79.44</v>
      </c>
      <c r="I197" s="469" t="s">
        <v>1110</v>
      </c>
      <c r="J197" s="667" t="str">
        <f ca="1">IF(OR(B197&lt;&gt;"S",CÁLCULO.FrentesPreenchidas=0),"",IF(AND(ACOMPANHAMENTO="PLE",AUTOEVENTO="Manual",OR(H197&gt;0,ORÇAMENTO!AC197="QUANT."),OR(K197="",M197=0,N197="")),"►",IF(AND(ACOMPANHAMENTO="PLE",ORÇAMENTO!AC197="QUANT."),"►►",IF(AND(COUNTIF($P$11:$AA$11,"▼")=0,H197&gt;0,I197=""),"◄",""))))</f>
        <v/>
      </c>
      <c r="K197" s="668"/>
      <c r="L197" s="166" t="s">
        <v>765</v>
      </c>
      <c r="M197" s="167">
        <f ca="1">IF($D197&lt;&gt;"Serviço","",
          IF(AUTOEVENTO="manual",$A197,
                IF(ISERROR(MATCH($A197,$A$15:OFFSET($A197,-1,0),0)),MAX($M$15:OFFSET(M197,-1,0))+1,
                      INDEX($M$15:OFFSET(M197,-1,0),MATCH($A197,$A$15:OFFSET($A197,-1,0),0)))))</f>
        <v>20</v>
      </c>
      <c r="N197" s="168" t="str">
        <f ca="1">IF($D197&lt;&gt;"Serviço","",
         IF(AUTOEVENTO="Manual",
                IF($A197=0,"&lt;-- defina o número do agrupador",
                       OFFSET(EVENTOS!$D$15,$A197-$A$15,0)),
                OFFSET($F$15,$A197,0)))</f>
        <v>ESTRUTURA</v>
      </c>
      <c r="O197" s="169"/>
      <c r="Q197" s="169"/>
      <c r="R197" s="170"/>
      <c r="S197" s="170"/>
      <c r="T197" s="170"/>
      <c r="U197" s="170"/>
      <c r="V197" s="170"/>
      <c r="W197" s="170"/>
      <c r="X197" s="170"/>
      <c r="Y197" s="170"/>
      <c r="Z197" s="171"/>
      <c r="AB197" s="454">
        <f ca="1">IF(AND($D197="Serviço",AB$12&lt;&gt;0,$H197&gt;0,OR(AUTOEVENTO&lt;&gt;"manual",$M197&lt;&gt;$A$15)),
        IF(Import.TipoArredondamento&lt;&gt;"TransfereGOV",
              ROUND(OFFSET($P197,0,AB$13),15-13*ORÇAMENTO!$AF$7)/$H197*OFFSET(ORÇAMENTO!$X$15,ROW(AB197)-ROW(AB$15),0),
              ROUND(ROUND(OFFSET($P197,0,AB$13),15-13*ORÇAMENTO!$AF$7)*OFFSET(ORÇAMENTO!$W$15,ROW(AB197)-ROW(AB$15),0),15-13*ORÇAMENTO!$AF$11)),
         0)</f>
        <v>0</v>
      </c>
      <c r="AC197" s="454">
        <f ca="1">IF(AND($D197="Serviço",AC$12&lt;&gt;0,$H197&gt;0,OR(AUTOEVENTO&lt;&gt;"manual",$M197&lt;&gt;$A$15)),
        IF(Import.TipoArredondamento&lt;&gt;"TransfereGOV",
              ROUND(OFFSET($P197,0,AC$13),15-13*ORÇAMENTO!$AF$7)/$H197*OFFSET(ORÇAMENTO!$X$15,ROW(AC197)-ROW(AC$15),0),
              ROUND(ROUND(OFFSET($P197,0,AC$13),15-13*ORÇAMENTO!$AF$7)*OFFSET(ORÇAMENTO!$W$15,ROW(AC197)-ROW(AC$15),0),15-13*ORÇAMENTO!$AF$11)),
         0)</f>
        <v>0</v>
      </c>
      <c r="AD197" s="454">
        <f ca="1">IF(AND($D197="Serviço",AD$12&lt;&gt;0,$H197&gt;0,OR(AUTOEVENTO&lt;&gt;"manual",$M197&lt;&gt;$A$15)),
        IF(Import.TipoArredondamento&lt;&gt;"TransfereGOV",
              ROUND(OFFSET($P197,0,AD$13),15-13*ORÇAMENTO!$AF$7)/$H197*OFFSET(ORÇAMENTO!$X$15,ROW(AD197)-ROW(AD$15),0),
              ROUND(ROUND(OFFSET($P197,0,AD$13),15-13*ORÇAMENTO!$AF$7)*OFFSET(ORÇAMENTO!$W$15,ROW(AD197)-ROW(AD$15),0),15-13*ORÇAMENTO!$AF$11)),
         0)</f>
        <v>0</v>
      </c>
      <c r="AE197" s="454">
        <f ca="1">IF(AND($D197="Serviço",AE$12&lt;&gt;0,$H197&gt;0,OR(AUTOEVENTO&lt;&gt;"manual",$M197&lt;&gt;$A$15)),
        IF(Import.TipoArredondamento&lt;&gt;"TransfereGOV",
              ROUND(OFFSET($P197,0,AE$13),15-13*ORÇAMENTO!$AF$7)/$H197*OFFSET(ORÇAMENTO!$X$15,ROW(AE197)-ROW(AE$15),0),
              ROUND(ROUND(OFFSET($P197,0,AE$13),15-13*ORÇAMENTO!$AF$7)*OFFSET(ORÇAMENTO!$W$15,ROW(AE197)-ROW(AE$15),0),15-13*ORÇAMENTO!$AF$11)),
         0)</f>
        <v>0</v>
      </c>
      <c r="AF197" s="454">
        <f ca="1">IF(AND($D197="Serviço",AF$12&lt;&gt;0,$H197&gt;0,OR(AUTOEVENTO&lt;&gt;"manual",$M197&lt;&gt;$A$15)),
        IF(Import.TipoArredondamento&lt;&gt;"TransfereGOV",
              ROUND(OFFSET($P197,0,AF$13),15-13*ORÇAMENTO!$AF$7)/$H197*OFFSET(ORÇAMENTO!$X$15,ROW(AF197)-ROW(AF$15),0),
              ROUND(ROUND(OFFSET($P197,0,AF$13),15-13*ORÇAMENTO!$AF$7)*OFFSET(ORÇAMENTO!$W$15,ROW(AF197)-ROW(AF$15),0),15-13*ORÇAMENTO!$AF$11)),
         0)</f>
        <v>0</v>
      </c>
      <c r="AG197" s="454">
        <f ca="1">IF(AND($D197="Serviço",AG$12&lt;&gt;0,$H197&gt;0,OR(AUTOEVENTO&lt;&gt;"manual",$M197&lt;&gt;$A$15)),
        IF(Import.TipoArredondamento&lt;&gt;"TransfereGOV",
              ROUND(OFFSET($P197,0,AG$13),15-13*ORÇAMENTO!$AF$7)/$H197*OFFSET(ORÇAMENTO!$X$15,ROW(AG197)-ROW(AG$15),0),
              ROUND(ROUND(OFFSET($P197,0,AG$13),15-13*ORÇAMENTO!$AF$7)*OFFSET(ORÇAMENTO!$W$15,ROW(AG197)-ROW(AG$15),0),15-13*ORÇAMENTO!$AF$11)),
         0)</f>
        <v>0</v>
      </c>
      <c r="AH197" s="454">
        <f ca="1">IF(AND($D197="Serviço",AH$12&lt;&gt;0,$H197&gt;0,OR(AUTOEVENTO&lt;&gt;"manual",$M197&lt;&gt;$A$15)),
        IF(Import.TipoArredondamento&lt;&gt;"TransfereGOV",
              ROUND(OFFSET($P197,0,AH$13),15-13*ORÇAMENTO!$AF$7)/$H197*OFFSET(ORÇAMENTO!$X$15,ROW(AH197)-ROW(AH$15),0),
              ROUND(ROUND(OFFSET($P197,0,AH$13),15-13*ORÇAMENTO!$AF$7)*OFFSET(ORÇAMENTO!$W$15,ROW(AH197)-ROW(AH$15),0),15-13*ORÇAMENTO!$AF$11)),
         0)</f>
        <v>0</v>
      </c>
      <c r="AI197" s="454">
        <f ca="1">IF(AND($D197="Serviço",AI$12&lt;&gt;0,$H197&gt;0,OR(AUTOEVENTO&lt;&gt;"manual",$M197&lt;&gt;$A$15)),
        IF(Import.TipoArredondamento&lt;&gt;"TransfereGOV",
              ROUND(OFFSET($P197,0,AI$13),15-13*ORÇAMENTO!$AF$7)/$H197*OFFSET(ORÇAMENTO!$X$15,ROW(AI197)-ROW(AI$15),0),
              ROUND(ROUND(OFFSET($P197,0,AI$13),15-13*ORÇAMENTO!$AF$7)*OFFSET(ORÇAMENTO!$W$15,ROW(AI197)-ROW(AI$15),0),15-13*ORÇAMENTO!$AF$11)),
         0)</f>
        <v>0</v>
      </c>
      <c r="AJ197" s="454">
        <f ca="1">IF(AND($D197="Serviço",AJ$12&lt;&gt;0,$H197&gt;0,OR(AUTOEVENTO&lt;&gt;"manual",$M197&lt;&gt;$A$15)),
        IF(Import.TipoArredondamento&lt;&gt;"TransfereGOV",
              ROUND(OFFSET($P197,0,AJ$13),15-13*ORÇAMENTO!$AF$7)/$H197*OFFSET(ORÇAMENTO!$X$15,ROW(AJ197)-ROW(AJ$15),0),
              ROUND(ROUND(OFFSET($P197,0,AJ$13),15-13*ORÇAMENTO!$AF$7)*OFFSET(ORÇAMENTO!$W$15,ROW(AJ197)-ROW(AJ$15),0),15-13*ORÇAMENTO!$AF$11)),
         0)</f>
        <v>0</v>
      </c>
      <c r="AK197" s="454">
        <f ca="1">IF(AND($D197="Serviço",AK$12&lt;&gt;0,$H197&gt;0,OR(AUTOEVENTO&lt;&gt;"manual",$M197&lt;&gt;$A$15)),
        IF(Import.TipoArredondamento&lt;&gt;"TransfereGOV",
              ROUND(OFFSET($P197,0,AK$13),15-13*ORÇAMENTO!$AF$7)/$H197*OFFSET(ORÇAMENTO!$X$15,ROW(AK197)-ROW(AK$15),0),
              ROUND(ROUND(OFFSET($P197,0,AK$13),15-13*ORÇAMENTO!$AF$7)*OFFSET(ORÇAMENTO!$W$15,ROW(AK197)-ROW(AK$15),0),15-13*ORÇAMENTO!$AF$11)),
         0)</f>
        <v>0</v>
      </c>
      <c r="AM197" s="172">
        <f ca="1">IF(OR($D197&lt;&gt;"Serviço",AND(AUTOEVENTO="Manual",$M197=$A$15)),0,
         IF(OFFSET(CRONOPLE!$F$15,$M197-$A$15,AM$13)=0,10^12,OFFSET(CRONOPLE!$F$15,$M197-$A$15,AM$13)))</f>
        <v>1000000000000</v>
      </c>
      <c r="AN197" s="172">
        <f ca="1">IF(OR($D197&lt;&gt;"Serviço",AND(AUTOEVENTO="Manual",$M197=$A$15)),0,
         IF(OFFSET(CRONOPLE!$F$15,$M197-$A$15,AN$13)=0,10^12,OFFSET(CRONOPLE!$F$15,$M197-$A$15,AN$13)))</f>
        <v>1000000000000</v>
      </c>
      <c r="AO197" s="172">
        <f ca="1">IF(OR($D197&lt;&gt;"Serviço",AND(AUTOEVENTO="Manual",$M197=$A$15)),0,
         IF(OFFSET(CRONOPLE!$F$15,$M197-$A$15,AO$13)=0,10^12,OFFSET(CRONOPLE!$F$15,$M197-$A$15,AO$13)))</f>
        <v>1000000000000</v>
      </c>
      <c r="AP197" s="172">
        <f ca="1">IF(OR($D197&lt;&gt;"Serviço",AND(AUTOEVENTO="Manual",$M197=$A$15)),0,
         IF(OFFSET(CRONOPLE!$F$15,$M197-$A$15,AP$13)=0,10^12,OFFSET(CRONOPLE!$F$15,$M197-$A$15,AP$13)))</f>
        <v>1000000000000</v>
      </c>
      <c r="AQ197" s="172">
        <f ca="1">IF(OR($D197&lt;&gt;"Serviço",AND(AUTOEVENTO="Manual",$M197=$A$15)),0,
         IF(OFFSET(CRONOPLE!$F$15,$M197-$A$15,AQ$13)=0,10^12,OFFSET(CRONOPLE!$F$15,$M197-$A$15,AQ$13)))</f>
        <v>1000000000000</v>
      </c>
      <c r="AR197" s="172">
        <f ca="1">IF(OR($D197&lt;&gt;"Serviço",AND(AUTOEVENTO="Manual",$M197=$A$15)),0,
         IF(OFFSET(CRONOPLE!$F$15,$M197-$A$15,AR$13)=0,10^12,OFFSET(CRONOPLE!$F$15,$M197-$A$15,AR$13)))</f>
        <v>1000000000000</v>
      </c>
      <c r="AS197" s="172">
        <f ca="1">IF(OR($D197&lt;&gt;"Serviço",AND(AUTOEVENTO="Manual",$M197=$A$15)),0,
         IF(OFFSET(CRONOPLE!$F$15,$M197-$A$15,AS$13)=0,10^12,OFFSET(CRONOPLE!$F$15,$M197-$A$15,AS$13)))</f>
        <v>1000000000000</v>
      </c>
      <c r="AT197" s="172">
        <f ca="1">IF(OR($D197&lt;&gt;"Serviço",AND(AUTOEVENTO="Manual",$M197=$A$15)),0,
         IF(OFFSET(CRONOPLE!$F$15,$M197-$A$15,AT$13)=0,10^12,OFFSET(CRONOPLE!$F$15,$M197-$A$15,AT$13)))</f>
        <v>1000000000000</v>
      </c>
      <c r="AU197" s="172">
        <f ca="1">IF(OR($D197&lt;&gt;"Serviço",AND(AUTOEVENTO="Manual",$M197=$A$15)),0,
         IF(OFFSET(CRONOPLE!$F$15,$M197-$A$15,AU$13)=0,10^12,OFFSET(CRONOPLE!$F$15,$M197-$A$15,AU$13)))</f>
        <v>1000000000000</v>
      </c>
      <c r="AV197" s="172">
        <f ca="1">IF(OR($D197&lt;&gt;"Serviço",AND(AUTOEVENTO="Manual",$M197=$A$15)),0,
         IF(OFFSET(CRONOPLE!$F$15,$M197-$A$15,AV$13)=0,10^12,OFFSET(CRONOPLE!$F$15,$M197-$A$15,AV$13)))</f>
        <v>1000000000000</v>
      </c>
      <c r="AX197" s="173">
        <f ca="1">IF(OR($D197&lt;&gt;"Serviço",AND(AUTOEVENTO="Manual",$M197=$A$15),$M197&gt;(ROW(PLE.lastrow)-ROW(PLE.firstrow))),0,
           IF(OFFSET(PLE!$G$15,$M197-$A$15,AX$13)="",10^12,OFFSET(PLE!$G$15,$M197-$A$15,AX$13)))</f>
        <v>1000000000000</v>
      </c>
      <c r="AY197" s="173">
        <f ca="1">IF(OR($D197&lt;&gt;"Serviço",AND(AUTOEVENTO="Manual",$M197=$A$15),$M197&gt;(ROW(PLE.lastrow)-ROW(PLE.firstrow))),0,
           IF(OFFSET(PLE!$G$15,$M197-$A$15,AY$13)="",10^12,OFFSET(PLE!$G$15,$M197-$A$15,AY$13)))</f>
        <v>1000000000000</v>
      </c>
      <c r="AZ197" s="173">
        <f ca="1">IF(OR($D197&lt;&gt;"Serviço",AND(AUTOEVENTO="Manual",$M197=$A$15),$M197&gt;(ROW(PLE.lastrow)-ROW(PLE.firstrow))),0,
           IF(OFFSET(PLE!$G$15,$M197-$A$15,AZ$13)="",10^12,OFFSET(PLE!$G$15,$M197-$A$15,AZ$13)))</f>
        <v>1000000000000</v>
      </c>
      <c r="BA197" s="173">
        <f ca="1">IF(OR($D197&lt;&gt;"Serviço",AND(AUTOEVENTO="Manual",$M197=$A$15),$M197&gt;(ROW(PLE.lastrow)-ROW(PLE.firstrow))),0,
           IF(OFFSET(PLE!$G$15,$M197-$A$15,BA$13)="",10^12,OFFSET(PLE!$G$15,$M197-$A$15,BA$13)))</f>
        <v>1000000000000</v>
      </c>
      <c r="BB197" s="173">
        <f ca="1">IF(OR($D197&lt;&gt;"Serviço",AND(AUTOEVENTO="Manual",$M197=$A$15),$M197&gt;(ROW(PLE.lastrow)-ROW(PLE.firstrow))),0,
           IF(OFFSET(PLE!$G$15,$M197-$A$15,BB$13)="",10^12,OFFSET(PLE!$G$15,$M197-$A$15,BB$13)))</f>
        <v>1000000000000</v>
      </c>
      <c r="BC197" s="173">
        <f ca="1">IF(OR($D197&lt;&gt;"Serviço",AND(AUTOEVENTO="Manual",$M197=$A$15),$M197&gt;(ROW(PLE.lastrow)-ROW(PLE.firstrow))),0,
           IF(OFFSET(PLE!$G$15,$M197-$A$15,BC$13)="",10^12,OFFSET(PLE!$G$15,$M197-$A$15,BC$13)))</f>
        <v>1000000000000</v>
      </c>
      <c r="BD197" s="173">
        <f ca="1">IF(OR($D197&lt;&gt;"Serviço",AND(AUTOEVENTO="Manual",$M197=$A$15),$M197&gt;(ROW(PLE.lastrow)-ROW(PLE.firstrow))),0,
           IF(OFFSET(PLE!$G$15,$M197-$A$15,BD$13)="",10^12,OFFSET(PLE!$G$15,$M197-$A$15,BD$13)))</f>
        <v>1000000000000</v>
      </c>
      <c r="BE197" s="173">
        <f ca="1">IF(OR($D197&lt;&gt;"Serviço",AND(AUTOEVENTO="Manual",$M197=$A$15),$M197&gt;(ROW(PLE.lastrow)-ROW(PLE.firstrow))),0,
           IF(OFFSET(PLE!$G$15,$M197-$A$15,BE$13)="",10^12,OFFSET(PLE!$G$15,$M197-$A$15,BE$13)))</f>
        <v>1000000000000</v>
      </c>
      <c r="BF197" s="173">
        <f ca="1">IF(OR($D197&lt;&gt;"Serviço",AND(AUTOEVENTO="Manual",$M197=$A$15),$M197&gt;(ROW(PLE.lastrow)-ROW(PLE.firstrow))),0,
           IF(OFFSET(PLE!$G$15,$M197-$A$15,BF$13)="",10^12,OFFSET(PLE!$G$15,$M197-$A$15,BF$13)))</f>
        <v>1000000000000</v>
      </c>
      <c r="BG197" s="173">
        <f ca="1">IF(OR($D197&lt;&gt;"Serviço",AND(AUTOEVENTO="Manual",$M197=$A$15),$M197&gt;(ROW(PLE.lastrow)-ROW(PLE.firstrow))),0,
           IF(OFFSET(PLE!$G$15,$M197-$A$15,BG$13)="",10^12,OFFSET(PLE!$G$15,$M197-$A$15,BG$13)))</f>
        <v>1000000000000</v>
      </c>
    </row>
    <row r="198" spans="1:59" s="675" customFormat="1" ht="38.25" x14ac:dyDescent="0.2">
      <c r="A198" s="671" t="str">
        <f t="shared" ca="1" si="11"/>
        <v>180</v>
      </c>
      <c r="B198" s="671" t="str">
        <f ca="1">OFFSET(ORÇAMENTO!C$15,ROW(B198)-ROW(B$15),0)</f>
        <v>S</v>
      </c>
      <c r="C198" s="671" t="str">
        <f ca="1">OFFSET(ORÇAMENTO!L$15,ROW(C198)-ROW(C$15),0)</f>
        <v/>
      </c>
      <c r="D198" s="117" t="str">
        <f ca="1">OFFSET(ORÇAMENTO!N$15,ROW(D198)-ROW(D$15),0)</f>
        <v>Serviço</v>
      </c>
      <c r="E198" s="118" t="str">
        <f ca="1">OFFSET(ORÇAMENTO!O$15,ROW(E198)-ROW(E$15),0)</f>
        <v>-</v>
      </c>
      <c r="F198" s="164" t="str">
        <f ca="1">OFFSET(ORÇAMENTO!R$15,ROW(F198)-ROW(F$15),0)</f>
        <v>(abra o arquivo 'Referência 09-2025.xlsm)</v>
      </c>
      <c r="G198" s="165" t="str">
        <f ca="1">IF($D198&lt;&gt;"Serviço","",OFFSET(ORÇAMENTO!S$15,ROW(G198)-ROW(G$15),0))</f>
        <v>-</v>
      </c>
      <c r="H198" s="123">
        <f ca="1">IF($D198&lt;&gt;"Serviço",0,IF(ACOMPANHAMENTO="BM",ROUND(OFFSET(ORÇAMENTO!AJ$15,ROW(H198)-ROW(H$15),0),15-13*ORÇAMENTO!$AF$7),SUMPRODUCT(($Q$1:$AA$1=1)*ROUND($Q198:$AA198,15-13*ORÇAMENTO!$AF$7))))</f>
        <v>28.8</v>
      </c>
      <c r="I198" s="469" t="s">
        <v>1110</v>
      </c>
      <c r="J198" s="667" t="str">
        <f ca="1">IF(OR(B198&lt;&gt;"S",CÁLCULO.FrentesPreenchidas=0),"",IF(AND(ACOMPANHAMENTO="PLE",AUTOEVENTO="Manual",OR(H198&gt;0,ORÇAMENTO!AC198="QUANT."),OR(K198="",M198=0,N198="")),"►",IF(AND(ACOMPANHAMENTO="PLE",ORÇAMENTO!AC198="QUANT."),"►►",IF(AND(COUNTIF($P$11:$AA$11,"▼")=0,H198&gt;0,I198=""),"◄",""))))</f>
        <v/>
      </c>
      <c r="K198" s="668"/>
      <c r="L198" s="166" t="s">
        <v>765</v>
      </c>
      <c r="M198" s="167">
        <f ca="1">IF($D198&lt;&gt;"Serviço","",
          IF(AUTOEVENTO="manual",$A198,
                IF(ISERROR(MATCH($A198,$A$15:OFFSET($A198,-1,0),0)),MAX($M$15:OFFSET(M198,-1,0))+1,
                      INDEX($M$15:OFFSET(M198,-1,0),MATCH($A198,$A$15:OFFSET($A198,-1,0),0)))))</f>
        <v>20</v>
      </c>
      <c r="N198" s="168" t="str">
        <f ca="1">IF($D198&lt;&gt;"Serviço","",
         IF(AUTOEVENTO="Manual",
                IF($A198=0,"&lt;-- defina o número do agrupador",
                       OFFSET(EVENTOS!$D$15,$A198-$A$15,0)),
                OFFSET($F$15,$A198,0)))</f>
        <v>ESTRUTURA</v>
      </c>
      <c r="O198" s="169"/>
      <c r="Q198" s="169"/>
      <c r="R198" s="170"/>
      <c r="S198" s="170"/>
      <c r="T198" s="170"/>
      <c r="U198" s="170"/>
      <c r="V198" s="170"/>
      <c r="W198" s="170"/>
      <c r="X198" s="170"/>
      <c r="Y198" s="170"/>
      <c r="Z198" s="171"/>
      <c r="AB198" s="454">
        <f ca="1">IF(AND($D198="Serviço",AB$12&lt;&gt;0,$H198&gt;0,OR(AUTOEVENTO&lt;&gt;"manual",$M198&lt;&gt;$A$15)),
        IF(Import.TipoArredondamento&lt;&gt;"TransfereGOV",
              ROUND(OFFSET($P198,0,AB$13),15-13*ORÇAMENTO!$AF$7)/$H198*OFFSET(ORÇAMENTO!$X$15,ROW(AB198)-ROW(AB$15),0),
              ROUND(ROUND(OFFSET($P198,0,AB$13),15-13*ORÇAMENTO!$AF$7)*OFFSET(ORÇAMENTO!$W$15,ROW(AB198)-ROW(AB$15),0),15-13*ORÇAMENTO!$AF$11)),
         0)</f>
        <v>0</v>
      </c>
      <c r="AC198" s="454">
        <f ca="1">IF(AND($D198="Serviço",AC$12&lt;&gt;0,$H198&gt;0,OR(AUTOEVENTO&lt;&gt;"manual",$M198&lt;&gt;$A$15)),
        IF(Import.TipoArredondamento&lt;&gt;"TransfereGOV",
              ROUND(OFFSET($P198,0,AC$13),15-13*ORÇAMENTO!$AF$7)/$H198*OFFSET(ORÇAMENTO!$X$15,ROW(AC198)-ROW(AC$15),0),
              ROUND(ROUND(OFFSET($P198,0,AC$13),15-13*ORÇAMENTO!$AF$7)*OFFSET(ORÇAMENTO!$W$15,ROW(AC198)-ROW(AC$15),0),15-13*ORÇAMENTO!$AF$11)),
         0)</f>
        <v>0</v>
      </c>
      <c r="AD198" s="454">
        <f ca="1">IF(AND($D198="Serviço",AD$12&lt;&gt;0,$H198&gt;0,OR(AUTOEVENTO&lt;&gt;"manual",$M198&lt;&gt;$A$15)),
        IF(Import.TipoArredondamento&lt;&gt;"TransfereGOV",
              ROUND(OFFSET($P198,0,AD$13),15-13*ORÇAMENTO!$AF$7)/$H198*OFFSET(ORÇAMENTO!$X$15,ROW(AD198)-ROW(AD$15),0),
              ROUND(ROUND(OFFSET($P198,0,AD$13),15-13*ORÇAMENTO!$AF$7)*OFFSET(ORÇAMENTO!$W$15,ROW(AD198)-ROW(AD$15),0),15-13*ORÇAMENTO!$AF$11)),
         0)</f>
        <v>0</v>
      </c>
      <c r="AE198" s="454">
        <f ca="1">IF(AND($D198="Serviço",AE$12&lt;&gt;0,$H198&gt;0,OR(AUTOEVENTO&lt;&gt;"manual",$M198&lt;&gt;$A$15)),
        IF(Import.TipoArredondamento&lt;&gt;"TransfereGOV",
              ROUND(OFFSET($P198,0,AE$13),15-13*ORÇAMENTO!$AF$7)/$H198*OFFSET(ORÇAMENTO!$X$15,ROW(AE198)-ROW(AE$15),0),
              ROUND(ROUND(OFFSET($P198,0,AE$13),15-13*ORÇAMENTO!$AF$7)*OFFSET(ORÇAMENTO!$W$15,ROW(AE198)-ROW(AE$15),0),15-13*ORÇAMENTO!$AF$11)),
         0)</f>
        <v>0</v>
      </c>
      <c r="AF198" s="454">
        <f ca="1">IF(AND($D198="Serviço",AF$12&lt;&gt;0,$H198&gt;0,OR(AUTOEVENTO&lt;&gt;"manual",$M198&lt;&gt;$A$15)),
        IF(Import.TipoArredondamento&lt;&gt;"TransfereGOV",
              ROUND(OFFSET($P198,0,AF$13),15-13*ORÇAMENTO!$AF$7)/$H198*OFFSET(ORÇAMENTO!$X$15,ROW(AF198)-ROW(AF$15),0),
              ROUND(ROUND(OFFSET($P198,0,AF$13),15-13*ORÇAMENTO!$AF$7)*OFFSET(ORÇAMENTO!$W$15,ROW(AF198)-ROW(AF$15),0),15-13*ORÇAMENTO!$AF$11)),
         0)</f>
        <v>0</v>
      </c>
      <c r="AG198" s="454">
        <f ca="1">IF(AND($D198="Serviço",AG$12&lt;&gt;0,$H198&gt;0,OR(AUTOEVENTO&lt;&gt;"manual",$M198&lt;&gt;$A$15)),
        IF(Import.TipoArredondamento&lt;&gt;"TransfereGOV",
              ROUND(OFFSET($P198,0,AG$13),15-13*ORÇAMENTO!$AF$7)/$H198*OFFSET(ORÇAMENTO!$X$15,ROW(AG198)-ROW(AG$15),0),
              ROUND(ROUND(OFFSET($P198,0,AG$13),15-13*ORÇAMENTO!$AF$7)*OFFSET(ORÇAMENTO!$W$15,ROW(AG198)-ROW(AG$15),0),15-13*ORÇAMENTO!$AF$11)),
         0)</f>
        <v>0</v>
      </c>
      <c r="AH198" s="454">
        <f ca="1">IF(AND($D198="Serviço",AH$12&lt;&gt;0,$H198&gt;0,OR(AUTOEVENTO&lt;&gt;"manual",$M198&lt;&gt;$A$15)),
        IF(Import.TipoArredondamento&lt;&gt;"TransfereGOV",
              ROUND(OFFSET($P198,0,AH$13),15-13*ORÇAMENTO!$AF$7)/$H198*OFFSET(ORÇAMENTO!$X$15,ROW(AH198)-ROW(AH$15),0),
              ROUND(ROUND(OFFSET($P198,0,AH$13),15-13*ORÇAMENTO!$AF$7)*OFFSET(ORÇAMENTO!$W$15,ROW(AH198)-ROW(AH$15),0),15-13*ORÇAMENTO!$AF$11)),
         0)</f>
        <v>0</v>
      </c>
      <c r="AI198" s="454">
        <f ca="1">IF(AND($D198="Serviço",AI$12&lt;&gt;0,$H198&gt;0,OR(AUTOEVENTO&lt;&gt;"manual",$M198&lt;&gt;$A$15)),
        IF(Import.TipoArredondamento&lt;&gt;"TransfereGOV",
              ROUND(OFFSET($P198,0,AI$13),15-13*ORÇAMENTO!$AF$7)/$H198*OFFSET(ORÇAMENTO!$X$15,ROW(AI198)-ROW(AI$15),0),
              ROUND(ROUND(OFFSET($P198,0,AI$13),15-13*ORÇAMENTO!$AF$7)*OFFSET(ORÇAMENTO!$W$15,ROW(AI198)-ROW(AI$15),0),15-13*ORÇAMENTO!$AF$11)),
         0)</f>
        <v>0</v>
      </c>
      <c r="AJ198" s="454">
        <f ca="1">IF(AND($D198="Serviço",AJ$12&lt;&gt;0,$H198&gt;0,OR(AUTOEVENTO&lt;&gt;"manual",$M198&lt;&gt;$A$15)),
        IF(Import.TipoArredondamento&lt;&gt;"TransfereGOV",
              ROUND(OFFSET($P198,0,AJ$13),15-13*ORÇAMENTO!$AF$7)/$H198*OFFSET(ORÇAMENTO!$X$15,ROW(AJ198)-ROW(AJ$15),0),
              ROUND(ROUND(OFFSET($P198,0,AJ$13),15-13*ORÇAMENTO!$AF$7)*OFFSET(ORÇAMENTO!$W$15,ROW(AJ198)-ROW(AJ$15),0),15-13*ORÇAMENTO!$AF$11)),
         0)</f>
        <v>0</v>
      </c>
      <c r="AK198" s="454">
        <f ca="1">IF(AND($D198="Serviço",AK$12&lt;&gt;0,$H198&gt;0,OR(AUTOEVENTO&lt;&gt;"manual",$M198&lt;&gt;$A$15)),
        IF(Import.TipoArredondamento&lt;&gt;"TransfereGOV",
              ROUND(OFFSET($P198,0,AK$13),15-13*ORÇAMENTO!$AF$7)/$H198*OFFSET(ORÇAMENTO!$X$15,ROW(AK198)-ROW(AK$15),0),
              ROUND(ROUND(OFFSET($P198,0,AK$13),15-13*ORÇAMENTO!$AF$7)*OFFSET(ORÇAMENTO!$W$15,ROW(AK198)-ROW(AK$15),0),15-13*ORÇAMENTO!$AF$11)),
         0)</f>
        <v>0</v>
      </c>
      <c r="AM198" s="172">
        <f ca="1">IF(OR($D198&lt;&gt;"Serviço",AND(AUTOEVENTO="Manual",$M198=$A$15)),0,
         IF(OFFSET(CRONOPLE!$F$15,$M198-$A$15,AM$13)=0,10^12,OFFSET(CRONOPLE!$F$15,$M198-$A$15,AM$13)))</f>
        <v>1000000000000</v>
      </c>
      <c r="AN198" s="172">
        <f ca="1">IF(OR($D198&lt;&gt;"Serviço",AND(AUTOEVENTO="Manual",$M198=$A$15)),0,
         IF(OFFSET(CRONOPLE!$F$15,$M198-$A$15,AN$13)=0,10^12,OFFSET(CRONOPLE!$F$15,$M198-$A$15,AN$13)))</f>
        <v>1000000000000</v>
      </c>
      <c r="AO198" s="172">
        <f ca="1">IF(OR($D198&lt;&gt;"Serviço",AND(AUTOEVENTO="Manual",$M198=$A$15)),0,
         IF(OFFSET(CRONOPLE!$F$15,$M198-$A$15,AO$13)=0,10^12,OFFSET(CRONOPLE!$F$15,$M198-$A$15,AO$13)))</f>
        <v>1000000000000</v>
      </c>
      <c r="AP198" s="172">
        <f ca="1">IF(OR($D198&lt;&gt;"Serviço",AND(AUTOEVENTO="Manual",$M198=$A$15)),0,
         IF(OFFSET(CRONOPLE!$F$15,$M198-$A$15,AP$13)=0,10^12,OFFSET(CRONOPLE!$F$15,$M198-$A$15,AP$13)))</f>
        <v>1000000000000</v>
      </c>
      <c r="AQ198" s="172">
        <f ca="1">IF(OR($D198&lt;&gt;"Serviço",AND(AUTOEVENTO="Manual",$M198=$A$15)),0,
         IF(OFFSET(CRONOPLE!$F$15,$M198-$A$15,AQ$13)=0,10^12,OFFSET(CRONOPLE!$F$15,$M198-$A$15,AQ$13)))</f>
        <v>1000000000000</v>
      </c>
      <c r="AR198" s="172">
        <f ca="1">IF(OR($D198&lt;&gt;"Serviço",AND(AUTOEVENTO="Manual",$M198=$A$15)),0,
         IF(OFFSET(CRONOPLE!$F$15,$M198-$A$15,AR$13)=0,10^12,OFFSET(CRONOPLE!$F$15,$M198-$A$15,AR$13)))</f>
        <v>1000000000000</v>
      </c>
      <c r="AS198" s="172">
        <f ca="1">IF(OR($D198&lt;&gt;"Serviço",AND(AUTOEVENTO="Manual",$M198=$A$15)),0,
         IF(OFFSET(CRONOPLE!$F$15,$M198-$A$15,AS$13)=0,10^12,OFFSET(CRONOPLE!$F$15,$M198-$A$15,AS$13)))</f>
        <v>1000000000000</v>
      </c>
      <c r="AT198" s="172">
        <f ca="1">IF(OR($D198&lt;&gt;"Serviço",AND(AUTOEVENTO="Manual",$M198=$A$15)),0,
         IF(OFFSET(CRONOPLE!$F$15,$M198-$A$15,AT$13)=0,10^12,OFFSET(CRONOPLE!$F$15,$M198-$A$15,AT$13)))</f>
        <v>1000000000000</v>
      </c>
      <c r="AU198" s="172">
        <f ca="1">IF(OR($D198&lt;&gt;"Serviço",AND(AUTOEVENTO="Manual",$M198=$A$15)),0,
         IF(OFFSET(CRONOPLE!$F$15,$M198-$A$15,AU$13)=0,10^12,OFFSET(CRONOPLE!$F$15,$M198-$A$15,AU$13)))</f>
        <v>1000000000000</v>
      </c>
      <c r="AV198" s="172">
        <f ca="1">IF(OR($D198&lt;&gt;"Serviço",AND(AUTOEVENTO="Manual",$M198=$A$15)),0,
         IF(OFFSET(CRONOPLE!$F$15,$M198-$A$15,AV$13)=0,10^12,OFFSET(CRONOPLE!$F$15,$M198-$A$15,AV$13)))</f>
        <v>1000000000000</v>
      </c>
      <c r="AX198" s="173">
        <f ca="1">IF(OR($D198&lt;&gt;"Serviço",AND(AUTOEVENTO="Manual",$M198=$A$15),$M198&gt;(ROW(PLE.lastrow)-ROW(PLE.firstrow))),0,
           IF(OFFSET(PLE!$G$15,$M198-$A$15,AX$13)="",10^12,OFFSET(PLE!$G$15,$M198-$A$15,AX$13)))</f>
        <v>1000000000000</v>
      </c>
      <c r="AY198" s="173">
        <f ca="1">IF(OR($D198&lt;&gt;"Serviço",AND(AUTOEVENTO="Manual",$M198=$A$15),$M198&gt;(ROW(PLE.lastrow)-ROW(PLE.firstrow))),0,
           IF(OFFSET(PLE!$G$15,$M198-$A$15,AY$13)="",10^12,OFFSET(PLE!$G$15,$M198-$A$15,AY$13)))</f>
        <v>1000000000000</v>
      </c>
      <c r="AZ198" s="173">
        <f ca="1">IF(OR($D198&lt;&gt;"Serviço",AND(AUTOEVENTO="Manual",$M198=$A$15),$M198&gt;(ROW(PLE.lastrow)-ROW(PLE.firstrow))),0,
           IF(OFFSET(PLE!$G$15,$M198-$A$15,AZ$13)="",10^12,OFFSET(PLE!$G$15,$M198-$A$15,AZ$13)))</f>
        <v>1000000000000</v>
      </c>
      <c r="BA198" s="173">
        <f ca="1">IF(OR($D198&lt;&gt;"Serviço",AND(AUTOEVENTO="Manual",$M198=$A$15),$M198&gt;(ROW(PLE.lastrow)-ROW(PLE.firstrow))),0,
           IF(OFFSET(PLE!$G$15,$M198-$A$15,BA$13)="",10^12,OFFSET(PLE!$G$15,$M198-$A$15,BA$13)))</f>
        <v>1000000000000</v>
      </c>
      <c r="BB198" s="173">
        <f ca="1">IF(OR($D198&lt;&gt;"Serviço",AND(AUTOEVENTO="Manual",$M198=$A$15),$M198&gt;(ROW(PLE.lastrow)-ROW(PLE.firstrow))),0,
           IF(OFFSET(PLE!$G$15,$M198-$A$15,BB$13)="",10^12,OFFSET(PLE!$G$15,$M198-$A$15,BB$13)))</f>
        <v>1000000000000</v>
      </c>
      <c r="BC198" s="173">
        <f ca="1">IF(OR($D198&lt;&gt;"Serviço",AND(AUTOEVENTO="Manual",$M198=$A$15),$M198&gt;(ROW(PLE.lastrow)-ROW(PLE.firstrow))),0,
           IF(OFFSET(PLE!$G$15,$M198-$A$15,BC$13)="",10^12,OFFSET(PLE!$G$15,$M198-$A$15,BC$13)))</f>
        <v>1000000000000</v>
      </c>
      <c r="BD198" s="173">
        <f ca="1">IF(OR($D198&lt;&gt;"Serviço",AND(AUTOEVENTO="Manual",$M198=$A$15),$M198&gt;(ROW(PLE.lastrow)-ROW(PLE.firstrow))),0,
           IF(OFFSET(PLE!$G$15,$M198-$A$15,BD$13)="",10^12,OFFSET(PLE!$G$15,$M198-$A$15,BD$13)))</f>
        <v>1000000000000</v>
      </c>
      <c r="BE198" s="173">
        <f ca="1">IF(OR($D198&lt;&gt;"Serviço",AND(AUTOEVENTO="Manual",$M198=$A$15),$M198&gt;(ROW(PLE.lastrow)-ROW(PLE.firstrow))),0,
           IF(OFFSET(PLE!$G$15,$M198-$A$15,BE$13)="",10^12,OFFSET(PLE!$G$15,$M198-$A$15,BE$13)))</f>
        <v>1000000000000</v>
      </c>
      <c r="BF198" s="173">
        <f ca="1">IF(OR($D198&lt;&gt;"Serviço",AND(AUTOEVENTO="Manual",$M198=$A$15),$M198&gt;(ROW(PLE.lastrow)-ROW(PLE.firstrow))),0,
           IF(OFFSET(PLE!$G$15,$M198-$A$15,BF$13)="",10^12,OFFSET(PLE!$G$15,$M198-$A$15,BF$13)))</f>
        <v>1000000000000</v>
      </c>
      <c r="BG198" s="173">
        <f ca="1">IF(OR($D198&lt;&gt;"Serviço",AND(AUTOEVENTO="Manual",$M198=$A$15),$M198&gt;(ROW(PLE.lastrow)-ROW(PLE.firstrow))),0,
           IF(OFFSET(PLE!$G$15,$M198-$A$15,BG$13)="",10^12,OFFSET(PLE!$G$15,$M198-$A$15,BG$13)))</f>
        <v>1000000000000</v>
      </c>
    </row>
    <row r="199" spans="1:59" s="675" customFormat="1" ht="38.25" x14ac:dyDescent="0.2">
      <c r="A199" s="671" t="str">
        <f t="shared" ca="1" si="11"/>
        <v>180</v>
      </c>
      <c r="B199" s="671" t="str">
        <f ca="1">OFFSET(ORÇAMENTO!C$15,ROW(B199)-ROW(B$15),0)</f>
        <v>S</v>
      </c>
      <c r="C199" s="671" t="str">
        <f ca="1">OFFSET(ORÇAMENTO!L$15,ROW(C199)-ROW(C$15),0)</f>
        <v/>
      </c>
      <c r="D199" s="117" t="str">
        <f ca="1">OFFSET(ORÇAMENTO!N$15,ROW(D199)-ROW(D$15),0)</f>
        <v>Serviço</v>
      </c>
      <c r="E199" s="118" t="str">
        <f ca="1">OFFSET(ORÇAMENTO!O$15,ROW(E199)-ROW(E$15),0)</f>
        <v>-</v>
      </c>
      <c r="F199" s="164" t="str">
        <f ca="1">OFFSET(ORÇAMENTO!R$15,ROW(F199)-ROW(F$15),0)</f>
        <v>(abra o arquivo 'Referência 09-2025.xlsm)</v>
      </c>
      <c r="G199" s="165" t="str">
        <f ca="1">IF($D199&lt;&gt;"Serviço","",OFFSET(ORÇAMENTO!S$15,ROW(G199)-ROW(G$15),0))</f>
        <v>-</v>
      </c>
      <c r="H199" s="123">
        <f ca="1">IF($D199&lt;&gt;"Serviço",0,IF(ACOMPANHAMENTO="BM",ROUND(OFFSET(ORÇAMENTO!AJ$15,ROW(H199)-ROW(H$15),0),15-13*ORÇAMENTO!$AF$7),SUMPRODUCT(($Q$1:$AA$1=1)*ROUND($Q199:$AA199,15-13*ORÇAMENTO!$AF$7))))</f>
        <v>3.6</v>
      </c>
      <c r="I199" s="469" t="s">
        <v>1110</v>
      </c>
      <c r="J199" s="667" t="str">
        <f ca="1">IF(OR(B199&lt;&gt;"S",CÁLCULO.FrentesPreenchidas=0),"",IF(AND(ACOMPANHAMENTO="PLE",AUTOEVENTO="Manual",OR(H199&gt;0,ORÇAMENTO!AC199="QUANT."),OR(K199="",M199=0,N199="")),"►",IF(AND(ACOMPANHAMENTO="PLE",ORÇAMENTO!AC199="QUANT."),"►►",IF(AND(COUNTIF($P$11:$AA$11,"▼")=0,H199&gt;0,I199=""),"◄",""))))</f>
        <v/>
      </c>
      <c r="K199" s="668"/>
      <c r="L199" s="166" t="s">
        <v>765</v>
      </c>
      <c r="M199" s="167">
        <f ca="1">IF($D199&lt;&gt;"Serviço","",
          IF(AUTOEVENTO="manual",$A199,
                IF(ISERROR(MATCH($A199,$A$15:OFFSET($A199,-1,0),0)),MAX($M$15:OFFSET(M199,-1,0))+1,
                      INDEX($M$15:OFFSET(M199,-1,0),MATCH($A199,$A$15:OFFSET($A199,-1,0),0)))))</f>
        <v>20</v>
      </c>
      <c r="N199" s="168" t="str">
        <f ca="1">IF($D199&lt;&gt;"Serviço","",
         IF(AUTOEVENTO="Manual",
                IF($A199=0,"&lt;-- defina o número do agrupador",
                       OFFSET(EVENTOS!$D$15,$A199-$A$15,0)),
                OFFSET($F$15,$A199,0)))</f>
        <v>ESTRUTURA</v>
      </c>
      <c r="O199" s="169"/>
      <c r="Q199" s="169"/>
      <c r="R199" s="170"/>
      <c r="S199" s="170"/>
      <c r="T199" s="170"/>
      <c r="U199" s="170"/>
      <c r="V199" s="170"/>
      <c r="W199" s="170"/>
      <c r="X199" s="170"/>
      <c r="Y199" s="170"/>
      <c r="Z199" s="171"/>
      <c r="AB199" s="454">
        <f ca="1">IF(AND($D199="Serviço",AB$12&lt;&gt;0,$H199&gt;0,OR(AUTOEVENTO&lt;&gt;"manual",$M199&lt;&gt;$A$15)),
        IF(Import.TipoArredondamento&lt;&gt;"TransfereGOV",
              ROUND(OFFSET($P199,0,AB$13),15-13*ORÇAMENTO!$AF$7)/$H199*OFFSET(ORÇAMENTO!$X$15,ROW(AB199)-ROW(AB$15),0),
              ROUND(ROUND(OFFSET($P199,0,AB$13),15-13*ORÇAMENTO!$AF$7)*OFFSET(ORÇAMENTO!$W$15,ROW(AB199)-ROW(AB$15),0),15-13*ORÇAMENTO!$AF$11)),
         0)</f>
        <v>0</v>
      </c>
      <c r="AC199" s="454">
        <f ca="1">IF(AND($D199="Serviço",AC$12&lt;&gt;0,$H199&gt;0,OR(AUTOEVENTO&lt;&gt;"manual",$M199&lt;&gt;$A$15)),
        IF(Import.TipoArredondamento&lt;&gt;"TransfereGOV",
              ROUND(OFFSET($P199,0,AC$13),15-13*ORÇAMENTO!$AF$7)/$H199*OFFSET(ORÇAMENTO!$X$15,ROW(AC199)-ROW(AC$15),0),
              ROUND(ROUND(OFFSET($P199,0,AC$13),15-13*ORÇAMENTO!$AF$7)*OFFSET(ORÇAMENTO!$W$15,ROW(AC199)-ROW(AC$15),0),15-13*ORÇAMENTO!$AF$11)),
         0)</f>
        <v>0</v>
      </c>
      <c r="AD199" s="454">
        <f ca="1">IF(AND($D199="Serviço",AD$12&lt;&gt;0,$H199&gt;0,OR(AUTOEVENTO&lt;&gt;"manual",$M199&lt;&gt;$A$15)),
        IF(Import.TipoArredondamento&lt;&gt;"TransfereGOV",
              ROUND(OFFSET($P199,0,AD$13),15-13*ORÇAMENTO!$AF$7)/$H199*OFFSET(ORÇAMENTO!$X$15,ROW(AD199)-ROW(AD$15),0),
              ROUND(ROUND(OFFSET($P199,0,AD$13),15-13*ORÇAMENTO!$AF$7)*OFFSET(ORÇAMENTO!$W$15,ROW(AD199)-ROW(AD$15),0),15-13*ORÇAMENTO!$AF$11)),
         0)</f>
        <v>0</v>
      </c>
      <c r="AE199" s="454">
        <f ca="1">IF(AND($D199="Serviço",AE$12&lt;&gt;0,$H199&gt;0,OR(AUTOEVENTO&lt;&gt;"manual",$M199&lt;&gt;$A$15)),
        IF(Import.TipoArredondamento&lt;&gt;"TransfereGOV",
              ROUND(OFFSET($P199,0,AE$13),15-13*ORÇAMENTO!$AF$7)/$H199*OFFSET(ORÇAMENTO!$X$15,ROW(AE199)-ROW(AE$15),0),
              ROUND(ROUND(OFFSET($P199,0,AE$13),15-13*ORÇAMENTO!$AF$7)*OFFSET(ORÇAMENTO!$W$15,ROW(AE199)-ROW(AE$15),0),15-13*ORÇAMENTO!$AF$11)),
         0)</f>
        <v>0</v>
      </c>
      <c r="AF199" s="454">
        <f ca="1">IF(AND($D199="Serviço",AF$12&lt;&gt;0,$H199&gt;0,OR(AUTOEVENTO&lt;&gt;"manual",$M199&lt;&gt;$A$15)),
        IF(Import.TipoArredondamento&lt;&gt;"TransfereGOV",
              ROUND(OFFSET($P199,0,AF$13),15-13*ORÇAMENTO!$AF$7)/$H199*OFFSET(ORÇAMENTO!$X$15,ROW(AF199)-ROW(AF$15),0),
              ROUND(ROUND(OFFSET($P199,0,AF$13),15-13*ORÇAMENTO!$AF$7)*OFFSET(ORÇAMENTO!$W$15,ROW(AF199)-ROW(AF$15),0),15-13*ORÇAMENTO!$AF$11)),
         0)</f>
        <v>0</v>
      </c>
      <c r="AG199" s="454">
        <f ca="1">IF(AND($D199="Serviço",AG$12&lt;&gt;0,$H199&gt;0,OR(AUTOEVENTO&lt;&gt;"manual",$M199&lt;&gt;$A$15)),
        IF(Import.TipoArredondamento&lt;&gt;"TransfereGOV",
              ROUND(OFFSET($P199,0,AG$13),15-13*ORÇAMENTO!$AF$7)/$H199*OFFSET(ORÇAMENTO!$X$15,ROW(AG199)-ROW(AG$15),0),
              ROUND(ROUND(OFFSET($P199,0,AG$13),15-13*ORÇAMENTO!$AF$7)*OFFSET(ORÇAMENTO!$W$15,ROW(AG199)-ROW(AG$15),0),15-13*ORÇAMENTO!$AF$11)),
         0)</f>
        <v>0</v>
      </c>
      <c r="AH199" s="454">
        <f ca="1">IF(AND($D199="Serviço",AH$12&lt;&gt;0,$H199&gt;0,OR(AUTOEVENTO&lt;&gt;"manual",$M199&lt;&gt;$A$15)),
        IF(Import.TipoArredondamento&lt;&gt;"TransfereGOV",
              ROUND(OFFSET($P199,0,AH$13),15-13*ORÇAMENTO!$AF$7)/$H199*OFFSET(ORÇAMENTO!$X$15,ROW(AH199)-ROW(AH$15),0),
              ROUND(ROUND(OFFSET($P199,0,AH$13),15-13*ORÇAMENTO!$AF$7)*OFFSET(ORÇAMENTO!$W$15,ROW(AH199)-ROW(AH$15),0),15-13*ORÇAMENTO!$AF$11)),
         0)</f>
        <v>0</v>
      </c>
      <c r="AI199" s="454">
        <f ca="1">IF(AND($D199="Serviço",AI$12&lt;&gt;0,$H199&gt;0,OR(AUTOEVENTO&lt;&gt;"manual",$M199&lt;&gt;$A$15)),
        IF(Import.TipoArredondamento&lt;&gt;"TransfereGOV",
              ROUND(OFFSET($P199,0,AI$13),15-13*ORÇAMENTO!$AF$7)/$H199*OFFSET(ORÇAMENTO!$X$15,ROW(AI199)-ROW(AI$15),0),
              ROUND(ROUND(OFFSET($P199,0,AI$13),15-13*ORÇAMENTO!$AF$7)*OFFSET(ORÇAMENTO!$W$15,ROW(AI199)-ROW(AI$15),0),15-13*ORÇAMENTO!$AF$11)),
         0)</f>
        <v>0</v>
      </c>
      <c r="AJ199" s="454">
        <f ca="1">IF(AND($D199="Serviço",AJ$12&lt;&gt;0,$H199&gt;0,OR(AUTOEVENTO&lt;&gt;"manual",$M199&lt;&gt;$A$15)),
        IF(Import.TipoArredondamento&lt;&gt;"TransfereGOV",
              ROUND(OFFSET($P199,0,AJ$13),15-13*ORÇAMENTO!$AF$7)/$H199*OFFSET(ORÇAMENTO!$X$15,ROW(AJ199)-ROW(AJ$15),0),
              ROUND(ROUND(OFFSET($P199,0,AJ$13),15-13*ORÇAMENTO!$AF$7)*OFFSET(ORÇAMENTO!$W$15,ROW(AJ199)-ROW(AJ$15),0),15-13*ORÇAMENTO!$AF$11)),
         0)</f>
        <v>0</v>
      </c>
      <c r="AK199" s="454">
        <f ca="1">IF(AND($D199="Serviço",AK$12&lt;&gt;0,$H199&gt;0,OR(AUTOEVENTO&lt;&gt;"manual",$M199&lt;&gt;$A$15)),
        IF(Import.TipoArredondamento&lt;&gt;"TransfereGOV",
              ROUND(OFFSET($P199,0,AK$13),15-13*ORÇAMENTO!$AF$7)/$H199*OFFSET(ORÇAMENTO!$X$15,ROW(AK199)-ROW(AK$15),0),
              ROUND(ROUND(OFFSET($P199,0,AK$13),15-13*ORÇAMENTO!$AF$7)*OFFSET(ORÇAMENTO!$W$15,ROW(AK199)-ROW(AK$15),0),15-13*ORÇAMENTO!$AF$11)),
         0)</f>
        <v>0</v>
      </c>
      <c r="AM199" s="172">
        <f ca="1">IF(OR($D199&lt;&gt;"Serviço",AND(AUTOEVENTO="Manual",$M199=$A$15)),0,
         IF(OFFSET(CRONOPLE!$F$15,$M199-$A$15,AM$13)=0,10^12,OFFSET(CRONOPLE!$F$15,$M199-$A$15,AM$13)))</f>
        <v>1000000000000</v>
      </c>
      <c r="AN199" s="172">
        <f ca="1">IF(OR($D199&lt;&gt;"Serviço",AND(AUTOEVENTO="Manual",$M199=$A$15)),0,
         IF(OFFSET(CRONOPLE!$F$15,$M199-$A$15,AN$13)=0,10^12,OFFSET(CRONOPLE!$F$15,$M199-$A$15,AN$13)))</f>
        <v>1000000000000</v>
      </c>
      <c r="AO199" s="172">
        <f ca="1">IF(OR($D199&lt;&gt;"Serviço",AND(AUTOEVENTO="Manual",$M199=$A$15)),0,
         IF(OFFSET(CRONOPLE!$F$15,$M199-$A$15,AO$13)=0,10^12,OFFSET(CRONOPLE!$F$15,$M199-$A$15,AO$13)))</f>
        <v>1000000000000</v>
      </c>
      <c r="AP199" s="172">
        <f ca="1">IF(OR($D199&lt;&gt;"Serviço",AND(AUTOEVENTO="Manual",$M199=$A$15)),0,
         IF(OFFSET(CRONOPLE!$F$15,$M199-$A$15,AP$13)=0,10^12,OFFSET(CRONOPLE!$F$15,$M199-$A$15,AP$13)))</f>
        <v>1000000000000</v>
      </c>
      <c r="AQ199" s="172">
        <f ca="1">IF(OR($D199&lt;&gt;"Serviço",AND(AUTOEVENTO="Manual",$M199=$A$15)),0,
         IF(OFFSET(CRONOPLE!$F$15,$M199-$A$15,AQ$13)=0,10^12,OFFSET(CRONOPLE!$F$15,$M199-$A$15,AQ$13)))</f>
        <v>1000000000000</v>
      </c>
      <c r="AR199" s="172">
        <f ca="1">IF(OR($D199&lt;&gt;"Serviço",AND(AUTOEVENTO="Manual",$M199=$A$15)),0,
         IF(OFFSET(CRONOPLE!$F$15,$M199-$A$15,AR$13)=0,10^12,OFFSET(CRONOPLE!$F$15,$M199-$A$15,AR$13)))</f>
        <v>1000000000000</v>
      </c>
      <c r="AS199" s="172">
        <f ca="1">IF(OR($D199&lt;&gt;"Serviço",AND(AUTOEVENTO="Manual",$M199=$A$15)),0,
         IF(OFFSET(CRONOPLE!$F$15,$M199-$A$15,AS$13)=0,10^12,OFFSET(CRONOPLE!$F$15,$M199-$A$15,AS$13)))</f>
        <v>1000000000000</v>
      </c>
      <c r="AT199" s="172">
        <f ca="1">IF(OR($D199&lt;&gt;"Serviço",AND(AUTOEVENTO="Manual",$M199=$A$15)),0,
         IF(OFFSET(CRONOPLE!$F$15,$M199-$A$15,AT$13)=0,10^12,OFFSET(CRONOPLE!$F$15,$M199-$A$15,AT$13)))</f>
        <v>1000000000000</v>
      </c>
      <c r="AU199" s="172">
        <f ca="1">IF(OR($D199&lt;&gt;"Serviço",AND(AUTOEVENTO="Manual",$M199=$A$15)),0,
         IF(OFFSET(CRONOPLE!$F$15,$M199-$A$15,AU$13)=0,10^12,OFFSET(CRONOPLE!$F$15,$M199-$A$15,AU$13)))</f>
        <v>1000000000000</v>
      </c>
      <c r="AV199" s="172">
        <f ca="1">IF(OR($D199&lt;&gt;"Serviço",AND(AUTOEVENTO="Manual",$M199=$A$15)),0,
         IF(OFFSET(CRONOPLE!$F$15,$M199-$A$15,AV$13)=0,10^12,OFFSET(CRONOPLE!$F$15,$M199-$A$15,AV$13)))</f>
        <v>1000000000000</v>
      </c>
      <c r="AX199" s="173">
        <f ca="1">IF(OR($D199&lt;&gt;"Serviço",AND(AUTOEVENTO="Manual",$M199=$A$15),$M199&gt;(ROW(PLE.lastrow)-ROW(PLE.firstrow))),0,
           IF(OFFSET(PLE!$G$15,$M199-$A$15,AX$13)="",10^12,OFFSET(PLE!$G$15,$M199-$A$15,AX$13)))</f>
        <v>1000000000000</v>
      </c>
      <c r="AY199" s="173">
        <f ca="1">IF(OR($D199&lt;&gt;"Serviço",AND(AUTOEVENTO="Manual",$M199=$A$15),$M199&gt;(ROW(PLE.lastrow)-ROW(PLE.firstrow))),0,
           IF(OFFSET(PLE!$G$15,$M199-$A$15,AY$13)="",10^12,OFFSET(PLE!$G$15,$M199-$A$15,AY$13)))</f>
        <v>1000000000000</v>
      </c>
      <c r="AZ199" s="173">
        <f ca="1">IF(OR($D199&lt;&gt;"Serviço",AND(AUTOEVENTO="Manual",$M199=$A$15),$M199&gt;(ROW(PLE.lastrow)-ROW(PLE.firstrow))),0,
           IF(OFFSET(PLE!$G$15,$M199-$A$15,AZ$13)="",10^12,OFFSET(PLE!$G$15,$M199-$A$15,AZ$13)))</f>
        <v>1000000000000</v>
      </c>
      <c r="BA199" s="173">
        <f ca="1">IF(OR($D199&lt;&gt;"Serviço",AND(AUTOEVENTO="Manual",$M199=$A$15),$M199&gt;(ROW(PLE.lastrow)-ROW(PLE.firstrow))),0,
           IF(OFFSET(PLE!$G$15,$M199-$A$15,BA$13)="",10^12,OFFSET(PLE!$G$15,$M199-$A$15,BA$13)))</f>
        <v>1000000000000</v>
      </c>
      <c r="BB199" s="173">
        <f ca="1">IF(OR($D199&lt;&gt;"Serviço",AND(AUTOEVENTO="Manual",$M199=$A$15),$M199&gt;(ROW(PLE.lastrow)-ROW(PLE.firstrow))),0,
           IF(OFFSET(PLE!$G$15,$M199-$A$15,BB$13)="",10^12,OFFSET(PLE!$G$15,$M199-$A$15,BB$13)))</f>
        <v>1000000000000</v>
      </c>
      <c r="BC199" s="173">
        <f ca="1">IF(OR($D199&lt;&gt;"Serviço",AND(AUTOEVENTO="Manual",$M199=$A$15),$M199&gt;(ROW(PLE.lastrow)-ROW(PLE.firstrow))),0,
           IF(OFFSET(PLE!$G$15,$M199-$A$15,BC$13)="",10^12,OFFSET(PLE!$G$15,$M199-$A$15,BC$13)))</f>
        <v>1000000000000</v>
      </c>
      <c r="BD199" s="173">
        <f ca="1">IF(OR($D199&lt;&gt;"Serviço",AND(AUTOEVENTO="Manual",$M199=$A$15),$M199&gt;(ROW(PLE.lastrow)-ROW(PLE.firstrow))),0,
           IF(OFFSET(PLE!$G$15,$M199-$A$15,BD$13)="",10^12,OFFSET(PLE!$G$15,$M199-$A$15,BD$13)))</f>
        <v>1000000000000</v>
      </c>
      <c r="BE199" s="173">
        <f ca="1">IF(OR($D199&lt;&gt;"Serviço",AND(AUTOEVENTO="Manual",$M199=$A$15),$M199&gt;(ROW(PLE.lastrow)-ROW(PLE.firstrow))),0,
           IF(OFFSET(PLE!$G$15,$M199-$A$15,BE$13)="",10^12,OFFSET(PLE!$G$15,$M199-$A$15,BE$13)))</f>
        <v>1000000000000</v>
      </c>
      <c r="BF199" s="173">
        <f ca="1">IF(OR($D199&lt;&gt;"Serviço",AND(AUTOEVENTO="Manual",$M199=$A$15),$M199&gt;(ROW(PLE.lastrow)-ROW(PLE.firstrow))),0,
           IF(OFFSET(PLE!$G$15,$M199-$A$15,BF$13)="",10^12,OFFSET(PLE!$G$15,$M199-$A$15,BF$13)))</f>
        <v>1000000000000</v>
      </c>
      <c r="BG199" s="173">
        <f ca="1">IF(OR($D199&lt;&gt;"Serviço",AND(AUTOEVENTO="Manual",$M199=$A$15),$M199&gt;(ROW(PLE.lastrow)-ROW(PLE.firstrow))),0,
           IF(OFFSET(PLE!$G$15,$M199-$A$15,BG$13)="",10^12,OFFSET(PLE!$G$15,$M199-$A$15,BG$13)))</f>
        <v>1000000000000</v>
      </c>
    </row>
    <row r="200" spans="1:59" s="675" customFormat="1" ht="12.75" x14ac:dyDescent="0.2">
      <c r="A200" s="671" t="str">
        <f t="shared" ca="1" si="11"/>
        <v>185.</v>
      </c>
      <c r="B200" s="671">
        <f ca="1">OFFSET(ORÇAMENTO!C$15,ROW(B200)-ROW(B$15),0)</f>
        <v>2</v>
      </c>
      <c r="C200" s="671" t="str">
        <f ca="1">OFFSET(ORÇAMENTO!L$15,ROW(C200)-ROW(C$15),0)</f>
        <v>F</v>
      </c>
      <c r="D200" s="117" t="str">
        <f ca="1">OFFSET(ORÇAMENTO!N$15,ROW(D200)-ROW(D$15),0)</f>
        <v>Nível 2</v>
      </c>
      <c r="E200" s="118" t="str">
        <f ca="1">OFFSET(ORÇAMENTO!O$15,ROW(E200)-ROW(E$15),0)</f>
        <v>1.25.</v>
      </c>
      <c r="F200" s="164" t="str">
        <f ca="1">OFFSET(ORÇAMENTO!R$15,ROW(F200)-ROW(F$15),0)</f>
        <v>PAREDE DE CONTENÇÃO ARMADA</v>
      </c>
      <c r="G200" s="165" t="str">
        <f ca="1">IF($D200&lt;&gt;"Serviço","",OFFSET(ORÇAMENTO!S$15,ROW(G200)-ROW(G$15),0))</f>
        <v/>
      </c>
      <c r="H200" s="123">
        <f ca="1">IF($D200&lt;&gt;"Serviço",0,IF(ACOMPANHAMENTO="BM",ROUND(OFFSET(ORÇAMENTO!AJ$15,ROW(H200)-ROW(H$15),0),15-13*ORÇAMENTO!$AF$7),SUMPRODUCT(($Q$1:$AA$1=1)*ROUND($Q200:$AA200,15-13*ORÇAMENTO!$AF$7))))</f>
        <v>0</v>
      </c>
      <c r="I200" s="469"/>
      <c r="J200" s="667" t="str">
        <f ca="1">IF(OR(B200&lt;&gt;"S",CÁLCULO.FrentesPreenchidas=0),"",IF(AND(ACOMPANHAMENTO="PLE",AUTOEVENTO="Manual",OR(H200&gt;0,ORÇAMENTO!AC200="QUANT."),OR(K200="",M200=0,N200="")),"►",IF(AND(ACOMPANHAMENTO="PLE",ORÇAMENTO!AC200="QUANT."),"►►",IF(AND(COUNTIF($P$11:$AA$11,"▼")=0,H200&gt;0,I200=""),"◄",""))))</f>
        <v/>
      </c>
      <c r="K200" s="668"/>
      <c r="L200" s="166" t="s">
        <v>765</v>
      </c>
      <c r="M200" s="167" t="str">
        <f ca="1">IF($D200&lt;&gt;"Serviço","",
          IF(AUTOEVENTO="manual",$A200,
                IF(ISERROR(MATCH($A200,$A$15:OFFSET($A200,-1,0),0)),MAX($M$15:OFFSET(M200,-1,0))+1,
                      INDEX($M$15:OFFSET(M200,-1,0),MATCH($A200,$A$15:OFFSET($A200,-1,0),0)))))</f>
        <v/>
      </c>
      <c r="N200" s="168" t="str">
        <f ca="1">IF($D200&lt;&gt;"Serviço","",
         IF(AUTOEVENTO="Manual",
                IF($A200=0,"&lt;-- defina o número do agrupador",
                       OFFSET(EVENTOS!$D$15,$A200-$A$15,0)),
                OFFSET($F$15,$A200,0)))</f>
        <v/>
      </c>
      <c r="O200" s="169"/>
      <c r="Q200" s="169"/>
      <c r="R200" s="170"/>
      <c r="S200" s="170"/>
      <c r="T200" s="170"/>
      <c r="U200" s="170"/>
      <c r="V200" s="170"/>
      <c r="W200" s="170"/>
      <c r="X200" s="170"/>
      <c r="Y200" s="170"/>
      <c r="Z200" s="171"/>
      <c r="AB200" s="454">
        <f ca="1">IF(AND($D200="Serviço",AB$12&lt;&gt;0,$H200&gt;0,OR(AUTOEVENTO&lt;&gt;"manual",$M200&lt;&gt;$A$15)),
        IF(Import.TipoArredondamento&lt;&gt;"TransfereGOV",
              ROUND(OFFSET($P200,0,AB$13),15-13*ORÇAMENTO!$AF$7)/$H200*OFFSET(ORÇAMENTO!$X$15,ROW(AB200)-ROW(AB$15),0),
              ROUND(ROUND(OFFSET($P200,0,AB$13),15-13*ORÇAMENTO!$AF$7)*OFFSET(ORÇAMENTO!$W$15,ROW(AB200)-ROW(AB$15),0),15-13*ORÇAMENTO!$AF$11)),
         0)</f>
        <v>0</v>
      </c>
      <c r="AC200" s="454">
        <f ca="1">IF(AND($D200="Serviço",AC$12&lt;&gt;0,$H200&gt;0,OR(AUTOEVENTO&lt;&gt;"manual",$M200&lt;&gt;$A$15)),
        IF(Import.TipoArredondamento&lt;&gt;"TransfereGOV",
              ROUND(OFFSET($P200,0,AC$13),15-13*ORÇAMENTO!$AF$7)/$H200*OFFSET(ORÇAMENTO!$X$15,ROW(AC200)-ROW(AC$15),0),
              ROUND(ROUND(OFFSET($P200,0,AC$13),15-13*ORÇAMENTO!$AF$7)*OFFSET(ORÇAMENTO!$W$15,ROW(AC200)-ROW(AC$15),0),15-13*ORÇAMENTO!$AF$11)),
         0)</f>
        <v>0</v>
      </c>
      <c r="AD200" s="454">
        <f ca="1">IF(AND($D200="Serviço",AD$12&lt;&gt;0,$H200&gt;0,OR(AUTOEVENTO&lt;&gt;"manual",$M200&lt;&gt;$A$15)),
        IF(Import.TipoArredondamento&lt;&gt;"TransfereGOV",
              ROUND(OFFSET($P200,0,AD$13),15-13*ORÇAMENTO!$AF$7)/$H200*OFFSET(ORÇAMENTO!$X$15,ROW(AD200)-ROW(AD$15),0),
              ROUND(ROUND(OFFSET($P200,0,AD$13),15-13*ORÇAMENTO!$AF$7)*OFFSET(ORÇAMENTO!$W$15,ROW(AD200)-ROW(AD$15),0),15-13*ORÇAMENTO!$AF$11)),
         0)</f>
        <v>0</v>
      </c>
      <c r="AE200" s="454">
        <f ca="1">IF(AND($D200="Serviço",AE$12&lt;&gt;0,$H200&gt;0,OR(AUTOEVENTO&lt;&gt;"manual",$M200&lt;&gt;$A$15)),
        IF(Import.TipoArredondamento&lt;&gt;"TransfereGOV",
              ROUND(OFFSET($P200,0,AE$13),15-13*ORÇAMENTO!$AF$7)/$H200*OFFSET(ORÇAMENTO!$X$15,ROW(AE200)-ROW(AE$15),0),
              ROUND(ROUND(OFFSET($P200,0,AE$13),15-13*ORÇAMENTO!$AF$7)*OFFSET(ORÇAMENTO!$W$15,ROW(AE200)-ROW(AE$15),0),15-13*ORÇAMENTO!$AF$11)),
         0)</f>
        <v>0</v>
      </c>
      <c r="AF200" s="454">
        <f ca="1">IF(AND($D200="Serviço",AF$12&lt;&gt;0,$H200&gt;0,OR(AUTOEVENTO&lt;&gt;"manual",$M200&lt;&gt;$A$15)),
        IF(Import.TipoArredondamento&lt;&gt;"TransfereGOV",
              ROUND(OFFSET($P200,0,AF$13),15-13*ORÇAMENTO!$AF$7)/$H200*OFFSET(ORÇAMENTO!$X$15,ROW(AF200)-ROW(AF$15),0),
              ROUND(ROUND(OFFSET($P200,0,AF$13),15-13*ORÇAMENTO!$AF$7)*OFFSET(ORÇAMENTO!$W$15,ROW(AF200)-ROW(AF$15),0),15-13*ORÇAMENTO!$AF$11)),
         0)</f>
        <v>0</v>
      </c>
      <c r="AG200" s="454">
        <f ca="1">IF(AND($D200="Serviço",AG$12&lt;&gt;0,$H200&gt;0,OR(AUTOEVENTO&lt;&gt;"manual",$M200&lt;&gt;$A$15)),
        IF(Import.TipoArredondamento&lt;&gt;"TransfereGOV",
              ROUND(OFFSET($P200,0,AG$13),15-13*ORÇAMENTO!$AF$7)/$H200*OFFSET(ORÇAMENTO!$X$15,ROW(AG200)-ROW(AG$15),0),
              ROUND(ROUND(OFFSET($P200,0,AG$13),15-13*ORÇAMENTO!$AF$7)*OFFSET(ORÇAMENTO!$W$15,ROW(AG200)-ROW(AG$15),0),15-13*ORÇAMENTO!$AF$11)),
         0)</f>
        <v>0</v>
      </c>
      <c r="AH200" s="454">
        <f ca="1">IF(AND($D200="Serviço",AH$12&lt;&gt;0,$H200&gt;0,OR(AUTOEVENTO&lt;&gt;"manual",$M200&lt;&gt;$A$15)),
        IF(Import.TipoArredondamento&lt;&gt;"TransfereGOV",
              ROUND(OFFSET($P200,0,AH$13),15-13*ORÇAMENTO!$AF$7)/$H200*OFFSET(ORÇAMENTO!$X$15,ROW(AH200)-ROW(AH$15),0),
              ROUND(ROUND(OFFSET($P200,0,AH$13),15-13*ORÇAMENTO!$AF$7)*OFFSET(ORÇAMENTO!$W$15,ROW(AH200)-ROW(AH$15),0),15-13*ORÇAMENTO!$AF$11)),
         0)</f>
        <v>0</v>
      </c>
      <c r="AI200" s="454">
        <f ca="1">IF(AND($D200="Serviço",AI$12&lt;&gt;0,$H200&gt;0,OR(AUTOEVENTO&lt;&gt;"manual",$M200&lt;&gt;$A$15)),
        IF(Import.TipoArredondamento&lt;&gt;"TransfereGOV",
              ROUND(OFFSET($P200,0,AI$13),15-13*ORÇAMENTO!$AF$7)/$H200*OFFSET(ORÇAMENTO!$X$15,ROW(AI200)-ROW(AI$15),0),
              ROUND(ROUND(OFFSET($P200,0,AI$13),15-13*ORÇAMENTO!$AF$7)*OFFSET(ORÇAMENTO!$W$15,ROW(AI200)-ROW(AI$15),0),15-13*ORÇAMENTO!$AF$11)),
         0)</f>
        <v>0</v>
      </c>
      <c r="AJ200" s="454">
        <f ca="1">IF(AND($D200="Serviço",AJ$12&lt;&gt;0,$H200&gt;0,OR(AUTOEVENTO&lt;&gt;"manual",$M200&lt;&gt;$A$15)),
        IF(Import.TipoArredondamento&lt;&gt;"TransfereGOV",
              ROUND(OFFSET($P200,0,AJ$13),15-13*ORÇAMENTO!$AF$7)/$H200*OFFSET(ORÇAMENTO!$X$15,ROW(AJ200)-ROW(AJ$15),0),
              ROUND(ROUND(OFFSET($P200,0,AJ$13),15-13*ORÇAMENTO!$AF$7)*OFFSET(ORÇAMENTO!$W$15,ROW(AJ200)-ROW(AJ$15),0),15-13*ORÇAMENTO!$AF$11)),
         0)</f>
        <v>0</v>
      </c>
      <c r="AK200" s="454">
        <f ca="1">IF(AND($D200="Serviço",AK$12&lt;&gt;0,$H200&gt;0,OR(AUTOEVENTO&lt;&gt;"manual",$M200&lt;&gt;$A$15)),
        IF(Import.TipoArredondamento&lt;&gt;"TransfereGOV",
              ROUND(OFFSET($P200,0,AK$13),15-13*ORÇAMENTO!$AF$7)/$H200*OFFSET(ORÇAMENTO!$X$15,ROW(AK200)-ROW(AK$15),0),
              ROUND(ROUND(OFFSET($P200,0,AK$13),15-13*ORÇAMENTO!$AF$7)*OFFSET(ORÇAMENTO!$W$15,ROW(AK200)-ROW(AK$15),0),15-13*ORÇAMENTO!$AF$11)),
         0)</f>
        <v>0</v>
      </c>
      <c r="AM200" s="172">
        <f ca="1">IF(OR($D200&lt;&gt;"Serviço",AND(AUTOEVENTO="Manual",$M200=$A$15)),0,
         IF(OFFSET(CRONOPLE!$F$15,$M200-$A$15,AM$13)=0,10^12,OFFSET(CRONOPLE!$F$15,$M200-$A$15,AM$13)))</f>
        <v>0</v>
      </c>
      <c r="AN200" s="172">
        <f ca="1">IF(OR($D200&lt;&gt;"Serviço",AND(AUTOEVENTO="Manual",$M200=$A$15)),0,
         IF(OFFSET(CRONOPLE!$F$15,$M200-$A$15,AN$13)=0,10^12,OFFSET(CRONOPLE!$F$15,$M200-$A$15,AN$13)))</f>
        <v>0</v>
      </c>
      <c r="AO200" s="172">
        <f ca="1">IF(OR($D200&lt;&gt;"Serviço",AND(AUTOEVENTO="Manual",$M200=$A$15)),0,
         IF(OFFSET(CRONOPLE!$F$15,$M200-$A$15,AO$13)=0,10^12,OFFSET(CRONOPLE!$F$15,$M200-$A$15,AO$13)))</f>
        <v>0</v>
      </c>
      <c r="AP200" s="172">
        <f ca="1">IF(OR($D200&lt;&gt;"Serviço",AND(AUTOEVENTO="Manual",$M200=$A$15)),0,
         IF(OFFSET(CRONOPLE!$F$15,$M200-$A$15,AP$13)=0,10^12,OFFSET(CRONOPLE!$F$15,$M200-$A$15,AP$13)))</f>
        <v>0</v>
      </c>
      <c r="AQ200" s="172">
        <f ca="1">IF(OR($D200&lt;&gt;"Serviço",AND(AUTOEVENTO="Manual",$M200=$A$15)),0,
         IF(OFFSET(CRONOPLE!$F$15,$M200-$A$15,AQ$13)=0,10^12,OFFSET(CRONOPLE!$F$15,$M200-$A$15,AQ$13)))</f>
        <v>0</v>
      </c>
      <c r="AR200" s="172">
        <f ca="1">IF(OR($D200&lt;&gt;"Serviço",AND(AUTOEVENTO="Manual",$M200=$A$15)),0,
         IF(OFFSET(CRONOPLE!$F$15,$M200-$A$15,AR$13)=0,10^12,OFFSET(CRONOPLE!$F$15,$M200-$A$15,AR$13)))</f>
        <v>0</v>
      </c>
      <c r="AS200" s="172">
        <f ca="1">IF(OR($D200&lt;&gt;"Serviço",AND(AUTOEVENTO="Manual",$M200=$A$15)),0,
         IF(OFFSET(CRONOPLE!$F$15,$M200-$A$15,AS$13)=0,10^12,OFFSET(CRONOPLE!$F$15,$M200-$A$15,AS$13)))</f>
        <v>0</v>
      </c>
      <c r="AT200" s="172">
        <f ca="1">IF(OR($D200&lt;&gt;"Serviço",AND(AUTOEVENTO="Manual",$M200=$A$15)),0,
         IF(OFFSET(CRONOPLE!$F$15,$M200-$A$15,AT$13)=0,10^12,OFFSET(CRONOPLE!$F$15,$M200-$A$15,AT$13)))</f>
        <v>0</v>
      </c>
      <c r="AU200" s="172">
        <f ca="1">IF(OR($D200&lt;&gt;"Serviço",AND(AUTOEVENTO="Manual",$M200=$A$15)),0,
         IF(OFFSET(CRONOPLE!$F$15,$M200-$A$15,AU$13)=0,10^12,OFFSET(CRONOPLE!$F$15,$M200-$A$15,AU$13)))</f>
        <v>0</v>
      </c>
      <c r="AV200" s="172">
        <f ca="1">IF(OR($D200&lt;&gt;"Serviço",AND(AUTOEVENTO="Manual",$M200=$A$15)),0,
         IF(OFFSET(CRONOPLE!$F$15,$M200-$A$15,AV$13)=0,10^12,OFFSET(CRONOPLE!$F$15,$M200-$A$15,AV$13)))</f>
        <v>0</v>
      </c>
      <c r="AX200" s="173">
        <f ca="1">IF(OR($D200&lt;&gt;"Serviço",AND(AUTOEVENTO="Manual",$M200=$A$15),$M200&gt;(ROW(PLE.lastrow)-ROW(PLE.firstrow))),0,
           IF(OFFSET(PLE!$G$15,$M200-$A$15,AX$13)="",10^12,OFFSET(PLE!$G$15,$M200-$A$15,AX$13)))</f>
        <v>0</v>
      </c>
      <c r="AY200" s="173">
        <f ca="1">IF(OR($D200&lt;&gt;"Serviço",AND(AUTOEVENTO="Manual",$M200=$A$15),$M200&gt;(ROW(PLE.lastrow)-ROW(PLE.firstrow))),0,
           IF(OFFSET(PLE!$G$15,$M200-$A$15,AY$13)="",10^12,OFFSET(PLE!$G$15,$M200-$A$15,AY$13)))</f>
        <v>0</v>
      </c>
      <c r="AZ200" s="173">
        <f ca="1">IF(OR($D200&lt;&gt;"Serviço",AND(AUTOEVENTO="Manual",$M200=$A$15),$M200&gt;(ROW(PLE.lastrow)-ROW(PLE.firstrow))),0,
           IF(OFFSET(PLE!$G$15,$M200-$A$15,AZ$13)="",10^12,OFFSET(PLE!$G$15,$M200-$A$15,AZ$13)))</f>
        <v>0</v>
      </c>
      <c r="BA200" s="173">
        <f ca="1">IF(OR($D200&lt;&gt;"Serviço",AND(AUTOEVENTO="Manual",$M200=$A$15),$M200&gt;(ROW(PLE.lastrow)-ROW(PLE.firstrow))),0,
           IF(OFFSET(PLE!$G$15,$M200-$A$15,BA$13)="",10^12,OFFSET(PLE!$G$15,$M200-$A$15,BA$13)))</f>
        <v>0</v>
      </c>
      <c r="BB200" s="173">
        <f ca="1">IF(OR($D200&lt;&gt;"Serviço",AND(AUTOEVENTO="Manual",$M200=$A$15),$M200&gt;(ROW(PLE.lastrow)-ROW(PLE.firstrow))),0,
           IF(OFFSET(PLE!$G$15,$M200-$A$15,BB$13)="",10^12,OFFSET(PLE!$G$15,$M200-$A$15,BB$13)))</f>
        <v>0</v>
      </c>
      <c r="BC200" s="173">
        <f ca="1">IF(OR($D200&lt;&gt;"Serviço",AND(AUTOEVENTO="Manual",$M200=$A$15),$M200&gt;(ROW(PLE.lastrow)-ROW(PLE.firstrow))),0,
           IF(OFFSET(PLE!$G$15,$M200-$A$15,BC$13)="",10^12,OFFSET(PLE!$G$15,$M200-$A$15,BC$13)))</f>
        <v>0</v>
      </c>
      <c r="BD200" s="173">
        <f ca="1">IF(OR($D200&lt;&gt;"Serviço",AND(AUTOEVENTO="Manual",$M200=$A$15),$M200&gt;(ROW(PLE.lastrow)-ROW(PLE.firstrow))),0,
           IF(OFFSET(PLE!$G$15,$M200-$A$15,BD$13)="",10^12,OFFSET(PLE!$G$15,$M200-$A$15,BD$13)))</f>
        <v>0</v>
      </c>
      <c r="BE200" s="173">
        <f ca="1">IF(OR($D200&lt;&gt;"Serviço",AND(AUTOEVENTO="Manual",$M200=$A$15),$M200&gt;(ROW(PLE.lastrow)-ROW(PLE.firstrow))),0,
           IF(OFFSET(PLE!$G$15,$M200-$A$15,BE$13)="",10^12,OFFSET(PLE!$G$15,$M200-$A$15,BE$13)))</f>
        <v>0</v>
      </c>
      <c r="BF200" s="173">
        <f ca="1">IF(OR($D200&lt;&gt;"Serviço",AND(AUTOEVENTO="Manual",$M200=$A$15),$M200&gt;(ROW(PLE.lastrow)-ROW(PLE.firstrow))),0,
           IF(OFFSET(PLE!$G$15,$M200-$A$15,BF$13)="",10^12,OFFSET(PLE!$G$15,$M200-$A$15,BF$13)))</f>
        <v>0</v>
      </c>
      <c r="BG200" s="173">
        <f ca="1">IF(OR($D200&lt;&gt;"Serviço",AND(AUTOEVENTO="Manual",$M200=$A$15),$M200&gt;(ROW(PLE.lastrow)-ROW(PLE.firstrow))),0,
           IF(OFFSET(PLE!$G$15,$M200-$A$15,BG$13)="",10^12,OFFSET(PLE!$G$15,$M200-$A$15,BG$13)))</f>
        <v>0</v>
      </c>
    </row>
    <row r="201" spans="1:59" s="675" customFormat="1" ht="25.5" x14ac:dyDescent="0.2">
      <c r="A201" s="671" t="str">
        <f t="shared" ca="1" si="11"/>
        <v>185</v>
      </c>
      <c r="B201" s="671" t="str">
        <f ca="1">OFFSET(ORÇAMENTO!C$15,ROW(B201)-ROW(B$15),0)</f>
        <v>S</v>
      </c>
      <c r="C201" s="671" t="str">
        <f ca="1">OFFSET(ORÇAMENTO!L$15,ROW(C201)-ROW(C$15),0)</f>
        <v/>
      </c>
      <c r="D201" s="117" t="str">
        <f ca="1">OFFSET(ORÇAMENTO!N$15,ROW(D201)-ROW(D$15),0)</f>
        <v>Serviço</v>
      </c>
      <c r="E201" s="118" t="str">
        <f ca="1">OFFSET(ORÇAMENTO!O$15,ROW(E201)-ROW(E$15),0)</f>
        <v>-</v>
      </c>
      <c r="F201" s="164" t="str">
        <f ca="1">OFFSET(ORÇAMENTO!R$15,ROW(F201)-ROW(F$15),0)</f>
        <v>(abra o arquivo 'Referência 09-2025.xlsm)</v>
      </c>
      <c r="G201" s="165" t="str">
        <f ca="1">IF($D201&lt;&gt;"Serviço","",OFFSET(ORÇAMENTO!S$15,ROW(G201)-ROW(G$15),0))</f>
        <v>-</v>
      </c>
      <c r="H201" s="123">
        <f ca="1">IF($D201&lt;&gt;"Serviço",0,IF(ACOMPANHAMENTO="BM",ROUND(OFFSET(ORÇAMENTO!AJ$15,ROW(H201)-ROW(H$15),0),15-13*ORÇAMENTO!$AF$7),SUMPRODUCT(($Q$1:$AA$1=1)*ROUND($Q201:$AA201,15-13*ORÇAMENTO!$AF$7))))</f>
        <v>85.57</v>
      </c>
      <c r="I201" s="469" t="s">
        <v>1110</v>
      </c>
      <c r="J201" s="667" t="str">
        <f ca="1">IF(OR(B201&lt;&gt;"S",CÁLCULO.FrentesPreenchidas=0),"",IF(AND(ACOMPANHAMENTO="PLE",AUTOEVENTO="Manual",OR(H201&gt;0,ORÇAMENTO!AC201="QUANT."),OR(K201="",M201=0,N201="")),"►",IF(AND(ACOMPANHAMENTO="PLE",ORÇAMENTO!AC201="QUANT."),"►►",IF(AND(COUNTIF($P$11:$AA$11,"▼")=0,H201&gt;0,I201=""),"◄",""))))</f>
        <v/>
      </c>
      <c r="K201" s="668"/>
      <c r="L201" s="166" t="s">
        <v>765</v>
      </c>
      <c r="M201" s="167">
        <f ca="1">IF($D201&lt;&gt;"Serviço","",
          IF(AUTOEVENTO="manual",$A201,
                IF(ISERROR(MATCH($A201,$A$15:OFFSET($A201,-1,0),0)),MAX($M$15:OFFSET(M201,-1,0))+1,
                      INDEX($M$15:OFFSET(M201,-1,0),MATCH($A201,$A$15:OFFSET($A201,-1,0),0)))))</f>
        <v>21</v>
      </c>
      <c r="N201" s="168" t="str">
        <f ca="1">IF($D201&lt;&gt;"Serviço","",
         IF(AUTOEVENTO="Manual",
                IF($A201=0,"&lt;-- defina o número do agrupador",
                       OFFSET(EVENTOS!$D$15,$A201-$A$15,0)),
                OFFSET($F$15,$A201,0)))</f>
        <v>PAREDE DE CONTENÇÃO ARMADA</v>
      </c>
      <c r="O201" s="169"/>
      <c r="Q201" s="169"/>
      <c r="R201" s="170"/>
      <c r="S201" s="170"/>
      <c r="T201" s="170"/>
      <c r="U201" s="170"/>
      <c r="V201" s="170"/>
      <c r="W201" s="170"/>
      <c r="X201" s="170"/>
      <c r="Y201" s="170"/>
      <c r="Z201" s="171"/>
      <c r="AB201" s="454">
        <f ca="1">IF(AND($D201="Serviço",AB$12&lt;&gt;0,$H201&gt;0,OR(AUTOEVENTO&lt;&gt;"manual",$M201&lt;&gt;$A$15)),
        IF(Import.TipoArredondamento&lt;&gt;"TransfereGOV",
              ROUND(OFFSET($P201,0,AB$13),15-13*ORÇAMENTO!$AF$7)/$H201*OFFSET(ORÇAMENTO!$X$15,ROW(AB201)-ROW(AB$15),0),
              ROUND(ROUND(OFFSET($P201,0,AB$13),15-13*ORÇAMENTO!$AF$7)*OFFSET(ORÇAMENTO!$W$15,ROW(AB201)-ROW(AB$15),0),15-13*ORÇAMENTO!$AF$11)),
         0)</f>
        <v>0</v>
      </c>
      <c r="AC201" s="454">
        <f ca="1">IF(AND($D201="Serviço",AC$12&lt;&gt;0,$H201&gt;0,OR(AUTOEVENTO&lt;&gt;"manual",$M201&lt;&gt;$A$15)),
        IF(Import.TipoArredondamento&lt;&gt;"TransfereGOV",
              ROUND(OFFSET($P201,0,AC$13),15-13*ORÇAMENTO!$AF$7)/$H201*OFFSET(ORÇAMENTO!$X$15,ROW(AC201)-ROW(AC$15),0),
              ROUND(ROUND(OFFSET($P201,0,AC$13),15-13*ORÇAMENTO!$AF$7)*OFFSET(ORÇAMENTO!$W$15,ROW(AC201)-ROW(AC$15),0),15-13*ORÇAMENTO!$AF$11)),
         0)</f>
        <v>0</v>
      </c>
      <c r="AD201" s="454">
        <f ca="1">IF(AND($D201="Serviço",AD$12&lt;&gt;0,$H201&gt;0,OR(AUTOEVENTO&lt;&gt;"manual",$M201&lt;&gt;$A$15)),
        IF(Import.TipoArredondamento&lt;&gt;"TransfereGOV",
              ROUND(OFFSET($P201,0,AD$13),15-13*ORÇAMENTO!$AF$7)/$H201*OFFSET(ORÇAMENTO!$X$15,ROW(AD201)-ROW(AD$15),0),
              ROUND(ROUND(OFFSET($P201,0,AD$13),15-13*ORÇAMENTO!$AF$7)*OFFSET(ORÇAMENTO!$W$15,ROW(AD201)-ROW(AD$15),0),15-13*ORÇAMENTO!$AF$11)),
         0)</f>
        <v>0</v>
      </c>
      <c r="AE201" s="454">
        <f ca="1">IF(AND($D201="Serviço",AE$12&lt;&gt;0,$H201&gt;0,OR(AUTOEVENTO&lt;&gt;"manual",$M201&lt;&gt;$A$15)),
        IF(Import.TipoArredondamento&lt;&gt;"TransfereGOV",
              ROUND(OFFSET($P201,0,AE$13),15-13*ORÇAMENTO!$AF$7)/$H201*OFFSET(ORÇAMENTO!$X$15,ROW(AE201)-ROW(AE$15),0),
              ROUND(ROUND(OFFSET($P201,0,AE$13),15-13*ORÇAMENTO!$AF$7)*OFFSET(ORÇAMENTO!$W$15,ROW(AE201)-ROW(AE$15),0),15-13*ORÇAMENTO!$AF$11)),
         0)</f>
        <v>0</v>
      </c>
      <c r="AF201" s="454">
        <f ca="1">IF(AND($D201="Serviço",AF$12&lt;&gt;0,$H201&gt;0,OR(AUTOEVENTO&lt;&gt;"manual",$M201&lt;&gt;$A$15)),
        IF(Import.TipoArredondamento&lt;&gt;"TransfereGOV",
              ROUND(OFFSET($P201,0,AF$13),15-13*ORÇAMENTO!$AF$7)/$H201*OFFSET(ORÇAMENTO!$X$15,ROW(AF201)-ROW(AF$15),0),
              ROUND(ROUND(OFFSET($P201,0,AF$13),15-13*ORÇAMENTO!$AF$7)*OFFSET(ORÇAMENTO!$W$15,ROW(AF201)-ROW(AF$15),0),15-13*ORÇAMENTO!$AF$11)),
         0)</f>
        <v>0</v>
      </c>
      <c r="AG201" s="454">
        <f ca="1">IF(AND($D201="Serviço",AG$12&lt;&gt;0,$H201&gt;0,OR(AUTOEVENTO&lt;&gt;"manual",$M201&lt;&gt;$A$15)),
        IF(Import.TipoArredondamento&lt;&gt;"TransfereGOV",
              ROUND(OFFSET($P201,0,AG$13),15-13*ORÇAMENTO!$AF$7)/$H201*OFFSET(ORÇAMENTO!$X$15,ROW(AG201)-ROW(AG$15),0),
              ROUND(ROUND(OFFSET($P201,0,AG$13),15-13*ORÇAMENTO!$AF$7)*OFFSET(ORÇAMENTO!$W$15,ROW(AG201)-ROW(AG$15),0),15-13*ORÇAMENTO!$AF$11)),
         0)</f>
        <v>0</v>
      </c>
      <c r="AH201" s="454">
        <f ca="1">IF(AND($D201="Serviço",AH$12&lt;&gt;0,$H201&gt;0,OR(AUTOEVENTO&lt;&gt;"manual",$M201&lt;&gt;$A$15)),
        IF(Import.TipoArredondamento&lt;&gt;"TransfereGOV",
              ROUND(OFFSET($P201,0,AH$13),15-13*ORÇAMENTO!$AF$7)/$H201*OFFSET(ORÇAMENTO!$X$15,ROW(AH201)-ROW(AH$15),0),
              ROUND(ROUND(OFFSET($P201,0,AH$13),15-13*ORÇAMENTO!$AF$7)*OFFSET(ORÇAMENTO!$W$15,ROW(AH201)-ROW(AH$15),0),15-13*ORÇAMENTO!$AF$11)),
         0)</f>
        <v>0</v>
      </c>
      <c r="AI201" s="454">
        <f ca="1">IF(AND($D201="Serviço",AI$12&lt;&gt;0,$H201&gt;0,OR(AUTOEVENTO&lt;&gt;"manual",$M201&lt;&gt;$A$15)),
        IF(Import.TipoArredondamento&lt;&gt;"TransfereGOV",
              ROUND(OFFSET($P201,0,AI$13),15-13*ORÇAMENTO!$AF$7)/$H201*OFFSET(ORÇAMENTO!$X$15,ROW(AI201)-ROW(AI$15),0),
              ROUND(ROUND(OFFSET($P201,0,AI$13),15-13*ORÇAMENTO!$AF$7)*OFFSET(ORÇAMENTO!$W$15,ROW(AI201)-ROW(AI$15),0),15-13*ORÇAMENTO!$AF$11)),
         0)</f>
        <v>0</v>
      </c>
      <c r="AJ201" s="454">
        <f ca="1">IF(AND($D201="Serviço",AJ$12&lt;&gt;0,$H201&gt;0,OR(AUTOEVENTO&lt;&gt;"manual",$M201&lt;&gt;$A$15)),
        IF(Import.TipoArredondamento&lt;&gt;"TransfereGOV",
              ROUND(OFFSET($P201,0,AJ$13),15-13*ORÇAMENTO!$AF$7)/$H201*OFFSET(ORÇAMENTO!$X$15,ROW(AJ201)-ROW(AJ$15),0),
              ROUND(ROUND(OFFSET($P201,0,AJ$13),15-13*ORÇAMENTO!$AF$7)*OFFSET(ORÇAMENTO!$W$15,ROW(AJ201)-ROW(AJ$15),0),15-13*ORÇAMENTO!$AF$11)),
         0)</f>
        <v>0</v>
      </c>
      <c r="AK201" s="454">
        <f ca="1">IF(AND($D201="Serviço",AK$12&lt;&gt;0,$H201&gt;0,OR(AUTOEVENTO&lt;&gt;"manual",$M201&lt;&gt;$A$15)),
        IF(Import.TipoArredondamento&lt;&gt;"TransfereGOV",
              ROUND(OFFSET($P201,0,AK$13),15-13*ORÇAMENTO!$AF$7)/$H201*OFFSET(ORÇAMENTO!$X$15,ROW(AK201)-ROW(AK$15),0),
              ROUND(ROUND(OFFSET($P201,0,AK$13),15-13*ORÇAMENTO!$AF$7)*OFFSET(ORÇAMENTO!$W$15,ROW(AK201)-ROW(AK$15),0),15-13*ORÇAMENTO!$AF$11)),
         0)</f>
        <v>0</v>
      </c>
      <c r="AM201" s="172">
        <f ca="1">IF(OR($D201&lt;&gt;"Serviço",AND(AUTOEVENTO="Manual",$M201=$A$15)),0,
         IF(OFFSET(CRONOPLE!$F$15,$M201-$A$15,AM$13)=0,10^12,OFFSET(CRONOPLE!$F$15,$M201-$A$15,AM$13)))</f>
        <v>1000000000000</v>
      </c>
      <c r="AN201" s="172">
        <f ca="1">IF(OR($D201&lt;&gt;"Serviço",AND(AUTOEVENTO="Manual",$M201=$A$15)),0,
         IF(OFFSET(CRONOPLE!$F$15,$M201-$A$15,AN$13)=0,10^12,OFFSET(CRONOPLE!$F$15,$M201-$A$15,AN$13)))</f>
        <v>1000000000000</v>
      </c>
      <c r="AO201" s="172">
        <f ca="1">IF(OR($D201&lt;&gt;"Serviço",AND(AUTOEVENTO="Manual",$M201=$A$15)),0,
         IF(OFFSET(CRONOPLE!$F$15,$M201-$A$15,AO$13)=0,10^12,OFFSET(CRONOPLE!$F$15,$M201-$A$15,AO$13)))</f>
        <v>1000000000000</v>
      </c>
      <c r="AP201" s="172">
        <f ca="1">IF(OR($D201&lt;&gt;"Serviço",AND(AUTOEVENTO="Manual",$M201=$A$15)),0,
         IF(OFFSET(CRONOPLE!$F$15,$M201-$A$15,AP$13)=0,10^12,OFFSET(CRONOPLE!$F$15,$M201-$A$15,AP$13)))</f>
        <v>1000000000000</v>
      </c>
      <c r="AQ201" s="172">
        <f ca="1">IF(OR($D201&lt;&gt;"Serviço",AND(AUTOEVENTO="Manual",$M201=$A$15)),0,
         IF(OFFSET(CRONOPLE!$F$15,$M201-$A$15,AQ$13)=0,10^12,OFFSET(CRONOPLE!$F$15,$M201-$A$15,AQ$13)))</f>
        <v>1000000000000</v>
      </c>
      <c r="AR201" s="172">
        <f ca="1">IF(OR($D201&lt;&gt;"Serviço",AND(AUTOEVENTO="Manual",$M201=$A$15)),0,
         IF(OFFSET(CRONOPLE!$F$15,$M201-$A$15,AR$13)=0,10^12,OFFSET(CRONOPLE!$F$15,$M201-$A$15,AR$13)))</f>
        <v>1000000000000</v>
      </c>
      <c r="AS201" s="172">
        <f ca="1">IF(OR($D201&lt;&gt;"Serviço",AND(AUTOEVENTO="Manual",$M201=$A$15)),0,
         IF(OFFSET(CRONOPLE!$F$15,$M201-$A$15,AS$13)=0,10^12,OFFSET(CRONOPLE!$F$15,$M201-$A$15,AS$13)))</f>
        <v>1000000000000</v>
      </c>
      <c r="AT201" s="172">
        <f ca="1">IF(OR($D201&lt;&gt;"Serviço",AND(AUTOEVENTO="Manual",$M201=$A$15)),0,
         IF(OFFSET(CRONOPLE!$F$15,$M201-$A$15,AT$13)=0,10^12,OFFSET(CRONOPLE!$F$15,$M201-$A$15,AT$13)))</f>
        <v>1000000000000</v>
      </c>
      <c r="AU201" s="172">
        <f ca="1">IF(OR($D201&lt;&gt;"Serviço",AND(AUTOEVENTO="Manual",$M201=$A$15)),0,
         IF(OFFSET(CRONOPLE!$F$15,$M201-$A$15,AU$13)=0,10^12,OFFSET(CRONOPLE!$F$15,$M201-$A$15,AU$13)))</f>
        <v>1000000000000</v>
      </c>
      <c r="AV201" s="172">
        <f ca="1">IF(OR($D201&lt;&gt;"Serviço",AND(AUTOEVENTO="Manual",$M201=$A$15)),0,
         IF(OFFSET(CRONOPLE!$F$15,$M201-$A$15,AV$13)=0,10^12,OFFSET(CRONOPLE!$F$15,$M201-$A$15,AV$13)))</f>
        <v>1000000000000</v>
      </c>
      <c r="AX201" s="173">
        <f ca="1">IF(OR($D201&lt;&gt;"Serviço",AND(AUTOEVENTO="Manual",$M201=$A$15),$M201&gt;(ROW(PLE.lastrow)-ROW(PLE.firstrow))),0,
           IF(OFFSET(PLE!$G$15,$M201-$A$15,AX$13)="",10^12,OFFSET(PLE!$G$15,$M201-$A$15,AX$13)))</f>
        <v>1000000000000</v>
      </c>
      <c r="AY201" s="173">
        <f ca="1">IF(OR($D201&lt;&gt;"Serviço",AND(AUTOEVENTO="Manual",$M201=$A$15),$M201&gt;(ROW(PLE.lastrow)-ROW(PLE.firstrow))),0,
           IF(OFFSET(PLE!$G$15,$M201-$A$15,AY$13)="",10^12,OFFSET(PLE!$G$15,$M201-$A$15,AY$13)))</f>
        <v>1000000000000</v>
      </c>
      <c r="AZ201" s="173">
        <f ca="1">IF(OR($D201&lt;&gt;"Serviço",AND(AUTOEVENTO="Manual",$M201=$A$15),$M201&gt;(ROW(PLE.lastrow)-ROW(PLE.firstrow))),0,
           IF(OFFSET(PLE!$G$15,$M201-$A$15,AZ$13)="",10^12,OFFSET(PLE!$G$15,$M201-$A$15,AZ$13)))</f>
        <v>1000000000000</v>
      </c>
      <c r="BA201" s="173">
        <f ca="1">IF(OR($D201&lt;&gt;"Serviço",AND(AUTOEVENTO="Manual",$M201=$A$15),$M201&gt;(ROW(PLE.lastrow)-ROW(PLE.firstrow))),0,
           IF(OFFSET(PLE!$G$15,$M201-$A$15,BA$13)="",10^12,OFFSET(PLE!$G$15,$M201-$A$15,BA$13)))</f>
        <v>1000000000000</v>
      </c>
      <c r="BB201" s="173">
        <f ca="1">IF(OR($D201&lt;&gt;"Serviço",AND(AUTOEVENTO="Manual",$M201=$A$15),$M201&gt;(ROW(PLE.lastrow)-ROW(PLE.firstrow))),0,
           IF(OFFSET(PLE!$G$15,$M201-$A$15,BB$13)="",10^12,OFFSET(PLE!$G$15,$M201-$A$15,BB$13)))</f>
        <v>1000000000000</v>
      </c>
      <c r="BC201" s="173">
        <f ca="1">IF(OR($D201&lt;&gt;"Serviço",AND(AUTOEVENTO="Manual",$M201=$A$15),$M201&gt;(ROW(PLE.lastrow)-ROW(PLE.firstrow))),0,
           IF(OFFSET(PLE!$G$15,$M201-$A$15,BC$13)="",10^12,OFFSET(PLE!$G$15,$M201-$A$15,BC$13)))</f>
        <v>1000000000000</v>
      </c>
      <c r="BD201" s="173">
        <f ca="1">IF(OR($D201&lt;&gt;"Serviço",AND(AUTOEVENTO="Manual",$M201=$A$15),$M201&gt;(ROW(PLE.lastrow)-ROW(PLE.firstrow))),0,
           IF(OFFSET(PLE!$G$15,$M201-$A$15,BD$13)="",10^12,OFFSET(PLE!$G$15,$M201-$A$15,BD$13)))</f>
        <v>1000000000000</v>
      </c>
      <c r="BE201" s="173">
        <f ca="1">IF(OR($D201&lt;&gt;"Serviço",AND(AUTOEVENTO="Manual",$M201=$A$15),$M201&gt;(ROW(PLE.lastrow)-ROW(PLE.firstrow))),0,
           IF(OFFSET(PLE!$G$15,$M201-$A$15,BE$13)="",10^12,OFFSET(PLE!$G$15,$M201-$A$15,BE$13)))</f>
        <v>1000000000000</v>
      </c>
      <c r="BF201" s="173">
        <f ca="1">IF(OR($D201&lt;&gt;"Serviço",AND(AUTOEVENTO="Manual",$M201=$A$15),$M201&gt;(ROW(PLE.lastrow)-ROW(PLE.firstrow))),0,
           IF(OFFSET(PLE!$G$15,$M201-$A$15,BF$13)="",10^12,OFFSET(PLE!$G$15,$M201-$A$15,BF$13)))</f>
        <v>1000000000000</v>
      </c>
      <c r="BG201" s="173">
        <f ca="1">IF(OR($D201&lt;&gt;"Serviço",AND(AUTOEVENTO="Manual",$M201=$A$15),$M201&gt;(ROW(PLE.lastrow)-ROW(PLE.firstrow))),0,
           IF(OFFSET(PLE!$G$15,$M201-$A$15,BG$13)="",10^12,OFFSET(PLE!$G$15,$M201-$A$15,BG$13)))</f>
        <v>1000000000000</v>
      </c>
    </row>
    <row r="202" spans="1:59" s="675" customFormat="1" ht="38.25" x14ac:dyDescent="0.2">
      <c r="A202" s="671" t="str">
        <f t="shared" ca="1" si="11"/>
        <v>185</v>
      </c>
      <c r="B202" s="671" t="str">
        <f ca="1">OFFSET(ORÇAMENTO!C$15,ROW(B202)-ROW(B$15),0)</f>
        <v>S</v>
      </c>
      <c r="C202" s="671" t="str">
        <f ca="1">OFFSET(ORÇAMENTO!L$15,ROW(C202)-ROW(C$15),0)</f>
        <v/>
      </c>
      <c r="D202" s="117" t="str">
        <f ca="1">OFFSET(ORÇAMENTO!N$15,ROW(D202)-ROW(D$15),0)</f>
        <v>Serviço</v>
      </c>
      <c r="E202" s="118" t="str">
        <f ca="1">OFFSET(ORÇAMENTO!O$15,ROW(E202)-ROW(E$15),0)</f>
        <v>-</v>
      </c>
      <c r="F202" s="164" t="str">
        <f ca="1">OFFSET(ORÇAMENTO!R$15,ROW(F202)-ROW(F$15),0)</f>
        <v>(abra o arquivo 'Referência 09-2025.xlsm)</v>
      </c>
      <c r="G202" s="165" t="str">
        <f ca="1">IF($D202&lt;&gt;"Serviço","",OFFSET(ORÇAMENTO!S$15,ROW(G202)-ROW(G$15),0))</f>
        <v>-</v>
      </c>
      <c r="H202" s="123">
        <f ca="1">IF($D202&lt;&gt;"Serviço",0,IF(ACOMPANHAMENTO="BM",ROUND(OFFSET(ORÇAMENTO!AJ$15,ROW(H202)-ROW(H$15),0),15-13*ORÇAMENTO!$AF$7),SUMPRODUCT(($Q$1:$AA$1=1)*ROUND($Q202:$AA202,15-13*ORÇAMENTO!$AF$7))))</f>
        <v>250.88</v>
      </c>
      <c r="I202" s="469" t="s">
        <v>1110</v>
      </c>
      <c r="J202" s="667" t="str">
        <f ca="1">IF(OR(B202&lt;&gt;"S",CÁLCULO.FrentesPreenchidas=0),"",IF(AND(ACOMPANHAMENTO="PLE",AUTOEVENTO="Manual",OR(H202&gt;0,ORÇAMENTO!AC202="QUANT."),OR(K202="",M202=0,N202="")),"►",IF(AND(ACOMPANHAMENTO="PLE",ORÇAMENTO!AC202="QUANT."),"►►",IF(AND(COUNTIF($P$11:$AA$11,"▼")=0,H202&gt;0,I202=""),"◄",""))))</f>
        <v/>
      </c>
      <c r="K202" s="668"/>
      <c r="L202" s="166" t="s">
        <v>765</v>
      </c>
      <c r="M202" s="167">
        <f ca="1">IF($D202&lt;&gt;"Serviço","",
          IF(AUTOEVENTO="manual",$A202,
                IF(ISERROR(MATCH($A202,$A$15:OFFSET($A202,-1,0),0)),MAX($M$15:OFFSET(M202,-1,0))+1,
                      INDEX($M$15:OFFSET(M202,-1,0),MATCH($A202,$A$15:OFFSET($A202,-1,0),0)))))</f>
        <v>21</v>
      </c>
      <c r="N202" s="168" t="str">
        <f ca="1">IF($D202&lt;&gt;"Serviço","",
         IF(AUTOEVENTO="Manual",
                IF($A202=0,"&lt;-- defina o número do agrupador",
                       OFFSET(EVENTOS!$D$15,$A202-$A$15,0)),
                OFFSET($F$15,$A202,0)))</f>
        <v>PAREDE DE CONTENÇÃO ARMADA</v>
      </c>
      <c r="O202" s="169"/>
      <c r="Q202" s="169"/>
      <c r="R202" s="170"/>
      <c r="S202" s="170"/>
      <c r="T202" s="170"/>
      <c r="U202" s="170"/>
      <c r="V202" s="170"/>
      <c r="W202" s="170"/>
      <c r="X202" s="170"/>
      <c r="Y202" s="170"/>
      <c r="Z202" s="171"/>
      <c r="AB202" s="454">
        <f ca="1">IF(AND($D202="Serviço",AB$12&lt;&gt;0,$H202&gt;0,OR(AUTOEVENTO&lt;&gt;"manual",$M202&lt;&gt;$A$15)),
        IF(Import.TipoArredondamento&lt;&gt;"TransfereGOV",
              ROUND(OFFSET($P202,0,AB$13),15-13*ORÇAMENTO!$AF$7)/$H202*OFFSET(ORÇAMENTO!$X$15,ROW(AB202)-ROW(AB$15),0),
              ROUND(ROUND(OFFSET($P202,0,AB$13),15-13*ORÇAMENTO!$AF$7)*OFFSET(ORÇAMENTO!$W$15,ROW(AB202)-ROW(AB$15),0),15-13*ORÇAMENTO!$AF$11)),
         0)</f>
        <v>0</v>
      </c>
      <c r="AC202" s="454">
        <f ca="1">IF(AND($D202="Serviço",AC$12&lt;&gt;0,$H202&gt;0,OR(AUTOEVENTO&lt;&gt;"manual",$M202&lt;&gt;$A$15)),
        IF(Import.TipoArredondamento&lt;&gt;"TransfereGOV",
              ROUND(OFFSET($P202,0,AC$13),15-13*ORÇAMENTO!$AF$7)/$H202*OFFSET(ORÇAMENTO!$X$15,ROW(AC202)-ROW(AC$15),0),
              ROUND(ROUND(OFFSET($P202,0,AC$13),15-13*ORÇAMENTO!$AF$7)*OFFSET(ORÇAMENTO!$W$15,ROW(AC202)-ROW(AC$15),0),15-13*ORÇAMENTO!$AF$11)),
         0)</f>
        <v>0</v>
      </c>
      <c r="AD202" s="454">
        <f ca="1">IF(AND($D202="Serviço",AD$12&lt;&gt;0,$H202&gt;0,OR(AUTOEVENTO&lt;&gt;"manual",$M202&lt;&gt;$A$15)),
        IF(Import.TipoArredondamento&lt;&gt;"TransfereGOV",
              ROUND(OFFSET($P202,0,AD$13),15-13*ORÇAMENTO!$AF$7)/$H202*OFFSET(ORÇAMENTO!$X$15,ROW(AD202)-ROW(AD$15),0),
              ROUND(ROUND(OFFSET($P202,0,AD$13),15-13*ORÇAMENTO!$AF$7)*OFFSET(ORÇAMENTO!$W$15,ROW(AD202)-ROW(AD$15),0),15-13*ORÇAMENTO!$AF$11)),
         0)</f>
        <v>0</v>
      </c>
      <c r="AE202" s="454">
        <f ca="1">IF(AND($D202="Serviço",AE$12&lt;&gt;0,$H202&gt;0,OR(AUTOEVENTO&lt;&gt;"manual",$M202&lt;&gt;$A$15)),
        IF(Import.TipoArredondamento&lt;&gt;"TransfereGOV",
              ROUND(OFFSET($P202,0,AE$13),15-13*ORÇAMENTO!$AF$7)/$H202*OFFSET(ORÇAMENTO!$X$15,ROW(AE202)-ROW(AE$15),0),
              ROUND(ROUND(OFFSET($P202,0,AE$13),15-13*ORÇAMENTO!$AF$7)*OFFSET(ORÇAMENTO!$W$15,ROW(AE202)-ROW(AE$15),0),15-13*ORÇAMENTO!$AF$11)),
         0)</f>
        <v>0</v>
      </c>
      <c r="AF202" s="454">
        <f ca="1">IF(AND($D202="Serviço",AF$12&lt;&gt;0,$H202&gt;0,OR(AUTOEVENTO&lt;&gt;"manual",$M202&lt;&gt;$A$15)),
        IF(Import.TipoArredondamento&lt;&gt;"TransfereGOV",
              ROUND(OFFSET($P202,0,AF$13),15-13*ORÇAMENTO!$AF$7)/$H202*OFFSET(ORÇAMENTO!$X$15,ROW(AF202)-ROW(AF$15),0),
              ROUND(ROUND(OFFSET($P202,0,AF$13),15-13*ORÇAMENTO!$AF$7)*OFFSET(ORÇAMENTO!$W$15,ROW(AF202)-ROW(AF$15),0),15-13*ORÇAMENTO!$AF$11)),
         0)</f>
        <v>0</v>
      </c>
      <c r="AG202" s="454">
        <f ca="1">IF(AND($D202="Serviço",AG$12&lt;&gt;0,$H202&gt;0,OR(AUTOEVENTO&lt;&gt;"manual",$M202&lt;&gt;$A$15)),
        IF(Import.TipoArredondamento&lt;&gt;"TransfereGOV",
              ROUND(OFFSET($P202,0,AG$13),15-13*ORÇAMENTO!$AF$7)/$H202*OFFSET(ORÇAMENTO!$X$15,ROW(AG202)-ROW(AG$15),0),
              ROUND(ROUND(OFFSET($P202,0,AG$13),15-13*ORÇAMENTO!$AF$7)*OFFSET(ORÇAMENTO!$W$15,ROW(AG202)-ROW(AG$15),0),15-13*ORÇAMENTO!$AF$11)),
         0)</f>
        <v>0</v>
      </c>
      <c r="AH202" s="454">
        <f ca="1">IF(AND($D202="Serviço",AH$12&lt;&gt;0,$H202&gt;0,OR(AUTOEVENTO&lt;&gt;"manual",$M202&lt;&gt;$A$15)),
        IF(Import.TipoArredondamento&lt;&gt;"TransfereGOV",
              ROUND(OFFSET($P202,0,AH$13),15-13*ORÇAMENTO!$AF$7)/$H202*OFFSET(ORÇAMENTO!$X$15,ROW(AH202)-ROW(AH$15),0),
              ROUND(ROUND(OFFSET($P202,0,AH$13),15-13*ORÇAMENTO!$AF$7)*OFFSET(ORÇAMENTO!$W$15,ROW(AH202)-ROW(AH$15),0),15-13*ORÇAMENTO!$AF$11)),
         0)</f>
        <v>0</v>
      </c>
      <c r="AI202" s="454">
        <f ca="1">IF(AND($D202="Serviço",AI$12&lt;&gt;0,$H202&gt;0,OR(AUTOEVENTO&lt;&gt;"manual",$M202&lt;&gt;$A$15)),
        IF(Import.TipoArredondamento&lt;&gt;"TransfereGOV",
              ROUND(OFFSET($P202,0,AI$13),15-13*ORÇAMENTO!$AF$7)/$H202*OFFSET(ORÇAMENTO!$X$15,ROW(AI202)-ROW(AI$15),0),
              ROUND(ROUND(OFFSET($P202,0,AI$13),15-13*ORÇAMENTO!$AF$7)*OFFSET(ORÇAMENTO!$W$15,ROW(AI202)-ROW(AI$15),0),15-13*ORÇAMENTO!$AF$11)),
         0)</f>
        <v>0</v>
      </c>
      <c r="AJ202" s="454">
        <f ca="1">IF(AND($D202="Serviço",AJ$12&lt;&gt;0,$H202&gt;0,OR(AUTOEVENTO&lt;&gt;"manual",$M202&lt;&gt;$A$15)),
        IF(Import.TipoArredondamento&lt;&gt;"TransfereGOV",
              ROUND(OFFSET($P202,0,AJ$13),15-13*ORÇAMENTO!$AF$7)/$H202*OFFSET(ORÇAMENTO!$X$15,ROW(AJ202)-ROW(AJ$15),0),
              ROUND(ROUND(OFFSET($P202,0,AJ$13),15-13*ORÇAMENTO!$AF$7)*OFFSET(ORÇAMENTO!$W$15,ROW(AJ202)-ROW(AJ$15),0),15-13*ORÇAMENTO!$AF$11)),
         0)</f>
        <v>0</v>
      </c>
      <c r="AK202" s="454">
        <f ca="1">IF(AND($D202="Serviço",AK$12&lt;&gt;0,$H202&gt;0,OR(AUTOEVENTO&lt;&gt;"manual",$M202&lt;&gt;$A$15)),
        IF(Import.TipoArredondamento&lt;&gt;"TransfereGOV",
              ROUND(OFFSET($P202,0,AK$13),15-13*ORÇAMENTO!$AF$7)/$H202*OFFSET(ORÇAMENTO!$X$15,ROW(AK202)-ROW(AK$15),0),
              ROUND(ROUND(OFFSET($P202,0,AK$13),15-13*ORÇAMENTO!$AF$7)*OFFSET(ORÇAMENTO!$W$15,ROW(AK202)-ROW(AK$15),0),15-13*ORÇAMENTO!$AF$11)),
         0)</f>
        <v>0</v>
      </c>
      <c r="AM202" s="172">
        <f ca="1">IF(OR($D202&lt;&gt;"Serviço",AND(AUTOEVENTO="Manual",$M202=$A$15)),0,
         IF(OFFSET(CRONOPLE!$F$15,$M202-$A$15,AM$13)=0,10^12,OFFSET(CRONOPLE!$F$15,$M202-$A$15,AM$13)))</f>
        <v>1000000000000</v>
      </c>
      <c r="AN202" s="172">
        <f ca="1">IF(OR($D202&lt;&gt;"Serviço",AND(AUTOEVENTO="Manual",$M202=$A$15)),0,
         IF(OFFSET(CRONOPLE!$F$15,$M202-$A$15,AN$13)=0,10^12,OFFSET(CRONOPLE!$F$15,$M202-$A$15,AN$13)))</f>
        <v>1000000000000</v>
      </c>
      <c r="AO202" s="172">
        <f ca="1">IF(OR($D202&lt;&gt;"Serviço",AND(AUTOEVENTO="Manual",$M202=$A$15)),0,
         IF(OFFSET(CRONOPLE!$F$15,$M202-$A$15,AO$13)=0,10^12,OFFSET(CRONOPLE!$F$15,$M202-$A$15,AO$13)))</f>
        <v>1000000000000</v>
      </c>
      <c r="AP202" s="172">
        <f ca="1">IF(OR($D202&lt;&gt;"Serviço",AND(AUTOEVENTO="Manual",$M202=$A$15)),0,
         IF(OFFSET(CRONOPLE!$F$15,$M202-$A$15,AP$13)=0,10^12,OFFSET(CRONOPLE!$F$15,$M202-$A$15,AP$13)))</f>
        <v>1000000000000</v>
      </c>
      <c r="AQ202" s="172">
        <f ca="1">IF(OR($D202&lt;&gt;"Serviço",AND(AUTOEVENTO="Manual",$M202=$A$15)),0,
         IF(OFFSET(CRONOPLE!$F$15,$M202-$A$15,AQ$13)=0,10^12,OFFSET(CRONOPLE!$F$15,$M202-$A$15,AQ$13)))</f>
        <v>1000000000000</v>
      </c>
      <c r="AR202" s="172">
        <f ca="1">IF(OR($D202&lt;&gt;"Serviço",AND(AUTOEVENTO="Manual",$M202=$A$15)),0,
         IF(OFFSET(CRONOPLE!$F$15,$M202-$A$15,AR$13)=0,10^12,OFFSET(CRONOPLE!$F$15,$M202-$A$15,AR$13)))</f>
        <v>1000000000000</v>
      </c>
      <c r="AS202" s="172">
        <f ca="1">IF(OR($D202&lt;&gt;"Serviço",AND(AUTOEVENTO="Manual",$M202=$A$15)),0,
         IF(OFFSET(CRONOPLE!$F$15,$M202-$A$15,AS$13)=0,10^12,OFFSET(CRONOPLE!$F$15,$M202-$A$15,AS$13)))</f>
        <v>1000000000000</v>
      </c>
      <c r="AT202" s="172">
        <f ca="1">IF(OR($D202&lt;&gt;"Serviço",AND(AUTOEVENTO="Manual",$M202=$A$15)),0,
         IF(OFFSET(CRONOPLE!$F$15,$M202-$A$15,AT$13)=0,10^12,OFFSET(CRONOPLE!$F$15,$M202-$A$15,AT$13)))</f>
        <v>1000000000000</v>
      </c>
      <c r="AU202" s="172">
        <f ca="1">IF(OR($D202&lt;&gt;"Serviço",AND(AUTOEVENTO="Manual",$M202=$A$15)),0,
         IF(OFFSET(CRONOPLE!$F$15,$M202-$A$15,AU$13)=0,10^12,OFFSET(CRONOPLE!$F$15,$M202-$A$15,AU$13)))</f>
        <v>1000000000000</v>
      </c>
      <c r="AV202" s="172">
        <f ca="1">IF(OR($D202&lt;&gt;"Serviço",AND(AUTOEVENTO="Manual",$M202=$A$15)),0,
         IF(OFFSET(CRONOPLE!$F$15,$M202-$A$15,AV$13)=0,10^12,OFFSET(CRONOPLE!$F$15,$M202-$A$15,AV$13)))</f>
        <v>1000000000000</v>
      </c>
      <c r="AX202" s="173">
        <f ca="1">IF(OR($D202&lt;&gt;"Serviço",AND(AUTOEVENTO="Manual",$M202=$A$15),$M202&gt;(ROW(PLE.lastrow)-ROW(PLE.firstrow))),0,
           IF(OFFSET(PLE!$G$15,$M202-$A$15,AX$13)="",10^12,OFFSET(PLE!$G$15,$M202-$A$15,AX$13)))</f>
        <v>1000000000000</v>
      </c>
      <c r="AY202" s="173">
        <f ca="1">IF(OR($D202&lt;&gt;"Serviço",AND(AUTOEVENTO="Manual",$M202=$A$15),$M202&gt;(ROW(PLE.lastrow)-ROW(PLE.firstrow))),0,
           IF(OFFSET(PLE!$G$15,$M202-$A$15,AY$13)="",10^12,OFFSET(PLE!$G$15,$M202-$A$15,AY$13)))</f>
        <v>1000000000000</v>
      </c>
      <c r="AZ202" s="173">
        <f ca="1">IF(OR($D202&lt;&gt;"Serviço",AND(AUTOEVENTO="Manual",$M202=$A$15),$M202&gt;(ROW(PLE.lastrow)-ROW(PLE.firstrow))),0,
           IF(OFFSET(PLE!$G$15,$M202-$A$15,AZ$13)="",10^12,OFFSET(PLE!$G$15,$M202-$A$15,AZ$13)))</f>
        <v>1000000000000</v>
      </c>
      <c r="BA202" s="173">
        <f ca="1">IF(OR($D202&lt;&gt;"Serviço",AND(AUTOEVENTO="Manual",$M202=$A$15),$M202&gt;(ROW(PLE.lastrow)-ROW(PLE.firstrow))),0,
           IF(OFFSET(PLE!$G$15,$M202-$A$15,BA$13)="",10^12,OFFSET(PLE!$G$15,$M202-$A$15,BA$13)))</f>
        <v>1000000000000</v>
      </c>
      <c r="BB202" s="173">
        <f ca="1">IF(OR($D202&lt;&gt;"Serviço",AND(AUTOEVENTO="Manual",$M202=$A$15),$M202&gt;(ROW(PLE.lastrow)-ROW(PLE.firstrow))),0,
           IF(OFFSET(PLE!$G$15,$M202-$A$15,BB$13)="",10^12,OFFSET(PLE!$G$15,$M202-$A$15,BB$13)))</f>
        <v>1000000000000</v>
      </c>
      <c r="BC202" s="173">
        <f ca="1">IF(OR($D202&lt;&gt;"Serviço",AND(AUTOEVENTO="Manual",$M202=$A$15),$M202&gt;(ROW(PLE.lastrow)-ROW(PLE.firstrow))),0,
           IF(OFFSET(PLE!$G$15,$M202-$A$15,BC$13)="",10^12,OFFSET(PLE!$G$15,$M202-$A$15,BC$13)))</f>
        <v>1000000000000</v>
      </c>
      <c r="BD202" s="173">
        <f ca="1">IF(OR($D202&lt;&gt;"Serviço",AND(AUTOEVENTO="Manual",$M202=$A$15),$M202&gt;(ROW(PLE.lastrow)-ROW(PLE.firstrow))),0,
           IF(OFFSET(PLE!$G$15,$M202-$A$15,BD$13)="",10^12,OFFSET(PLE!$G$15,$M202-$A$15,BD$13)))</f>
        <v>1000000000000</v>
      </c>
      <c r="BE202" s="173">
        <f ca="1">IF(OR($D202&lt;&gt;"Serviço",AND(AUTOEVENTO="Manual",$M202=$A$15),$M202&gt;(ROW(PLE.lastrow)-ROW(PLE.firstrow))),0,
           IF(OFFSET(PLE!$G$15,$M202-$A$15,BE$13)="",10^12,OFFSET(PLE!$G$15,$M202-$A$15,BE$13)))</f>
        <v>1000000000000</v>
      </c>
      <c r="BF202" s="173">
        <f ca="1">IF(OR($D202&lt;&gt;"Serviço",AND(AUTOEVENTO="Manual",$M202=$A$15),$M202&gt;(ROW(PLE.lastrow)-ROW(PLE.firstrow))),0,
           IF(OFFSET(PLE!$G$15,$M202-$A$15,BF$13)="",10^12,OFFSET(PLE!$G$15,$M202-$A$15,BF$13)))</f>
        <v>1000000000000</v>
      </c>
      <c r="BG202" s="173">
        <f ca="1">IF(OR($D202&lt;&gt;"Serviço",AND(AUTOEVENTO="Manual",$M202=$A$15),$M202&gt;(ROW(PLE.lastrow)-ROW(PLE.firstrow))),0,
           IF(OFFSET(PLE!$G$15,$M202-$A$15,BG$13)="",10^12,OFFSET(PLE!$G$15,$M202-$A$15,BG$13)))</f>
        <v>1000000000000</v>
      </c>
    </row>
    <row r="203" spans="1:59" s="675" customFormat="1" ht="38.25" x14ac:dyDescent="0.2">
      <c r="A203" s="671" t="str">
        <f t="shared" ca="1" si="11"/>
        <v>185</v>
      </c>
      <c r="B203" s="671" t="str">
        <f ca="1">OFFSET(ORÇAMENTO!C$15,ROW(B203)-ROW(B$15),0)</f>
        <v>S</v>
      </c>
      <c r="C203" s="671" t="str">
        <f ca="1">OFFSET(ORÇAMENTO!L$15,ROW(C203)-ROW(C$15),0)</f>
        <v/>
      </c>
      <c r="D203" s="117" t="str">
        <f ca="1">OFFSET(ORÇAMENTO!N$15,ROW(D203)-ROW(D$15),0)</f>
        <v>Serviço</v>
      </c>
      <c r="E203" s="118" t="str">
        <f ca="1">OFFSET(ORÇAMENTO!O$15,ROW(E203)-ROW(E$15),0)</f>
        <v>-</v>
      </c>
      <c r="F203" s="164" t="str">
        <f ca="1">OFFSET(ORÇAMENTO!R$15,ROW(F203)-ROW(F$15),0)</f>
        <v>(abra o arquivo 'Referência 09-2025.xlsm)</v>
      </c>
      <c r="G203" s="165" t="str">
        <f ca="1">IF($D203&lt;&gt;"Serviço","",OFFSET(ORÇAMENTO!S$15,ROW(G203)-ROW(G$15),0))</f>
        <v>-</v>
      </c>
      <c r="H203" s="123">
        <f ca="1">IF($D203&lt;&gt;"Serviço",0,IF(ACOMPANHAMENTO="BM",ROUND(OFFSET(ORÇAMENTO!AJ$15,ROW(H203)-ROW(H$15),0),15-13*ORÇAMENTO!$AF$7),SUMPRODUCT(($Q$1:$AA$1=1)*ROUND($Q203:$AA203,15-13*ORÇAMENTO!$AF$7))))</f>
        <v>276.41000000000003</v>
      </c>
      <c r="I203" s="469" t="s">
        <v>1110</v>
      </c>
      <c r="J203" s="667" t="str">
        <f ca="1">IF(OR(B203&lt;&gt;"S",CÁLCULO.FrentesPreenchidas=0),"",IF(AND(ACOMPANHAMENTO="PLE",AUTOEVENTO="Manual",OR(H203&gt;0,ORÇAMENTO!AC203="QUANT."),OR(K203="",M203=0,N203="")),"►",IF(AND(ACOMPANHAMENTO="PLE",ORÇAMENTO!AC203="QUANT."),"►►",IF(AND(COUNTIF($P$11:$AA$11,"▼")=0,H203&gt;0,I203=""),"◄",""))))</f>
        <v/>
      </c>
      <c r="K203" s="668"/>
      <c r="L203" s="166" t="s">
        <v>765</v>
      </c>
      <c r="M203" s="167">
        <f ca="1">IF($D203&lt;&gt;"Serviço","",
          IF(AUTOEVENTO="manual",$A203,
                IF(ISERROR(MATCH($A203,$A$15:OFFSET($A203,-1,0),0)),MAX($M$15:OFFSET(M203,-1,0))+1,
                      INDEX($M$15:OFFSET(M203,-1,0),MATCH($A203,$A$15:OFFSET($A203,-1,0),0)))))</f>
        <v>21</v>
      </c>
      <c r="N203" s="168" t="str">
        <f ca="1">IF($D203&lt;&gt;"Serviço","",
         IF(AUTOEVENTO="Manual",
                IF($A203=0,"&lt;-- defina o número do agrupador",
                       OFFSET(EVENTOS!$D$15,$A203-$A$15,0)),
                OFFSET($F$15,$A203,0)))</f>
        <v>PAREDE DE CONTENÇÃO ARMADA</v>
      </c>
      <c r="O203" s="169"/>
      <c r="Q203" s="169"/>
      <c r="R203" s="170"/>
      <c r="S203" s="170"/>
      <c r="T203" s="170"/>
      <c r="U203" s="170"/>
      <c r="V203" s="170"/>
      <c r="W203" s="170"/>
      <c r="X203" s="170"/>
      <c r="Y203" s="170"/>
      <c r="Z203" s="171"/>
      <c r="AB203" s="454">
        <f ca="1">IF(AND($D203="Serviço",AB$12&lt;&gt;0,$H203&gt;0,OR(AUTOEVENTO&lt;&gt;"manual",$M203&lt;&gt;$A$15)),
        IF(Import.TipoArredondamento&lt;&gt;"TransfereGOV",
              ROUND(OFFSET($P203,0,AB$13),15-13*ORÇAMENTO!$AF$7)/$H203*OFFSET(ORÇAMENTO!$X$15,ROW(AB203)-ROW(AB$15),0),
              ROUND(ROUND(OFFSET($P203,0,AB$13),15-13*ORÇAMENTO!$AF$7)*OFFSET(ORÇAMENTO!$W$15,ROW(AB203)-ROW(AB$15),0),15-13*ORÇAMENTO!$AF$11)),
         0)</f>
        <v>0</v>
      </c>
      <c r="AC203" s="454">
        <f ca="1">IF(AND($D203="Serviço",AC$12&lt;&gt;0,$H203&gt;0,OR(AUTOEVENTO&lt;&gt;"manual",$M203&lt;&gt;$A$15)),
        IF(Import.TipoArredondamento&lt;&gt;"TransfereGOV",
              ROUND(OFFSET($P203,0,AC$13),15-13*ORÇAMENTO!$AF$7)/$H203*OFFSET(ORÇAMENTO!$X$15,ROW(AC203)-ROW(AC$15),0),
              ROUND(ROUND(OFFSET($P203,0,AC$13),15-13*ORÇAMENTO!$AF$7)*OFFSET(ORÇAMENTO!$W$15,ROW(AC203)-ROW(AC$15),0),15-13*ORÇAMENTO!$AF$11)),
         0)</f>
        <v>0</v>
      </c>
      <c r="AD203" s="454">
        <f ca="1">IF(AND($D203="Serviço",AD$12&lt;&gt;0,$H203&gt;0,OR(AUTOEVENTO&lt;&gt;"manual",$M203&lt;&gt;$A$15)),
        IF(Import.TipoArredondamento&lt;&gt;"TransfereGOV",
              ROUND(OFFSET($P203,0,AD$13),15-13*ORÇAMENTO!$AF$7)/$H203*OFFSET(ORÇAMENTO!$X$15,ROW(AD203)-ROW(AD$15),0),
              ROUND(ROUND(OFFSET($P203,0,AD$13),15-13*ORÇAMENTO!$AF$7)*OFFSET(ORÇAMENTO!$W$15,ROW(AD203)-ROW(AD$15),0),15-13*ORÇAMENTO!$AF$11)),
         0)</f>
        <v>0</v>
      </c>
      <c r="AE203" s="454">
        <f ca="1">IF(AND($D203="Serviço",AE$12&lt;&gt;0,$H203&gt;0,OR(AUTOEVENTO&lt;&gt;"manual",$M203&lt;&gt;$A$15)),
        IF(Import.TipoArredondamento&lt;&gt;"TransfereGOV",
              ROUND(OFFSET($P203,0,AE$13),15-13*ORÇAMENTO!$AF$7)/$H203*OFFSET(ORÇAMENTO!$X$15,ROW(AE203)-ROW(AE$15),0),
              ROUND(ROUND(OFFSET($P203,0,AE$13),15-13*ORÇAMENTO!$AF$7)*OFFSET(ORÇAMENTO!$W$15,ROW(AE203)-ROW(AE$15),0),15-13*ORÇAMENTO!$AF$11)),
         0)</f>
        <v>0</v>
      </c>
      <c r="AF203" s="454">
        <f ca="1">IF(AND($D203="Serviço",AF$12&lt;&gt;0,$H203&gt;0,OR(AUTOEVENTO&lt;&gt;"manual",$M203&lt;&gt;$A$15)),
        IF(Import.TipoArredondamento&lt;&gt;"TransfereGOV",
              ROUND(OFFSET($P203,0,AF$13),15-13*ORÇAMENTO!$AF$7)/$H203*OFFSET(ORÇAMENTO!$X$15,ROW(AF203)-ROW(AF$15),0),
              ROUND(ROUND(OFFSET($P203,0,AF$13),15-13*ORÇAMENTO!$AF$7)*OFFSET(ORÇAMENTO!$W$15,ROW(AF203)-ROW(AF$15),0),15-13*ORÇAMENTO!$AF$11)),
         0)</f>
        <v>0</v>
      </c>
      <c r="AG203" s="454">
        <f ca="1">IF(AND($D203="Serviço",AG$12&lt;&gt;0,$H203&gt;0,OR(AUTOEVENTO&lt;&gt;"manual",$M203&lt;&gt;$A$15)),
        IF(Import.TipoArredondamento&lt;&gt;"TransfereGOV",
              ROUND(OFFSET($P203,0,AG$13),15-13*ORÇAMENTO!$AF$7)/$H203*OFFSET(ORÇAMENTO!$X$15,ROW(AG203)-ROW(AG$15),0),
              ROUND(ROUND(OFFSET($P203,0,AG$13),15-13*ORÇAMENTO!$AF$7)*OFFSET(ORÇAMENTO!$W$15,ROW(AG203)-ROW(AG$15),0),15-13*ORÇAMENTO!$AF$11)),
         0)</f>
        <v>0</v>
      </c>
      <c r="AH203" s="454">
        <f ca="1">IF(AND($D203="Serviço",AH$12&lt;&gt;0,$H203&gt;0,OR(AUTOEVENTO&lt;&gt;"manual",$M203&lt;&gt;$A$15)),
        IF(Import.TipoArredondamento&lt;&gt;"TransfereGOV",
              ROUND(OFFSET($P203,0,AH$13),15-13*ORÇAMENTO!$AF$7)/$H203*OFFSET(ORÇAMENTO!$X$15,ROW(AH203)-ROW(AH$15),0),
              ROUND(ROUND(OFFSET($P203,0,AH$13),15-13*ORÇAMENTO!$AF$7)*OFFSET(ORÇAMENTO!$W$15,ROW(AH203)-ROW(AH$15),0),15-13*ORÇAMENTO!$AF$11)),
         0)</f>
        <v>0</v>
      </c>
      <c r="AI203" s="454">
        <f ca="1">IF(AND($D203="Serviço",AI$12&lt;&gt;0,$H203&gt;0,OR(AUTOEVENTO&lt;&gt;"manual",$M203&lt;&gt;$A$15)),
        IF(Import.TipoArredondamento&lt;&gt;"TransfereGOV",
              ROUND(OFFSET($P203,0,AI$13),15-13*ORÇAMENTO!$AF$7)/$H203*OFFSET(ORÇAMENTO!$X$15,ROW(AI203)-ROW(AI$15),0),
              ROUND(ROUND(OFFSET($P203,0,AI$13),15-13*ORÇAMENTO!$AF$7)*OFFSET(ORÇAMENTO!$W$15,ROW(AI203)-ROW(AI$15),0),15-13*ORÇAMENTO!$AF$11)),
         0)</f>
        <v>0</v>
      </c>
      <c r="AJ203" s="454">
        <f ca="1">IF(AND($D203="Serviço",AJ$12&lt;&gt;0,$H203&gt;0,OR(AUTOEVENTO&lt;&gt;"manual",$M203&lt;&gt;$A$15)),
        IF(Import.TipoArredondamento&lt;&gt;"TransfereGOV",
              ROUND(OFFSET($P203,0,AJ$13),15-13*ORÇAMENTO!$AF$7)/$H203*OFFSET(ORÇAMENTO!$X$15,ROW(AJ203)-ROW(AJ$15),0),
              ROUND(ROUND(OFFSET($P203,0,AJ$13),15-13*ORÇAMENTO!$AF$7)*OFFSET(ORÇAMENTO!$W$15,ROW(AJ203)-ROW(AJ$15),0),15-13*ORÇAMENTO!$AF$11)),
         0)</f>
        <v>0</v>
      </c>
      <c r="AK203" s="454">
        <f ca="1">IF(AND($D203="Serviço",AK$12&lt;&gt;0,$H203&gt;0,OR(AUTOEVENTO&lt;&gt;"manual",$M203&lt;&gt;$A$15)),
        IF(Import.TipoArredondamento&lt;&gt;"TransfereGOV",
              ROUND(OFFSET($P203,0,AK$13),15-13*ORÇAMENTO!$AF$7)/$H203*OFFSET(ORÇAMENTO!$X$15,ROW(AK203)-ROW(AK$15),0),
              ROUND(ROUND(OFFSET($P203,0,AK$13),15-13*ORÇAMENTO!$AF$7)*OFFSET(ORÇAMENTO!$W$15,ROW(AK203)-ROW(AK$15),0),15-13*ORÇAMENTO!$AF$11)),
         0)</f>
        <v>0</v>
      </c>
      <c r="AM203" s="172">
        <f ca="1">IF(OR($D203&lt;&gt;"Serviço",AND(AUTOEVENTO="Manual",$M203=$A$15)),0,
         IF(OFFSET(CRONOPLE!$F$15,$M203-$A$15,AM$13)=0,10^12,OFFSET(CRONOPLE!$F$15,$M203-$A$15,AM$13)))</f>
        <v>1000000000000</v>
      </c>
      <c r="AN203" s="172">
        <f ca="1">IF(OR($D203&lt;&gt;"Serviço",AND(AUTOEVENTO="Manual",$M203=$A$15)),0,
         IF(OFFSET(CRONOPLE!$F$15,$M203-$A$15,AN$13)=0,10^12,OFFSET(CRONOPLE!$F$15,$M203-$A$15,AN$13)))</f>
        <v>1000000000000</v>
      </c>
      <c r="AO203" s="172">
        <f ca="1">IF(OR($D203&lt;&gt;"Serviço",AND(AUTOEVENTO="Manual",$M203=$A$15)),0,
         IF(OFFSET(CRONOPLE!$F$15,$M203-$A$15,AO$13)=0,10^12,OFFSET(CRONOPLE!$F$15,$M203-$A$15,AO$13)))</f>
        <v>1000000000000</v>
      </c>
      <c r="AP203" s="172">
        <f ca="1">IF(OR($D203&lt;&gt;"Serviço",AND(AUTOEVENTO="Manual",$M203=$A$15)),0,
         IF(OFFSET(CRONOPLE!$F$15,$M203-$A$15,AP$13)=0,10^12,OFFSET(CRONOPLE!$F$15,$M203-$A$15,AP$13)))</f>
        <v>1000000000000</v>
      </c>
      <c r="AQ203" s="172">
        <f ca="1">IF(OR($D203&lt;&gt;"Serviço",AND(AUTOEVENTO="Manual",$M203=$A$15)),0,
         IF(OFFSET(CRONOPLE!$F$15,$M203-$A$15,AQ$13)=0,10^12,OFFSET(CRONOPLE!$F$15,$M203-$A$15,AQ$13)))</f>
        <v>1000000000000</v>
      </c>
      <c r="AR203" s="172">
        <f ca="1">IF(OR($D203&lt;&gt;"Serviço",AND(AUTOEVENTO="Manual",$M203=$A$15)),0,
         IF(OFFSET(CRONOPLE!$F$15,$M203-$A$15,AR$13)=0,10^12,OFFSET(CRONOPLE!$F$15,$M203-$A$15,AR$13)))</f>
        <v>1000000000000</v>
      </c>
      <c r="AS203" s="172">
        <f ca="1">IF(OR($D203&lt;&gt;"Serviço",AND(AUTOEVENTO="Manual",$M203=$A$15)),0,
         IF(OFFSET(CRONOPLE!$F$15,$M203-$A$15,AS$13)=0,10^12,OFFSET(CRONOPLE!$F$15,$M203-$A$15,AS$13)))</f>
        <v>1000000000000</v>
      </c>
      <c r="AT203" s="172">
        <f ca="1">IF(OR($D203&lt;&gt;"Serviço",AND(AUTOEVENTO="Manual",$M203=$A$15)),0,
         IF(OFFSET(CRONOPLE!$F$15,$M203-$A$15,AT$13)=0,10^12,OFFSET(CRONOPLE!$F$15,$M203-$A$15,AT$13)))</f>
        <v>1000000000000</v>
      </c>
      <c r="AU203" s="172">
        <f ca="1">IF(OR($D203&lt;&gt;"Serviço",AND(AUTOEVENTO="Manual",$M203=$A$15)),0,
         IF(OFFSET(CRONOPLE!$F$15,$M203-$A$15,AU$13)=0,10^12,OFFSET(CRONOPLE!$F$15,$M203-$A$15,AU$13)))</f>
        <v>1000000000000</v>
      </c>
      <c r="AV203" s="172">
        <f ca="1">IF(OR($D203&lt;&gt;"Serviço",AND(AUTOEVENTO="Manual",$M203=$A$15)),0,
         IF(OFFSET(CRONOPLE!$F$15,$M203-$A$15,AV$13)=0,10^12,OFFSET(CRONOPLE!$F$15,$M203-$A$15,AV$13)))</f>
        <v>1000000000000</v>
      </c>
      <c r="AX203" s="173">
        <f ca="1">IF(OR($D203&lt;&gt;"Serviço",AND(AUTOEVENTO="Manual",$M203=$A$15),$M203&gt;(ROW(PLE.lastrow)-ROW(PLE.firstrow))),0,
           IF(OFFSET(PLE!$G$15,$M203-$A$15,AX$13)="",10^12,OFFSET(PLE!$G$15,$M203-$A$15,AX$13)))</f>
        <v>1000000000000</v>
      </c>
      <c r="AY203" s="173">
        <f ca="1">IF(OR($D203&lt;&gt;"Serviço",AND(AUTOEVENTO="Manual",$M203=$A$15),$M203&gt;(ROW(PLE.lastrow)-ROW(PLE.firstrow))),0,
           IF(OFFSET(PLE!$G$15,$M203-$A$15,AY$13)="",10^12,OFFSET(PLE!$G$15,$M203-$A$15,AY$13)))</f>
        <v>1000000000000</v>
      </c>
      <c r="AZ203" s="173">
        <f ca="1">IF(OR($D203&lt;&gt;"Serviço",AND(AUTOEVENTO="Manual",$M203=$A$15),$M203&gt;(ROW(PLE.lastrow)-ROW(PLE.firstrow))),0,
           IF(OFFSET(PLE!$G$15,$M203-$A$15,AZ$13)="",10^12,OFFSET(PLE!$G$15,$M203-$A$15,AZ$13)))</f>
        <v>1000000000000</v>
      </c>
      <c r="BA203" s="173">
        <f ca="1">IF(OR($D203&lt;&gt;"Serviço",AND(AUTOEVENTO="Manual",$M203=$A$15),$M203&gt;(ROW(PLE.lastrow)-ROW(PLE.firstrow))),0,
           IF(OFFSET(PLE!$G$15,$M203-$A$15,BA$13)="",10^12,OFFSET(PLE!$G$15,$M203-$A$15,BA$13)))</f>
        <v>1000000000000</v>
      </c>
      <c r="BB203" s="173">
        <f ca="1">IF(OR($D203&lt;&gt;"Serviço",AND(AUTOEVENTO="Manual",$M203=$A$15),$M203&gt;(ROW(PLE.lastrow)-ROW(PLE.firstrow))),0,
           IF(OFFSET(PLE!$G$15,$M203-$A$15,BB$13)="",10^12,OFFSET(PLE!$G$15,$M203-$A$15,BB$13)))</f>
        <v>1000000000000</v>
      </c>
      <c r="BC203" s="173">
        <f ca="1">IF(OR($D203&lt;&gt;"Serviço",AND(AUTOEVENTO="Manual",$M203=$A$15),$M203&gt;(ROW(PLE.lastrow)-ROW(PLE.firstrow))),0,
           IF(OFFSET(PLE!$G$15,$M203-$A$15,BC$13)="",10^12,OFFSET(PLE!$G$15,$M203-$A$15,BC$13)))</f>
        <v>1000000000000</v>
      </c>
      <c r="BD203" s="173">
        <f ca="1">IF(OR($D203&lt;&gt;"Serviço",AND(AUTOEVENTO="Manual",$M203=$A$15),$M203&gt;(ROW(PLE.lastrow)-ROW(PLE.firstrow))),0,
           IF(OFFSET(PLE!$G$15,$M203-$A$15,BD$13)="",10^12,OFFSET(PLE!$G$15,$M203-$A$15,BD$13)))</f>
        <v>1000000000000</v>
      </c>
      <c r="BE203" s="173">
        <f ca="1">IF(OR($D203&lt;&gt;"Serviço",AND(AUTOEVENTO="Manual",$M203=$A$15),$M203&gt;(ROW(PLE.lastrow)-ROW(PLE.firstrow))),0,
           IF(OFFSET(PLE!$G$15,$M203-$A$15,BE$13)="",10^12,OFFSET(PLE!$G$15,$M203-$A$15,BE$13)))</f>
        <v>1000000000000</v>
      </c>
      <c r="BF203" s="173">
        <f ca="1">IF(OR($D203&lt;&gt;"Serviço",AND(AUTOEVENTO="Manual",$M203=$A$15),$M203&gt;(ROW(PLE.lastrow)-ROW(PLE.firstrow))),0,
           IF(OFFSET(PLE!$G$15,$M203-$A$15,BF$13)="",10^12,OFFSET(PLE!$G$15,$M203-$A$15,BF$13)))</f>
        <v>1000000000000</v>
      </c>
      <c r="BG203" s="173">
        <f ca="1">IF(OR($D203&lt;&gt;"Serviço",AND(AUTOEVENTO="Manual",$M203=$A$15),$M203&gt;(ROW(PLE.lastrow)-ROW(PLE.firstrow))),0,
           IF(OFFSET(PLE!$G$15,$M203-$A$15,BG$13)="",10^12,OFFSET(PLE!$G$15,$M203-$A$15,BG$13)))</f>
        <v>1000000000000</v>
      </c>
    </row>
    <row r="204" spans="1:59" s="675" customFormat="1" ht="51" x14ac:dyDescent="0.2">
      <c r="A204" s="671" t="str">
        <f t="shared" ca="1" si="11"/>
        <v>185</v>
      </c>
      <c r="B204" s="671" t="str">
        <f ca="1">OFFSET(ORÇAMENTO!C$15,ROW(B204)-ROW(B$15),0)</f>
        <v>S</v>
      </c>
      <c r="C204" s="671" t="str">
        <f ca="1">OFFSET(ORÇAMENTO!L$15,ROW(C204)-ROW(C$15),0)</f>
        <v/>
      </c>
      <c r="D204" s="117" t="str">
        <f ca="1">OFFSET(ORÇAMENTO!N$15,ROW(D204)-ROW(D$15),0)</f>
        <v>Serviço</v>
      </c>
      <c r="E204" s="118" t="str">
        <f ca="1">OFFSET(ORÇAMENTO!O$15,ROW(E204)-ROW(E$15),0)</f>
        <v>-</v>
      </c>
      <c r="F204" s="164" t="str">
        <f ca="1">OFFSET(ORÇAMENTO!R$15,ROW(F204)-ROW(F$15),0)</f>
        <v>(abra o arquivo 'Referência 09-2025.xlsm)</v>
      </c>
      <c r="G204" s="165" t="str">
        <f ca="1">IF($D204&lt;&gt;"Serviço","",OFFSET(ORÇAMENTO!S$15,ROW(G204)-ROW(G$15),0))</f>
        <v>-</v>
      </c>
      <c r="H204" s="123">
        <f ca="1">IF($D204&lt;&gt;"Serviço",0,IF(ACOMPANHAMENTO="BM",ROUND(OFFSET(ORÇAMENTO!AJ$15,ROW(H204)-ROW(H$15),0),15-13*ORÇAMENTO!$AF$7),SUMPRODUCT(($Q$1:$AA$1=1)*ROUND($Q204:$AA204,15-13*ORÇAMENTO!$AF$7))))</f>
        <v>13.98</v>
      </c>
      <c r="I204" s="469" t="s">
        <v>1110</v>
      </c>
      <c r="J204" s="667" t="str">
        <f ca="1">IF(OR(B204&lt;&gt;"S",CÁLCULO.FrentesPreenchidas=0),"",IF(AND(ACOMPANHAMENTO="PLE",AUTOEVENTO="Manual",OR(H204&gt;0,ORÇAMENTO!AC204="QUANT."),OR(K204="",M204=0,N204="")),"►",IF(AND(ACOMPANHAMENTO="PLE",ORÇAMENTO!AC204="QUANT."),"►►",IF(AND(COUNTIF($P$11:$AA$11,"▼")=0,H204&gt;0,I204=""),"◄",""))))</f>
        <v/>
      </c>
      <c r="K204" s="668"/>
      <c r="L204" s="166" t="s">
        <v>765</v>
      </c>
      <c r="M204" s="167">
        <f ca="1">IF($D204&lt;&gt;"Serviço","",
          IF(AUTOEVENTO="manual",$A204,
                IF(ISERROR(MATCH($A204,$A$15:OFFSET($A204,-1,0),0)),MAX($M$15:OFFSET(M204,-1,0))+1,
                      INDEX($M$15:OFFSET(M204,-1,0),MATCH($A204,$A$15:OFFSET($A204,-1,0),0)))))</f>
        <v>21</v>
      </c>
      <c r="N204" s="168" t="str">
        <f ca="1">IF($D204&lt;&gt;"Serviço","",
         IF(AUTOEVENTO="Manual",
                IF($A204=0,"&lt;-- defina o número do agrupador",
                       OFFSET(EVENTOS!$D$15,$A204-$A$15,0)),
                OFFSET($F$15,$A204,0)))</f>
        <v>PAREDE DE CONTENÇÃO ARMADA</v>
      </c>
      <c r="O204" s="169"/>
      <c r="Q204" s="169"/>
      <c r="R204" s="170"/>
      <c r="S204" s="170"/>
      <c r="T204" s="170"/>
      <c r="U204" s="170"/>
      <c r="V204" s="170"/>
      <c r="W204" s="170"/>
      <c r="X204" s="170"/>
      <c r="Y204" s="170"/>
      <c r="Z204" s="171"/>
      <c r="AB204" s="454">
        <f ca="1">IF(AND($D204="Serviço",AB$12&lt;&gt;0,$H204&gt;0,OR(AUTOEVENTO&lt;&gt;"manual",$M204&lt;&gt;$A$15)),
        IF(Import.TipoArredondamento&lt;&gt;"TransfereGOV",
              ROUND(OFFSET($P204,0,AB$13),15-13*ORÇAMENTO!$AF$7)/$H204*OFFSET(ORÇAMENTO!$X$15,ROW(AB204)-ROW(AB$15),0),
              ROUND(ROUND(OFFSET($P204,0,AB$13),15-13*ORÇAMENTO!$AF$7)*OFFSET(ORÇAMENTO!$W$15,ROW(AB204)-ROW(AB$15),0),15-13*ORÇAMENTO!$AF$11)),
         0)</f>
        <v>0</v>
      </c>
      <c r="AC204" s="454">
        <f ca="1">IF(AND($D204="Serviço",AC$12&lt;&gt;0,$H204&gt;0,OR(AUTOEVENTO&lt;&gt;"manual",$M204&lt;&gt;$A$15)),
        IF(Import.TipoArredondamento&lt;&gt;"TransfereGOV",
              ROUND(OFFSET($P204,0,AC$13),15-13*ORÇAMENTO!$AF$7)/$H204*OFFSET(ORÇAMENTO!$X$15,ROW(AC204)-ROW(AC$15),0),
              ROUND(ROUND(OFFSET($P204,0,AC$13),15-13*ORÇAMENTO!$AF$7)*OFFSET(ORÇAMENTO!$W$15,ROW(AC204)-ROW(AC$15),0),15-13*ORÇAMENTO!$AF$11)),
         0)</f>
        <v>0</v>
      </c>
      <c r="AD204" s="454">
        <f ca="1">IF(AND($D204="Serviço",AD$12&lt;&gt;0,$H204&gt;0,OR(AUTOEVENTO&lt;&gt;"manual",$M204&lt;&gt;$A$15)),
        IF(Import.TipoArredondamento&lt;&gt;"TransfereGOV",
              ROUND(OFFSET($P204,0,AD$13),15-13*ORÇAMENTO!$AF$7)/$H204*OFFSET(ORÇAMENTO!$X$15,ROW(AD204)-ROW(AD$15),0),
              ROUND(ROUND(OFFSET($P204,0,AD$13),15-13*ORÇAMENTO!$AF$7)*OFFSET(ORÇAMENTO!$W$15,ROW(AD204)-ROW(AD$15),0),15-13*ORÇAMENTO!$AF$11)),
         0)</f>
        <v>0</v>
      </c>
      <c r="AE204" s="454">
        <f ca="1">IF(AND($D204="Serviço",AE$12&lt;&gt;0,$H204&gt;0,OR(AUTOEVENTO&lt;&gt;"manual",$M204&lt;&gt;$A$15)),
        IF(Import.TipoArredondamento&lt;&gt;"TransfereGOV",
              ROUND(OFFSET($P204,0,AE$13),15-13*ORÇAMENTO!$AF$7)/$H204*OFFSET(ORÇAMENTO!$X$15,ROW(AE204)-ROW(AE$15),0),
              ROUND(ROUND(OFFSET($P204,0,AE$13),15-13*ORÇAMENTO!$AF$7)*OFFSET(ORÇAMENTO!$W$15,ROW(AE204)-ROW(AE$15),0),15-13*ORÇAMENTO!$AF$11)),
         0)</f>
        <v>0</v>
      </c>
      <c r="AF204" s="454">
        <f ca="1">IF(AND($D204="Serviço",AF$12&lt;&gt;0,$H204&gt;0,OR(AUTOEVENTO&lt;&gt;"manual",$M204&lt;&gt;$A$15)),
        IF(Import.TipoArredondamento&lt;&gt;"TransfereGOV",
              ROUND(OFFSET($P204,0,AF$13),15-13*ORÇAMENTO!$AF$7)/$H204*OFFSET(ORÇAMENTO!$X$15,ROW(AF204)-ROW(AF$15),0),
              ROUND(ROUND(OFFSET($P204,0,AF$13),15-13*ORÇAMENTO!$AF$7)*OFFSET(ORÇAMENTO!$W$15,ROW(AF204)-ROW(AF$15),0),15-13*ORÇAMENTO!$AF$11)),
         0)</f>
        <v>0</v>
      </c>
      <c r="AG204" s="454">
        <f ca="1">IF(AND($D204="Serviço",AG$12&lt;&gt;0,$H204&gt;0,OR(AUTOEVENTO&lt;&gt;"manual",$M204&lt;&gt;$A$15)),
        IF(Import.TipoArredondamento&lt;&gt;"TransfereGOV",
              ROUND(OFFSET($P204,0,AG$13),15-13*ORÇAMENTO!$AF$7)/$H204*OFFSET(ORÇAMENTO!$X$15,ROW(AG204)-ROW(AG$15),0),
              ROUND(ROUND(OFFSET($P204,0,AG$13),15-13*ORÇAMENTO!$AF$7)*OFFSET(ORÇAMENTO!$W$15,ROW(AG204)-ROW(AG$15),0),15-13*ORÇAMENTO!$AF$11)),
         0)</f>
        <v>0</v>
      </c>
      <c r="AH204" s="454">
        <f ca="1">IF(AND($D204="Serviço",AH$12&lt;&gt;0,$H204&gt;0,OR(AUTOEVENTO&lt;&gt;"manual",$M204&lt;&gt;$A$15)),
        IF(Import.TipoArredondamento&lt;&gt;"TransfereGOV",
              ROUND(OFFSET($P204,0,AH$13),15-13*ORÇAMENTO!$AF$7)/$H204*OFFSET(ORÇAMENTO!$X$15,ROW(AH204)-ROW(AH$15),0),
              ROUND(ROUND(OFFSET($P204,0,AH$13),15-13*ORÇAMENTO!$AF$7)*OFFSET(ORÇAMENTO!$W$15,ROW(AH204)-ROW(AH$15),0),15-13*ORÇAMENTO!$AF$11)),
         0)</f>
        <v>0</v>
      </c>
      <c r="AI204" s="454">
        <f ca="1">IF(AND($D204="Serviço",AI$12&lt;&gt;0,$H204&gt;0,OR(AUTOEVENTO&lt;&gt;"manual",$M204&lt;&gt;$A$15)),
        IF(Import.TipoArredondamento&lt;&gt;"TransfereGOV",
              ROUND(OFFSET($P204,0,AI$13),15-13*ORÇAMENTO!$AF$7)/$H204*OFFSET(ORÇAMENTO!$X$15,ROW(AI204)-ROW(AI$15),0),
              ROUND(ROUND(OFFSET($P204,0,AI$13),15-13*ORÇAMENTO!$AF$7)*OFFSET(ORÇAMENTO!$W$15,ROW(AI204)-ROW(AI$15),0),15-13*ORÇAMENTO!$AF$11)),
         0)</f>
        <v>0</v>
      </c>
      <c r="AJ204" s="454">
        <f ca="1">IF(AND($D204="Serviço",AJ$12&lt;&gt;0,$H204&gt;0,OR(AUTOEVENTO&lt;&gt;"manual",$M204&lt;&gt;$A$15)),
        IF(Import.TipoArredondamento&lt;&gt;"TransfereGOV",
              ROUND(OFFSET($P204,0,AJ$13),15-13*ORÇAMENTO!$AF$7)/$H204*OFFSET(ORÇAMENTO!$X$15,ROW(AJ204)-ROW(AJ$15),0),
              ROUND(ROUND(OFFSET($P204,0,AJ$13),15-13*ORÇAMENTO!$AF$7)*OFFSET(ORÇAMENTO!$W$15,ROW(AJ204)-ROW(AJ$15),0),15-13*ORÇAMENTO!$AF$11)),
         0)</f>
        <v>0</v>
      </c>
      <c r="AK204" s="454">
        <f ca="1">IF(AND($D204="Serviço",AK$12&lt;&gt;0,$H204&gt;0,OR(AUTOEVENTO&lt;&gt;"manual",$M204&lt;&gt;$A$15)),
        IF(Import.TipoArredondamento&lt;&gt;"TransfereGOV",
              ROUND(OFFSET($P204,0,AK$13),15-13*ORÇAMENTO!$AF$7)/$H204*OFFSET(ORÇAMENTO!$X$15,ROW(AK204)-ROW(AK$15),0),
              ROUND(ROUND(OFFSET($P204,0,AK$13),15-13*ORÇAMENTO!$AF$7)*OFFSET(ORÇAMENTO!$W$15,ROW(AK204)-ROW(AK$15),0),15-13*ORÇAMENTO!$AF$11)),
         0)</f>
        <v>0</v>
      </c>
      <c r="AM204" s="172">
        <f ca="1">IF(OR($D204&lt;&gt;"Serviço",AND(AUTOEVENTO="Manual",$M204=$A$15)),0,
         IF(OFFSET(CRONOPLE!$F$15,$M204-$A$15,AM$13)=0,10^12,OFFSET(CRONOPLE!$F$15,$M204-$A$15,AM$13)))</f>
        <v>1000000000000</v>
      </c>
      <c r="AN204" s="172">
        <f ca="1">IF(OR($D204&lt;&gt;"Serviço",AND(AUTOEVENTO="Manual",$M204=$A$15)),0,
         IF(OFFSET(CRONOPLE!$F$15,$M204-$A$15,AN$13)=0,10^12,OFFSET(CRONOPLE!$F$15,$M204-$A$15,AN$13)))</f>
        <v>1000000000000</v>
      </c>
      <c r="AO204" s="172">
        <f ca="1">IF(OR($D204&lt;&gt;"Serviço",AND(AUTOEVENTO="Manual",$M204=$A$15)),0,
         IF(OFFSET(CRONOPLE!$F$15,$M204-$A$15,AO$13)=0,10^12,OFFSET(CRONOPLE!$F$15,$M204-$A$15,AO$13)))</f>
        <v>1000000000000</v>
      </c>
      <c r="AP204" s="172">
        <f ca="1">IF(OR($D204&lt;&gt;"Serviço",AND(AUTOEVENTO="Manual",$M204=$A$15)),0,
         IF(OFFSET(CRONOPLE!$F$15,$M204-$A$15,AP$13)=0,10^12,OFFSET(CRONOPLE!$F$15,$M204-$A$15,AP$13)))</f>
        <v>1000000000000</v>
      </c>
      <c r="AQ204" s="172">
        <f ca="1">IF(OR($D204&lt;&gt;"Serviço",AND(AUTOEVENTO="Manual",$M204=$A$15)),0,
         IF(OFFSET(CRONOPLE!$F$15,$M204-$A$15,AQ$13)=0,10^12,OFFSET(CRONOPLE!$F$15,$M204-$A$15,AQ$13)))</f>
        <v>1000000000000</v>
      </c>
      <c r="AR204" s="172">
        <f ca="1">IF(OR($D204&lt;&gt;"Serviço",AND(AUTOEVENTO="Manual",$M204=$A$15)),0,
         IF(OFFSET(CRONOPLE!$F$15,$M204-$A$15,AR$13)=0,10^12,OFFSET(CRONOPLE!$F$15,$M204-$A$15,AR$13)))</f>
        <v>1000000000000</v>
      </c>
      <c r="AS204" s="172">
        <f ca="1">IF(OR($D204&lt;&gt;"Serviço",AND(AUTOEVENTO="Manual",$M204=$A$15)),0,
         IF(OFFSET(CRONOPLE!$F$15,$M204-$A$15,AS$13)=0,10^12,OFFSET(CRONOPLE!$F$15,$M204-$A$15,AS$13)))</f>
        <v>1000000000000</v>
      </c>
      <c r="AT204" s="172">
        <f ca="1">IF(OR($D204&lt;&gt;"Serviço",AND(AUTOEVENTO="Manual",$M204=$A$15)),0,
         IF(OFFSET(CRONOPLE!$F$15,$M204-$A$15,AT$13)=0,10^12,OFFSET(CRONOPLE!$F$15,$M204-$A$15,AT$13)))</f>
        <v>1000000000000</v>
      </c>
      <c r="AU204" s="172">
        <f ca="1">IF(OR($D204&lt;&gt;"Serviço",AND(AUTOEVENTO="Manual",$M204=$A$15)),0,
         IF(OFFSET(CRONOPLE!$F$15,$M204-$A$15,AU$13)=0,10^12,OFFSET(CRONOPLE!$F$15,$M204-$A$15,AU$13)))</f>
        <v>1000000000000</v>
      </c>
      <c r="AV204" s="172">
        <f ca="1">IF(OR($D204&lt;&gt;"Serviço",AND(AUTOEVENTO="Manual",$M204=$A$15)),0,
         IF(OFFSET(CRONOPLE!$F$15,$M204-$A$15,AV$13)=0,10^12,OFFSET(CRONOPLE!$F$15,$M204-$A$15,AV$13)))</f>
        <v>1000000000000</v>
      </c>
      <c r="AX204" s="173">
        <f ca="1">IF(OR($D204&lt;&gt;"Serviço",AND(AUTOEVENTO="Manual",$M204=$A$15),$M204&gt;(ROW(PLE.lastrow)-ROW(PLE.firstrow))),0,
           IF(OFFSET(PLE!$G$15,$M204-$A$15,AX$13)="",10^12,OFFSET(PLE!$G$15,$M204-$A$15,AX$13)))</f>
        <v>1000000000000</v>
      </c>
      <c r="AY204" s="173">
        <f ca="1">IF(OR($D204&lt;&gt;"Serviço",AND(AUTOEVENTO="Manual",$M204=$A$15),$M204&gt;(ROW(PLE.lastrow)-ROW(PLE.firstrow))),0,
           IF(OFFSET(PLE!$G$15,$M204-$A$15,AY$13)="",10^12,OFFSET(PLE!$G$15,$M204-$A$15,AY$13)))</f>
        <v>1000000000000</v>
      </c>
      <c r="AZ204" s="173">
        <f ca="1">IF(OR($D204&lt;&gt;"Serviço",AND(AUTOEVENTO="Manual",$M204=$A$15),$M204&gt;(ROW(PLE.lastrow)-ROW(PLE.firstrow))),0,
           IF(OFFSET(PLE!$G$15,$M204-$A$15,AZ$13)="",10^12,OFFSET(PLE!$G$15,$M204-$A$15,AZ$13)))</f>
        <v>1000000000000</v>
      </c>
      <c r="BA204" s="173">
        <f ca="1">IF(OR($D204&lt;&gt;"Serviço",AND(AUTOEVENTO="Manual",$M204=$A$15),$M204&gt;(ROW(PLE.lastrow)-ROW(PLE.firstrow))),0,
           IF(OFFSET(PLE!$G$15,$M204-$A$15,BA$13)="",10^12,OFFSET(PLE!$G$15,$M204-$A$15,BA$13)))</f>
        <v>1000000000000</v>
      </c>
      <c r="BB204" s="173">
        <f ca="1">IF(OR($D204&lt;&gt;"Serviço",AND(AUTOEVENTO="Manual",$M204=$A$15),$M204&gt;(ROW(PLE.lastrow)-ROW(PLE.firstrow))),0,
           IF(OFFSET(PLE!$G$15,$M204-$A$15,BB$13)="",10^12,OFFSET(PLE!$G$15,$M204-$A$15,BB$13)))</f>
        <v>1000000000000</v>
      </c>
      <c r="BC204" s="173">
        <f ca="1">IF(OR($D204&lt;&gt;"Serviço",AND(AUTOEVENTO="Manual",$M204=$A$15),$M204&gt;(ROW(PLE.lastrow)-ROW(PLE.firstrow))),0,
           IF(OFFSET(PLE!$G$15,$M204-$A$15,BC$13)="",10^12,OFFSET(PLE!$G$15,$M204-$A$15,BC$13)))</f>
        <v>1000000000000</v>
      </c>
      <c r="BD204" s="173">
        <f ca="1">IF(OR($D204&lt;&gt;"Serviço",AND(AUTOEVENTO="Manual",$M204=$A$15),$M204&gt;(ROW(PLE.lastrow)-ROW(PLE.firstrow))),0,
           IF(OFFSET(PLE!$G$15,$M204-$A$15,BD$13)="",10^12,OFFSET(PLE!$G$15,$M204-$A$15,BD$13)))</f>
        <v>1000000000000</v>
      </c>
      <c r="BE204" s="173">
        <f ca="1">IF(OR($D204&lt;&gt;"Serviço",AND(AUTOEVENTO="Manual",$M204=$A$15),$M204&gt;(ROW(PLE.lastrow)-ROW(PLE.firstrow))),0,
           IF(OFFSET(PLE!$G$15,$M204-$A$15,BE$13)="",10^12,OFFSET(PLE!$G$15,$M204-$A$15,BE$13)))</f>
        <v>1000000000000</v>
      </c>
      <c r="BF204" s="173">
        <f ca="1">IF(OR($D204&lt;&gt;"Serviço",AND(AUTOEVENTO="Manual",$M204=$A$15),$M204&gt;(ROW(PLE.lastrow)-ROW(PLE.firstrow))),0,
           IF(OFFSET(PLE!$G$15,$M204-$A$15,BF$13)="",10^12,OFFSET(PLE!$G$15,$M204-$A$15,BF$13)))</f>
        <v>1000000000000</v>
      </c>
      <c r="BG204" s="173">
        <f ca="1">IF(OR($D204&lt;&gt;"Serviço",AND(AUTOEVENTO="Manual",$M204=$A$15),$M204&gt;(ROW(PLE.lastrow)-ROW(PLE.firstrow))),0,
           IF(OFFSET(PLE!$G$15,$M204-$A$15,BG$13)="",10^12,OFFSET(PLE!$G$15,$M204-$A$15,BG$13)))</f>
        <v>1000000000000</v>
      </c>
    </row>
    <row r="205" spans="1:59" s="675" customFormat="1" ht="38.25" x14ac:dyDescent="0.2">
      <c r="A205" s="671" t="str">
        <f t="shared" ca="1" si="11"/>
        <v>185</v>
      </c>
      <c r="B205" s="671" t="str">
        <f ca="1">OFFSET(ORÇAMENTO!C$15,ROW(B205)-ROW(B$15),0)</f>
        <v>S</v>
      </c>
      <c r="C205" s="671" t="str">
        <f ca="1">OFFSET(ORÇAMENTO!L$15,ROW(C205)-ROW(C$15),0)</f>
        <v/>
      </c>
      <c r="D205" s="117" t="str">
        <f ca="1">OFFSET(ORÇAMENTO!N$15,ROW(D205)-ROW(D$15),0)</f>
        <v>Serviço</v>
      </c>
      <c r="E205" s="118" t="str">
        <f ca="1">OFFSET(ORÇAMENTO!O$15,ROW(E205)-ROW(E$15),0)</f>
        <v>-</v>
      </c>
      <c r="F205" s="164" t="str">
        <f ca="1">OFFSET(ORÇAMENTO!R$15,ROW(F205)-ROW(F$15),0)</f>
        <v>(abra o arquivo 'Referência 09-2025.xlsm)</v>
      </c>
      <c r="G205" s="165" t="str">
        <f ca="1">IF($D205&lt;&gt;"Serviço","",OFFSET(ORÇAMENTO!S$15,ROW(G205)-ROW(G$15),0))</f>
        <v>-</v>
      </c>
      <c r="H205" s="123">
        <f ca="1">IF($D205&lt;&gt;"Serviço",0,IF(ACOMPANHAMENTO="BM",ROUND(OFFSET(ORÇAMENTO!AJ$15,ROW(H205)-ROW(H$15),0),15-13*ORÇAMENTO!$AF$7),SUMPRODUCT(($Q$1:$AA$1=1)*ROUND($Q205:$AA205,15-13*ORÇAMENTO!$AF$7))))</f>
        <v>139.84</v>
      </c>
      <c r="I205" s="469" t="s">
        <v>1110</v>
      </c>
      <c r="J205" s="667" t="str">
        <f ca="1">IF(OR(B205&lt;&gt;"S",CÁLCULO.FrentesPreenchidas=0),"",IF(AND(ACOMPANHAMENTO="PLE",AUTOEVENTO="Manual",OR(H205&gt;0,ORÇAMENTO!AC205="QUANT."),OR(K205="",M205=0,N205="")),"►",IF(AND(ACOMPANHAMENTO="PLE",ORÇAMENTO!AC205="QUANT."),"►►",IF(AND(COUNTIF($P$11:$AA$11,"▼")=0,H205&gt;0,I205=""),"◄",""))))</f>
        <v/>
      </c>
      <c r="K205" s="668"/>
      <c r="L205" s="166" t="s">
        <v>765</v>
      </c>
      <c r="M205" s="167">
        <f ca="1">IF($D205&lt;&gt;"Serviço","",
          IF(AUTOEVENTO="manual",$A205,
                IF(ISERROR(MATCH($A205,$A$15:OFFSET($A205,-1,0),0)),MAX($M$15:OFFSET(M205,-1,0))+1,
                      INDEX($M$15:OFFSET(M205,-1,0),MATCH($A205,$A$15:OFFSET($A205,-1,0),0)))))</f>
        <v>21</v>
      </c>
      <c r="N205" s="168" t="str">
        <f ca="1">IF($D205&lt;&gt;"Serviço","",
         IF(AUTOEVENTO="Manual",
                IF($A205=0,"&lt;-- defina o número do agrupador",
                       OFFSET(EVENTOS!$D$15,$A205-$A$15,0)),
                OFFSET($F$15,$A205,0)))</f>
        <v>PAREDE DE CONTENÇÃO ARMADA</v>
      </c>
      <c r="O205" s="169"/>
      <c r="Q205" s="169"/>
      <c r="R205" s="170"/>
      <c r="S205" s="170"/>
      <c r="T205" s="170"/>
      <c r="U205" s="170"/>
      <c r="V205" s="170"/>
      <c r="W205" s="170"/>
      <c r="X205" s="170"/>
      <c r="Y205" s="170"/>
      <c r="Z205" s="171"/>
      <c r="AB205" s="454">
        <f ca="1">IF(AND($D205="Serviço",AB$12&lt;&gt;0,$H205&gt;0,OR(AUTOEVENTO&lt;&gt;"manual",$M205&lt;&gt;$A$15)),
        IF(Import.TipoArredondamento&lt;&gt;"TransfereGOV",
              ROUND(OFFSET($P205,0,AB$13),15-13*ORÇAMENTO!$AF$7)/$H205*OFFSET(ORÇAMENTO!$X$15,ROW(AB205)-ROW(AB$15),0),
              ROUND(ROUND(OFFSET($P205,0,AB$13),15-13*ORÇAMENTO!$AF$7)*OFFSET(ORÇAMENTO!$W$15,ROW(AB205)-ROW(AB$15),0),15-13*ORÇAMENTO!$AF$11)),
         0)</f>
        <v>0</v>
      </c>
      <c r="AC205" s="454">
        <f ca="1">IF(AND($D205="Serviço",AC$12&lt;&gt;0,$H205&gt;0,OR(AUTOEVENTO&lt;&gt;"manual",$M205&lt;&gt;$A$15)),
        IF(Import.TipoArredondamento&lt;&gt;"TransfereGOV",
              ROUND(OFFSET($P205,0,AC$13),15-13*ORÇAMENTO!$AF$7)/$H205*OFFSET(ORÇAMENTO!$X$15,ROW(AC205)-ROW(AC$15),0),
              ROUND(ROUND(OFFSET($P205,0,AC$13),15-13*ORÇAMENTO!$AF$7)*OFFSET(ORÇAMENTO!$W$15,ROW(AC205)-ROW(AC$15),0),15-13*ORÇAMENTO!$AF$11)),
         0)</f>
        <v>0</v>
      </c>
      <c r="AD205" s="454">
        <f ca="1">IF(AND($D205="Serviço",AD$12&lt;&gt;0,$H205&gt;0,OR(AUTOEVENTO&lt;&gt;"manual",$M205&lt;&gt;$A$15)),
        IF(Import.TipoArredondamento&lt;&gt;"TransfereGOV",
              ROUND(OFFSET($P205,0,AD$13),15-13*ORÇAMENTO!$AF$7)/$H205*OFFSET(ORÇAMENTO!$X$15,ROW(AD205)-ROW(AD$15),0),
              ROUND(ROUND(OFFSET($P205,0,AD$13),15-13*ORÇAMENTO!$AF$7)*OFFSET(ORÇAMENTO!$W$15,ROW(AD205)-ROW(AD$15),0),15-13*ORÇAMENTO!$AF$11)),
         0)</f>
        <v>0</v>
      </c>
      <c r="AE205" s="454">
        <f ca="1">IF(AND($D205="Serviço",AE$12&lt;&gt;0,$H205&gt;0,OR(AUTOEVENTO&lt;&gt;"manual",$M205&lt;&gt;$A$15)),
        IF(Import.TipoArredondamento&lt;&gt;"TransfereGOV",
              ROUND(OFFSET($P205,0,AE$13),15-13*ORÇAMENTO!$AF$7)/$H205*OFFSET(ORÇAMENTO!$X$15,ROW(AE205)-ROW(AE$15),0),
              ROUND(ROUND(OFFSET($P205,0,AE$13),15-13*ORÇAMENTO!$AF$7)*OFFSET(ORÇAMENTO!$W$15,ROW(AE205)-ROW(AE$15),0),15-13*ORÇAMENTO!$AF$11)),
         0)</f>
        <v>0</v>
      </c>
      <c r="AF205" s="454">
        <f ca="1">IF(AND($D205="Serviço",AF$12&lt;&gt;0,$H205&gt;0,OR(AUTOEVENTO&lt;&gt;"manual",$M205&lt;&gt;$A$15)),
        IF(Import.TipoArredondamento&lt;&gt;"TransfereGOV",
              ROUND(OFFSET($P205,0,AF$13),15-13*ORÇAMENTO!$AF$7)/$H205*OFFSET(ORÇAMENTO!$X$15,ROW(AF205)-ROW(AF$15),0),
              ROUND(ROUND(OFFSET($P205,0,AF$13),15-13*ORÇAMENTO!$AF$7)*OFFSET(ORÇAMENTO!$W$15,ROW(AF205)-ROW(AF$15),0),15-13*ORÇAMENTO!$AF$11)),
         0)</f>
        <v>0</v>
      </c>
      <c r="AG205" s="454">
        <f ca="1">IF(AND($D205="Serviço",AG$12&lt;&gt;0,$H205&gt;0,OR(AUTOEVENTO&lt;&gt;"manual",$M205&lt;&gt;$A$15)),
        IF(Import.TipoArredondamento&lt;&gt;"TransfereGOV",
              ROUND(OFFSET($P205,0,AG$13),15-13*ORÇAMENTO!$AF$7)/$H205*OFFSET(ORÇAMENTO!$X$15,ROW(AG205)-ROW(AG$15),0),
              ROUND(ROUND(OFFSET($P205,0,AG$13),15-13*ORÇAMENTO!$AF$7)*OFFSET(ORÇAMENTO!$W$15,ROW(AG205)-ROW(AG$15),0),15-13*ORÇAMENTO!$AF$11)),
         0)</f>
        <v>0</v>
      </c>
      <c r="AH205" s="454">
        <f ca="1">IF(AND($D205="Serviço",AH$12&lt;&gt;0,$H205&gt;0,OR(AUTOEVENTO&lt;&gt;"manual",$M205&lt;&gt;$A$15)),
        IF(Import.TipoArredondamento&lt;&gt;"TransfereGOV",
              ROUND(OFFSET($P205,0,AH$13),15-13*ORÇAMENTO!$AF$7)/$H205*OFFSET(ORÇAMENTO!$X$15,ROW(AH205)-ROW(AH$15),0),
              ROUND(ROUND(OFFSET($P205,0,AH$13),15-13*ORÇAMENTO!$AF$7)*OFFSET(ORÇAMENTO!$W$15,ROW(AH205)-ROW(AH$15),0),15-13*ORÇAMENTO!$AF$11)),
         0)</f>
        <v>0</v>
      </c>
      <c r="AI205" s="454">
        <f ca="1">IF(AND($D205="Serviço",AI$12&lt;&gt;0,$H205&gt;0,OR(AUTOEVENTO&lt;&gt;"manual",$M205&lt;&gt;$A$15)),
        IF(Import.TipoArredondamento&lt;&gt;"TransfereGOV",
              ROUND(OFFSET($P205,0,AI$13),15-13*ORÇAMENTO!$AF$7)/$H205*OFFSET(ORÇAMENTO!$X$15,ROW(AI205)-ROW(AI$15),0),
              ROUND(ROUND(OFFSET($P205,0,AI$13),15-13*ORÇAMENTO!$AF$7)*OFFSET(ORÇAMENTO!$W$15,ROW(AI205)-ROW(AI$15),0),15-13*ORÇAMENTO!$AF$11)),
         0)</f>
        <v>0</v>
      </c>
      <c r="AJ205" s="454">
        <f ca="1">IF(AND($D205="Serviço",AJ$12&lt;&gt;0,$H205&gt;0,OR(AUTOEVENTO&lt;&gt;"manual",$M205&lt;&gt;$A$15)),
        IF(Import.TipoArredondamento&lt;&gt;"TransfereGOV",
              ROUND(OFFSET($P205,0,AJ$13),15-13*ORÇAMENTO!$AF$7)/$H205*OFFSET(ORÇAMENTO!$X$15,ROW(AJ205)-ROW(AJ$15),0),
              ROUND(ROUND(OFFSET($P205,0,AJ$13),15-13*ORÇAMENTO!$AF$7)*OFFSET(ORÇAMENTO!$W$15,ROW(AJ205)-ROW(AJ$15),0),15-13*ORÇAMENTO!$AF$11)),
         0)</f>
        <v>0</v>
      </c>
      <c r="AK205" s="454">
        <f ca="1">IF(AND($D205="Serviço",AK$12&lt;&gt;0,$H205&gt;0,OR(AUTOEVENTO&lt;&gt;"manual",$M205&lt;&gt;$A$15)),
        IF(Import.TipoArredondamento&lt;&gt;"TransfereGOV",
              ROUND(OFFSET($P205,0,AK$13),15-13*ORÇAMENTO!$AF$7)/$H205*OFFSET(ORÇAMENTO!$X$15,ROW(AK205)-ROW(AK$15),0),
              ROUND(ROUND(OFFSET($P205,0,AK$13),15-13*ORÇAMENTO!$AF$7)*OFFSET(ORÇAMENTO!$W$15,ROW(AK205)-ROW(AK$15),0),15-13*ORÇAMENTO!$AF$11)),
         0)</f>
        <v>0</v>
      </c>
      <c r="AM205" s="172">
        <f ca="1">IF(OR($D205&lt;&gt;"Serviço",AND(AUTOEVENTO="Manual",$M205=$A$15)),0,
         IF(OFFSET(CRONOPLE!$F$15,$M205-$A$15,AM$13)=0,10^12,OFFSET(CRONOPLE!$F$15,$M205-$A$15,AM$13)))</f>
        <v>1000000000000</v>
      </c>
      <c r="AN205" s="172">
        <f ca="1">IF(OR($D205&lt;&gt;"Serviço",AND(AUTOEVENTO="Manual",$M205=$A$15)),0,
         IF(OFFSET(CRONOPLE!$F$15,$M205-$A$15,AN$13)=0,10^12,OFFSET(CRONOPLE!$F$15,$M205-$A$15,AN$13)))</f>
        <v>1000000000000</v>
      </c>
      <c r="AO205" s="172">
        <f ca="1">IF(OR($D205&lt;&gt;"Serviço",AND(AUTOEVENTO="Manual",$M205=$A$15)),0,
         IF(OFFSET(CRONOPLE!$F$15,$M205-$A$15,AO$13)=0,10^12,OFFSET(CRONOPLE!$F$15,$M205-$A$15,AO$13)))</f>
        <v>1000000000000</v>
      </c>
      <c r="AP205" s="172">
        <f ca="1">IF(OR($D205&lt;&gt;"Serviço",AND(AUTOEVENTO="Manual",$M205=$A$15)),0,
         IF(OFFSET(CRONOPLE!$F$15,$M205-$A$15,AP$13)=0,10^12,OFFSET(CRONOPLE!$F$15,$M205-$A$15,AP$13)))</f>
        <v>1000000000000</v>
      </c>
      <c r="AQ205" s="172">
        <f ca="1">IF(OR($D205&lt;&gt;"Serviço",AND(AUTOEVENTO="Manual",$M205=$A$15)),0,
         IF(OFFSET(CRONOPLE!$F$15,$M205-$A$15,AQ$13)=0,10^12,OFFSET(CRONOPLE!$F$15,$M205-$A$15,AQ$13)))</f>
        <v>1000000000000</v>
      </c>
      <c r="AR205" s="172">
        <f ca="1">IF(OR($D205&lt;&gt;"Serviço",AND(AUTOEVENTO="Manual",$M205=$A$15)),0,
         IF(OFFSET(CRONOPLE!$F$15,$M205-$A$15,AR$13)=0,10^12,OFFSET(CRONOPLE!$F$15,$M205-$A$15,AR$13)))</f>
        <v>1000000000000</v>
      </c>
      <c r="AS205" s="172">
        <f ca="1">IF(OR($D205&lt;&gt;"Serviço",AND(AUTOEVENTO="Manual",$M205=$A$15)),0,
         IF(OFFSET(CRONOPLE!$F$15,$M205-$A$15,AS$13)=0,10^12,OFFSET(CRONOPLE!$F$15,$M205-$A$15,AS$13)))</f>
        <v>1000000000000</v>
      </c>
      <c r="AT205" s="172">
        <f ca="1">IF(OR($D205&lt;&gt;"Serviço",AND(AUTOEVENTO="Manual",$M205=$A$15)),0,
         IF(OFFSET(CRONOPLE!$F$15,$M205-$A$15,AT$13)=0,10^12,OFFSET(CRONOPLE!$F$15,$M205-$A$15,AT$13)))</f>
        <v>1000000000000</v>
      </c>
      <c r="AU205" s="172">
        <f ca="1">IF(OR($D205&lt;&gt;"Serviço",AND(AUTOEVENTO="Manual",$M205=$A$15)),0,
         IF(OFFSET(CRONOPLE!$F$15,$M205-$A$15,AU$13)=0,10^12,OFFSET(CRONOPLE!$F$15,$M205-$A$15,AU$13)))</f>
        <v>1000000000000</v>
      </c>
      <c r="AV205" s="172">
        <f ca="1">IF(OR($D205&lt;&gt;"Serviço",AND(AUTOEVENTO="Manual",$M205=$A$15)),0,
         IF(OFFSET(CRONOPLE!$F$15,$M205-$A$15,AV$13)=0,10^12,OFFSET(CRONOPLE!$F$15,$M205-$A$15,AV$13)))</f>
        <v>1000000000000</v>
      </c>
      <c r="AX205" s="173">
        <f ca="1">IF(OR($D205&lt;&gt;"Serviço",AND(AUTOEVENTO="Manual",$M205=$A$15),$M205&gt;(ROW(PLE.lastrow)-ROW(PLE.firstrow))),0,
           IF(OFFSET(PLE!$G$15,$M205-$A$15,AX$13)="",10^12,OFFSET(PLE!$G$15,$M205-$A$15,AX$13)))</f>
        <v>1000000000000</v>
      </c>
      <c r="AY205" s="173">
        <f ca="1">IF(OR($D205&lt;&gt;"Serviço",AND(AUTOEVENTO="Manual",$M205=$A$15),$M205&gt;(ROW(PLE.lastrow)-ROW(PLE.firstrow))),0,
           IF(OFFSET(PLE!$G$15,$M205-$A$15,AY$13)="",10^12,OFFSET(PLE!$G$15,$M205-$A$15,AY$13)))</f>
        <v>1000000000000</v>
      </c>
      <c r="AZ205" s="173">
        <f ca="1">IF(OR($D205&lt;&gt;"Serviço",AND(AUTOEVENTO="Manual",$M205=$A$15),$M205&gt;(ROW(PLE.lastrow)-ROW(PLE.firstrow))),0,
           IF(OFFSET(PLE!$G$15,$M205-$A$15,AZ$13)="",10^12,OFFSET(PLE!$G$15,$M205-$A$15,AZ$13)))</f>
        <v>1000000000000</v>
      </c>
      <c r="BA205" s="173">
        <f ca="1">IF(OR($D205&lt;&gt;"Serviço",AND(AUTOEVENTO="Manual",$M205=$A$15),$M205&gt;(ROW(PLE.lastrow)-ROW(PLE.firstrow))),0,
           IF(OFFSET(PLE!$G$15,$M205-$A$15,BA$13)="",10^12,OFFSET(PLE!$G$15,$M205-$A$15,BA$13)))</f>
        <v>1000000000000</v>
      </c>
      <c r="BB205" s="173">
        <f ca="1">IF(OR($D205&lt;&gt;"Serviço",AND(AUTOEVENTO="Manual",$M205=$A$15),$M205&gt;(ROW(PLE.lastrow)-ROW(PLE.firstrow))),0,
           IF(OFFSET(PLE!$G$15,$M205-$A$15,BB$13)="",10^12,OFFSET(PLE!$G$15,$M205-$A$15,BB$13)))</f>
        <v>1000000000000</v>
      </c>
      <c r="BC205" s="173">
        <f ca="1">IF(OR($D205&lt;&gt;"Serviço",AND(AUTOEVENTO="Manual",$M205=$A$15),$M205&gt;(ROW(PLE.lastrow)-ROW(PLE.firstrow))),0,
           IF(OFFSET(PLE!$G$15,$M205-$A$15,BC$13)="",10^12,OFFSET(PLE!$G$15,$M205-$A$15,BC$13)))</f>
        <v>1000000000000</v>
      </c>
      <c r="BD205" s="173">
        <f ca="1">IF(OR($D205&lt;&gt;"Serviço",AND(AUTOEVENTO="Manual",$M205=$A$15),$M205&gt;(ROW(PLE.lastrow)-ROW(PLE.firstrow))),0,
           IF(OFFSET(PLE!$G$15,$M205-$A$15,BD$13)="",10^12,OFFSET(PLE!$G$15,$M205-$A$15,BD$13)))</f>
        <v>1000000000000</v>
      </c>
      <c r="BE205" s="173">
        <f ca="1">IF(OR($D205&lt;&gt;"Serviço",AND(AUTOEVENTO="Manual",$M205=$A$15),$M205&gt;(ROW(PLE.lastrow)-ROW(PLE.firstrow))),0,
           IF(OFFSET(PLE!$G$15,$M205-$A$15,BE$13)="",10^12,OFFSET(PLE!$G$15,$M205-$A$15,BE$13)))</f>
        <v>1000000000000</v>
      </c>
      <c r="BF205" s="173">
        <f ca="1">IF(OR($D205&lt;&gt;"Serviço",AND(AUTOEVENTO="Manual",$M205=$A$15),$M205&gt;(ROW(PLE.lastrow)-ROW(PLE.firstrow))),0,
           IF(OFFSET(PLE!$G$15,$M205-$A$15,BF$13)="",10^12,OFFSET(PLE!$G$15,$M205-$A$15,BF$13)))</f>
        <v>1000000000000</v>
      </c>
      <c r="BG205" s="173">
        <f ca="1">IF(OR($D205&lt;&gt;"Serviço",AND(AUTOEVENTO="Manual",$M205=$A$15),$M205&gt;(ROW(PLE.lastrow)-ROW(PLE.firstrow))),0,
           IF(OFFSET(PLE!$G$15,$M205-$A$15,BG$13)="",10^12,OFFSET(PLE!$G$15,$M205-$A$15,BG$13)))</f>
        <v>1000000000000</v>
      </c>
    </row>
    <row r="206" spans="1:59" s="675" customFormat="1" ht="12.75" x14ac:dyDescent="0.2">
      <c r="A206" s="671" t="str">
        <f t="shared" ca="1" si="11"/>
        <v>191.</v>
      </c>
      <c r="B206" s="671">
        <f ca="1">OFFSET(ORÇAMENTO!C$15,ROW(B206)-ROW(B$15),0)</f>
        <v>2</v>
      </c>
      <c r="C206" s="671" t="str">
        <f ca="1">OFFSET(ORÇAMENTO!L$15,ROW(C206)-ROW(C$15),0)</f>
        <v>F</v>
      </c>
      <c r="D206" s="117" t="str">
        <f ca="1">OFFSET(ORÇAMENTO!N$15,ROW(D206)-ROW(D$15),0)</f>
        <v>Nível 2</v>
      </c>
      <c r="E206" s="118" t="str">
        <f ca="1">OFFSET(ORÇAMENTO!O$15,ROW(E206)-ROW(E$15),0)</f>
        <v>1.26.</v>
      </c>
      <c r="F206" s="164" t="str">
        <f ca="1">OFFSET(ORÇAMENTO!R$15,ROW(F206)-ROW(F$15),0)</f>
        <v>LAJE COBERTURA</v>
      </c>
      <c r="G206" s="165" t="str">
        <f ca="1">IF($D206&lt;&gt;"Serviço","",OFFSET(ORÇAMENTO!S$15,ROW(G206)-ROW(G$15),0))</f>
        <v/>
      </c>
      <c r="H206" s="123">
        <f ca="1">IF($D206&lt;&gt;"Serviço",0,IF(ACOMPANHAMENTO="BM",ROUND(OFFSET(ORÇAMENTO!AJ$15,ROW(H206)-ROW(H$15),0),15-13*ORÇAMENTO!$AF$7),SUMPRODUCT(($Q$1:$AA$1=1)*ROUND($Q206:$AA206,15-13*ORÇAMENTO!$AF$7))))</f>
        <v>0</v>
      </c>
      <c r="I206" s="469"/>
      <c r="J206" s="667" t="str">
        <f ca="1">IF(OR(B206&lt;&gt;"S",CÁLCULO.FrentesPreenchidas=0),"",IF(AND(ACOMPANHAMENTO="PLE",AUTOEVENTO="Manual",OR(H206&gt;0,ORÇAMENTO!AC206="QUANT."),OR(K206="",M206=0,N206="")),"►",IF(AND(ACOMPANHAMENTO="PLE",ORÇAMENTO!AC206="QUANT."),"►►",IF(AND(COUNTIF($P$11:$AA$11,"▼")=0,H206&gt;0,I206=""),"◄",""))))</f>
        <v/>
      </c>
      <c r="K206" s="668"/>
      <c r="L206" s="166" t="s">
        <v>765</v>
      </c>
      <c r="M206" s="167" t="str">
        <f ca="1">IF($D206&lt;&gt;"Serviço","",
          IF(AUTOEVENTO="manual",$A206,
                IF(ISERROR(MATCH($A206,$A$15:OFFSET($A206,-1,0),0)),MAX($M$15:OFFSET(M206,-1,0))+1,
                      INDEX($M$15:OFFSET(M206,-1,0),MATCH($A206,$A$15:OFFSET($A206,-1,0),0)))))</f>
        <v/>
      </c>
      <c r="N206" s="168" t="str">
        <f ca="1">IF($D206&lt;&gt;"Serviço","",
         IF(AUTOEVENTO="Manual",
                IF($A206=0,"&lt;-- defina o número do agrupador",
                       OFFSET(EVENTOS!$D$15,$A206-$A$15,0)),
                OFFSET($F$15,$A206,0)))</f>
        <v/>
      </c>
      <c r="O206" s="169"/>
      <c r="Q206" s="169"/>
      <c r="R206" s="170"/>
      <c r="S206" s="170"/>
      <c r="T206" s="170"/>
      <c r="U206" s="170"/>
      <c r="V206" s="170"/>
      <c r="W206" s="170"/>
      <c r="X206" s="170"/>
      <c r="Y206" s="170"/>
      <c r="Z206" s="171"/>
      <c r="AB206" s="454">
        <f ca="1">IF(AND($D206="Serviço",AB$12&lt;&gt;0,$H206&gt;0,OR(AUTOEVENTO&lt;&gt;"manual",$M206&lt;&gt;$A$15)),
        IF(Import.TipoArredondamento&lt;&gt;"TransfereGOV",
              ROUND(OFFSET($P206,0,AB$13),15-13*ORÇAMENTO!$AF$7)/$H206*OFFSET(ORÇAMENTO!$X$15,ROW(AB206)-ROW(AB$15),0),
              ROUND(ROUND(OFFSET($P206,0,AB$13),15-13*ORÇAMENTO!$AF$7)*OFFSET(ORÇAMENTO!$W$15,ROW(AB206)-ROW(AB$15),0),15-13*ORÇAMENTO!$AF$11)),
         0)</f>
        <v>0</v>
      </c>
      <c r="AC206" s="454">
        <f ca="1">IF(AND($D206="Serviço",AC$12&lt;&gt;0,$H206&gt;0,OR(AUTOEVENTO&lt;&gt;"manual",$M206&lt;&gt;$A$15)),
        IF(Import.TipoArredondamento&lt;&gt;"TransfereGOV",
              ROUND(OFFSET($P206,0,AC$13),15-13*ORÇAMENTO!$AF$7)/$H206*OFFSET(ORÇAMENTO!$X$15,ROW(AC206)-ROW(AC$15),0),
              ROUND(ROUND(OFFSET($P206,0,AC$13),15-13*ORÇAMENTO!$AF$7)*OFFSET(ORÇAMENTO!$W$15,ROW(AC206)-ROW(AC$15),0),15-13*ORÇAMENTO!$AF$11)),
         0)</f>
        <v>0</v>
      </c>
      <c r="AD206" s="454">
        <f ca="1">IF(AND($D206="Serviço",AD$12&lt;&gt;0,$H206&gt;0,OR(AUTOEVENTO&lt;&gt;"manual",$M206&lt;&gt;$A$15)),
        IF(Import.TipoArredondamento&lt;&gt;"TransfereGOV",
              ROUND(OFFSET($P206,0,AD$13),15-13*ORÇAMENTO!$AF$7)/$H206*OFFSET(ORÇAMENTO!$X$15,ROW(AD206)-ROW(AD$15),0),
              ROUND(ROUND(OFFSET($P206,0,AD$13),15-13*ORÇAMENTO!$AF$7)*OFFSET(ORÇAMENTO!$W$15,ROW(AD206)-ROW(AD$15),0),15-13*ORÇAMENTO!$AF$11)),
         0)</f>
        <v>0</v>
      </c>
      <c r="AE206" s="454">
        <f ca="1">IF(AND($D206="Serviço",AE$12&lt;&gt;0,$H206&gt;0,OR(AUTOEVENTO&lt;&gt;"manual",$M206&lt;&gt;$A$15)),
        IF(Import.TipoArredondamento&lt;&gt;"TransfereGOV",
              ROUND(OFFSET($P206,0,AE$13),15-13*ORÇAMENTO!$AF$7)/$H206*OFFSET(ORÇAMENTO!$X$15,ROW(AE206)-ROW(AE$15),0),
              ROUND(ROUND(OFFSET($P206,0,AE$13),15-13*ORÇAMENTO!$AF$7)*OFFSET(ORÇAMENTO!$W$15,ROW(AE206)-ROW(AE$15),0),15-13*ORÇAMENTO!$AF$11)),
         0)</f>
        <v>0</v>
      </c>
      <c r="AF206" s="454">
        <f ca="1">IF(AND($D206="Serviço",AF$12&lt;&gt;0,$H206&gt;0,OR(AUTOEVENTO&lt;&gt;"manual",$M206&lt;&gt;$A$15)),
        IF(Import.TipoArredondamento&lt;&gt;"TransfereGOV",
              ROUND(OFFSET($P206,0,AF$13),15-13*ORÇAMENTO!$AF$7)/$H206*OFFSET(ORÇAMENTO!$X$15,ROW(AF206)-ROW(AF$15),0),
              ROUND(ROUND(OFFSET($P206,0,AF$13),15-13*ORÇAMENTO!$AF$7)*OFFSET(ORÇAMENTO!$W$15,ROW(AF206)-ROW(AF$15),0),15-13*ORÇAMENTO!$AF$11)),
         0)</f>
        <v>0</v>
      </c>
      <c r="AG206" s="454">
        <f ca="1">IF(AND($D206="Serviço",AG$12&lt;&gt;0,$H206&gt;0,OR(AUTOEVENTO&lt;&gt;"manual",$M206&lt;&gt;$A$15)),
        IF(Import.TipoArredondamento&lt;&gt;"TransfereGOV",
              ROUND(OFFSET($P206,0,AG$13),15-13*ORÇAMENTO!$AF$7)/$H206*OFFSET(ORÇAMENTO!$X$15,ROW(AG206)-ROW(AG$15),0),
              ROUND(ROUND(OFFSET($P206,0,AG$13),15-13*ORÇAMENTO!$AF$7)*OFFSET(ORÇAMENTO!$W$15,ROW(AG206)-ROW(AG$15),0),15-13*ORÇAMENTO!$AF$11)),
         0)</f>
        <v>0</v>
      </c>
      <c r="AH206" s="454">
        <f ca="1">IF(AND($D206="Serviço",AH$12&lt;&gt;0,$H206&gt;0,OR(AUTOEVENTO&lt;&gt;"manual",$M206&lt;&gt;$A$15)),
        IF(Import.TipoArredondamento&lt;&gt;"TransfereGOV",
              ROUND(OFFSET($P206,0,AH$13),15-13*ORÇAMENTO!$AF$7)/$H206*OFFSET(ORÇAMENTO!$X$15,ROW(AH206)-ROW(AH$15),0),
              ROUND(ROUND(OFFSET($P206,0,AH$13),15-13*ORÇAMENTO!$AF$7)*OFFSET(ORÇAMENTO!$W$15,ROW(AH206)-ROW(AH$15),0),15-13*ORÇAMENTO!$AF$11)),
         0)</f>
        <v>0</v>
      </c>
      <c r="AI206" s="454">
        <f ca="1">IF(AND($D206="Serviço",AI$12&lt;&gt;0,$H206&gt;0,OR(AUTOEVENTO&lt;&gt;"manual",$M206&lt;&gt;$A$15)),
        IF(Import.TipoArredondamento&lt;&gt;"TransfereGOV",
              ROUND(OFFSET($P206,0,AI$13),15-13*ORÇAMENTO!$AF$7)/$H206*OFFSET(ORÇAMENTO!$X$15,ROW(AI206)-ROW(AI$15),0),
              ROUND(ROUND(OFFSET($P206,0,AI$13),15-13*ORÇAMENTO!$AF$7)*OFFSET(ORÇAMENTO!$W$15,ROW(AI206)-ROW(AI$15),0),15-13*ORÇAMENTO!$AF$11)),
         0)</f>
        <v>0</v>
      </c>
      <c r="AJ206" s="454">
        <f ca="1">IF(AND($D206="Serviço",AJ$12&lt;&gt;0,$H206&gt;0,OR(AUTOEVENTO&lt;&gt;"manual",$M206&lt;&gt;$A$15)),
        IF(Import.TipoArredondamento&lt;&gt;"TransfereGOV",
              ROUND(OFFSET($P206,0,AJ$13),15-13*ORÇAMENTO!$AF$7)/$H206*OFFSET(ORÇAMENTO!$X$15,ROW(AJ206)-ROW(AJ$15),0),
              ROUND(ROUND(OFFSET($P206,0,AJ$13),15-13*ORÇAMENTO!$AF$7)*OFFSET(ORÇAMENTO!$W$15,ROW(AJ206)-ROW(AJ$15),0),15-13*ORÇAMENTO!$AF$11)),
         0)</f>
        <v>0</v>
      </c>
      <c r="AK206" s="454">
        <f ca="1">IF(AND($D206="Serviço",AK$12&lt;&gt;0,$H206&gt;0,OR(AUTOEVENTO&lt;&gt;"manual",$M206&lt;&gt;$A$15)),
        IF(Import.TipoArredondamento&lt;&gt;"TransfereGOV",
              ROUND(OFFSET($P206,0,AK$13),15-13*ORÇAMENTO!$AF$7)/$H206*OFFSET(ORÇAMENTO!$X$15,ROW(AK206)-ROW(AK$15),0),
              ROUND(ROUND(OFFSET($P206,0,AK$13),15-13*ORÇAMENTO!$AF$7)*OFFSET(ORÇAMENTO!$W$15,ROW(AK206)-ROW(AK$15),0),15-13*ORÇAMENTO!$AF$11)),
         0)</f>
        <v>0</v>
      </c>
      <c r="AM206" s="172">
        <f ca="1">IF(OR($D206&lt;&gt;"Serviço",AND(AUTOEVENTO="Manual",$M206=$A$15)),0,
         IF(OFFSET(CRONOPLE!$F$15,$M206-$A$15,AM$13)=0,10^12,OFFSET(CRONOPLE!$F$15,$M206-$A$15,AM$13)))</f>
        <v>0</v>
      </c>
      <c r="AN206" s="172">
        <f ca="1">IF(OR($D206&lt;&gt;"Serviço",AND(AUTOEVENTO="Manual",$M206=$A$15)),0,
         IF(OFFSET(CRONOPLE!$F$15,$M206-$A$15,AN$13)=0,10^12,OFFSET(CRONOPLE!$F$15,$M206-$A$15,AN$13)))</f>
        <v>0</v>
      </c>
      <c r="AO206" s="172">
        <f ca="1">IF(OR($D206&lt;&gt;"Serviço",AND(AUTOEVENTO="Manual",$M206=$A$15)),0,
         IF(OFFSET(CRONOPLE!$F$15,$M206-$A$15,AO$13)=0,10^12,OFFSET(CRONOPLE!$F$15,$M206-$A$15,AO$13)))</f>
        <v>0</v>
      </c>
      <c r="AP206" s="172">
        <f ca="1">IF(OR($D206&lt;&gt;"Serviço",AND(AUTOEVENTO="Manual",$M206=$A$15)),0,
         IF(OFFSET(CRONOPLE!$F$15,$M206-$A$15,AP$13)=0,10^12,OFFSET(CRONOPLE!$F$15,$M206-$A$15,AP$13)))</f>
        <v>0</v>
      </c>
      <c r="AQ206" s="172">
        <f ca="1">IF(OR($D206&lt;&gt;"Serviço",AND(AUTOEVENTO="Manual",$M206=$A$15)),0,
         IF(OFFSET(CRONOPLE!$F$15,$M206-$A$15,AQ$13)=0,10^12,OFFSET(CRONOPLE!$F$15,$M206-$A$15,AQ$13)))</f>
        <v>0</v>
      </c>
      <c r="AR206" s="172">
        <f ca="1">IF(OR($D206&lt;&gt;"Serviço",AND(AUTOEVENTO="Manual",$M206=$A$15)),0,
         IF(OFFSET(CRONOPLE!$F$15,$M206-$A$15,AR$13)=0,10^12,OFFSET(CRONOPLE!$F$15,$M206-$A$15,AR$13)))</f>
        <v>0</v>
      </c>
      <c r="AS206" s="172">
        <f ca="1">IF(OR($D206&lt;&gt;"Serviço",AND(AUTOEVENTO="Manual",$M206=$A$15)),0,
         IF(OFFSET(CRONOPLE!$F$15,$M206-$A$15,AS$13)=0,10^12,OFFSET(CRONOPLE!$F$15,$M206-$A$15,AS$13)))</f>
        <v>0</v>
      </c>
      <c r="AT206" s="172">
        <f ca="1">IF(OR($D206&lt;&gt;"Serviço",AND(AUTOEVENTO="Manual",$M206=$A$15)),0,
         IF(OFFSET(CRONOPLE!$F$15,$M206-$A$15,AT$13)=0,10^12,OFFSET(CRONOPLE!$F$15,$M206-$A$15,AT$13)))</f>
        <v>0</v>
      </c>
      <c r="AU206" s="172">
        <f ca="1">IF(OR($D206&lt;&gt;"Serviço",AND(AUTOEVENTO="Manual",$M206=$A$15)),0,
         IF(OFFSET(CRONOPLE!$F$15,$M206-$A$15,AU$13)=0,10^12,OFFSET(CRONOPLE!$F$15,$M206-$A$15,AU$13)))</f>
        <v>0</v>
      </c>
      <c r="AV206" s="172">
        <f ca="1">IF(OR($D206&lt;&gt;"Serviço",AND(AUTOEVENTO="Manual",$M206=$A$15)),0,
         IF(OFFSET(CRONOPLE!$F$15,$M206-$A$15,AV$13)=0,10^12,OFFSET(CRONOPLE!$F$15,$M206-$A$15,AV$13)))</f>
        <v>0</v>
      </c>
      <c r="AX206" s="173">
        <f ca="1">IF(OR($D206&lt;&gt;"Serviço",AND(AUTOEVENTO="Manual",$M206=$A$15),$M206&gt;(ROW(PLE.lastrow)-ROW(PLE.firstrow))),0,
           IF(OFFSET(PLE!$G$15,$M206-$A$15,AX$13)="",10^12,OFFSET(PLE!$G$15,$M206-$A$15,AX$13)))</f>
        <v>0</v>
      </c>
      <c r="AY206" s="173">
        <f ca="1">IF(OR($D206&lt;&gt;"Serviço",AND(AUTOEVENTO="Manual",$M206=$A$15),$M206&gt;(ROW(PLE.lastrow)-ROW(PLE.firstrow))),0,
           IF(OFFSET(PLE!$G$15,$M206-$A$15,AY$13)="",10^12,OFFSET(PLE!$G$15,$M206-$A$15,AY$13)))</f>
        <v>0</v>
      </c>
      <c r="AZ206" s="173">
        <f ca="1">IF(OR($D206&lt;&gt;"Serviço",AND(AUTOEVENTO="Manual",$M206=$A$15),$M206&gt;(ROW(PLE.lastrow)-ROW(PLE.firstrow))),0,
           IF(OFFSET(PLE!$G$15,$M206-$A$15,AZ$13)="",10^12,OFFSET(PLE!$G$15,$M206-$A$15,AZ$13)))</f>
        <v>0</v>
      </c>
      <c r="BA206" s="173">
        <f ca="1">IF(OR($D206&lt;&gt;"Serviço",AND(AUTOEVENTO="Manual",$M206=$A$15),$M206&gt;(ROW(PLE.lastrow)-ROW(PLE.firstrow))),0,
           IF(OFFSET(PLE!$G$15,$M206-$A$15,BA$13)="",10^12,OFFSET(PLE!$G$15,$M206-$A$15,BA$13)))</f>
        <v>0</v>
      </c>
      <c r="BB206" s="173">
        <f ca="1">IF(OR($D206&lt;&gt;"Serviço",AND(AUTOEVENTO="Manual",$M206=$A$15),$M206&gt;(ROW(PLE.lastrow)-ROW(PLE.firstrow))),0,
           IF(OFFSET(PLE!$G$15,$M206-$A$15,BB$13)="",10^12,OFFSET(PLE!$G$15,$M206-$A$15,BB$13)))</f>
        <v>0</v>
      </c>
      <c r="BC206" s="173">
        <f ca="1">IF(OR($D206&lt;&gt;"Serviço",AND(AUTOEVENTO="Manual",$M206=$A$15),$M206&gt;(ROW(PLE.lastrow)-ROW(PLE.firstrow))),0,
           IF(OFFSET(PLE!$G$15,$M206-$A$15,BC$13)="",10^12,OFFSET(PLE!$G$15,$M206-$A$15,BC$13)))</f>
        <v>0</v>
      </c>
      <c r="BD206" s="173">
        <f ca="1">IF(OR($D206&lt;&gt;"Serviço",AND(AUTOEVENTO="Manual",$M206=$A$15),$M206&gt;(ROW(PLE.lastrow)-ROW(PLE.firstrow))),0,
           IF(OFFSET(PLE!$G$15,$M206-$A$15,BD$13)="",10^12,OFFSET(PLE!$G$15,$M206-$A$15,BD$13)))</f>
        <v>0</v>
      </c>
      <c r="BE206" s="173">
        <f ca="1">IF(OR($D206&lt;&gt;"Serviço",AND(AUTOEVENTO="Manual",$M206=$A$15),$M206&gt;(ROW(PLE.lastrow)-ROW(PLE.firstrow))),0,
           IF(OFFSET(PLE!$G$15,$M206-$A$15,BE$13)="",10^12,OFFSET(PLE!$G$15,$M206-$A$15,BE$13)))</f>
        <v>0</v>
      </c>
      <c r="BF206" s="173">
        <f ca="1">IF(OR($D206&lt;&gt;"Serviço",AND(AUTOEVENTO="Manual",$M206=$A$15),$M206&gt;(ROW(PLE.lastrow)-ROW(PLE.firstrow))),0,
           IF(OFFSET(PLE!$G$15,$M206-$A$15,BF$13)="",10^12,OFFSET(PLE!$G$15,$M206-$A$15,BF$13)))</f>
        <v>0</v>
      </c>
      <c r="BG206" s="173">
        <f ca="1">IF(OR($D206&lt;&gt;"Serviço",AND(AUTOEVENTO="Manual",$M206=$A$15),$M206&gt;(ROW(PLE.lastrow)-ROW(PLE.firstrow))),0,
           IF(OFFSET(PLE!$G$15,$M206-$A$15,BG$13)="",10^12,OFFSET(PLE!$G$15,$M206-$A$15,BG$13)))</f>
        <v>0</v>
      </c>
    </row>
    <row r="207" spans="1:59" s="675" customFormat="1" ht="38.25" x14ac:dyDescent="0.2">
      <c r="A207" s="671" t="str">
        <f t="shared" ca="1" si="11"/>
        <v>191</v>
      </c>
      <c r="B207" s="671" t="str">
        <f ca="1">OFFSET(ORÇAMENTO!C$15,ROW(B207)-ROW(B$15),0)</f>
        <v>S</v>
      </c>
      <c r="C207" s="671" t="str">
        <f ca="1">OFFSET(ORÇAMENTO!L$15,ROW(C207)-ROW(C$15),0)</f>
        <v/>
      </c>
      <c r="D207" s="117" t="str">
        <f ca="1">OFFSET(ORÇAMENTO!N$15,ROW(D207)-ROW(D$15),0)</f>
        <v>Serviço</v>
      </c>
      <c r="E207" s="118" t="str">
        <f ca="1">OFFSET(ORÇAMENTO!O$15,ROW(E207)-ROW(E$15),0)</f>
        <v>-</v>
      </c>
      <c r="F207" s="164" t="str">
        <f ca="1">OFFSET(ORÇAMENTO!R$15,ROW(F207)-ROW(F$15),0)</f>
        <v>(abra o arquivo 'Referência 09-2025.xlsm)</v>
      </c>
      <c r="G207" s="165" t="str">
        <f ca="1">IF($D207&lt;&gt;"Serviço","",OFFSET(ORÇAMENTO!S$15,ROW(G207)-ROW(G$15),0))</f>
        <v>-</v>
      </c>
      <c r="H207" s="123">
        <f ca="1">IF($D207&lt;&gt;"Serviço",0,IF(ACOMPANHAMENTO="BM",ROUND(OFFSET(ORÇAMENTO!AJ$15,ROW(H207)-ROW(H$15),0),15-13*ORÇAMENTO!$AF$7),SUMPRODUCT(($Q$1:$AA$1=1)*ROUND($Q207:$AA207,15-13*ORÇAMENTO!$AF$7))))</f>
        <v>16</v>
      </c>
      <c r="I207" s="469" t="s">
        <v>1110</v>
      </c>
      <c r="J207" s="667" t="str">
        <f ca="1">IF(OR(B207&lt;&gt;"S",CÁLCULO.FrentesPreenchidas=0),"",IF(AND(ACOMPANHAMENTO="PLE",AUTOEVENTO="Manual",OR(H207&gt;0,ORÇAMENTO!AC207="QUANT."),OR(K207="",M207=0,N207="")),"►",IF(AND(ACOMPANHAMENTO="PLE",ORÇAMENTO!AC207="QUANT."),"►►",IF(AND(COUNTIF($P$11:$AA$11,"▼")=0,H207&gt;0,I207=""),"◄",""))))</f>
        <v/>
      </c>
      <c r="K207" s="668"/>
      <c r="L207" s="166" t="s">
        <v>765</v>
      </c>
      <c r="M207" s="167">
        <f ca="1">IF($D207&lt;&gt;"Serviço","",
          IF(AUTOEVENTO="manual",$A207,
                IF(ISERROR(MATCH($A207,$A$15:OFFSET($A207,-1,0),0)),MAX($M$15:OFFSET(M207,-1,0))+1,
                      INDEX($M$15:OFFSET(M207,-1,0),MATCH($A207,$A$15:OFFSET($A207,-1,0),0)))))</f>
        <v>22</v>
      </c>
      <c r="N207" s="168" t="str">
        <f ca="1">IF($D207&lt;&gt;"Serviço","",
         IF(AUTOEVENTO="Manual",
                IF($A207=0,"&lt;-- defina o número do agrupador",
                       OFFSET(EVENTOS!$D$15,$A207-$A$15,0)),
                OFFSET($F$15,$A207,0)))</f>
        <v>LAJE COBERTURA</v>
      </c>
      <c r="O207" s="169"/>
      <c r="Q207" s="169"/>
      <c r="R207" s="170"/>
      <c r="S207" s="170"/>
      <c r="T207" s="170"/>
      <c r="U207" s="170"/>
      <c r="V207" s="170"/>
      <c r="W207" s="170"/>
      <c r="X207" s="170"/>
      <c r="Y207" s="170"/>
      <c r="Z207" s="171"/>
      <c r="AB207" s="454">
        <f ca="1">IF(AND($D207="Serviço",AB$12&lt;&gt;0,$H207&gt;0,OR(AUTOEVENTO&lt;&gt;"manual",$M207&lt;&gt;$A$15)),
        IF(Import.TipoArredondamento&lt;&gt;"TransfereGOV",
              ROUND(OFFSET($P207,0,AB$13),15-13*ORÇAMENTO!$AF$7)/$H207*OFFSET(ORÇAMENTO!$X$15,ROW(AB207)-ROW(AB$15),0),
              ROUND(ROUND(OFFSET($P207,0,AB$13),15-13*ORÇAMENTO!$AF$7)*OFFSET(ORÇAMENTO!$W$15,ROW(AB207)-ROW(AB$15),0),15-13*ORÇAMENTO!$AF$11)),
         0)</f>
        <v>0</v>
      </c>
      <c r="AC207" s="454">
        <f ca="1">IF(AND($D207="Serviço",AC$12&lt;&gt;0,$H207&gt;0,OR(AUTOEVENTO&lt;&gt;"manual",$M207&lt;&gt;$A$15)),
        IF(Import.TipoArredondamento&lt;&gt;"TransfereGOV",
              ROUND(OFFSET($P207,0,AC$13),15-13*ORÇAMENTO!$AF$7)/$H207*OFFSET(ORÇAMENTO!$X$15,ROW(AC207)-ROW(AC$15),0),
              ROUND(ROUND(OFFSET($P207,0,AC$13),15-13*ORÇAMENTO!$AF$7)*OFFSET(ORÇAMENTO!$W$15,ROW(AC207)-ROW(AC$15),0),15-13*ORÇAMENTO!$AF$11)),
         0)</f>
        <v>0</v>
      </c>
      <c r="AD207" s="454">
        <f ca="1">IF(AND($D207="Serviço",AD$12&lt;&gt;0,$H207&gt;0,OR(AUTOEVENTO&lt;&gt;"manual",$M207&lt;&gt;$A$15)),
        IF(Import.TipoArredondamento&lt;&gt;"TransfereGOV",
              ROUND(OFFSET($P207,0,AD$13),15-13*ORÇAMENTO!$AF$7)/$H207*OFFSET(ORÇAMENTO!$X$15,ROW(AD207)-ROW(AD$15),0),
              ROUND(ROUND(OFFSET($P207,0,AD$13),15-13*ORÇAMENTO!$AF$7)*OFFSET(ORÇAMENTO!$W$15,ROW(AD207)-ROW(AD$15),0),15-13*ORÇAMENTO!$AF$11)),
         0)</f>
        <v>0</v>
      </c>
      <c r="AE207" s="454">
        <f ca="1">IF(AND($D207="Serviço",AE$12&lt;&gt;0,$H207&gt;0,OR(AUTOEVENTO&lt;&gt;"manual",$M207&lt;&gt;$A$15)),
        IF(Import.TipoArredondamento&lt;&gt;"TransfereGOV",
              ROUND(OFFSET($P207,0,AE$13),15-13*ORÇAMENTO!$AF$7)/$H207*OFFSET(ORÇAMENTO!$X$15,ROW(AE207)-ROW(AE$15),0),
              ROUND(ROUND(OFFSET($P207,0,AE$13),15-13*ORÇAMENTO!$AF$7)*OFFSET(ORÇAMENTO!$W$15,ROW(AE207)-ROW(AE$15),0),15-13*ORÇAMENTO!$AF$11)),
         0)</f>
        <v>0</v>
      </c>
      <c r="AF207" s="454">
        <f ca="1">IF(AND($D207="Serviço",AF$12&lt;&gt;0,$H207&gt;0,OR(AUTOEVENTO&lt;&gt;"manual",$M207&lt;&gt;$A$15)),
        IF(Import.TipoArredondamento&lt;&gt;"TransfereGOV",
              ROUND(OFFSET($P207,0,AF$13),15-13*ORÇAMENTO!$AF$7)/$H207*OFFSET(ORÇAMENTO!$X$15,ROW(AF207)-ROW(AF$15),0),
              ROUND(ROUND(OFFSET($P207,0,AF$13),15-13*ORÇAMENTO!$AF$7)*OFFSET(ORÇAMENTO!$W$15,ROW(AF207)-ROW(AF$15),0),15-13*ORÇAMENTO!$AF$11)),
         0)</f>
        <v>0</v>
      </c>
      <c r="AG207" s="454">
        <f ca="1">IF(AND($D207="Serviço",AG$12&lt;&gt;0,$H207&gt;0,OR(AUTOEVENTO&lt;&gt;"manual",$M207&lt;&gt;$A$15)),
        IF(Import.TipoArredondamento&lt;&gt;"TransfereGOV",
              ROUND(OFFSET($P207,0,AG$13),15-13*ORÇAMENTO!$AF$7)/$H207*OFFSET(ORÇAMENTO!$X$15,ROW(AG207)-ROW(AG$15),0),
              ROUND(ROUND(OFFSET($P207,0,AG$13),15-13*ORÇAMENTO!$AF$7)*OFFSET(ORÇAMENTO!$W$15,ROW(AG207)-ROW(AG$15),0),15-13*ORÇAMENTO!$AF$11)),
         0)</f>
        <v>0</v>
      </c>
      <c r="AH207" s="454">
        <f ca="1">IF(AND($D207="Serviço",AH$12&lt;&gt;0,$H207&gt;0,OR(AUTOEVENTO&lt;&gt;"manual",$M207&lt;&gt;$A$15)),
        IF(Import.TipoArredondamento&lt;&gt;"TransfereGOV",
              ROUND(OFFSET($P207,0,AH$13),15-13*ORÇAMENTO!$AF$7)/$H207*OFFSET(ORÇAMENTO!$X$15,ROW(AH207)-ROW(AH$15),0),
              ROUND(ROUND(OFFSET($P207,0,AH$13),15-13*ORÇAMENTO!$AF$7)*OFFSET(ORÇAMENTO!$W$15,ROW(AH207)-ROW(AH$15),0),15-13*ORÇAMENTO!$AF$11)),
         0)</f>
        <v>0</v>
      </c>
      <c r="AI207" s="454">
        <f ca="1">IF(AND($D207="Serviço",AI$12&lt;&gt;0,$H207&gt;0,OR(AUTOEVENTO&lt;&gt;"manual",$M207&lt;&gt;$A$15)),
        IF(Import.TipoArredondamento&lt;&gt;"TransfereGOV",
              ROUND(OFFSET($P207,0,AI$13),15-13*ORÇAMENTO!$AF$7)/$H207*OFFSET(ORÇAMENTO!$X$15,ROW(AI207)-ROW(AI$15),0),
              ROUND(ROUND(OFFSET($P207,0,AI$13),15-13*ORÇAMENTO!$AF$7)*OFFSET(ORÇAMENTO!$W$15,ROW(AI207)-ROW(AI$15),0),15-13*ORÇAMENTO!$AF$11)),
         0)</f>
        <v>0</v>
      </c>
      <c r="AJ207" s="454">
        <f ca="1">IF(AND($D207="Serviço",AJ$12&lt;&gt;0,$H207&gt;0,OR(AUTOEVENTO&lt;&gt;"manual",$M207&lt;&gt;$A$15)),
        IF(Import.TipoArredondamento&lt;&gt;"TransfereGOV",
              ROUND(OFFSET($P207,0,AJ$13),15-13*ORÇAMENTO!$AF$7)/$H207*OFFSET(ORÇAMENTO!$X$15,ROW(AJ207)-ROW(AJ$15),0),
              ROUND(ROUND(OFFSET($P207,0,AJ$13),15-13*ORÇAMENTO!$AF$7)*OFFSET(ORÇAMENTO!$W$15,ROW(AJ207)-ROW(AJ$15),0),15-13*ORÇAMENTO!$AF$11)),
         0)</f>
        <v>0</v>
      </c>
      <c r="AK207" s="454">
        <f ca="1">IF(AND($D207="Serviço",AK$12&lt;&gt;0,$H207&gt;0,OR(AUTOEVENTO&lt;&gt;"manual",$M207&lt;&gt;$A$15)),
        IF(Import.TipoArredondamento&lt;&gt;"TransfereGOV",
              ROUND(OFFSET($P207,0,AK$13),15-13*ORÇAMENTO!$AF$7)/$H207*OFFSET(ORÇAMENTO!$X$15,ROW(AK207)-ROW(AK$15),0),
              ROUND(ROUND(OFFSET($P207,0,AK$13),15-13*ORÇAMENTO!$AF$7)*OFFSET(ORÇAMENTO!$W$15,ROW(AK207)-ROW(AK$15),0),15-13*ORÇAMENTO!$AF$11)),
         0)</f>
        <v>0</v>
      </c>
      <c r="AM207" s="172">
        <f ca="1">IF(OR($D207&lt;&gt;"Serviço",AND(AUTOEVENTO="Manual",$M207=$A$15)),0,
         IF(OFFSET(CRONOPLE!$F$15,$M207-$A$15,AM$13)=0,10^12,OFFSET(CRONOPLE!$F$15,$M207-$A$15,AM$13)))</f>
        <v>1000000000000</v>
      </c>
      <c r="AN207" s="172">
        <f ca="1">IF(OR($D207&lt;&gt;"Serviço",AND(AUTOEVENTO="Manual",$M207=$A$15)),0,
         IF(OFFSET(CRONOPLE!$F$15,$M207-$A$15,AN$13)=0,10^12,OFFSET(CRONOPLE!$F$15,$M207-$A$15,AN$13)))</f>
        <v>1000000000000</v>
      </c>
      <c r="AO207" s="172">
        <f ca="1">IF(OR($D207&lt;&gt;"Serviço",AND(AUTOEVENTO="Manual",$M207=$A$15)),0,
         IF(OFFSET(CRONOPLE!$F$15,$M207-$A$15,AO$13)=0,10^12,OFFSET(CRONOPLE!$F$15,$M207-$A$15,AO$13)))</f>
        <v>1000000000000</v>
      </c>
      <c r="AP207" s="172">
        <f ca="1">IF(OR($D207&lt;&gt;"Serviço",AND(AUTOEVENTO="Manual",$M207=$A$15)),0,
         IF(OFFSET(CRONOPLE!$F$15,$M207-$A$15,AP$13)=0,10^12,OFFSET(CRONOPLE!$F$15,$M207-$A$15,AP$13)))</f>
        <v>1000000000000</v>
      </c>
      <c r="AQ207" s="172">
        <f ca="1">IF(OR($D207&lt;&gt;"Serviço",AND(AUTOEVENTO="Manual",$M207=$A$15)),0,
         IF(OFFSET(CRONOPLE!$F$15,$M207-$A$15,AQ$13)=0,10^12,OFFSET(CRONOPLE!$F$15,$M207-$A$15,AQ$13)))</f>
        <v>1000000000000</v>
      </c>
      <c r="AR207" s="172">
        <f ca="1">IF(OR($D207&lt;&gt;"Serviço",AND(AUTOEVENTO="Manual",$M207=$A$15)),0,
         IF(OFFSET(CRONOPLE!$F$15,$M207-$A$15,AR$13)=0,10^12,OFFSET(CRONOPLE!$F$15,$M207-$A$15,AR$13)))</f>
        <v>1000000000000</v>
      </c>
      <c r="AS207" s="172">
        <f ca="1">IF(OR($D207&lt;&gt;"Serviço",AND(AUTOEVENTO="Manual",$M207=$A$15)),0,
         IF(OFFSET(CRONOPLE!$F$15,$M207-$A$15,AS$13)=0,10^12,OFFSET(CRONOPLE!$F$15,$M207-$A$15,AS$13)))</f>
        <v>1000000000000</v>
      </c>
      <c r="AT207" s="172">
        <f ca="1">IF(OR($D207&lt;&gt;"Serviço",AND(AUTOEVENTO="Manual",$M207=$A$15)),0,
         IF(OFFSET(CRONOPLE!$F$15,$M207-$A$15,AT$13)=0,10^12,OFFSET(CRONOPLE!$F$15,$M207-$A$15,AT$13)))</f>
        <v>1000000000000</v>
      </c>
      <c r="AU207" s="172">
        <f ca="1">IF(OR($D207&lt;&gt;"Serviço",AND(AUTOEVENTO="Manual",$M207=$A$15)),0,
         IF(OFFSET(CRONOPLE!$F$15,$M207-$A$15,AU$13)=0,10^12,OFFSET(CRONOPLE!$F$15,$M207-$A$15,AU$13)))</f>
        <v>1000000000000</v>
      </c>
      <c r="AV207" s="172">
        <f ca="1">IF(OR($D207&lt;&gt;"Serviço",AND(AUTOEVENTO="Manual",$M207=$A$15)),0,
         IF(OFFSET(CRONOPLE!$F$15,$M207-$A$15,AV$13)=0,10^12,OFFSET(CRONOPLE!$F$15,$M207-$A$15,AV$13)))</f>
        <v>1000000000000</v>
      </c>
      <c r="AX207" s="173">
        <f ca="1">IF(OR($D207&lt;&gt;"Serviço",AND(AUTOEVENTO="Manual",$M207=$A$15),$M207&gt;(ROW(PLE.lastrow)-ROW(PLE.firstrow))),0,
           IF(OFFSET(PLE!$G$15,$M207-$A$15,AX$13)="",10^12,OFFSET(PLE!$G$15,$M207-$A$15,AX$13)))</f>
        <v>1000000000000</v>
      </c>
      <c r="AY207" s="173">
        <f ca="1">IF(OR($D207&lt;&gt;"Serviço",AND(AUTOEVENTO="Manual",$M207=$A$15),$M207&gt;(ROW(PLE.lastrow)-ROW(PLE.firstrow))),0,
           IF(OFFSET(PLE!$G$15,$M207-$A$15,AY$13)="",10^12,OFFSET(PLE!$G$15,$M207-$A$15,AY$13)))</f>
        <v>1000000000000</v>
      </c>
      <c r="AZ207" s="173">
        <f ca="1">IF(OR($D207&lt;&gt;"Serviço",AND(AUTOEVENTO="Manual",$M207=$A$15),$M207&gt;(ROW(PLE.lastrow)-ROW(PLE.firstrow))),0,
           IF(OFFSET(PLE!$G$15,$M207-$A$15,AZ$13)="",10^12,OFFSET(PLE!$G$15,$M207-$A$15,AZ$13)))</f>
        <v>1000000000000</v>
      </c>
      <c r="BA207" s="173">
        <f ca="1">IF(OR($D207&lt;&gt;"Serviço",AND(AUTOEVENTO="Manual",$M207=$A$15),$M207&gt;(ROW(PLE.lastrow)-ROW(PLE.firstrow))),0,
           IF(OFFSET(PLE!$G$15,$M207-$A$15,BA$13)="",10^12,OFFSET(PLE!$G$15,$M207-$A$15,BA$13)))</f>
        <v>1000000000000</v>
      </c>
      <c r="BB207" s="173">
        <f ca="1">IF(OR($D207&lt;&gt;"Serviço",AND(AUTOEVENTO="Manual",$M207=$A$15),$M207&gt;(ROW(PLE.lastrow)-ROW(PLE.firstrow))),0,
           IF(OFFSET(PLE!$G$15,$M207-$A$15,BB$13)="",10^12,OFFSET(PLE!$G$15,$M207-$A$15,BB$13)))</f>
        <v>1000000000000</v>
      </c>
      <c r="BC207" s="173">
        <f ca="1">IF(OR($D207&lt;&gt;"Serviço",AND(AUTOEVENTO="Manual",$M207=$A$15),$M207&gt;(ROW(PLE.lastrow)-ROW(PLE.firstrow))),0,
           IF(OFFSET(PLE!$G$15,$M207-$A$15,BC$13)="",10^12,OFFSET(PLE!$G$15,$M207-$A$15,BC$13)))</f>
        <v>1000000000000</v>
      </c>
      <c r="BD207" s="173">
        <f ca="1">IF(OR($D207&lt;&gt;"Serviço",AND(AUTOEVENTO="Manual",$M207=$A$15),$M207&gt;(ROW(PLE.lastrow)-ROW(PLE.firstrow))),0,
           IF(OFFSET(PLE!$G$15,$M207-$A$15,BD$13)="",10^12,OFFSET(PLE!$G$15,$M207-$A$15,BD$13)))</f>
        <v>1000000000000</v>
      </c>
      <c r="BE207" s="173">
        <f ca="1">IF(OR($D207&lt;&gt;"Serviço",AND(AUTOEVENTO="Manual",$M207=$A$15),$M207&gt;(ROW(PLE.lastrow)-ROW(PLE.firstrow))),0,
           IF(OFFSET(PLE!$G$15,$M207-$A$15,BE$13)="",10^12,OFFSET(PLE!$G$15,$M207-$A$15,BE$13)))</f>
        <v>1000000000000</v>
      </c>
      <c r="BF207" s="173">
        <f ca="1">IF(OR($D207&lt;&gt;"Serviço",AND(AUTOEVENTO="Manual",$M207=$A$15),$M207&gt;(ROW(PLE.lastrow)-ROW(PLE.firstrow))),0,
           IF(OFFSET(PLE!$G$15,$M207-$A$15,BF$13)="",10^12,OFFSET(PLE!$G$15,$M207-$A$15,BF$13)))</f>
        <v>1000000000000</v>
      </c>
      <c r="BG207" s="173">
        <f ca="1">IF(OR($D207&lt;&gt;"Serviço",AND(AUTOEVENTO="Manual",$M207=$A$15),$M207&gt;(ROW(PLE.lastrow)-ROW(PLE.firstrow))),0,
           IF(OFFSET(PLE!$G$15,$M207-$A$15,BG$13)="",10^12,OFFSET(PLE!$G$15,$M207-$A$15,BG$13)))</f>
        <v>1000000000000</v>
      </c>
    </row>
    <row r="208" spans="1:59" s="675" customFormat="1" ht="12.75" x14ac:dyDescent="0.2">
      <c r="A208" s="671" t="str">
        <f t="shared" ca="1" si="11"/>
        <v>191</v>
      </c>
      <c r="B208" s="671" t="str">
        <f ca="1">OFFSET(ORÇAMENTO!C$15,ROW(B208)-ROW(B$15),0)</f>
        <v>S</v>
      </c>
      <c r="C208" s="671" t="str">
        <f ca="1">OFFSET(ORÇAMENTO!L$15,ROW(C208)-ROW(C$15),0)</f>
        <v/>
      </c>
      <c r="D208" s="117" t="str">
        <f ca="1">OFFSET(ORÇAMENTO!N$15,ROW(D208)-ROW(D$15),0)</f>
        <v>Serviço</v>
      </c>
      <c r="E208" s="118" t="str">
        <f ca="1">OFFSET(ORÇAMENTO!O$15,ROW(E208)-ROW(E$15),0)</f>
        <v>-</v>
      </c>
      <c r="F208" s="164" t="str">
        <f ca="1">OFFSET(ORÇAMENTO!R$15,ROW(F208)-ROW(F$15),0)</f>
        <v>(abra o arquivo 'Referência 09-2025.xlsm)</v>
      </c>
      <c r="G208" s="165" t="str">
        <f ca="1">IF($D208&lt;&gt;"Serviço","",OFFSET(ORÇAMENTO!S$15,ROW(G208)-ROW(G$15),0))</f>
        <v>-</v>
      </c>
      <c r="H208" s="123">
        <f ca="1">IF($D208&lt;&gt;"Serviço",0,IF(ACOMPANHAMENTO="BM",ROUND(OFFSET(ORÇAMENTO!AJ$15,ROW(H208)-ROW(H$15),0),15-13*ORÇAMENTO!$AF$7),SUMPRODUCT(($Q$1:$AA$1=1)*ROUND($Q208:$AA208,15-13*ORÇAMENTO!$AF$7))))</f>
        <v>1</v>
      </c>
      <c r="I208" s="469" t="s">
        <v>1110</v>
      </c>
      <c r="J208" s="667" t="str">
        <f ca="1">IF(OR(B208&lt;&gt;"S",CÁLCULO.FrentesPreenchidas=0),"",IF(AND(ACOMPANHAMENTO="PLE",AUTOEVENTO="Manual",OR(H208&gt;0,ORÇAMENTO!AC208="QUANT."),OR(K208="",M208=0,N208="")),"►",IF(AND(ACOMPANHAMENTO="PLE",ORÇAMENTO!AC208="QUANT."),"►►",IF(AND(COUNTIF($P$11:$AA$11,"▼")=0,H208&gt;0,I208=""),"◄",""))))</f>
        <v/>
      </c>
      <c r="K208" s="668"/>
      <c r="L208" s="166" t="s">
        <v>765</v>
      </c>
      <c r="M208" s="167">
        <f ca="1">IF($D208&lt;&gt;"Serviço","",
          IF(AUTOEVENTO="manual",$A208,
                IF(ISERROR(MATCH($A208,$A$15:OFFSET($A208,-1,0),0)),MAX($M$15:OFFSET(M208,-1,0))+1,
                      INDEX($M$15:OFFSET(M208,-1,0),MATCH($A208,$A$15:OFFSET($A208,-1,0),0)))))</f>
        <v>22</v>
      </c>
      <c r="N208" s="168" t="str">
        <f ca="1">IF($D208&lt;&gt;"Serviço","",
         IF(AUTOEVENTO="Manual",
                IF($A208=0,"&lt;-- defina o número do agrupador",
                       OFFSET(EVENTOS!$D$15,$A208-$A$15,0)),
                OFFSET($F$15,$A208,0)))</f>
        <v>LAJE COBERTURA</v>
      </c>
      <c r="O208" s="169"/>
      <c r="Q208" s="169"/>
      <c r="R208" s="170"/>
      <c r="S208" s="170"/>
      <c r="T208" s="170"/>
      <c r="U208" s="170"/>
      <c r="V208" s="170"/>
      <c r="W208" s="170"/>
      <c r="X208" s="170"/>
      <c r="Y208" s="170"/>
      <c r="Z208" s="171"/>
      <c r="AB208" s="454">
        <f ca="1">IF(AND($D208="Serviço",AB$12&lt;&gt;0,$H208&gt;0,OR(AUTOEVENTO&lt;&gt;"manual",$M208&lt;&gt;$A$15)),
        IF(Import.TipoArredondamento&lt;&gt;"TransfereGOV",
              ROUND(OFFSET($P208,0,AB$13),15-13*ORÇAMENTO!$AF$7)/$H208*OFFSET(ORÇAMENTO!$X$15,ROW(AB208)-ROW(AB$15),0),
              ROUND(ROUND(OFFSET($P208,0,AB$13),15-13*ORÇAMENTO!$AF$7)*OFFSET(ORÇAMENTO!$W$15,ROW(AB208)-ROW(AB$15),0),15-13*ORÇAMENTO!$AF$11)),
         0)</f>
        <v>0</v>
      </c>
      <c r="AC208" s="454">
        <f ca="1">IF(AND($D208="Serviço",AC$12&lt;&gt;0,$H208&gt;0,OR(AUTOEVENTO&lt;&gt;"manual",$M208&lt;&gt;$A$15)),
        IF(Import.TipoArredondamento&lt;&gt;"TransfereGOV",
              ROUND(OFFSET($P208,0,AC$13),15-13*ORÇAMENTO!$AF$7)/$H208*OFFSET(ORÇAMENTO!$X$15,ROW(AC208)-ROW(AC$15),0),
              ROUND(ROUND(OFFSET($P208,0,AC$13),15-13*ORÇAMENTO!$AF$7)*OFFSET(ORÇAMENTO!$W$15,ROW(AC208)-ROW(AC$15),0),15-13*ORÇAMENTO!$AF$11)),
         0)</f>
        <v>0</v>
      </c>
      <c r="AD208" s="454">
        <f ca="1">IF(AND($D208="Serviço",AD$12&lt;&gt;0,$H208&gt;0,OR(AUTOEVENTO&lt;&gt;"manual",$M208&lt;&gt;$A$15)),
        IF(Import.TipoArredondamento&lt;&gt;"TransfereGOV",
              ROUND(OFFSET($P208,0,AD$13),15-13*ORÇAMENTO!$AF$7)/$H208*OFFSET(ORÇAMENTO!$X$15,ROW(AD208)-ROW(AD$15),0),
              ROUND(ROUND(OFFSET($P208,0,AD$13),15-13*ORÇAMENTO!$AF$7)*OFFSET(ORÇAMENTO!$W$15,ROW(AD208)-ROW(AD$15),0),15-13*ORÇAMENTO!$AF$11)),
         0)</f>
        <v>0</v>
      </c>
      <c r="AE208" s="454">
        <f ca="1">IF(AND($D208="Serviço",AE$12&lt;&gt;0,$H208&gt;0,OR(AUTOEVENTO&lt;&gt;"manual",$M208&lt;&gt;$A$15)),
        IF(Import.TipoArredondamento&lt;&gt;"TransfereGOV",
              ROUND(OFFSET($P208,0,AE$13),15-13*ORÇAMENTO!$AF$7)/$H208*OFFSET(ORÇAMENTO!$X$15,ROW(AE208)-ROW(AE$15),0),
              ROUND(ROUND(OFFSET($P208,0,AE$13),15-13*ORÇAMENTO!$AF$7)*OFFSET(ORÇAMENTO!$W$15,ROW(AE208)-ROW(AE$15),0),15-13*ORÇAMENTO!$AF$11)),
         0)</f>
        <v>0</v>
      </c>
      <c r="AF208" s="454">
        <f ca="1">IF(AND($D208="Serviço",AF$12&lt;&gt;0,$H208&gt;0,OR(AUTOEVENTO&lt;&gt;"manual",$M208&lt;&gt;$A$15)),
        IF(Import.TipoArredondamento&lt;&gt;"TransfereGOV",
              ROUND(OFFSET($P208,0,AF$13),15-13*ORÇAMENTO!$AF$7)/$H208*OFFSET(ORÇAMENTO!$X$15,ROW(AF208)-ROW(AF$15),0),
              ROUND(ROUND(OFFSET($P208,0,AF$13),15-13*ORÇAMENTO!$AF$7)*OFFSET(ORÇAMENTO!$W$15,ROW(AF208)-ROW(AF$15),0),15-13*ORÇAMENTO!$AF$11)),
         0)</f>
        <v>0</v>
      </c>
      <c r="AG208" s="454">
        <f ca="1">IF(AND($D208="Serviço",AG$12&lt;&gt;0,$H208&gt;0,OR(AUTOEVENTO&lt;&gt;"manual",$M208&lt;&gt;$A$15)),
        IF(Import.TipoArredondamento&lt;&gt;"TransfereGOV",
              ROUND(OFFSET($P208,0,AG$13),15-13*ORÇAMENTO!$AF$7)/$H208*OFFSET(ORÇAMENTO!$X$15,ROW(AG208)-ROW(AG$15),0),
              ROUND(ROUND(OFFSET($P208,0,AG$13),15-13*ORÇAMENTO!$AF$7)*OFFSET(ORÇAMENTO!$W$15,ROW(AG208)-ROW(AG$15),0),15-13*ORÇAMENTO!$AF$11)),
         0)</f>
        <v>0</v>
      </c>
      <c r="AH208" s="454">
        <f ca="1">IF(AND($D208="Serviço",AH$12&lt;&gt;0,$H208&gt;0,OR(AUTOEVENTO&lt;&gt;"manual",$M208&lt;&gt;$A$15)),
        IF(Import.TipoArredondamento&lt;&gt;"TransfereGOV",
              ROUND(OFFSET($P208,0,AH$13),15-13*ORÇAMENTO!$AF$7)/$H208*OFFSET(ORÇAMENTO!$X$15,ROW(AH208)-ROW(AH$15),0),
              ROUND(ROUND(OFFSET($P208,0,AH$13),15-13*ORÇAMENTO!$AF$7)*OFFSET(ORÇAMENTO!$W$15,ROW(AH208)-ROW(AH$15),0),15-13*ORÇAMENTO!$AF$11)),
         0)</f>
        <v>0</v>
      </c>
      <c r="AI208" s="454">
        <f ca="1">IF(AND($D208="Serviço",AI$12&lt;&gt;0,$H208&gt;0,OR(AUTOEVENTO&lt;&gt;"manual",$M208&lt;&gt;$A$15)),
        IF(Import.TipoArredondamento&lt;&gt;"TransfereGOV",
              ROUND(OFFSET($P208,0,AI$13),15-13*ORÇAMENTO!$AF$7)/$H208*OFFSET(ORÇAMENTO!$X$15,ROW(AI208)-ROW(AI$15),0),
              ROUND(ROUND(OFFSET($P208,0,AI$13),15-13*ORÇAMENTO!$AF$7)*OFFSET(ORÇAMENTO!$W$15,ROW(AI208)-ROW(AI$15),0),15-13*ORÇAMENTO!$AF$11)),
         0)</f>
        <v>0</v>
      </c>
      <c r="AJ208" s="454">
        <f ca="1">IF(AND($D208="Serviço",AJ$12&lt;&gt;0,$H208&gt;0,OR(AUTOEVENTO&lt;&gt;"manual",$M208&lt;&gt;$A$15)),
        IF(Import.TipoArredondamento&lt;&gt;"TransfereGOV",
              ROUND(OFFSET($P208,0,AJ$13),15-13*ORÇAMENTO!$AF$7)/$H208*OFFSET(ORÇAMENTO!$X$15,ROW(AJ208)-ROW(AJ$15),0),
              ROUND(ROUND(OFFSET($P208,0,AJ$13),15-13*ORÇAMENTO!$AF$7)*OFFSET(ORÇAMENTO!$W$15,ROW(AJ208)-ROW(AJ$15),0),15-13*ORÇAMENTO!$AF$11)),
         0)</f>
        <v>0</v>
      </c>
      <c r="AK208" s="454">
        <f ca="1">IF(AND($D208="Serviço",AK$12&lt;&gt;0,$H208&gt;0,OR(AUTOEVENTO&lt;&gt;"manual",$M208&lt;&gt;$A$15)),
        IF(Import.TipoArredondamento&lt;&gt;"TransfereGOV",
              ROUND(OFFSET($P208,0,AK$13),15-13*ORÇAMENTO!$AF$7)/$H208*OFFSET(ORÇAMENTO!$X$15,ROW(AK208)-ROW(AK$15),0),
              ROUND(ROUND(OFFSET($P208,0,AK$13),15-13*ORÇAMENTO!$AF$7)*OFFSET(ORÇAMENTO!$W$15,ROW(AK208)-ROW(AK$15),0),15-13*ORÇAMENTO!$AF$11)),
         0)</f>
        <v>0</v>
      </c>
      <c r="AM208" s="172">
        <f ca="1">IF(OR($D208&lt;&gt;"Serviço",AND(AUTOEVENTO="Manual",$M208=$A$15)),0,
         IF(OFFSET(CRONOPLE!$F$15,$M208-$A$15,AM$13)=0,10^12,OFFSET(CRONOPLE!$F$15,$M208-$A$15,AM$13)))</f>
        <v>1000000000000</v>
      </c>
      <c r="AN208" s="172">
        <f ca="1">IF(OR($D208&lt;&gt;"Serviço",AND(AUTOEVENTO="Manual",$M208=$A$15)),0,
         IF(OFFSET(CRONOPLE!$F$15,$M208-$A$15,AN$13)=0,10^12,OFFSET(CRONOPLE!$F$15,$M208-$A$15,AN$13)))</f>
        <v>1000000000000</v>
      </c>
      <c r="AO208" s="172">
        <f ca="1">IF(OR($D208&lt;&gt;"Serviço",AND(AUTOEVENTO="Manual",$M208=$A$15)),0,
         IF(OFFSET(CRONOPLE!$F$15,$M208-$A$15,AO$13)=0,10^12,OFFSET(CRONOPLE!$F$15,$M208-$A$15,AO$13)))</f>
        <v>1000000000000</v>
      </c>
      <c r="AP208" s="172">
        <f ca="1">IF(OR($D208&lt;&gt;"Serviço",AND(AUTOEVENTO="Manual",$M208=$A$15)),0,
         IF(OFFSET(CRONOPLE!$F$15,$M208-$A$15,AP$13)=0,10^12,OFFSET(CRONOPLE!$F$15,$M208-$A$15,AP$13)))</f>
        <v>1000000000000</v>
      </c>
      <c r="AQ208" s="172">
        <f ca="1">IF(OR($D208&lt;&gt;"Serviço",AND(AUTOEVENTO="Manual",$M208=$A$15)),0,
         IF(OFFSET(CRONOPLE!$F$15,$M208-$A$15,AQ$13)=0,10^12,OFFSET(CRONOPLE!$F$15,$M208-$A$15,AQ$13)))</f>
        <v>1000000000000</v>
      </c>
      <c r="AR208" s="172">
        <f ca="1">IF(OR($D208&lt;&gt;"Serviço",AND(AUTOEVENTO="Manual",$M208=$A$15)),0,
         IF(OFFSET(CRONOPLE!$F$15,$M208-$A$15,AR$13)=0,10^12,OFFSET(CRONOPLE!$F$15,$M208-$A$15,AR$13)))</f>
        <v>1000000000000</v>
      </c>
      <c r="AS208" s="172">
        <f ca="1">IF(OR($D208&lt;&gt;"Serviço",AND(AUTOEVENTO="Manual",$M208=$A$15)),0,
         IF(OFFSET(CRONOPLE!$F$15,$M208-$A$15,AS$13)=0,10^12,OFFSET(CRONOPLE!$F$15,$M208-$A$15,AS$13)))</f>
        <v>1000000000000</v>
      </c>
      <c r="AT208" s="172">
        <f ca="1">IF(OR($D208&lt;&gt;"Serviço",AND(AUTOEVENTO="Manual",$M208=$A$15)),0,
         IF(OFFSET(CRONOPLE!$F$15,$M208-$A$15,AT$13)=0,10^12,OFFSET(CRONOPLE!$F$15,$M208-$A$15,AT$13)))</f>
        <v>1000000000000</v>
      </c>
      <c r="AU208" s="172">
        <f ca="1">IF(OR($D208&lt;&gt;"Serviço",AND(AUTOEVENTO="Manual",$M208=$A$15)),0,
         IF(OFFSET(CRONOPLE!$F$15,$M208-$A$15,AU$13)=0,10^12,OFFSET(CRONOPLE!$F$15,$M208-$A$15,AU$13)))</f>
        <v>1000000000000</v>
      </c>
      <c r="AV208" s="172">
        <f ca="1">IF(OR($D208&lt;&gt;"Serviço",AND(AUTOEVENTO="Manual",$M208=$A$15)),0,
         IF(OFFSET(CRONOPLE!$F$15,$M208-$A$15,AV$13)=0,10^12,OFFSET(CRONOPLE!$F$15,$M208-$A$15,AV$13)))</f>
        <v>1000000000000</v>
      </c>
      <c r="AX208" s="173">
        <f ca="1">IF(OR($D208&lt;&gt;"Serviço",AND(AUTOEVENTO="Manual",$M208=$A$15),$M208&gt;(ROW(PLE.lastrow)-ROW(PLE.firstrow))),0,
           IF(OFFSET(PLE!$G$15,$M208-$A$15,AX$13)="",10^12,OFFSET(PLE!$G$15,$M208-$A$15,AX$13)))</f>
        <v>1000000000000</v>
      </c>
      <c r="AY208" s="173">
        <f ca="1">IF(OR($D208&lt;&gt;"Serviço",AND(AUTOEVENTO="Manual",$M208=$A$15),$M208&gt;(ROW(PLE.lastrow)-ROW(PLE.firstrow))),0,
           IF(OFFSET(PLE!$G$15,$M208-$A$15,AY$13)="",10^12,OFFSET(PLE!$G$15,$M208-$A$15,AY$13)))</f>
        <v>1000000000000</v>
      </c>
      <c r="AZ208" s="173">
        <f ca="1">IF(OR($D208&lt;&gt;"Serviço",AND(AUTOEVENTO="Manual",$M208=$A$15),$M208&gt;(ROW(PLE.lastrow)-ROW(PLE.firstrow))),0,
           IF(OFFSET(PLE!$G$15,$M208-$A$15,AZ$13)="",10^12,OFFSET(PLE!$G$15,$M208-$A$15,AZ$13)))</f>
        <v>1000000000000</v>
      </c>
      <c r="BA208" s="173">
        <f ca="1">IF(OR($D208&lt;&gt;"Serviço",AND(AUTOEVENTO="Manual",$M208=$A$15),$M208&gt;(ROW(PLE.lastrow)-ROW(PLE.firstrow))),0,
           IF(OFFSET(PLE!$G$15,$M208-$A$15,BA$13)="",10^12,OFFSET(PLE!$G$15,$M208-$A$15,BA$13)))</f>
        <v>1000000000000</v>
      </c>
      <c r="BB208" s="173">
        <f ca="1">IF(OR($D208&lt;&gt;"Serviço",AND(AUTOEVENTO="Manual",$M208=$A$15),$M208&gt;(ROW(PLE.lastrow)-ROW(PLE.firstrow))),0,
           IF(OFFSET(PLE!$G$15,$M208-$A$15,BB$13)="",10^12,OFFSET(PLE!$G$15,$M208-$A$15,BB$13)))</f>
        <v>1000000000000</v>
      </c>
      <c r="BC208" s="173">
        <f ca="1">IF(OR($D208&lt;&gt;"Serviço",AND(AUTOEVENTO="Manual",$M208=$A$15),$M208&gt;(ROW(PLE.lastrow)-ROW(PLE.firstrow))),0,
           IF(OFFSET(PLE!$G$15,$M208-$A$15,BC$13)="",10^12,OFFSET(PLE!$G$15,$M208-$A$15,BC$13)))</f>
        <v>1000000000000</v>
      </c>
      <c r="BD208" s="173">
        <f ca="1">IF(OR($D208&lt;&gt;"Serviço",AND(AUTOEVENTO="Manual",$M208=$A$15),$M208&gt;(ROW(PLE.lastrow)-ROW(PLE.firstrow))),0,
           IF(OFFSET(PLE!$G$15,$M208-$A$15,BD$13)="",10^12,OFFSET(PLE!$G$15,$M208-$A$15,BD$13)))</f>
        <v>1000000000000</v>
      </c>
      <c r="BE208" s="173">
        <f ca="1">IF(OR($D208&lt;&gt;"Serviço",AND(AUTOEVENTO="Manual",$M208=$A$15),$M208&gt;(ROW(PLE.lastrow)-ROW(PLE.firstrow))),0,
           IF(OFFSET(PLE!$G$15,$M208-$A$15,BE$13)="",10^12,OFFSET(PLE!$G$15,$M208-$A$15,BE$13)))</f>
        <v>1000000000000</v>
      </c>
      <c r="BF208" s="173">
        <f ca="1">IF(OR($D208&lt;&gt;"Serviço",AND(AUTOEVENTO="Manual",$M208=$A$15),$M208&gt;(ROW(PLE.lastrow)-ROW(PLE.firstrow))),0,
           IF(OFFSET(PLE!$G$15,$M208-$A$15,BF$13)="",10^12,OFFSET(PLE!$G$15,$M208-$A$15,BF$13)))</f>
        <v>1000000000000</v>
      </c>
      <c r="BG208" s="173">
        <f ca="1">IF(OR($D208&lt;&gt;"Serviço",AND(AUTOEVENTO="Manual",$M208=$A$15),$M208&gt;(ROW(PLE.lastrow)-ROW(PLE.firstrow))),0,
           IF(OFFSET(PLE!$G$15,$M208-$A$15,BG$13)="",10^12,OFFSET(PLE!$G$15,$M208-$A$15,BG$13)))</f>
        <v>1000000000000</v>
      </c>
    </row>
    <row r="209" spans="1:59" s="675" customFormat="1" ht="38.25" x14ac:dyDescent="0.2">
      <c r="A209" s="671" t="str">
        <f t="shared" ca="1" si="11"/>
        <v>191</v>
      </c>
      <c r="B209" s="671" t="str">
        <f ca="1">OFFSET(ORÇAMENTO!C$15,ROW(B209)-ROW(B$15),0)</f>
        <v>S</v>
      </c>
      <c r="C209" s="671" t="str">
        <f ca="1">OFFSET(ORÇAMENTO!L$15,ROW(C209)-ROW(C$15),0)</f>
        <v/>
      </c>
      <c r="D209" s="117" t="str">
        <f ca="1">OFFSET(ORÇAMENTO!N$15,ROW(D209)-ROW(D$15),0)</f>
        <v>Serviço</v>
      </c>
      <c r="E209" s="118" t="str">
        <f ca="1">OFFSET(ORÇAMENTO!O$15,ROW(E209)-ROW(E$15),0)</f>
        <v>-</v>
      </c>
      <c r="F209" s="164" t="str">
        <f ca="1">OFFSET(ORÇAMENTO!R$15,ROW(F209)-ROW(F$15),0)</f>
        <v>(abra o arquivo 'Referência 09-2025.xlsm)</v>
      </c>
      <c r="G209" s="165" t="str">
        <f ca="1">IF($D209&lt;&gt;"Serviço","",OFFSET(ORÇAMENTO!S$15,ROW(G209)-ROW(G$15),0))</f>
        <v>-</v>
      </c>
      <c r="H209" s="123">
        <f ca="1">IF($D209&lt;&gt;"Serviço",0,IF(ACOMPANHAMENTO="BM",ROUND(OFFSET(ORÇAMENTO!AJ$15,ROW(H209)-ROW(H$15),0),15-13*ORÇAMENTO!$AF$7),SUMPRODUCT(($Q$1:$AA$1=1)*ROUND($Q209:$AA209,15-13*ORÇAMENTO!$AF$7))))</f>
        <v>1</v>
      </c>
      <c r="I209" s="469" t="s">
        <v>1110</v>
      </c>
      <c r="J209" s="667" t="str">
        <f ca="1">IF(OR(B209&lt;&gt;"S",CÁLCULO.FrentesPreenchidas=0),"",IF(AND(ACOMPANHAMENTO="PLE",AUTOEVENTO="Manual",OR(H209&gt;0,ORÇAMENTO!AC209="QUANT."),OR(K209="",M209=0,N209="")),"►",IF(AND(ACOMPANHAMENTO="PLE",ORÇAMENTO!AC209="QUANT."),"►►",IF(AND(COUNTIF($P$11:$AA$11,"▼")=0,H209&gt;0,I209=""),"◄",""))))</f>
        <v/>
      </c>
      <c r="K209" s="668"/>
      <c r="L209" s="166" t="s">
        <v>765</v>
      </c>
      <c r="M209" s="167">
        <f ca="1">IF($D209&lt;&gt;"Serviço","",
          IF(AUTOEVENTO="manual",$A209,
                IF(ISERROR(MATCH($A209,$A$15:OFFSET($A209,-1,0),0)),MAX($M$15:OFFSET(M209,-1,0))+1,
                      INDEX($M$15:OFFSET(M209,-1,0),MATCH($A209,$A$15:OFFSET($A209,-1,0),0)))))</f>
        <v>22</v>
      </c>
      <c r="N209" s="168" t="str">
        <f ca="1">IF($D209&lt;&gt;"Serviço","",
         IF(AUTOEVENTO="Manual",
                IF($A209=0,"&lt;-- defina o número do agrupador",
                       OFFSET(EVENTOS!$D$15,$A209-$A$15,0)),
                OFFSET($F$15,$A209,0)))</f>
        <v>LAJE COBERTURA</v>
      </c>
      <c r="O209" s="169"/>
      <c r="Q209" s="169"/>
      <c r="R209" s="170"/>
      <c r="S209" s="170"/>
      <c r="T209" s="170"/>
      <c r="U209" s="170"/>
      <c r="V209" s="170"/>
      <c r="W209" s="170"/>
      <c r="X209" s="170"/>
      <c r="Y209" s="170"/>
      <c r="Z209" s="171"/>
      <c r="AB209" s="454">
        <f ca="1">IF(AND($D209="Serviço",AB$12&lt;&gt;0,$H209&gt;0,OR(AUTOEVENTO&lt;&gt;"manual",$M209&lt;&gt;$A$15)),
        IF(Import.TipoArredondamento&lt;&gt;"TransfereGOV",
              ROUND(OFFSET($P209,0,AB$13),15-13*ORÇAMENTO!$AF$7)/$H209*OFFSET(ORÇAMENTO!$X$15,ROW(AB209)-ROW(AB$15),0),
              ROUND(ROUND(OFFSET($P209,0,AB$13),15-13*ORÇAMENTO!$AF$7)*OFFSET(ORÇAMENTO!$W$15,ROW(AB209)-ROW(AB$15),0),15-13*ORÇAMENTO!$AF$11)),
         0)</f>
        <v>0</v>
      </c>
      <c r="AC209" s="454">
        <f ca="1">IF(AND($D209="Serviço",AC$12&lt;&gt;0,$H209&gt;0,OR(AUTOEVENTO&lt;&gt;"manual",$M209&lt;&gt;$A$15)),
        IF(Import.TipoArredondamento&lt;&gt;"TransfereGOV",
              ROUND(OFFSET($P209,0,AC$13),15-13*ORÇAMENTO!$AF$7)/$H209*OFFSET(ORÇAMENTO!$X$15,ROW(AC209)-ROW(AC$15),0),
              ROUND(ROUND(OFFSET($P209,0,AC$13),15-13*ORÇAMENTO!$AF$7)*OFFSET(ORÇAMENTO!$W$15,ROW(AC209)-ROW(AC$15),0),15-13*ORÇAMENTO!$AF$11)),
         0)</f>
        <v>0</v>
      </c>
      <c r="AD209" s="454">
        <f ca="1">IF(AND($D209="Serviço",AD$12&lt;&gt;0,$H209&gt;0,OR(AUTOEVENTO&lt;&gt;"manual",$M209&lt;&gt;$A$15)),
        IF(Import.TipoArredondamento&lt;&gt;"TransfereGOV",
              ROUND(OFFSET($P209,0,AD$13),15-13*ORÇAMENTO!$AF$7)/$H209*OFFSET(ORÇAMENTO!$X$15,ROW(AD209)-ROW(AD$15),0),
              ROUND(ROUND(OFFSET($P209,0,AD$13),15-13*ORÇAMENTO!$AF$7)*OFFSET(ORÇAMENTO!$W$15,ROW(AD209)-ROW(AD$15),0),15-13*ORÇAMENTO!$AF$11)),
         0)</f>
        <v>0</v>
      </c>
      <c r="AE209" s="454">
        <f ca="1">IF(AND($D209="Serviço",AE$12&lt;&gt;0,$H209&gt;0,OR(AUTOEVENTO&lt;&gt;"manual",$M209&lt;&gt;$A$15)),
        IF(Import.TipoArredondamento&lt;&gt;"TransfereGOV",
              ROUND(OFFSET($P209,0,AE$13),15-13*ORÇAMENTO!$AF$7)/$H209*OFFSET(ORÇAMENTO!$X$15,ROW(AE209)-ROW(AE$15),0),
              ROUND(ROUND(OFFSET($P209,0,AE$13),15-13*ORÇAMENTO!$AF$7)*OFFSET(ORÇAMENTO!$W$15,ROW(AE209)-ROW(AE$15),0),15-13*ORÇAMENTO!$AF$11)),
         0)</f>
        <v>0</v>
      </c>
      <c r="AF209" s="454">
        <f ca="1">IF(AND($D209="Serviço",AF$12&lt;&gt;0,$H209&gt;0,OR(AUTOEVENTO&lt;&gt;"manual",$M209&lt;&gt;$A$15)),
        IF(Import.TipoArredondamento&lt;&gt;"TransfereGOV",
              ROUND(OFFSET($P209,0,AF$13),15-13*ORÇAMENTO!$AF$7)/$H209*OFFSET(ORÇAMENTO!$X$15,ROW(AF209)-ROW(AF$15),0),
              ROUND(ROUND(OFFSET($P209,0,AF$13),15-13*ORÇAMENTO!$AF$7)*OFFSET(ORÇAMENTO!$W$15,ROW(AF209)-ROW(AF$15),0),15-13*ORÇAMENTO!$AF$11)),
         0)</f>
        <v>0</v>
      </c>
      <c r="AG209" s="454">
        <f ca="1">IF(AND($D209="Serviço",AG$12&lt;&gt;0,$H209&gt;0,OR(AUTOEVENTO&lt;&gt;"manual",$M209&lt;&gt;$A$15)),
        IF(Import.TipoArredondamento&lt;&gt;"TransfereGOV",
              ROUND(OFFSET($P209,0,AG$13),15-13*ORÇAMENTO!$AF$7)/$H209*OFFSET(ORÇAMENTO!$X$15,ROW(AG209)-ROW(AG$15),0),
              ROUND(ROUND(OFFSET($P209,0,AG$13),15-13*ORÇAMENTO!$AF$7)*OFFSET(ORÇAMENTO!$W$15,ROW(AG209)-ROW(AG$15),0),15-13*ORÇAMENTO!$AF$11)),
         0)</f>
        <v>0</v>
      </c>
      <c r="AH209" s="454">
        <f ca="1">IF(AND($D209="Serviço",AH$12&lt;&gt;0,$H209&gt;0,OR(AUTOEVENTO&lt;&gt;"manual",$M209&lt;&gt;$A$15)),
        IF(Import.TipoArredondamento&lt;&gt;"TransfereGOV",
              ROUND(OFFSET($P209,0,AH$13),15-13*ORÇAMENTO!$AF$7)/$H209*OFFSET(ORÇAMENTO!$X$15,ROW(AH209)-ROW(AH$15),0),
              ROUND(ROUND(OFFSET($P209,0,AH$13),15-13*ORÇAMENTO!$AF$7)*OFFSET(ORÇAMENTO!$W$15,ROW(AH209)-ROW(AH$15),0),15-13*ORÇAMENTO!$AF$11)),
         0)</f>
        <v>0</v>
      </c>
      <c r="AI209" s="454">
        <f ca="1">IF(AND($D209="Serviço",AI$12&lt;&gt;0,$H209&gt;0,OR(AUTOEVENTO&lt;&gt;"manual",$M209&lt;&gt;$A$15)),
        IF(Import.TipoArredondamento&lt;&gt;"TransfereGOV",
              ROUND(OFFSET($P209,0,AI$13),15-13*ORÇAMENTO!$AF$7)/$H209*OFFSET(ORÇAMENTO!$X$15,ROW(AI209)-ROW(AI$15),0),
              ROUND(ROUND(OFFSET($P209,0,AI$13),15-13*ORÇAMENTO!$AF$7)*OFFSET(ORÇAMENTO!$W$15,ROW(AI209)-ROW(AI$15),0),15-13*ORÇAMENTO!$AF$11)),
         0)</f>
        <v>0</v>
      </c>
      <c r="AJ209" s="454">
        <f ca="1">IF(AND($D209="Serviço",AJ$12&lt;&gt;0,$H209&gt;0,OR(AUTOEVENTO&lt;&gt;"manual",$M209&lt;&gt;$A$15)),
        IF(Import.TipoArredondamento&lt;&gt;"TransfereGOV",
              ROUND(OFFSET($P209,0,AJ$13),15-13*ORÇAMENTO!$AF$7)/$H209*OFFSET(ORÇAMENTO!$X$15,ROW(AJ209)-ROW(AJ$15),0),
              ROUND(ROUND(OFFSET($P209,0,AJ$13),15-13*ORÇAMENTO!$AF$7)*OFFSET(ORÇAMENTO!$W$15,ROW(AJ209)-ROW(AJ$15),0),15-13*ORÇAMENTO!$AF$11)),
         0)</f>
        <v>0</v>
      </c>
      <c r="AK209" s="454">
        <f ca="1">IF(AND($D209="Serviço",AK$12&lt;&gt;0,$H209&gt;0,OR(AUTOEVENTO&lt;&gt;"manual",$M209&lt;&gt;$A$15)),
        IF(Import.TipoArredondamento&lt;&gt;"TransfereGOV",
              ROUND(OFFSET($P209,0,AK$13),15-13*ORÇAMENTO!$AF$7)/$H209*OFFSET(ORÇAMENTO!$X$15,ROW(AK209)-ROW(AK$15),0),
              ROUND(ROUND(OFFSET($P209,0,AK$13),15-13*ORÇAMENTO!$AF$7)*OFFSET(ORÇAMENTO!$W$15,ROW(AK209)-ROW(AK$15),0),15-13*ORÇAMENTO!$AF$11)),
         0)</f>
        <v>0</v>
      </c>
      <c r="AM209" s="172">
        <f ca="1">IF(OR($D209&lt;&gt;"Serviço",AND(AUTOEVENTO="Manual",$M209=$A$15)),0,
         IF(OFFSET(CRONOPLE!$F$15,$M209-$A$15,AM$13)=0,10^12,OFFSET(CRONOPLE!$F$15,$M209-$A$15,AM$13)))</f>
        <v>1000000000000</v>
      </c>
      <c r="AN209" s="172">
        <f ca="1">IF(OR($D209&lt;&gt;"Serviço",AND(AUTOEVENTO="Manual",$M209=$A$15)),0,
         IF(OFFSET(CRONOPLE!$F$15,$M209-$A$15,AN$13)=0,10^12,OFFSET(CRONOPLE!$F$15,$M209-$A$15,AN$13)))</f>
        <v>1000000000000</v>
      </c>
      <c r="AO209" s="172">
        <f ca="1">IF(OR($D209&lt;&gt;"Serviço",AND(AUTOEVENTO="Manual",$M209=$A$15)),0,
         IF(OFFSET(CRONOPLE!$F$15,$M209-$A$15,AO$13)=0,10^12,OFFSET(CRONOPLE!$F$15,$M209-$A$15,AO$13)))</f>
        <v>1000000000000</v>
      </c>
      <c r="AP209" s="172">
        <f ca="1">IF(OR($D209&lt;&gt;"Serviço",AND(AUTOEVENTO="Manual",$M209=$A$15)),0,
         IF(OFFSET(CRONOPLE!$F$15,$M209-$A$15,AP$13)=0,10^12,OFFSET(CRONOPLE!$F$15,$M209-$A$15,AP$13)))</f>
        <v>1000000000000</v>
      </c>
      <c r="AQ209" s="172">
        <f ca="1">IF(OR($D209&lt;&gt;"Serviço",AND(AUTOEVENTO="Manual",$M209=$A$15)),0,
         IF(OFFSET(CRONOPLE!$F$15,$M209-$A$15,AQ$13)=0,10^12,OFFSET(CRONOPLE!$F$15,$M209-$A$15,AQ$13)))</f>
        <v>1000000000000</v>
      </c>
      <c r="AR209" s="172">
        <f ca="1">IF(OR($D209&lt;&gt;"Serviço",AND(AUTOEVENTO="Manual",$M209=$A$15)),0,
         IF(OFFSET(CRONOPLE!$F$15,$M209-$A$15,AR$13)=0,10^12,OFFSET(CRONOPLE!$F$15,$M209-$A$15,AR$13)))</f>
        <v>1000000000000</v>
      </c>
      <c r="AS209" s="172">
        <f ca="1">IF(OR($D209&lt;&gt;"Serviço",AND(AUTOEVENTO="Manual",$M209=$A$15)),0,
         IF(OFFSET(CRONOPLE!$F$15,$M209-$A$15,AS$13)=0,10^12,OFFSET(CRONOPLE!$F$15,$M209-$A$15,AS$13)))</f>
        <v>1000000000000</v>
      </c>
      <c r="AT209" s="172">
        <f ca="1">IF(OR($D209&lt;&gt;"Serviço",AND(AUTOEVENTO="Manual",$M209=$A$15)),0,
         IF(OFFSET(CRONOPLE!$F$15,$M209-$A$15,AT$13)=0,10^12,OFFSET(CRONOPLE!$F$15,$M209-$A$15,AT$13)))</f>
        <v>1000000000000</v>
      </c>
      <c r="AU209" s="172">
        <f ca="1">IF(OR($D209&lt;&gt;"Serviço",AND(AUTOEVENTO="Manual",$M209=$A$15)),0,
         IF(OFFSET(CRONOPLE!$F$15,$M209-$A$15,AU$13)=0,10^12,OFFSET(CRONOPLE!$F$15,$M209-$A$15,AU$13)))</f>
        <v>1000000000000</v>
      </c>
      <c r="AV209" s="172">
        <f ca="1">IF(OR($D209&lt;&gt;"Serviço",AND(AUTOEVENTO="Manual",$M209=$A$15)),0,
         IF(OFFSET(CRONOPLE!$F$15,$M209-$A$15,AV$13)=0,10^12,OFFSET(CRONOPLE!$F$15,$M209-$A$15,AV$13)))</f>
        <v>1000000000000</v>
      </c>
      <c r="AX209" s="173">
        <f ca="1">IF(OR($D209&lt;&gt;"Serviço",AND(AUTOEVENTO="Manual",$M209=$A$15),$M209&gt;(ROW(PLE.lastrow)-ROW(PLE.firstrow))),0,
           IF(OFFSET(PLE!$G$15,$M209-$A$15,AX$13)="",10^12,OFFSET(PLE!$G$15,$M209-$A$15,AX$13)))</f>
        <v>1000000000000</v>
      </c>
      <c r="AY209" s="173">
        <f ca="1">IF(OR($D209&lt;&gt;"Serviço",AND(AUTOEVENTO="Manual",$M209=$A$15),$M209&gt;(ROW(PLE.lastrow)-ROW(PLE.firstrow))),0,
           IF(OFFSET(PLE!$G$15,$M209-$A$15,AY$13)="",10^12,OFFSET(PLE!$G$15,$M209-$A$15,AY$13)))</f>
        <v>1000000000000</v>
      </c>
      <c r="AZ209" s="173">
        <f ca="1">IF(OR($D209&lt;&gt;"Serviço",AND(AUTOEVENTO="Manual",$M209=$A$15),$M209&gt;(ROW(PLE.lastrow)-ROW(PLE.firstrow))),0,
           IF(OFFSET(PLE!$G$15,$M209-$A$15,AZ$13)="",10^12,OFFSET(PLE!$G$15,$M209-$A$15,AZ$13)))</f>
        <v>1000000000000</v>
      </c>
      <c r="BA209" s="173">
        <f ca="1">IF(OR($D209&lt;&gt;"Serviço",AND(AUTOEVENTO="Manual",$M209=$A$15),$M209&gt;(ROW(PLE.lastrow)-ROW(PLE.firstrow))),0,
           IF(OFFSET(PLE!$G$15,$M209-$A$15,BA$13)="",10^12,OFFSET(PLE!$G$15,$M209-$A$15,BA$13)))</f>
        <v>1000000000000</v>
      </c>
      <c r="BB209" s="173">
        <f ca="1">IF(OR($D209&lt;&gt;"Serviço",AND(AUTOEVENTO="Manual",$M209=$A$15),$M209&gt;(ROW(PLE.lastrow)-ROW(PLE.firstrow))),0,
           IF(OFFSET(PLE!$G$15,$M209-$A$15,BB$13)="",10^12,OFFSET(PLE!$G$15,$M209-$A$15,BB$13)))</f>
        <v>1000000000000</v>
      </c>
      <c r="BC209" s="173">
        <f ca="1">IF(OR($D209&lt;&gt;"Serviço",AND(AUTOEVENTO="Manual",$M209=$A$15),$M209&gt;(ROW(PLE.lastrow)-ROW(PLE.firstrow))),0,
           IF(OFFSET(PLE!$G$15,$M209-$A$15,BC$13)="",10^12,OFFSET(PLE!$G$15,$M209-$A$15,BC$13)))</f>
        <v>1000000000000</v>
      </c>
      <c r="BD209" s="173">
        <f ca="1">IF(OR($D209&lt;&gt;"Serviço",AND(AUTOEVENTO="Manual",$M209=$A$15),$M209&gt;(ROW(PLE.lastrow)-ROW(PLE.firstrow))),0,
           IF(OFFSET(PLE!$G$15,$M209-$A$15,BD$13)="",10^12,OFFSET(PLE!$G$15,$M209-$A$15,BD$13)))</f>
        <v>1000000000000</v>
      </c>
      <c r="BE209" s="173">
        <f ca="1">IF(OR($D209&lt;&gt;"Serviço",AND(AUTOEVENTO="Manual",$M209=$A$15),$M209&gt;(ROW(PLE.lastrow)-ROW(PLE.firstrow))),0,
           IF(OFFSET(PLE!$G$15,$M209-$A$15,BE$13)="",10^12,OFFSET(PLE!$G$15,$M209-$A$15,BE$13)))</f>
        <v>1000000000000</v>
      </c>
      <c r="BF209" s="173">
        <f ca="1">IF(OR($D209&lt;&gt;"Serviço",AND(AUTOEVENTO="Manual",$M209=$A$15),$M209&gt;(ROW(PLE.lastrow)-ROW(PLE.firstrow))),0,
           IF(OFFSET(PLE!$G$15,$M209-$A$15,BF$13)="",10^12,OFFSET(PLE!$G$15,$M209-$A$15,BF$13)))</f>
        <v>1000000000000</v>
      </c>
      <c r="BG209" s="173">
        <f ca="1">IF(OR($D209&lt;&gt;"Serviço",AND(AUTOEVENTO="Manual",$M209=$A$15),$M209&gt;(ROW(PLE.lastrow)-ROW(PLE.firstrow))),0,
           IF(OFFSET(PLE!$G$15,$M209-$A$15,BG$13)="",10^12,OFFSET(PLE!$G$15,$M209-$A$15,BG$13)))</f>
        <v>1000000000000</v>
      </c>
    </row>
    <row r="210" spans="1:59" s="675" customFormat="1" ht="12.75" x14ac:dyDescent="0.2">
      <c r="A210" s="671" t="str">
        <f t="shared" ca="1" si="11"/>
        <v>195.</v>
      </c>
      <c r="B210" s="671">
        <f ca="1">OFFSET(ORÇAMENTO!C$15,ROW(B210)-ROW(B$15),0)</f>
        <v>2</v>
      </c>
      <c r="C210" s="671" t="str">
        <f ca="1">OFFSET(ORÇAMENTO!L$15,ROW(C210)-ROW(C$15),0)</f>
        <v>F</v>
      </c>
      <c r="D210" s="117" t="str">
        <f ca="1">OFFSET(ORÇAMENTO!N$15,ROW(D210)-ROW(D$15),0)</f>
        <v>Nível 2</v>
      </c>
      <c r="E210" s="118" t="str">
        <f ca="1">OFFSET(ORÇAMENTO!O$15,ROW(E210)-ROW(E$15),0)</f>
        <v>1.27.</v>
      </c>
      <c r="F210" s="164" t="str">
        <f ca="1">OFFSET(ORÇAMENTO!R$15,ROW(F210)-ROW(F$15),0)</f>
        <v>DIVERSOS</v>
      </c>
      <c r="G210" s="165" t="str">
        <f ca="1">IF($D210&lt;&gt;"Serviço","",OFFSET(ORÇAMENTO!S$15,ROW(G210)-ROW(G$15),0))</f>
        <v/>
      </c>
      <c r="H210" s="123">
        <f ca="1">IF($D210&lt;&gt;"Serviço",0,IF(ACOMPANHAMENTO="BM",ROUND(OFFSET(ORÇAMENTO!AJ$15,ROW(H210)-ROW(H$15),0),15-13*ORÇAMENTO!$AF$7),SUMPRODUCT(($Q$1:$AA$1=1)*ROUND($Q210:$AA210,15-13*ORÇAMENTO!$AF$7))))</f>
        <v>0</v>
      </c>
      <c r="I210" s="469"/>
      <c r="J210" s="667" t="str">
        <f ca="1">IF(OR(B210&lt;&gt;"S",CÁLCULO.FrentesPreenchidas=0),"",IF(AND(ACOMPANHAMENTO="PLE",AUTOEVENTO="Manual",OR(H210&gt;0,ORÇAMENTO!AC210="QUANT."),OR(K210="",M210=0,N210="")),"►",IF(AND(ACOMPANHAMENTO="PLE",ORÇAMENTO!AC210="QUANT."),"►►",IF(AND(COUNTIF($P$11:$AA$11,"▼")=0,H210&gt;0,I210=""),"◄",""))))</f>
        <v/>
      </c>
      <c r="K210" s="668"/>
      <c r="L210" s="166" t="s">
        <v>765</v>
      </c>
      <c r="M210" s="167" t="str">
        <f ca="1">IF($D210&lt;&gt;"Serviço","",
          IF(AUTOEVENTO="manual",$A210,
                IF(ISERROR(MATCH($A210,$A$15:OFFSET($A210,-1,0),0)),MAX($M$15:OFFSET(M210,-1,0))+1,
                      INDEX($M$15:OFFSET(M210,-1,0),MATCH($A210,$A$15:OFFSET($A210,-1,0),0)))))</f>
        <v/>
      </c>
      <c r="N210" s="168" t="str">
        <f ca="1">IF($D210&lt;&gt;"Serviço","",
         IF(AUTOEVENTO="Manual",
                IF($A210=0,"&lt;-- defina o número do agrupador",
                       OFFSET(EVENTOS!$D$15,$A210-$A$15,0)),
                OFFSET($F$15,$A210,0)))</f>
        <v/>
      </c>
      <c r="O210" s="169"/>
      <c r="Q210" s="169"/>
      <c r="R210" s="170"/>
      <c r="S210" s="170"/>
      <c r="T210" s="170"/>
      <c r="U210" s="170"/>
      <c r="V210" s="170"/>
      <c r="W210" s="170"/>
      <c r="X210" s="170"/>
      <c r="Y210" s="170"/>
      <c r="Z210" s="171"/>
      <c r="AB210" s="454">
        <f ca="1">IF(AND($D210="Serviço",AB$12&lt;&gt;0,$H210&gt;0,OR(AUTOEVENTO&lt;&gt;"manual",$M210&lt;&gt;$A$15)),
        IF(Import.TipoArredondamento&lt;&gt;"TransfereGOV",
              ROUND(OFFSET($P210,0,AB$13),15-13*ORÇAMENTO!$AF$7)/$H210*OFFSET(ORÇAMENTO!$X$15,ROW(AB210)-ROW(AB$15),0),
              ROUND(ROUND(OFFSET($P210,0,AB$13),15-13*ORÇAMENTO!$AF$7)*OFFSET(ORÇAMENTO!$W$15,ROW(AB210)-ROW(AB$15),0),15-13*ORÇAMENTO!$AF$11)),
         0)</f>
        <v>0</v>
      </c>
      <c r="AC210" s="454">
        <f ca="1">IF(AND($D210="Serviço",AC$12&lt;&gt;0,$H210&gt;0,OR(AUTOEVENTO&lt;&gt;"manual",$M210&lt;&gt;$A$15)),
        IF(Import.TipoArredondamento&lt;&gt;"TransfereGOV",
              ROUND(OFFSET($P210,0,AC$13),15-13*ORÇAMENTO!$AF$7)/$H210*OFFSET(ORÇAMENTO!$X$15,ROW(AC210)-ROW(AC$15),0),
              ROUND(ROUND(OFFSET($P210,0,AC$13),15-13*ORÇAMENTO!$AF$7)*OFFSET(ORÇAMENTO!$W$15,ROW(AC210)-ROW(AC$15),0),15-13*ORÇAMENTO!$AF$11)),
         0)</f>
        <v>0</v>
      </c>
      <c r="AD210" s="454">
        <f ca="1">IF(AND($D210="Serviço",AD$12&lt;&gt;0,$H210&gt;0,OR(AUTOEVENTO&lt;&gt;"manual",$M210&lt;&gt;$A$15)),
        IF(Import.TipoArredondamento&lt;&gt;"TransfereGOV",
              ROUND(OFFSET($P210,0,AD$13),15-13*ORÇAMENTO!$AF$7)/$H210*OFFSET(ORÇAMENTO!$X$15,ROW(AD210)-ROW(AD$15),0),
              ROUND(ROUND(OFFSET($P210,0,AD$13),15-13*ORÇAMENTO!$AF$7)*OFFSET(ORÇAMENTO!$W$15,ROW(AD210)-ROW(AD$15),0),15-13*ORÇAMENTO!$AF$11)),
         0)</f>
        <v>0</v>
      </c>
      <c r="AE210" s="454">
        <f ca="1">IF(AND($D210="Serviço",AE$12&lt;&gt;0,$H210&gt;0,OR(AUTOEVENTO&lt;&gt;"manual",$M210&lt;&gt;$A$15)),
        IF(Import.TipoArredondamento&lt;&gt;"TransfereGOV",
              ROUND(OFFSET($P210,0,AE$13),15-13*ORÇAMENTO!$AF$7)/$H210*OFFSET(ORÇAMENTO!$X$15,ROW(AE210)-ROW(AE$15),0),
              ROUND(ROUND(OFFSET($P210,0,AE$13),15-13*ORÇAMENTO!$AF$7)*OFFSET(ORÇAMENTO!$W$15,ROW(AE210)-ROW(AE$15),0),15-13*ORÇAMENTO!$AF$11)),
         0)</f>
        <v>0</v>
      </c>
      <c r="AF210" s="454">
        <f ca="1">IF(AND($D210="Serviço",AF$12&lt;&gt;0,$H210&gt;0,OR(AUTOEVENTO&lt;&gt;"manual",$M210&lt;&gt;$A$15)),
        IF(Import.TipoArredondamento&lt;&gt;"TransfereGOV",
              ROUND(OFFSET($P210,0,AF$13),15-13*ORÇAMENTO!$AF$7)/$H210*OFFSET(ORÇAMENTO!$X$15,ROW(AF210)-ROW(AF$15),0),
              ROUND(ROUND(OFFSET($P210,0,AF$13),15-13*ORÇAMENTO!$AF$7)*OFFSET(ORÇAMENTO!$W$15,ROW(AF210)-ROW(AF$15),0),15-13*ORÇAMENTO!$AF$11)),
         0)</f>
        <v>0</v>
      </c>
      <c r="AG210" s="454">
        <f ca="1">IF(AND($D210="Serviço",AG$12&lt;&gt;0,$H210&gt;0,OR(AUTOEVENTO&lt;&gt;"manual",$M210&lt;&gt;$A$15)),
        IF(Import.TipoArredondamento&lt;&gt;"TransfereGOV",
              ROUND(OFFSET($P210,0,AG$13),15-13*ORÇAMENTO!$AF$7)/$H210*OFFSET(ORÇAMENTO!$X$15,ROW(AG210)-ROW(AG$15),0),
              ROUND(ROUND(OFFSET($P210,0,AG$13),15-13*ORÇAMENTO!$AF$7)*OFFSET(ORÇAMENTO!$W$15,ROW(AG210)-ROW(AG$15),0),15-13*ORÇAMENTO!$AF$11)),
         0)</f>
        <v>0</v>
      </c>
      <c r="AH210" s="454">
        <f ca="1">IF(AND($D210="Serviço",AH$12&lt;&gt;0,$H210&gt;0,OR(AUTOEVENTO&lt;&gt;"manual",$M210&lt;&gt;$A$15)),
        IF(Import.TipoArredondamento&lt;&gt;"TransfereGOV",
              ROUND(OFFSET($P210,0,AH$13),15-13*ORÇAMENTO!$AF$7)/$H210*OFFSET(ORÇAMENTO!$X$15,ROW(AH210)-ROW(AH$15),0),
              ROUND(ROUND(OFFSET($P210,0,AH$13),15-13*ORÇAMENTO!$AF$7)*OFFSET(ORÇAMENTO!$W$15,ROW(AH210)-ROW(AH$15),0),15-13*ORÇAMENTO!$AF$11)),
         0)</f>
        <v>0</v>
      </c>
      <c r="AI210" s="454">
        <f ca="1">IF(AND($D210="Serviço",AI$12&lt;&gt;0,$H210&gt;0,OR(AUTOEVENTO&lt;&gt;"manual",$M210&lt;&gt;$A$15)),
        IF(Import.TipoArredondamento&lt;&gt;"TransfereGOV",
              ROUND(OFFSET($P210,0,AI$13),15-13*ORÇAMENTO!$AF$7)/$H210*OFFSET(ORÇAMENTO!$X$15,ROW(AI210)-ROW(AI$15),0),
              ROUND(ROUND(OFFSET($P210,0,AI$13),15-13*ORÇAMENTO!$AF$7)*OFFSET(ORÇAMENTO!$W$15,ROW(AI210)-ROW(AI$15),0),15-13*ORÇAMENTO!$AF$11)),
         0)</f>
        <v>0</v>
      </c>
      <c r="AJ210" s="454">
        <f ca="1">IF(AND($D210="Serviço",AJ$12&lt;&gt;0,$H210&gt;0,OR(AUTOEVENTO&lt;&gt;"manual",$M210&lt;&gt;$A$15)),
        IF(Import.TipoArredondamento&lt;&gt;"TransfereGOV",
              ROUND(OFFSET($P210,0,AJ$13),15-13*ORÇAMENTO!$AF$7)/$H210*OFFSET(ORÇAMENTO!$X$15,ROW(AJ210)-ROW(AJ$15),0),
              ROUND(ROUND(OFFSET($P210,0,AJ$13),15-13*ORÇAMENTO!$AF$7)*OFFSET(ORÇAMENTO!$W$15,ROW(AJ210)-ROW(AJ$15),0),15-13*ORÇAMENTO!$AF$11)),
         0)</f>
        <v>0</v>
      </c>
      <c r="AK210" s="454">
        <f ca="1">IF(AND($D210="Serviço",AK$12&lt;&gt;0,$H210&gt;0,OR(AUTOEVENTO&lt;&gt;"manual",$M210&lt;&gt;$A$15)),
        IF(Import.TipoArredondamento&lt;&gt;"TransfereGOV",
              ROUND(OFFSET($P210,0,AK$13),15-13*ORÇAMENTO!$AF$7)/$H210*OFFSET(ORÇAMENTO!$X$15,ROW(AK210)-ROW(AK$15),0),
              ROUND(ROUND(OFFSET($P210,0,AK$13),15-13*ORÇAMENTO!$AF$7)*OFFSET(ORÇAMENTO!$W$15,ROW(AK210)-ROW(AK$15),0),15-13*ORÇAMENTO!$AF$11)),
         0)</f>
        <v>0</v>
      </c>
      <c r="AM210" s="172">
        <f ca="1">IF(OR($D210&lt;&gt;"Serviço",AND(AUTOEVENTO="Manual",$M210=$A$15)),0,
         IF(OFFSET(CRONOPLE!$F$15,$M210-$A$15,AM$13)=0,10^12,OFFSET(CRONOPLE!$F$15,$M210-$A$15,AM$13)))</f>
        <v>0</v>
      </c>
      <c r="AN210" s="172">
        <f ca="1">IF(OR($D210&lt;&gt;"Serviço",AND(AUTOEVENTO="Manual",$M210=$A$15)),0,
         IF(OFFSET(CRONOPLE!$F$15,$M210-$A$15,AN$13)=0,10^12,OFFSET(CRONOPLE!$F$15,$M210-$A$15,AN$13)))</f>
        <v>0</v>
      </c>
      <c r="AO210" s="172">
        <f ca="1">IF(OR($D210&lt;&gt;"Serviço",AND(AUTOEVENTO="Manual",$M210=$A$15)),0,
         IF(OFFSET(CRONOPLE!$F$15,$M210-$A$15,AO$13)=0,10^12,OFFSET(CRONOPLE!$F$15,$M210-$A$15,AO$13)))</f>
        <v>0</v>
      </c>
      <c r="AP210" s="172">
        <f ca="1">IF(OR($D210&lt;&gt;"Serviço",AND(AUTOEVENTO="Manual",$M210=$A$15)),0,
         IF(OFFSET(CRONOPLE!$F$15,$M210-$A$15,AP$13)=0,10^12,OFFSET(CRONOPLE!$F$15,$M210-$A$15,AP$13)))</f>
        <v>0</v>
      </c>
      <c r="AQ210" s="172">
        <f ca="1">IF(OR($D210&lt;&gt;"Serviço",AND(AUTOEVENTO="Manual",$M210=$A$15)),0,
         IF(OFFSET(CRONOPLE!$F$15,$M210-$A$15,AQ$13)=0,10^12,OFFSET(CRONOPLE!$F$15,$M210-$A$15,AQ$13)))</f>
        <v>0</v>
      </c>
      <c r="AR210" s="172">
        <f ca="1">IF(OR($D210&lt;&gt;"Serviço",AND(AUTOEVENTO="Manual",$M210=$A$15)),0,
         IF(OFFSET(CRONOPLE!$F$15,$M210-$A$15,AR$13)=0,10^12,OFFSET(CRONOPLE!$F$15,$M210-$A$15,AR$13)))</f>
        <v>0</v>
      </c>
      <c r="AS210" s="172">
        <f ca="1">IF(OR($D210&lt;&gt;"Serviço",AND(AUTOEVENTO="Manual",$M210=$A$15)),0,
         IF(OFFSET(CRONOPLE!$F$15,$M210-$A$15,AS$13)=0,10^12,OFFSET(CRONOPLE!$F$15,$M210-$A$15,AS$13)))</f>
        <v>0</v>
      </c>
      <c r="AT210" s="172">
        <f ca="1">IF(OR($D210&lt;&gt;"Serviço",AND(AUTOEVENTO="Manual",$M210=$A$15)),0,
         IF(OFFSET(CRONOPLE!$F$15,$M210-$A$15,AT$13)=0,10^12,OFFSET(CRONOPLE!$F$15,$M210-$A$15,AT$13)))</f>
        <v>0</v>
      </c>
      <c r="AU210" s="172">
        <f ca="1">IF(OR($D210&lt;&gt;"Serviço",AND(AUTOEVENTO="Manual",$M210=$A$15)),0,
         IF(OFFSET(CRONOPLE!$F$15,$M210-$A$15,AU$13)=0,10^12,OFFSET(CRONOPLE!$F$15,$M210-$A$15,AU$13)))</f>
        <v>0</v>
      </c>
      <c r="AV210" s="172">
        <f ca="1">IF(OR($D210&lt;&gt;"Serviço",AND(AUTOEVENTO="Manual",$M210=$A$15)),0,
         IF(OFFSET(CRONOPLE!$F$15,$M210-$A$15,AV$13)=0,10^12,OFFSET(CRONOPLE!$F$15,$M210-$A$15,AV$13)))</f>
        <v>0</v>
      </c>
      <c r="AX210" s="173">
        <f ca="1">IF(OR($D210&lt;&gt;"Serviço",AND(AUTOEVENTO="Manual",$M210=$A$15),$M210&gt;(ROW(PLE.lastrow)-ROW(PLE.firstrow))),0,
           IF(OFFSET(PLE!$G$15,$M210-$A$15,AX$13)="",10^12,OFFSET(PLE!$G$15,$M210-$A$15,AX$13)))</f>
        <v>0</v>
      </c>
      <c r="AY210" s="173">
        <f ca="1">IF(OR($D210&lt;&gt;"Serviço",AND(AUTOEVENTO="Manual",$M210=$A$15),$M210&gt;(ROW(PLE.lastrow)-ROW(PLE.firstrow))),0,
           IF(OFFSET(PLE!$G$15,$M210-$A$15,AY$13)="",10^12,OFFSET(PLE!$G$15,$M210-$A$15,AY$13)))</f>
        <v>0</v>
      </c>
      <c r="AZ210" s="173">
        <f ca="1">IF(OR($D210&lt;&gt;"Serviço",AND(AUTOEVENTO="Manual",$M210=$A$15),$M210&gt;(ROW(PLE.lastrow)-ROW(PLE.firstrow))),0,
           IF(OFFSET(PLE!$G$15,$M210-$A$15,AZ$13)="",10^12,OFFSET(PLE!$G$15,$M210-$A$15,AZ$13)))</f>
        <v>0</v>
      </c>
      <c r="BA210" s="173">
        <f ca="1">IF(OR($D210&lt;&gt;"Serviço",AND(AUTOEVENTO="Manual",$M210=$A$15),$M210&gt;(ROW(PLE.lastrow)-ROW(PLE.firstrow))),0,
           IF(OFFSET(PLE!$G$15,$M210-$A$15,BA$13)="",10^12,OFFSET(PLE!$G$15,$M210-$A$15,BA$13)))</f>
        <v>0</v>
      </c>
      <c r="BB210" s="173">
        <f ca="1">IF(OR($D210&lt;&gt;"Serviço",AND(AUTOEVENTO="Manual",$M210=$A$15),$M210&gt;(ROW(PLE.lastrow)-ROW(PLE.firstrow))),0,
           IF(OFFSET(PLE!$G$15,$M210-$A$15,BB$13)="",10^12,OFFSET(PLE!$G$15,$M210-$A$15,BB$13)))</f>
        <v>0</v>
      </c>
      <c r="BC210" s="173">
        <f ca="1">IF(OR($D210&lt;&gt;"Serviço",AND(AUTOEVENTO="Manual",$M210=$A$15),$M210&gt;(ROW(PLE.lastrow)-ROW(PLE.firstrow))),0,
           IF(OFFSET(PLE!$G$15,$M210-$A$15,BC$13)="",10^12,OFFSET(PLE!$G$15,$M210-$A$15,BC$13)))</f>
        <v>0</v>
      </c>
      <c r="BD210" s="173">
        <f ca="1">IF(OR($D210&lt;&gt;"Serviço",AND(AUTOEVENTO="Manual",$M210=$A$15),$M210&gt;(ROW(PLE.lastrow)-ROW(PLE.firstrow))),0,
           IF(OFFSET(PLE!$G$15,$M210-$A$15,BD$13)="",10^12,OFFSET(PLE!$G$15,$M210-$A$15,BD$13)))</f>
        <v>0</v>
      </c>
      <c r="BE210" s="173">
        <f ca="1">IF(OR($D210&lt;&gt;"Serviço",AND(AUTOEVENTO="Manual",$M210=$A$15),$M210&gt;(ROW(PLE.lastrow)-ROW(PLE.firstrow))),0,
           IF(OFFSET(PLE!$G$15,$M210-$A$15,BE$13)="",10^12,OFFSET(PLE!$G$15,$M210-$A$15,BE$13)))</f>
        <v>0</v>
      </c>
      <c r="BF210" s="173">
        <f ca="1">IF(OR($D210&lt;&gt;"Serviço",AND(AUTOEVENTO="Manual",$M210=$A$15),$M210&gt;(ROW(PLE.lastrow)-ROW(PLE.firstrow))),0,
           IF(OFFSET(PLE!$G$15,$M210-$A$15,BF$13)="",10^12,OFFSET(PLE!$G$15,$M210-$A$15,BF$13)))</f>
        <v>0</v>
      </c>
      <c r="BG210" s="173">
        <f ca="1">IF(OR($D210&lt;&gt;"Serviço",AND(AUTOEVENTO="Manual",$M210=$A$15),$M210&gt;(ROW(PLE.lastrow)-ROW(PLE.firstrow))),0,
           IF(OFFSET(PLE!$G$15,$M210-$A$15,BG$13)="",10^12,OFFSET(PLE!$G$15,$M210-$A$15,BG$13)))</f>
        <v>0</v>
      </c>
    </row>
    <row r="211" spans="1:59" s="675" customFormat="1" ht="38.25" x14ac:dyDescent="0.2">
      <c r="A211" s="671" t="str">
        <f t="shared" ca="1" si="11"/>
        <v>195</v>
      </c>
      <c r="B211" s="671" t="str">
        <f ca="1">OFFSET(ORÇAMENTO!C$15,ROW(B211)-ROW(B$15),0)</f>
        <v>S</v>
      </c>
      <c r="C211" s="671" t="str">
        <f ca="1">OFFSET(ORÇAMENTO!L$15,ROW(C211)-ROW(C$15),0)</f>
        <v/>
      </c>
      <c r="D211" s="117" t="str">
        <f ca="1">OFFSET(ORÇAMENTO!N$15,ROW(D211)-ROW(D$15),0)</f>
        <v>Serviço</v>
      </c>
      <c r="E211" s="118" t="str">
        <f ca="1">OFFSET(ORÇAMENTO!O$15,ROW(E211)-ROW(E$15),0)</f>
        <v>-</v>
      </c>
      <c r="F211" s="164" t="str">
        <f ca="1">OFFSET(ORÇAMENTO!R$15,ROW(F211)-ROW(F$15),0)</f>
        <v>(abra o arquivo 'Referência 09-2025.xlsm)</v>
      </c>
      <c r="G211" s="165" t="str">
        <f ca="1">IF($D211&lt;&gt;"Serviço","",OFFSET(ORÇAMENTO!S$15,ROW(G211)-ROW(G$15),0))</f>
        <v>-</v>
      </c>
      <c r="H211" s="123">
        <f ca="1">IF($D211&lt;&gt;"Serviço",0,IF(ACOMPANHAMENTO="BM",ROUND(OFFSET(ORÇAMENTO!AJ$15,ROW(H211)-ROW(H$15),0),15-13*ORÇAMENTO!$AF$7),SUMPRODUCT(($Q$1:$AA$1=1)*ROUND($Q211:$AA211,15-13*ORÇAMENTO!$AF$7))))</f>
        <v>0.66</v>
      </c>
      <c r="I211" s="469" t="s">
        <v>1110</v>
      </c>
      <c r="J211" s="667" t="str">
        <f ca="1">IF(OR(B211&lt;&gt;"S",CÁLCULO.FrentesPreenchidas=0),"",IF(AND(ACOMPANHAMENTO="PLE",AUTOEVENTO="Manual",OR(H211&gt;0,ORÇAMENTO!AC211="QUANT."),OR(K211="",M211=0,N211="")),"►",IF(AND(ACOMPANHAMENTO="PLE",ORÇAMENTO!AC211="QUANT."),"►►",IF(AND(COUNTIF($P$11:$AA$11,"▼")=0,H211&gt;0,I211=""),"◄",""))))</f>
        <v/>
      </c>
      <c r="K211" s="668"/>
      <c r="L211" s="166" t="s">
        <v>765</v>
      </c>
      <c r="M211" s="167">
        <f ca="1">IF($D211&lt;&gt;"Serviço","",
          IF(AUTOEVENTO="manual",$A211,
                IF(ISERROR(MATCH($A211,$A$15:OFFSET($A211,-1,0),0)),MAX($M$15:OFFSET(M211,-1,0))+1,
                      INDEX($M$15:OFFSET(M211,-1,0),MATCH($A211,$A$15:OFFSET($A211,-1,0),0)))))</f>
        <v>23</v>
      </c>
      <c r="N211" s="168" t="str">
        <f ca="1">IF($D211&lt;&gt;"Serviço","",
         IF(AUTOEVENTO="Manual",
                IF($A211=0,"&lt;-- defina o número do agrupador",
                       OFFSET(EVENTOS!$D$15,$A211-$A$15,0)),
                OFFSET($F$15,$A211,0)))</f>
        <v>DIVERSOS</v>
      </c>
      <c r="O211" s="169"/>
      <c r="Q211" s="169"/>
      <c r="R211" s="170"/>
      <c r="S211" s="170"/>
      <c r="T211" s="170"/>
      <c r="U211" s="170"/>
      <c r="V211" s="170"/>
      <c r="W211" s="170"/>
      <c r="X211" s="170"/>
      <c r="Y211" s="170"/>
      <c r="Z211" s="171"/>
      <c r="AB211" s="454">
        <f ca="1">IF(AND($D211="Serviço",AB$12&lt;&gt;0,$H211&gt;0,OR(AUTOEVENTO&lt;&gt;"manual",$M211&lt;&gt;$A$15)),
        IF(Import.TipoArredondamento&lt;&gt;"TransfereGOV",
              ROUND(OFFSET($P211,0,AB$13),15-13*ORÇAMENTO!$AF$7)/$H211*OFFSET(ORÇAMENTO!$X$15,ROW(AB211)-ROW(AB$15),0),
              ROUND(ROUND(OFFSET($P211,0,AB$13),15-13*ORÇAMENTO!$AF$7)*OFFSET(ORÇAMENTO!$W$15,ROW(AB211)-ROW(AB$15),0),15-13*ORÇAMENTO!$AF$11)),
         0)</f>
        <v>0</v>
      </c>
      <c r="AC211" s="454">
        <f ca="1">IF(AND($D211="Serviço",AC$12&lt;&gt;0,$H211&gt;0,OR(AUTOEVENTO&lt;&gt;"manual",$M211&lt;&gt;$A$15)),
        IF(Import.TipoArredondamento&lt;&gt;"TransfereGOV",
              ROUND(OFFSET($P211,0,AC$13),15-13*ORÇAMENTO!$AF$7)/$H211*OFFSET(ORÇAMENTO!$X$15,ROW(AC211)-ROW(AC$15),0),
              ROUND(ROUND(OFFSET($P211,0,AC$13),15-13*ORÇAMENTO!$AF$7)*OFFSET(ORÇAMENTO!$W$15,ROW(AC211)-ROW(AC$15),0),15-13*ORÇAMENTO!$AF$11)),
         0)</f>
        <v>0</v>
      </c>
      <c r="AD211" s="454">
        <f ca="1">IF(AND($D211="Serviço",AD$12&lt;&gt;0,$H211&gt;0,OR(AUTOEVENTO&lt;&gt;"manual",$M211&lt;&gt;$A$15)),
        IF(Import.TipoArredondamento&lt;&gt;"TransfereGOV",
              ROUND(OFFSET($P211,0,AD$13),15-13*ORÇAMENTO!$AF$7)/$H211*OFFSET(ORÇAMENTO!$X$15,ROW(AD211)-ROW(AD$15),0),
              ROUND(ROUND(OFFSET($P211,0,AD$13),15-13*ORÇAMENTO!$AF$7)*OFFSET(ORÇAMENTO!$W$15,ROW(AD211)-ROW(AD$15),0),15-13*ORÇAMENTO!$AF$11)),
         0)</f>
        <v>0</v>
      </c>
      <c r="AE211" s="454">
        <f ca="1">IF(AND($D211="Serviço",AE$12&lt;&gt;0,$H211&gt;0,OR(AUTOEVENTO&lt;&gt;"manual",$M211&lt;&gt;$A$15)),
        IF(Import.TipoArredondamento&lt;&gt;"TransfereGOV",
              ROUND(OFFSET($P211,0,AE$13),15-13*ORÇAMENTO!$AF$7)/$H211*OFFSET(ORÇAMENTO!$X$15,ROW(AE211)-ROW(AE$15),0),
              ROUND(ROUND(OFFSET($P211,0,AE$13),15-13*ORÇAMENTO!$AF$7)*OFFSET(ORÇAMENTO!$W$15,ROW(AE211)-ROW(AE$15),0),15-13*ORÇAMENTO!$AF$11)),
         0)</f>
        <v>0</v>
      </c>
      <c r="AF211" s="454">
        <f ca="1">IF(AND($D211="Serviço",AF$12&lt;&gt;0,$H211&gt;0,OR(AUTOEVENTO&lt;&gt;"manual",$M211&lt;&gt;$A$15)),
        IF(Import.TipoArredondamento&lt;&gt;"TransfereGOV",
              ROUND(OFFSET($P211,0,AF$13),15-13*ORÇAMENTO!$AF$7)/$H211*OFFSET(ORÇAMENTO!$X$15,ROW(AF211)-ROW(AF$15),0),
              ROUND(ROUND(OFFSET($P211,0,AF$13),15-13*ORÇAMENTO!$AF$7)*OFFSET(ORÇAMENTO!$W$15,ROW(AF211)-ROW(AF$15),0),15-13*ORÇAMENTO!$AF$11)),
         0)</f>
        <v>0</v>
      </c>
      <c r="AG211" s="454">
        <f ca="1">IF(AND($D211="Serviço",AG$12&lt;&gt;0,$H211&gt;0,OR(AUTOEVENTO&lt;&gt;"manual",$M211&lt;&gt;$A$15)),
        IF(Import.TipoArredondamento&lt;&gt;"TransfereGOV",
              ROUND(OFFSET($P211,0,AG$13),15-13*ORÇAMENTO!$AF$7)/$H211*OFFSET(ORÇAMENTO!$X$15,ROW(AG211)-ROW(AG$15),0),
              ROUND(ROUND(OFFSET($P211,0,AG$13),15-13*ORÇAMENTO!$AF$7)*OFFSET(ORÇAMENTO!$W$15,ROW(AG211)-ROW(AG$15),0),15-13*ORÇAMENTO!$AF$11)),
         0)</f>
        <v>0</v>
      </c>
      <c r="AH211" s="454">
        <f ca="1">IF(AND($D211="Serviço",AH$12&lt;&gt;0,$H211&gt;0,OR(AUTOEVENTO&lt;&gt;"manual",$M211&lt;&gt;$A$15)),
        IF(Import.TipoArredondamento&lt;&gt;"TransfereGOV",
              ROUND(OFFSET($P211,0,AH$13),15-13*ORÇAMENTO!$AF$7)/$H211*OFFSET(ORÇAMENTO!$X$15,ROW(AH211)-ROW(AH$15),0),
              ROUND(ROUND(OFFSET($P211,0,AH$13),15-13*ORÇAMENTO!$AF$7)*OFFSET(ORÇAMENTO!$W$15,ROW(AH211)-ROW(AH$15),0),15-13*ORÇAMENTO!$AF$11)),
         0)</f>
        <v>0</v>
      </c>
      <c r="AI211" s="454">
        <f ca="1">IF(AND($D211="Serviço",AI$12&lt;&gt;0,$H211&gt;0,OR(AUTOEVENTO&lt;&gt;"manual",$M211&lt;&gt;$A$15)),
        IF(Import.TipoArredondamento&lt;&gt;"TransfereGOV",
              ROUND(OFFSET($P211,0,AI$13),15-13*ORÇAMENTO!$AF$7)/$H211*OFFSET(ORÇAMENTO!$X$15,ROW(AI211)-ROW(AI$15),0),
              ROUND(ROUND(OFFSET($P211,0,AI$13),15-13*ORÇAMENTO!$AF$7)*OFFSET(ORÇAMENTO!$W$15,ROW(AI211)-ROW(AI$15),0),15-13*ORÇAMENTO!$AF$11)),
         0)</f>
        <v>0</v>
      </c>
      <c r="AJ211" s="454">
        <f ca="1">IF(AND($D211="Serviço",AJ$12&lt;&gt;0,$H211&gt;0,OR(AUTOEVENTO&lt;&gt;"manual",$M211&lt;&gt;$A$15)),
        IF(Import.TipoArredondamento&lt;&gt;"TransfereGOV",
              ROUND(OFFSET($P211,0,AJ$13),15-13*ORÇAMENTO!$AF$7)/$H211*OFFSET(ORÇAMENTO!$X$15,ROW(AJ211)-ROW(AJ$15),0),
              ROUND(ROUND(OFFSET($P211,0,AJ$13),15-13*ORÇAMENTO!$AF$7)*OFFSET(ORÇAMENTO!$W$15,ROW(AJ211)-ROW(AJ$15),0),15-13*ORÇAMENTO!$AF$11)),
         0)</f>
        <v>0</v>
      </c>
      <c r="AK211" s="454">
        <f ca="1">IF(AND($D211="Serviço",AK$12&lt;&gt;0,$H211&gt;0,OR(AUTOEVENTO&lt;&gt;"manual",$M211&lt;&gt;$A$15)),
        IF(Import.TipoArredondamento&lt;&gt;"TransfereGOV",
              ROUND(OFFSET($P211,0,AK$13),15-13*ORÇAMENTO!$AF$7)/$H211*OFFSET(ORÇAMENTO!$X$15,ROW(AK211)-ROW(AK$15),0),
              ROUND(ROUND(OFFSET($P211,0,AK$13),15-13*ORÇAMENTO!$AF$7)*OFFSET(ORÇAMENTO!$W$15,ROW(AK211)-ROW(AK$15),0),15-13*ORÇAMENTO!$AF$11)),
         0)</f>
        <v>0</v>
      </c>
      <c r="AM211" s="172">
        <f ca="1">IF(OR($D211&lt;&gt;"Serviço",AND(AUTOEVENTO="Manual",$M211=$A$15)),0,
         IF(OFFSET(CRONOPLE!$F$15,$M211-$A$15,AM$13)=0,10^12,OFFSET(CRONOPLE!$F$15,$M211-$A$15,AM$13)))</f>
        <v>1000000000000</v>
      </c>
      <c r="AN211" s="172">
        <f ca="1">IF(OR($D211&lt;&gt;"Serviço",AND(AUTOEVENTO="Manual",$M211=$A$15)),0,
         IF(OFFSET(CRONOPLE!$F$15,$M211-$A$15,AN$13)=0,10^12,OFFSET(CRONOPLE!$F$15,$M211-$A$15,AN$13)))</f>
        <v>1000000000000</v>
      </c>
      <c r="AO211" s="172">
        <f ca="1">IF(OR($D211&lt;&gt;"Serviço",AND(AUTOEVENTO="Manual",$M211=$A$15)),0,
         IF(OFFSET(CRONOPLE!$F$15,$M211-$A$15,AO$13)=0,10^12,OFFSET(CRONOPLE!$F$15,$M211-$A$15,AO$13)))</f>
        <v>1000000000000</v>
      </c>
      <c r="AP211" s="172">
        <f ca="1">IF(OR($D211&lt;&gt;"Serviço",AND(AUTOEVENTO="Manual",$M211=$A$15)),0,
         IF(OFFSET(CRONOPLE!$F$15,$M211-$A$15,AP$13)=0,10^12,OFFSET(CRONOPLE!$F$15,$M211-$A$15,AP$13)))</f>
        <v>1000000000000</v>
      </c>
      <c r="AQ211" s="172">
        <f ca="1">IF(OR($D211&lt;&gt;"Serviço",AND(AUTOEVENTO="Manual",$M211=$A$15)),0,
         IF(OFFSET(CRONOPLE!$F$15,$M211-$A$15,AQ$13)=0,10^12,OFFSET(CRONOPLE!$F$15,$M211-$A$15,AQ$13)))</f>
        <v>1000000000000</v>
      </c>
      <c r="AR211" s="172">
        <f ca="1">IF(OR($D211&lt;&gt;"Serviço",AND(AUTOEVENTO="Manual",$M211=$A$15)),0,
         IF(OFFSET(CRONOPLE!$F$15,$M211-$A$15,AR$13)=0,10^12,OFFSET(CRONOPLE!$F$15,$M211-$A$15,AR$13)))</f>
        <v>1000000000000</v>
      </c>
      <c r="AS211" s="172">
        <f ca="1">IF(OR($D211&lt;&gt;"Serviço",AND(AUTOEVENTO="Manual",$M211=$A$15)),0,
         IF(OFFSET(CRONOPLE!$F$15,$M211-$A$15,AS$13)=0,10^12,OFFSET(CRONOPLE!$F$15,$M211-$A$15,AS$13)))</f>
        <v>1000000000000</v>
      </c>
      <c r="AT211" s="172">
        <f ca="1">IF(OR($D211&lt;&gt;"Serviço",AND(AUTOEVENTO="Manual",$M211=$A$15)),0,
         IF(OFFSET(CRONOPLE!$F$15,$M211-$A$15,AT$13)=0,10^12,OFFSET(CRONOPLE!$F$15,$M211-$A$15,AT$13)))</f>
        <v>1000000000000</v>
      </c>
      <c r="AU211" s="172">
        <f ca="1">IF(OR($D211&lt;&gt;"Serviço",AND(AUTOEVENTO="Manual",$M211=$A$15)),0,
         IF(OFFSET(CRONOPLE!$F$15,$M211-$A$15,AU$13)=0,10^12,OFFSET(CRONOPLE!$F$15,$M211-$A$15,AU$13)))</f>
        <v>1000000000000</v>
      </c>
      <c r="AV211" s="172">
        <f ca="1">IF(OR($D211&lt;&gt;"Serviço",AND(AUTOEVENTO="Manual",$M211=$A$15)),0,
         IF(OFFSET(CRONOPLE!$F$15,$M211-$A$15,AV$13)=0,10^12,OFFSET(CRONOPLE!$F$15,$M211-$A$15,AV$13)))</f>
        <v>1000000000000</v>
      </c>
      <c r="AX211" s="173">
        <f ca="1">IF(OR($D211&lt;&gt;"Serviço",AND(AUTOEVENTO="Manual",$M211=$A$15),$M211&gt;(ROW(PLE.lastrow)-ROW(PLE.firstrow))),0,
           IF(OFFSET(PLE!$G$15,$M211-$A$15,AX$13)="",10^12,OFFSET(PLE!$G$15,$M211-$A$15,AX$13)))</f>
        <v>1000000000000</v>
      </c>
      <c r="AY211" s="173">
        <f ca="1">IF(OR($D211&lt;&gt;"Serviço",AND(AUTOEVENTO="Manual",$M211=$A$15),$M211&gt;(ROW(PLE.lastrow)-ROW(PLE.firstrow))),0,
           IF(OFFSET(PLE!$G$15,$M211-$A$15,AY$13)="",10^12,OFFSET(PLE!$G$15,$M211-$A$15,AY$13)))</f>
        <v>1000000000000</v>
      </c>
      <c r="AZ211" s="173">
        <f ca="1">IF(OR($D211&lt;&gt;"Serviço",AND(AUTOEVENTO="Manual",$M211=$A$15),$M211&gt;(ROW(PLE.lastrow)-ROW(PLE.firstrow))),0,
           IF(OFFSET(PLE!$G$15,$M211-$A$15,AZ$13)="",10^12,OFFSET(PLE!$G$15,$M211-$A$15,AZ$13)))</f>
        <v>1000000000000</v>
      </c>
      <c r="BA211" s="173">
        <f ca="1">IF(OR($D211&lt;&gt;"Serviço",AND(AUTOEVENTO="Manual",$M211=$A$15),$M211&gt;(ROW(PLE.lastrow)-ROW(PLE.firstrow))),0,
           IF(OFFSET(PLE!$G$15,$M211-$A$15,BA$13)="",10^12,OFFSET(PLE!$G$15,$M211-$A$15,BA$13)))</f>
        <v>1000000000000</v>
      </c>
      <c r="BB211" s="173">
        <f ca="1">IF(OR($D211&lt;&gt;"Serviço",AND(AUTOEVENTO="Manual",$M211=$A$15),$M211&gt;(ROW(PLE.lastrow)-ROW(PLE.firstrow))),0,
           IF(OFFSET(PLE!$G$15,$M211-$A$15,BB$13)="",10^12,OFFSET(PLE!$G$15,$M211-$A$15,BB$13)))</f>
        <v>1000000000000</v>
      </c>
      <c r="BC211" s="173">
        <f ca="1">IF(OR($D211&lt;&gt;"Serviço",AND(AUTOEVENTO="Manual",$M211=$A$15),$M211&gt;(ROW(PLE.lastrow)-ROW(PLE.firstrow))),0,
           IF(OFFSET(PLE!$G$15,$M211-$A$15,BC$13)="",10^12,OFFSET(PLE!$G$15,$M211-$A$15,BC$13)))</f>
        <v>1000000000000</v>
      </c>
      <c r="BD211" s="173">
        <f ca="1">IF(OR($D211&lt;&gt;"Serviço",AND(AUTOEVENTO="Manual",$M211=$A$15),$M211&gt;(ROW(PLE.lastrow)-ROW(PLE.firstrow))),0,
           IF(OFFSET(PLE!$G$15,$M211-$A$15,BD$13)="",10^12,OFFSET(PLE!$G$15,$M211-$A$15,BD$13)))</f>
        <v>1000000000000</v>
      </c>
      <c r="BE211" s="173">
        <f ca="1">IF(OR($D211&lt;&gt;"Serviço",AND(AUTOEVENTO="Manual",$M211=$A$15),$M211&gt;(ROW(PLE.lastrow)-ROW(PLE.firstrow))),0,
           IF(OFFSET(PLE!$G$15,$M211-$A$15,BE$13)="",10^12,OFFSET(PLE!$G$15,$M211-$A$15,BE$13)))</f>
        <v>1000000000000</v>
      </c>
      <c r="BF211" s="173">
        <f ca="1">IF(OR($D211&lt;&gt;"Serviço",AND(AUTOEVENTO="Manual",$M211=$A$15),$M211&gt;(ROW(PLE.lastrow)-ROW(PLE.firstrow))),0,
           IF(OFFSET(PLE!$G$15,$M211-$A$15,BF$13)="",10^12,OFFSET(PLE!$G$15,$M211-$A$15,BF$13)))</f>
        <v>1000000000000</v>
      </c>
      <c r="BG211" s="173">
        <f ca="1">IF(OR($D211&lt;&gt;"Serviço",AND(AUTOEVENTO="Manual",$M211=$A$15),$M211&gt;(ROW(PLE.lastrow)-ROW(PLE.firstrow))),0,
           IF(OFFSET(PLE!$G$15,$M211-$A$15,BG$13)="",10^12,OFFSET(PLE!$G$15,$M211-$A$15,BG$13)))</f>
        <v>1000000000000</v>
      </c>
    </row>
    <row r="212" spans="1:59" s="675" customFormat="1" ht="12.75" x14ac:dyDescent="0.2">
      <c r="A212" s="671" t="str">
        <f t="shared" ca="1" si="11"/>
        <v>195</v>
      </c>
      <c r="B212" s="671" t="str">
        <f ca="1">OFFSET(ORÇAMENTO!C$15,ROW(B212)-ROW(B$15),0)</f>
        <v>S</v>
      </c>
      <c r="C212" s="671" t="str">
        <f ca="1">OFFSET(ORÇAMENTO!L$15,ROW(C212)-ROW(C$15),0)</f>
        <v/>
      </c>
      <c r="D212" s="117" t="str">
        <f ca="1">OFFSET(ORÇAMENTO!N$15,ROW(D212)-ROW(D$15),0)</f>
        <v>Serviço</v>
      </c>
      <c r="E212" s="118" t="str">
        <f ca="1">OFFSET(ORÇAMENTO!O$15,ROW(E212)-ROW(E$15),0)</f>
        <v>-</v>
      </c>
      <c r="F212" s="164" t="str">
        <f ca="1">OFFSET(ORÇAMENTO!R$15,ROW(F212)-ROW(F$15),0)</f>
        <v>(abra o arquivo 'Referência 09-2025.xlsm)</v>
      </c>
      <c r="G212" s="165" t="str">
        <f ca="1">IF($D212&lt;&gt;"Serviço","",OFFSET(ORÇAMENTO!S$15,ROW(G212)-ROW(G$15),0))</f>
        <v>-</v>
      </c>
      <c r="H212" s="123">
        <f ca="1">IF($D212&lt;&gt;"Serviço",0,IF(ACOMPANHAMENTO="BM",ROUND(OFFSET(ORÇAMENTO!AJ$15,ROW(H212)-ROW(H$15),0),15-13*ORÇAMENTO!$AF$7),SUMPRODUCT(($Q$1:$AA$1=1)*ROUND($Q212:$AA212,15-13*ORÇAMENTO!$AF$7))))</f>
        <v>634.45000000000005</v>
      </c>
      <c r="I212" s="469" t="s">
        <v>1110</v>
      </c>
      <c r="J212" s="667" t="str">
        <f ca="1">IF(OR(B212&lt;&gt;"S",CÁLCULO.FrentesPreenchidas=0),"",IF(AND(ACOMPANHAMENTO="PLE",AUTOEVENTO="Manual",OR(H212&gt;0,ORÇAMENTO!AC212="QUANT."),OR(K212="",M212=0,N212="")),"►",IF(AND(ACOMPANHAMENTO="PLE",ORÇAMENTO!AC212="QUANT."),"►►",IF(AND(COUNTIF($P$11:$AA$11,"▼")=0,H212&gt;0,I212=""),"◄",""))))</f>
        <v/>
      </c>
      <c r="K212" s="668"/>
      <c r="L212" s="166" t="s">
        <v>765</v>
      </c>
      <c r="M212" s="167">
        <f ca="1">IF($D212&lt;&gt;"Serviço","",
          IF(AUTOEVENTO="manual",$A212,
                IF(ISERROR(MATCH($A212,$A$15:OFFSET($A212,-1,0),0)),MAX($M$15:OFFSET(M212,-1,0))+1,
                      INDEX($M$15:OFFSET(M212,-1,0),MATCH($A212,$A$15:OFFSET($A212,-1,0),0)))))</f>
        <v>23</v>
      </c>
      <c r="N212" s="168" t="str">
        <f ca="1">IF($D212&lt;&gt;"Serviço","",
         IF(AUTOEVENTO="Manual",
                IF($A212=0,"&lt;-- defina o número do agrupador",
                       OFFSET(EVENTOS!$D$15,$A212-$A$15,0)),
                OFFSET($F$15,$A212,0)))</f>
        <v>DIVERSOS</v>
      </c>
      <c r="O212" s="169"/>
      <c r="Q212" s="169"/>
      <c r="R212" s="170"/>
      <c r="S212" s="170"/>
      <c r="T212" s="170"/>
      <c r="U212" s="170"/>
      <c r="V212" s="170"/>
      <c r="W212" s="170"/>
      <c r="X212" s="170"/>
      <c r="Y212" s="170"/>
      <c r="Z212" s="171"/>
      <c r="AB212" s="454">
        <f ca="1">IF(AND($D212="Serviço",AB$12&lt;&gt;0,$H212&gt;0,OR(AUTOEVENTO&lt;&gt;"manual",$M212&lt;&gt;$A$15)),
        IF(Import.TipoArredondamento&lt;&gt;"TransfereGOV",
              ROUND(OFFSET($P212,0,AB$13),15-13*ORÇAMENTO!$AF$7)/$H212*OFFSET(ORÇAMENTO!$X$15,ROW(AB212)-ROW(AB$15),0),
              ROUND(ROUND(OFFSET($P212,0,AB$13),15-13*ORÇAMENTO!$AF$7)*OFFSET(ORÇAMENTO!$W$15,ROW(AB212)-ROW(AB$15),0),15-13*ORÇAMENTO!$AF$11)),
         0)</f>
        <v>0</v>
      </c>
      <c r="AC212" s="454">
        <f ca="1">IF(AND($D212="Serviço",AC$12&lt;&gt;0,$H212&gt;0,OR(AUTOEVENTO&lt;&gt;"manual",$M212&lt;&gt;$A$15)),
        IF(Import.TipoArredondamento&lt;&gt;"TransfereGOV",
              ROUND(OFFSET($P212,0,AC$13),15-13*ORÇAMENTO!$AF$7)/$H212*OFFSET(ORÇAMENTO!$X$15,ROW(AC212)-ROW(AC$15),0),
              ROUND(ROUND(OFFSET($P212,0,AC$13),15-13*ORÇAMENTO!$AF$7)*OFFSET(ORÇAMENTO!$W$15,ROW(AC212)-ROW(AC$15),0),15-13*ORÇAMENTO!$AF$11)),
         0)</f>
        <v>0</v>
      </c>
      <c r="AD212" s="454">
        <f ca="1">IF(AND($D212="Serviço",AD$12&lt;&gt;0,$H212&gt;0,OR(AUTOEVENTO&lt;&gt;"manual",$M212&lt;&gt;$A$15)),
        IF(Import.TipoArredondamento&lt;&gt;"TransfereGOV",
              ROUND(OFFSET($P212,0,AD$13),15-13*ORÇAMENTO!$AF$7)/$H212*OFFSET(ORÇAMENTO!$X$15,ROW(AD212)-ROW(AD$15),0),
              ROUND(ROUND(OFFSET($P212,0,AD$13),15-13*ORÇAMENTO!$AF$7)*OFFSET(ORÇAMENTO!$W$15,ROW(AD212)-ROW(AD$15),0),15-13*ORÇAMENTO!$AF$11)),
         0)</f>
        <v>0</v>
      </c>
      <c r="AE212" s="454">
        <f ca="1">IF(AND($D212="Serviço",AE$12&lt;&gt;0,$H212&gt;0,OR(AUTOEVENTO&lt;&gt;"manual",$M212&lt;&gt;$A$15)),
        IF(Import.TipoArredondamento&lt;&gt;"TransfereGOV",
              ROUND(OFFSET($P212,0,AE$13),15-13*ORÇAMENTO!$AF$7)/$H212*OFFSET(ORÇAMENTO!$X$15,ROW(AE212)-ROW(AE$15),0),
              ROUND(ROUND(OFFSET($P212,0,AE$13),15-13*ORÇAMENTO!$AF$7)*OFFSET(ORÇAMENTO!$W$15,ROW(AE212)-ROW(AE$15),0),15-13*ORÇAMENTO!$AF$11)),
         0)</f>
        <v>0</v>
      </c>
      <c r="AF212" s="454">
        <f ca="1">IF(AND($D212="Serviço",AF$12&lt;&gt;0,$H212&gt;0,OR(AUTOEVENTO&lt;&gt;"manual",$M212&lt;&gt;$A$15)),
        IF(Import.TipoArredondamento&lt;&gt;"TransfereGOV",
              ROUND(OFFSET($P212,0,AF$13),15-13*ORÇAMENTO!$AF$7)/$H212*OFFSET(ORÇAMENTO!$X$15,ROW(AF212)-ROW(AF$15),0),
              ROUND(ROUND(OFFSET($P212,0,AF$13),15-13*ORÇAMENTO!$AF$7)*OFFSET(ORÇAMENTO!$W$15,ROW(AF212)-ROW(AF$15),0),15-13*ORÇAMENTO!$AF$11)),
         0)</f>
        <v>0</v>
      </c>
      <c r="AG212" s="454">
        <f ca="1">IF(AND($D212="Serviço",AG$12&lt;&gt;0,$H212&gt;0,OR(AUTOEVENTO&lt;&gt;"manual",$M212&lt;&gt;$A$15)),
        IF(Import.TipoArredondamento&lt;&gt;"TransfereGOV",
              ROUND(OFFSET($P212,0,AG$13),15-13*ORÇAMENTO!$AF$7)/$H212*OFFSET(ORÇAMENTO!$X$15,ROW(AG212)-ROW(AG$15),0),
              ROUND(ROUND(OFFSET($P212,0,AG$13),15-13*ORÇAMENTO!$AF$7)*OFFSET(ORÇAMENTO!$W$15,ROW(AG212)-ROW(AG$15),0),15-13*ORÇAMENTO!$AF$11)),
         0)</f>
        <v>0</v>
      </c>
      <c r="AH212" s="454">
        <f ca="1">IF(AND($D212="Serviço",AH$12&lt;&gt;0,$H212&gt;0,OR(AUTOEVENTO&lt;&gt;"manual",$M212&lt;&gt;$A$15)),
        IF(Import.TipoArredondamento&lt;&gt;"TransfereGOV",
              ROUND(OFFSET($P212,0,AH$13),15-13*ORÇAMENTO!$AF$7)/$H212*OFFSET(ORÇAMENTO!$X$15,ROW(AH212)-ROW(AH$15),0),
              ROUND(ROUND(OFFSET($P212,0,AH$13),15-13*ORÇAMENTO!$AF$7)*OFFSET(ORÇAMENTO!$W$15,ROW(AH212)-ROW(AH$15),0),15-13*ORÇAMENTO!$AF$11)),
         0)</f>
        <v>0</v>
      </c>
      <c r="AI212" s="454">
        <f ca="1">IF(AND($D212="Serviço",AI$12&lt;&gt;0,$H212&gt;0,OR(AUTOEVENTO&lt;&gt;"manual",$M212&lt;&gt;$A$15)),
        IF(Import.TipoArredondamento&lt;&gt;"TransfereGOV",
              ROUND(OFFSET($P212,0,AI$13),15-13*ORÇAMENTO!$AF$7)/$H212*OFFSET(ORÇAMENTO!$X$15,ROW(AI212)-ROW(AI$15),0),
              ROUND(ROUND(OFFSET($P212,0,AI$13),15-13*ORÇAMENTO!$AF$7)*OFFSET(ORÇAMENTO!$W$15,ROW(AI212)-ROW(AI$15),0),15-13*ORÇAMENTO!$AF$11)),
         0)</f>
        <v>0</v>
      </c>
      <c r="AJ212" s="454">
        <f ca="1">IF(AND($D212="Serviço",AJ$12&lt;&gt;0,$H212&gt;0,OR(AUTOEVENTO&lt;&gt;"manual",$M212&lt;&gt;$A$15)),
        IF(Import.TipoArredondamento&lt;&gt;"TransfereGOV",
              ROUND(OFFSET($P212,0,AJ$13),15-13*ORÇAMENTO!$AF$7)/$H212*OFFSET(ORÇAMENTO!$X$15,ROW(AJ212)-ROW(AJ$15),0),
              ROUND(ROUND(OFFSET($P212,0,AJ$13),15-13*ORÇAMENTO!$AF$7)*OFFSET(ORÇAMENTO!$W$15,ROW(AJ212)-ROW(AJ$15),0),15-13*ORÇAMENTO!$AF$11)),
         0)</f>
        <v>0</v>
      </c>
      <c r="AK212" s="454">
        <f ca="1">IF(AND($D212="Serviço",AK$12&lt;&gt;0,$H212&gt;0,OR(AUTOEVENTO&lt;&gt;"manual",$M212&lt;&gt;$A$15)),
        IF(Import.TipoArredondamento&lt;&gt;"TransfereGOV",
              ROUND(OFFSET($P212,0,AK$13),15-13*ORÇAMENTO!$AF$7)/$H212*OFFSET(ORÇAMENTO!$X$15,ROW(AK212)-ROW(AK$15),0),
              ROUND(ROUND(OFFSET($P212,0,AK$13),15-13*ORÇAMENTO!$AF$7)*OFFSET(ORÇAMENTO!$W$15,ROW(AK212)-ROW(AK$15),0),15-13*ORÇAMENTO!$AF$11)),
         0)</f>
        <v>0</v>
      </c>
      <c r="AM212" s="172">
        <f ca="1">IF(OR($D212&lt;&gt;"Serviço",AND(AUTOEVENTO="Manual",$M212=$A$15)),0,
         IF(OFFSET(CRONOPLE!$F$15,$M212-$A$15,AM$13)=0,10^12,OFFSET(CRONOPLE!$F$15,$M212-$A$15,AM$13)))</f>
        <v>1000000000000</v>
      </c>
      <c r="AN212" s="172">
        <f ca="1">IF(OR($D212&lt;&gt;"Serviço",AND(AUTOEVENTO="Manual",$M212=$A$15)),0,
         IF(OFFSET(CRONOPLE!$F$15,$M212-$A$15,AN$13)=0,10^12,OFFSET(CRONOPLE!$F$15,$M212-$A$15,AN$13)))</f>
        <v>1000000000000</v>
      </c>
      <c r="AO212" s="172">
        <f ca="1">IF(OR($D212&lt;&gt;"Serviço",AND(AUTOEVENTO="Manual",$M212=$A$15)),0,
         IF(OFFSET(CRONOPLE!$F$15,$M212-$A$15,AO$13)=0,10^12,OFFSET(CRONOPLE!$F$15,$M212-$A$15,AO$13)))</f>
        <v>1000000000000</v>
      </c>
      <c r="AP212" s="172">
        <f ca="1">IF(OR($D212&lt;&gt;"Serviço",AND(AUTOEVENTO="Manual",$M212=$A$15)),0,
         IF(OFFSET(CRONOPLE!$F$15,$M212-$A$15,AP$13)=0,10^12,OFFSET(CRONOPLE!$F$15,$M212-$A$15,AP$13)))</f>
        <v>1000000000000</v>
      </c>
      <c r="AQ212" s="172">
        <f ca="1">IF(OR($D212&lt;&gt;"Serviço",AND(AUTOEVENTO="Manual",$M212=$A$15)),0,
         IF(OFFSET(CRONOPLE!$F$15,$M212-$A$15,AQ$13)=0,10^12,OFFSET(CRONOPLE!$F$15,$M212-$A$15,AQ$13)))</f>
        <v>1000000000000</v>
      </c>
      <c r="AR212" s="172">
        <f ca="1">IF(OR($D212&lt;&gt;"Serviço",AND(AUTOEVENTO="Manual",$M212=$A$15)),0,
         IF(OFFSET(CRONOPLE!$F$15,$M212-$A$15,AR$13)=0,10^12,OFFSET(CRONOPLE!$F$15,$M212-$A$15,AR$13)))</f>
        <v>1000000000000</v>
      </c>
      <c r="AS212" s="172">
        <f ca="1">IF(OR($D212&lt;&gt;"Serviço",AND(AUTOEVENTO="Manual",$M212=$A$15)),0,
         IF(OFFSET(CRONOPLE!$F$15,$M212-$A$15,AS$13)=0,10^12,OFFSET(CRONOPLE!$F$15,$M212-$A$15,AS$13)))</f>
        <v>1000000000000</v>
      </c>
      <c r="AT212" s="172">
        <f ca="1">IF(OR($D212&lt;&gt;"Serviço",AND(AUTOEVENTO="Manual",$M212=$A$15)),0,
         IF(OFFSET(CRONOPLE!$F$15,$M212-$A$15,AT$13)=0,10^12,OFFSET(CRONOPLE!$F$15,$M212-$A$15,AT$13)))</f>
        <v>1000000000000</v>
      </c>
      <c r="AU212" s="172">
        <f ca="1">IF(OR($D212&lt;&gt;"Serviço",AND(AUTOEVENTO="Manual",$M212=$A$15)),0,
         IF(OFFSET(CRONOPLE!$F$15,$M212-$A$15,AU$13)=0,10^12,OFFSET(CRONOPLE!$F$15,$M212-$A$15,AU$13)))</f>
        <v>1000000000000</v>
      </c>
      <c r="AV212" s="172">
        <f ca="1">IF(OR($D212&lt;&gt;"Serviço",AND(AUTOEVENTO="Manual",$M212=$A$15)),0,
         IF(OFFSET(CRONOPLE!$F$15,$M212-$A$15,AV$13)=0,10^12,OFFSET(CRONOPLE!$F$15,$M212-$A$15,AV$13)))</f>
        <v>1000000000000</v>
      </c>
      <c r="AX212" s="173">
        <f ca="1">IF(OR($D212&lt;&gt;"Serviço",AND(AUTOEVENTO="Manual",$M212=$A$15),$M212&gt;(ROW(PLE.lastrow)-ROW(PLE.firstrow))),0,
           IF(OFFSET(PLE!$G$15,$M212-$A$15,AX$13)="",10^12,OFFSET(PLE!$G$15,$M212-$A$15,AX$13)))</f>
        <v>1000000000000</v>
      </c>
      <c r="AY212" s="173">
        <f ca="1">IF(OR($D212&lt;&gt;"Serviço",AND(AUTOEVENTO="Manual",$M212=$A$15),$M212&gt;(ROW(PLE.lastrow)-ROW(PLE.firstrow))),0,
           IF(OFFSET(PLE!$G$15,$M212-$A$15,AY$13)="",10^12,OFFSET(PLE!$G$15,$M212-$A$15,AY$13)))</f>
        <v>1000000000000</v>
      </c>
      <c r="AZ212" s="173">
        <f ca="1">IF(OR($D212&lt;&gt;"Serviço",AND(AUTOEVENTO="Manual",$M212=$A$15),$M212&gt;(ROW(PLE.lastrow)-ROW(PLE.firstrow))),0,
           IF(OFFSET(PLE!$G$15,$M212-$A$15,AZ$13)="",10^12,OFFSET(PLE!$G$15,$M212-$A$15,AZ$13)))</f>
        <v>1000000000000</v>
      </c>
      <c r="BA212" s="173">
        <f ca="1">IF(OR($D212&lt;&gt;"Serviço",AND(AUTOEVENTO="Manual",$M212=$A$15),$M212&gt;(ROW(PLE.lastrow)-ROW(PLE.firstrow))),0,
           IF(OFFSET(PLE!$G$15,$M212-$A$15,BA$13)="",10^12,OFFSET(PLE!$G$15,$M212-$A$15,BA$13)))</f>
        <v>1000000000000</v>
      </c>
      <c r="BB212" s="173">
        <f ca="1">IF(OR($D212&lt;&gt;"Serviço",AND(AUTOEVENTO="Manual",$M212=$A$15),$M212&gt;(ROW(PLE.lastrow)-ROW(PLE.firstrow))),0,
           IF(OFFSET(PLE!$G$15,$M212-$A$15,BB$13)="",10^12,OFFSET(PLE!$G$15,$M212-$A$15,BB$13)))</f>
        <v>1000000000000</v>
      </c>
      <c r="BC212" s="173">
        <f ca="1">IF(OR($D212&lt;&gt;"Serviço",AND(AUTOEVENTO="Manual",$M212=$A$15),$M212&gt;(ROW(PLE.lastrow)-ROW(PLE.firstrow))),0,
           IF(OFFSET(PLE!$G$15,$M212-$A$15,BC$13)="",10^12,OFFSET(PLE!$G$15,$M212-$A$15,BC$13)))</f>
        <v>1000000000000</v>
      </c>
      <c r="BD212" s="173">
        <f ca="1">IF(OR($D212&lt;&gt;"Serviço",AND(AUTOEVENTO="Manual",$M212=$A$15),$M212&gt;(ROW(PLE.lastrow)-ROW(PLE.firstrow))),0,
           IF(OFFSET(PLE!$G$15,$M212-$A$15,BD$13)="",10^12,OFFSET(PLE!$G$15,$M212-$A$15,BD$13)))</f>
        <v>1000000000000</v>
      </c>
      <c r="BE212" s="173">
        <f ca="1">IF(OR($D212&lt;&gt;"Serviço",AND(AUTOEVENTO="Manual",$M212=$A$15),$M212&gt;(ROW(PLE.lastrow)-ROW(PLE.firstrow))),0,
           IF(OFFSET(PLE!$G$15,$M212-$A$15,BE$13)="",10^12,OFFSET(PLE!$G$15,$M212-$A$15,BE$13)))</f>
        <v>1000000000000</v>
      </c>
      <c r="BF212" s="173">
        <f ca="1">IF(OR($D212&lt;&gt;"Serviço",AND(AUTOEVENTO="Manual",$M212=$A$15),$M212&gt;(ROW(PLE.lastrow)-ROW(PLE.firstrow))),0,
           IF(OFFSET(PLE!$G$15,$M212-$A$15,BF$13)="",10^12,OFFSET(PLE!$G$15,$M212-$A$15,BF$13)))</f>
        <v>1000000000000</v>
      </c>
      <c r="BG212" s="173">
        <f ca="1">IF(OR($D212&lt;&gt;"Serviço",AND(AUTOEVENTO="Manual",$M212=$A$15),$M212&gt;(ROW(PLE.lastrow)-ROW(PLE.firstrow))),0,
           IF(OFFSET(PLE!$G$15,$M212-$A$15,BG$13)="",10^12,OFFSET(PLE!$G$15,$M212-$A$15,BG$13)))</f>
        <v>1000000000000</v>
      </c>
    </row>
    <row r="213" spans="1:59" s="675" customFormat="1" ht="25.5" x14ac:dyDescent="0.2">
      <c r="A213" s="671" t="str">
        <f t="shared" ca="1" si="11"/>
        <v>195</v>
      </c>
      <c r="B213" s="671" t="str">
        <f ca="1">OFFSET(ORÇAMENTO!C$15,ROW(B213)-ROW(B$15),0)</f>
        <v>S</v>
      </c>
      <c r="C213" s="671" t="str">
        <f ca="1">OFFSET(ORÇAMENTO!L$15,ROW(C213)-ROW(C$15),0)</f>
        <v/>
      </c>
      <c r="D213" s="117" t="str">
        <f ca="1">OFFSET(ORÇAMENTO!N$15,ROW(D213)-ROW(D$15),0)</f>
        <v>Serviço</v>
      </c>
      <c r="E213" s="118" t="str">
        <f ca="1">OFFSET(ORÇAMENTO!O$15,ROW(E213)-ROW(E$15),0)</f>
        <v>-</v>
      </c>
      <c r="F213" s="164" t="str">
        <f ca="1">OFFSET(ORÇAMENTO!R$15,ROW(F213)-ROW(F$15),0)</f>
        <v>(abra o arquivo 'Referência 09-2025.xlsm)</v>
      </c>
      <c r="G213" s="165" t="str">
        <f ca="1">IF($D213&lt;&gt;"Serviço","",OFFSET(ORÇAMENTO!S$15,ROW(G213)-ROW(G$15),0))</f>
        <v>-</v>
      </c>
      <c r="H213" s="123">
        <f ca="1">IF($D213&lt;&gt;"Serviço",0,IF(ACOMPANHAMENTO="BM",ROUND(OFFSET(ORÇAMENTO!AJ$15,ROW(H213)-ROW(H$15),0),15-13*ORÇAMENTO!$AF$7),SUMPRODUCT(($Q$1:$AA$1=1)*ROUND($Q213:$AA213,15-13*ORÇAMENTO!$AF$7))))</f>
        <v>1</v>
      </c>
      <c r="I213" s="469" t="s">
        <v>1110</v>
      </c>
      <c r="J213" s="667" t="str">
        <f ca="1">IF(OR(B213&lt;&gt;"S",CÁLCULO.FrentesPreenchidas=0),"",IF(AND(ACOMPANHAMENTO="PLE",AUTOEVENTO="Manual",OR(H213&gt;0,ORÇAMENTO!AC213="QUANT."),OR(K213="",M213=0,N213="")),"►",IF(AND(ACOMPANHAMENTO="PLE",ORÇAMENTO!AC213="QUANT."),"►►",IF(AND(COUNTIF($P$11:$AA$11,"▼")=0,H213&gt;0,I213=""),"◄",""))))</f>
        <v/>
      </c>
      <c r="K213" s="668"/>
      <c r="L213" s="166" t="s">
        <v>765</v>
      </c>
      <c r="M213" s="167">
        <f ca="1">IF($D213&lt;&gt;"Serviço","",
          IF(AUTOEVENTO="manual",$A213,
                IF(ISERROR(MATCH($A213,$A$15:OFFSET($A213,-1,0),0)),MAX($M$15:OFFSET(M213,-1,0))+1,
                      INDEX($M$15:OFFSET(M213,-1,0),MATCH($A213,$A$15:OFFSET($A213,-1,0),0)))))</f>
        <v>23</v>
      </c>
      <c r="N213" s="168" t="str">
        <f ca="1">IF($D213&lt;&gt;"Serviço","",
         IF(AUTOEVENTO="Manual",
                IF($A213=0,"&lt;-- defina o número do agrupador",
                       OFFSET(EVENTOS!$D$15,$A213-$A$15,0)),
                OFFSET($F$15,$A213,0)))</f>
        <v>DIVERSOS</v>
      </c>
      <c r="O213" s="169"/>
      <c r="Q213" s="169"/>
      <c r="R213" s="170"/>
      <c r="S213" s="170"/>
      <c r="T213" s="170"/>
      <c r="U213" s="170"/>
      <c r="V213" s="170"/>
      <c r="W213" s="170"/>
      <c r="X213" s="170"/>
      <c r="Y213" s="170"/>
      <c r="Z213" s="171"/>
      <c r="AB213" s="454">
        <f ca="1">IF(AND($D213="Serviço",AB$12&lt;&gt;0,$H213&gt;0,OR(AUTOEVENTO&lt;&gt;"manual",$M213&lt;&gt;$A$15)),
        IF(Import.TipoArredondamento&lt;&gt;"TransfereGOV",
              ROUND(OFFSET($P213,0,AB$13),15-13*ORÇAMENTO!$AF$7)/$H213*OFFSET(ORÇAMENTO!$X$15,ROW(AB213)-ROW(AB$15),0),
              ROUND(ROUND(OFFSET($P213,0,AB$13),15-13*ORÇAMENTO!$AF$7)*OFFSET(ORÇAMENTO!$W$15,ROW(AB213)-ROW(AB$15),0),15-13*ORÇAMENTO!$AF$11)),
         0)</f>
        <v>0</v>
      </c>
      <c r="AC213" s="454">
        <f ca="1">IF(AND($D213="Serviço",AC$12&lt;&gt;0,$H213&gt;0,OR(AUTOEVENTO&lt;&gt;"manual",$M213&lt;&gt;$A$15)),
        IF(Import.TipoArredondamento&lt;&gt;"TransfereGOV",
              ROUND(OFFSET($P213,0,AC$13),15-13*ORÇAMENTO!$AF$7)/$H213*OFFSET(ORÇAMENTO!$X$15,ROW(AC213)-ROW(AC$15),0),
              ROUND(ROUND(OFFSET($P213,0,AC$13),15-13*ORÇAMENTO!$AF$7)*OFFSET(ORÇAMENTO!$W$15,ROW(AC213)-ROW(AC$15),0),15-13*ORÇAMENTO!$AF$11)),
         0)</f>
        <v>0</v>
      </c>
      <c r="AD213" s="454">
        <f ca="1">IF(AND($D213="Serviço",AD$12&lt;&gt;0,$H213&gt;0,OR(AUTOEVENTO&lt;&gt;"manual",$M213&lt;&gt;$A$15)),
        IF(Import.TipoArredondamento&lt;&gt;"TransfereGOV",
              ROUND(OFFSET($P213,0,AD$13),15-13*ORÇAMENTO!$AF$7)/$H213*OFFSET(ORÇAMENTO!$X$15,ROW(AD213)-ROW(AD$15),0),
              ROUND(ROUND(OFFSET($P213,0,AD$13),15-13*ORÇAMENTO!$AF$7)*OFFSET(ORÇAMENTO!$W$15,ROW(AD213)-ROW(AD$15),0),15-13*ORÇAMENTO!$AF$11)),
         0)</f>
        <v>0</v>
      </c>
      <c r="AE213" s="454">
        <f ca="1">IF(AND($D213="Serviço",AE$12&lt;&gt;0,$H213&gt;0,OR(AUTOEVENTO&lt;&gt;"manual",$M213&lt;&gt;$A$15)),
        IF(Import.TipoArredondamento&lt;&gt;"TransfereGOV",
              ROUND(OFFSET($P213,0,AE$13),15-13*ORÇAMENTO!$AF$7)/$H213*OFFSET(ORÇAMENTO!$X$15,ROW(AE213)-ROW(AE$15),0),
              ROUND(ROUND(OFFSET($P213,0,AE$13),15-13*ORÇAMENTO!$AF$7)*OFFSET(ORÇAMENTO!$W$15,ROW(AE213)-ROW(AE$15),0),15-13*ORÇAMENTO!$AF$11)),
         0)</f>
        <v>0</v>
      </c>
      <c r="AF213" s="454">
        <f ca="1">IF(AND($D213="Serviço",AF$12&lt;&gt;0,$H213&gt;0,OR(AUTOEVENTO&lt;&gt;"manual",$M213&lt;&gt;$A$15)),
        IF(Import.TipoArredondamento&lt;&gt;"TransfereGOV",
              ROUND(OFFSET($P213,0,AF$13),15-13*ORÇAMENTO!$AF$7)/$H213*OFFSET(ORÇAMENTO!$X$15,ROW(AF213)-ROW(AF$15),0),
              ROUND(ROUND(OFFSET($P213,0,AF$13),15-13*ORÇAMENTO!$AF$7)*OFFSET(ORÇAMENTO!$W$15,ROW(AF213)-ROW(AF$15),0),15-13*ORÇAMENTO!$AF$11)),
         0)</f>
        <v>0</v>
      </c>
      <c r="AG213" s="454">
        <f ca="1">IF(AND($D213="Serviço",AG$12&lt;&gt;0,$H213&gt;0,OR(AUTOEVENTO&lt;&gt;"manual",$M213&lt;&gt;$A$15)),
        IF(Import.TipoArredondamento&lt;&gt;"TransfereGOV",
              ROUND(OFFSET($P213,0,AG$13),15-13*ORÇAMENTO!$AF$7)/$H213*OFFSET(ORÇAMENTO!$X$15,ROW(AG213)-ROW(AG$15),0),
              ROUND(ROUND(OFFSET($P213,0,AG$13),15-13*ORÇAMENTO!$AF$7)*OFFSET(ORÇAMENTO!$W$15,ROW(AG213)-ROW(AG$15),0),15-13*ORÇAMENTO!$AF$11)),
         0)</f>
        <v>0</v>
      </c>
      <c r="AH213" s="454">
        <f ca="1">IF(AND($D213="Serviço",AH$12&lt;&gt;0,$H213&gt;0,OR(AUTOEVENTO&lt;&gt;"manual",$M213&lt;&gt;$A$15)),
        IF(Import.TipoArredondamento&lt;&gt;"TransfereGOV",
              ROUND(OFFSET($P213,0,AH$13),15-13*ORÇAMENTO!$AF$7)/$H213*OFFSET(ORÇAMENTO!$X$15,ROW(AH213)-ROW(AH$15),0),
              ROUND(ROUND(OFFSET($P213,0,AH$13),15-13*ORÇAMENTO!$AF$7)*OFFSET(ORÇAMENTO!$W$15,ROW(AH213)-ROW(AH$15),0),15-13*ORÇAMENTO!$AF$11)),
         0)</f>
        <v>0</v>
      </c>
      <c r="AI213" s="454">
        <f ca="1">IF(AND($D213="Serviço",AI$12&lt;&gt;0,$H213&gt;0,OR(AUTOEVENTO&lt;&gt;"manual",$M213&lt;&gt;$A$15)),
        IF(Import.TipoArredondamento&lt;&gt;"TransfereGOV",
              ROUND(OFFSET($P213,0,AI$13),15-13*ORÇAMENTO!$AF$7)/$H213*OFFSET(ORÇAMENTO!$X$15,ROW(AI213)-ROW(AI$15),0),
              ROUND(ROUND(OFFSET($P213,0,AI$13),15-13*ORÇAMENTO!$AF$7)*OFFSET(ORÇAMENTO!$W$15,ROW(AI213)-ROW(AI$15),0),15-13*ORÇAMENTO!$AF$11)),
         0)</f>
        <v>0</v>
      </c>
      <c r="AJ213" s="454">
        <f ca="1">IF(AND($D213="Serviço",AJ$12&lt;&gt;0,$H213&gt;0,OR(AUTOEVENTO&lt;&gt;"manual",$M213&lt;&gt;$A$15)),
        IF(Import.TipoArredondamento&lt;&gt;"TransfereGOV",
              ROUND(OFFSET($P213,0,AJ$13),15-13*ORÇAMENTO!$AF$7)/$H213*OFFSET(ORÇAMENTO!$X$15,ROW(AJ213)-ROW(AJ$15),0),
              ROUND(ROUND(OFFSET($P213,0,AJ$13),15-13*ORÇAMENTO!$AF$7)*OFFSET(ORÇAMENTO!$W$15,ROW(AJ213)-ROW(AJ$15),0),15-13*ORÇAMENTO!$AF$11)),
         0)</f>
        <v>0</v>
      </c>
      <c r="AK213" s="454">
        <f ca="1">IF(AND($D213="Serviço",AK$12&lt;&gt;0,$H213&gt;0,OR(AUTOEVENTO&lt;&gt;"manual",$M213&lt;&gt;$A$15)),
        IF(Import.TipoArredondamento&lt;&gt;"TransfereGOV",
              ROUND(OFFSET($P213,0,AK$13),15-13*ORÇAMENTO!$AF$7)/$H213*OFFSET(ORÇAMENTO!$X$15,ROW(AK213)-ROW(AK$15),0),
              ROUND(ROUND(OFFSET($P213,0,AK$13),15-13*ORÇAMENTO!$AF$7)*OFFSET(ORÇAMENTO!$W$15,ROW(AK213)-ROW(AK$15),0),15-13*ORÇAMENTO!$AF$11)),
         0)</f>
        <v>0</v>
      </c>
      <c r="AM213" s="172">
        <f ca="1">IF(OR($D213&lt;&gt;"Serviço",AND(AUTOEVENTO="Manual",$M213=$A$15)),0,
         IF(OFFSET(CRONOPLE!$F$15,$M213-$A$15,AM$13)=0,10^12,OFFSET(CRONOPLE!$F$15,$M213-$A$15,AM$13)))</f>
        <v>1000000000000</v>
      </c>
      <c r="AN213" s="172">
        <f ca="1">IF(OR($D213&lt;&gt;"Serviço",AND(AUTOEVENTO="Manual",$M213=$A$15)),0,
         IF(OFFSET(CRONOPLE!$F$15,$M213-$A$15,AN$13)=0,10^12,OFFSET(CRONOPLE!$F$15,$M213-$A$15,AN$13)))</f>
        <v>1000000000000</v>
      </c>
      <c r="AO213" s="172">
        <f ca="1">IF(OR($D213&lt;&gt;"Serviço",AND(AUTOEVENTO="Manual",$M213=$A$15)),0,
         IF(OFFSET(CRONOPLE!$F$15,$M213-$A$15,AO$13)=0,10^12,OFFSET(CRONOPLE!$F$15,$M213-$A$15,AO$13)))</f>
        <v>1000000000000</v>
      </c>
      <c r="AP213" s="172">
        <f ca="1">IF(OR($D213&lt;&gt;"Serviço",AND(AUTOEVENTO="Manual",$M213=$A$15)),0,
         IF(OFFSET(CRONOPLE!$F$15,$M213-$A$15,AP$13)=0,10^12,OFFSET(CRONOPLE!$F$15,$M213-$A$15,AP$13)))</f>
        <v>1000000000000</v>
      </c>
      <c r="AQ213" s="172">
        <f ca="1">IF(OR($D213&lt;&gt;"Serviço",AND(AUTOEVENTO="Manual",$M213=$A$15)),0,
         IF(OFFSET(CRONOPLE!$F$15,$M213-$A$15,AQ$13)=0,10^12,OFFSET(CRONOPLE!$F$15,$M213-$A$15,AQ$13)))</f>
        <v>1000000000000</v>
      </c>
      <c r="AR213" s="172">
        <f ca="1">IF(OR($D213&lt;&gt;"Serviço",AND(AUTOEVENTO="Manual",$M213=$A$15)),0,
         IF(OFFSET(CRONOPLE!$F$15,$M213-$A$15,AR$13)=0,10^12,OFFSET(CRONOPLE!$F$15,$M213-$A$15,AR$13)))</f>
        <v>1000000000000</v>
      </c>
      <c r="AS213" s="172">
        <f ca="1">IF(OR($D213&lt;&gt;"Serviço",AND(AUTOEVENTO="Manual",$M213=$A$15)),0,
         IF(OFFSET(CRONOPLE!$F$15,$M213-$A$15,AS$13)=0,10^12,OFFSET(CRONOPLE!$F$15,$M213-$A$15,AS$13)))</f>
        <v>1000000000000</v>
      </c>
      <c r="AT213" s="172">
        <f ca="1">IF(OR($D213&lt;&gt;"Serviço",AND(AUTOEVENTO="Manual",$M213=$A$15)),0,
         IF(OFFSET(CRONOPLE!$F$15,$M213-$A$15,AT$13)=0,10^12,OFFSET(CRONOPLE!$F$15,$M213-$A$15,AT$13)))</f>
        <v>1000000000000</v>
      </c>
      <c r="AU213" s="172">
        <f ca="1">IF(OR($D213&lt;&gt;"Serviço",AND(AUTOEVENTO="Manual",$M213=$A$15)),0,
         IF(OFFSET(CRONOPLE!$F$15,$M213-$A$15,AU$13)=0,10^12,OFFSET(CRONOPLE!$F$15,$M213-$A$15,AU$13)))</f>
        <v>1000000000000</v>
      </c>
      <c r="AV213" s="172">
        <f ca="1">IF(OR($D213&lt;&gt;"Serviço",AND(AUTOEVENTO="Manual",$M213=$A$15)),0,
         IF(OFFSET(CRONOPLE!$F$15,$M213-$A$15,AV$13)=0,10^12,OFFSET(CRONOPLE!$F$15,$M213-$A$15,AV$13)))</f>
        <v>1000000000000</v>
      </c>
      <c r="AX213" s="173">
        <f ca="1">IF(OR($D213&lt;&gt;"Serviço",AND(AUTOEVENTO="Manual",$M213=$A$15),$M213&gt;(ROW(PLE.lastrow)-ROW(PLE.firstrow))),0,
           IF(OFFSET(PLE!$G$15,$M213-$A$15,AX$13)="",10^12,OFFSET(PLE!$G$15,$M213-$A$15,AX$13)))</f>
        <v>1000000000000</v>
      </c>
      <c r="AY213" s="173">
        <f ca="1">IF(OR($D213&lt;&gt;"Serviço",AND(AUTOEVENTO="Manual",$M213=$A$15),$M213&gt;(ROW(PLE.lastrow)-ROW(PLE.firstrow))),0,
           IF(OFFSET(PLE!$G$15,$M213-$A$15,AY$13)="",10^12,OFFSET(PLE!$G$15,$M213-$A$15,AY$13)))</f>
        <v>1000000000000</v>
      </c>
      <c r="AZ213" s="173">
        <f ca="1">IF(OR($D213&lt;&gt;"Serviço",AND(AUTOEVENTO="Manual",$M213=$A$15),$M213&gt;(ROW(PLE.lastrow)-ROW(PLE.firstrow))),0,
           IF(OFFSET(PLE!$G$15,$M213-$A$15,AZ$13)="",10^12,OFFSET(PLE!$G$15,$M213-$A$15,AZ$13)))</f>
        <v>1000000000000</v>
      </c>
      <c r="BA213" s="173">
        <f ca="1">IF(OR($D213&lt;&gt;"Serviço",AND(AUTOEVENTO="Manual",$M213=$A$15),$M213&gt;(ROW(PLE.lastrow)-ROW(PLE.firstrow))),0,
           IF(OFFSET(PLE!$G$15,$M213-$A$15,BA$13)="",10^12,OFFSET(PLE!$G$15,$M213-$A$15,BA$13)))</f>
        <v>1000000000000</v>
      </c>
      <c r="BB213" s="173">
        <f ca="1">IF(OR($D213&lt;&gt;"Serviço",AND(AUTOEVENTO="Manual",$M213=$A$15),$M213&gt;(ROW(PLE.lastrow)-ROW(PLE.firstrow))),0,
           IF(OFFSET(PLE!$G$15,$M213-$A$15,BB$13)="",10^12,OFFSET(PLE!$G$15,$M213-$A$15,BB$13)))</f>
        <v>1000000000000</v>
      </c>
      <c r="BC213" s="173">
        <f ca="1">IF(OR($D213&lt;&gt;"Serviço",AND(AUTOEVENTO="Manual",$M213=$A$15),$M213&gt;(ROW(PLE.lastrow)-ROW(PLE.firstrow))),0,
           IF(OFFSET(PLE!$G$15,$M213-$A$15,BC$13)="",10^12,OFFSET(PLE!$G$15,$M213-$A$15,BC$13)))</f>
        <v>1000000000000</v>
      </c>
      <c r="BD213" s="173">
        <f ca="1">IF(OR($D213&lt;&gt;"Serviço",AND(AUTOEVENTO="Manual",$M213=$A$15),$M213&gt;(ROW(PLE.lastrow)-ROW(PLE.firstrow))),0,
           IF(OFFSET(PLE!$G$15,$M213-$A$15,BD$13)="",10^12,OFFSET(PLE!$G$15,$M213-$A$15,BD$13)))</f>
        <v>1000000000000</v>
      </c>
      <c r="BE213" s="173">
        <f ca="1">IF(OR($D213&lt;&gt;"Serviço",AND(AUTOEVENTO="Manual",$M213=$A$15),$M213&gt;(ROW(PLE.lastrow)-ROW(PLE.firstrow))),0,
           IF(OFFSET(PLE!$G$15,$M213-$A$15,BE$13)="",10^12,OFFSET(PLE!$G$15,$M213-$A$15,BE$13)))</f>
        <v>1000000000000</v>
      </c>
      <c r="BF213" s="173">
        <f ca="1">IF(OR($D213&lt;&gt;"Serviço",AND(AUTOEVENTO="Manual",$M213=$A$15),$M213&gt;(ROW(PLE.lastrow)-ROW(PLE.firstrow))),0,
           IF(OFFSET(PLE!$G$15,$M213-$A$15,BF$13)="",10^12,OFFSET(PLE!$G$15,$M213-$A$15,BF$13)))</f>
        <v>1000000000000</v>
      </c>
      <c r="BG213" s="173">
        <f ca="1">IF(OR($D213&lt;&gt;"Serviço",AND(AUTOEVENTO="Manual",$M213=$A$15),$M213&gt;(ROW(PLE.lastrow)-ROW(PLE.firstrow))),0,
           IF(OFFSET(PLE!$G$15,$M213-$A$15,BG$13)="",10^12,OFFSET(PLE!$G$15,$M213-$A$15,BG$13)))</f>
        <v>1000000000000</v>
      </c>
    </row>
    <row r="214" spans="1:59" s="675" customFormat="1" ht="25.5" x14ac:dyDescent="0.2">
      <c r="A214" s="671" t="str">
        <f t="shared" ca="1" si="11"/>
        <v>195</v>
      </c>
      <c r="B214" s="671" t="str">
        <f ca="1">OFFSET(ORÇAMENTO!C$15,ROW(B214)-ROW(B$15),0)</f>
        <v>S</v>
      </c>
      <c r="C214" s="671" t="str">
        <f ca="1">OFFSET(ORÇAMENTO!L$15,ROW(C214)-ROW(C$15),0)</f>
        <v/>
      </c>
      <c r="D214" s="117" t="str">
        <f ca="1">OFFSET(ORÇAMENTO!N$15,ROW(D214)-ROW(D$15),0)</f>
        <v>Serviço</v>
      </c>
      <c r="E214" s="118" t="str">
        <f ca="1">OFFSET(ORÇAMENTO!O$15,ROW(E214)-ROW(E$15),0)</f>
        <v>-</v>
      </c>
      <c r="F214" s="164" t="str">
        <f ca="1">OFFSET(ORÇAMENTO!R$15,ROW(F214)-ROW(F$15),0)</f>
        <v>(abra o arquivo 'Referência 09-2025.xlsm)</v>
      </c>
      <c r="G214" s="165" t="str">
        <f ca="1">IF($D214&lt;&gt;"Serviço","",OFFSET(ORÇAMENTO!S$15,ROW(G214)-ROW(G$15),0))</f>
        <v>-</v>
      </c>
      <c r="H214" s="123">
        <f ca="1">IF($D214&lt;&gt;"Serviço",0,IF(ACOMPANHAMENTO="BM",ROUND(OFFSET(ORÇAMENTO!AJ$15,ROW(H214)-ROW(H$15),0),15-13*ORÇAMENTO!$AF$7),SUMPRODUCT(($Q$1:$AA$1=1)*ROUND($Q214:$AA214,15-13*ORÇAMENTO!$AF$7))))</f>
        <v>16</v>
      </c>
      <c r="I214" s="469" t="s">
        <v>1110</v>
      </c>
      <c r="J214" s="667" t="str">
        <f ca="1">IF(OR(B214&lt;&gt;"S",CÁLCULO.FrentesPreenchidas=0),"",IF(AND(ACOMPANHAMENTO="PLE",AUTOEVENTO="Manual",OR(H214&gt;0,ORÇAMENTO!AC214="QUANT."),OR(K214="",M214=0,N214="")),"►",IF(AND(ACOMPANHAMENTO="PLE",ORÇAMENTO!AC214="QUANT."),"►►",IF(AND(COUNTIF($P$11:$AA$11,"▼")=0,H214&gt;0,I214=""),"◄",""))))</f>
        <v/>
      </c>
      <c r="K214" s="668"/>
      <c r="L214" s="166" t="s">
        <v>765</v>
      </c>
      <c r="M214" s="167">
        <f ca="1">IF($D214&lt;&gt;"Serviço","",
          IF(AUTOEVENTO="manual",$A214,
                IF(ISERROR(MATCH($A214,$A$15:OFFSET($A214,-1,0),0)),MAX($M$15:OFFSET(M214,-1,0))+1,
                      INDEX($M$15:OFFSET(M214,-1,0),MATCH($A214,$A$15:OFFSET($A214,-1,0),0)))))</f>
        <v>23</v>
      </c>
      <c r="N214" s="168" t="str">
        <f ca="1">IF($D214&lt;&gt;"Serviço","",
         IF(AUTOEVENTO="Manual",
                IF($A214=0,"&lt;-- defina o número do agrupador",
                       OFFSET(EVENTOS!$D$15,$A214-$A$15,0)),
                OFFSET($F$15,$A214,0)))</f>
        <v>DIVERSOS</v>
      </c>
      <c r="O214" s="169"/>
      <c r="Q214" s="169"/>
      <c r="R214" s="170"/>
      <c r="S214" s="170"/>
      <c r="T214" s="170"/>
      <c r="U214" s="170"/>
      <c r="V214" s="170"/>
      <c r="W214" s="170"/>
      <c r="X214" s="170"/>
      <c r="Y214" s="170"/>
      <c r="Z214" s="171"/>
      <c r="AB214" s="454">
        <f ca="1">IF(AND($D214="Serviço",AB$12&lt;&gt;0,$H214&gt;0,OR(AUTOEVENTO&lt;&gt;"manual",$M214&lt;&gt;$A$15)),
        IF(Import.TipoArredondamento&lt;&gt;"TransfereGOV",
              ROUND(OFFSET($P214,0,AB$13),15-13*ORÇAMENTO!$AF$7)/$H214*OFFSET(ORÇAMENTO!$X$15,ROW(AB214)-ROW(AB$15),0),
              ROUND(ROUND(OFFSET($P214,0,AB$13),15-13*ORÇAMENTO!$AF$7)*OFFSET(ORÇAMENTO!$W$15,ROW(AB214)-ROW(AB$15),0),15-13*ORÇAMENTO!$AF$11)),
         0)</f>
        <v>0</v>
      </c>
      <c r="AC214" s="454">
        <f ca="1">IF(AND($D214="Serviço",AC$12&lt;&gt;0,$H214&gt;0,OR(AUTOEVENTO&lt;&gt;"manual",$M214&lt;&gt;$A$15)),
        IF(Import.TipoArredondamento&lt;&gt;"TransfereGOV",
              ROUND(OFFSET($P214,0,AC$13),15-13*ORÇAMENTO!$AF$7)/$H214*OFFSET(ORÇAMENTO!$X$15,ROW(AC214)-ROW(AC$15),0),
              ROUND(ROUND(OFFSET($P214,0,AC$13),15-13*ORÇAMENTO!$AF$7)*OFFSET(ORÇAMENTO!$W$15,ROW(AC214)-ROW(AC$15),0),15-13*ORÇAMENTO!$AF$11)),
         0)</f>
        <v>0</v>
      </c>
      <c r="AD214" s="454">
        <f ca="1">IF(AND($D214="Serviço",AD$12&lt;&gt;0,$H214&gt;0,OR(AUTOEVENTO&lt;&gt;"manual",$M214&lt;&gt;$A$15)),
        IF(Import.TipoArredondamento&lt;&gt;"TransfereGOV",
              ROUND(OFFSET($P214,0,AD$13),15-13*ORÇAMENTO!$AF$7)/$H214*OFFSET(ORÇAMENTO!$X$15,ROW(AD214)-ROW(AD$15),0),
              ROUND(ROUND(OFFSET($P214,0,AD$13),15-13*ORÇAMENTO!$AF$7)*OFFSET(ORÇAMENTO!$W$15,ROW(AD214)-ROW(AD$15),0),15-13*ORÇAMENTO!$AF$11)),
         0)</f>
        <v>0</v>
      </c>
      <c r="AE214" s="454">
        <f ca="1">IF(AND($D214="Serviço",AE$12&lt;&gt;0,$H214&gt;0,OR(AUTOEVENTO&lt;&gt;"manual",$M214&lt;&gt;$A$15)),
        IF(Import.TipoArredondamento&lt;&gt;"TransfereGOV",
              ROUND(OFFSET($P214,0,AE$13),15-13*ORÇAMENTO!$AF$7)/$H214*OFFSET(ORÇAMENTO!$X$15,ROW(AE214)-ROW(AE$15),0),
              ROUND(ROUND(OFFSET($P214,0,AE$13),15-13*ORÇAMENTO!$AF$7)*OFFSET(ORÇAMENTO!$W$15,ROW(AE214)-ROW(AE$15),0),15-13*ORÇAMENTO!$AF$11)),
         0)</f>
        <v>0</v>
      </c>
      <c r="AF214" s="454">
        <f ca="1">IF(AND($D214="Serviço",AF$12&lt;&gt;0,$H214&gt;0,OR(AUTOEVENTO&lt;&gt;"manual",$M214&lt;&gt;$A$15)),
        IF(Import.TipoArredondamento&lt;&gt;"TransfereGOV",
              ROUND(OFFSET($P214,0,AF$13),15-13*ORÇAMENTO!$AF$7)/$H214*OFFSET(ORÇAMENTO!$X$15,ROW(AF214)-ROW(AF$15),0),
              ROUND(ROUND(OFFSET($P214,0,AF$13),15-13*ORÇAMENTO!$AF$7)*OFFSET(ORÇAMENTO!$W$15,ROW(AF214)-ROW(AF$15),0),15-13*ORÇAMENTO!$AF$11)),
         0)</f>
        <v>0</v>
      </c>
      <c r="AG214" s="454">
        <f ca="1">IF(AND($D214="Serviço",AG$12&lt;&gt;0,$H214&gt;0,OR(AUTOEVENTO&lt;&gt;"manual",$M214&lt;&gt;$A$15)),
        IF(Import.TipoArredondamento&lt;&gt;"TransfereGOV",
              ROUND(OFFSET($P214,0,AG$13),15-13*ORÇAMENTO!$AF$7)/$H214*OFFSET(ORÇAMENTO!$X$15,ROW(AG214)-ROW(AG$15),0),
              ROUND(ROUND(OFFSET($P214,0,AG$13),15-13*ORÇAMENTO!$AF$7)*OFFSET(ORÇAMENTO!$W$15,ROW(AG214)-ROW(AG$15),0),15-13*ORÇAMENTO!$AF$11)),
         0)</f>
        <v>0</v>
      </c>
      <c r="AH214" s="454">
        <f ca="1">IF(AND($D214="Serviço",AH$12&lt;&gt;0,$H214&gt;0,OR(AUTOEVENTO&lt;&gt;"manual",$M214&lt;&gt;$A$15)),
        IF(Import.TipoArredondamento&lt;&gt;"TransfereGOV",
              ROUND(OFFSET($P214,0,AH$13),15-13*ORÇAMENTO!$AF$7)/$H214*OFFSET(ORÇAMENTO!$X$15,ROW(AH214)-ROW(AH$15),0),
              ROUND(ROUND(OFFSET($P214,0,AH$13),15-13*ORÇAMENTO!$AF$7)*OFFSET(ORÇAMENTO!$W$15,ROW(AH214)-ROW(AH$15),0),15-13*ORÇAMENTO!$AF$11)),
         0)</f>
        <v>0</v>
      </c>
      <c r="AI214" s="454">
        <f ca="1">IF(AND($D214="Serviço",AI$12&lt;&gt;0,$H214&gt;0,OR(AUTOEVENTO&lt;&gt;"manual",$M214&lt;&gt;$A$15)),
        IF(Import.TipoArredondamento&lt;&gt;"TransfereGOV",
              ROUND(OFFSET($P214,0,AI$13),15-13*ORÇAMENTO!$AF$7)/$H214*OFFSET(ORÇAMENTO!$X$15,ROW(AI214)-ROW(AI$15),0),
              ROUND(ROUND(OFFSET($P214,0,AI$13),15-13*ORÇAMENTO!$AF$7)*OFFSET(ORÇAMENTO!$W$15,ROW(AI214)-ROW(AI$15),0),15-13*ORÇAMENTO!$AF$11)),
         0)</f>
        <v>0</v>
      </c>
      <c r="AJ214" s="454">
        <f ca="1">IF(AND($D214="Serviço",AJ$12&lt;&gt;0,$H214&gt;0,OR(AUTOEVENTO&lt;&gt;"manual",$M214&lt;&gt;$A$15)),
        IF(Import.TipoArredondamento&lt;&gt;"TransfereGOV",
              ROUND(OFFSET($P214,0,AJ$13),15-13*ORÇAMENTO!$AF$7)/$H214*OFFSET(ORÇAMENTO!$X$15,ROW(AJ214)-ROW(AJ$15),0),
              ROUND(ROUND(OFFSET($P214,0,AJ$13),15-13*ORÇAMENTO!$AF$7)*OFFSET(ORÇAMENTO!$W$15,ROW(AJ214)-ROW(AJ$15),0),15-13*ORÇAMENTO!$AF$11)),
         0)</f>
        <v>0</v>
      </c>
      <c r="AK214" s="454">
        <f ca="1">IF(AND($D214="Serviço",AK$12&lt;&gt;0,$H214&gt;0,OR(AUTOEVENTO&lt;&gt;"manual",$M214&lt;&gt;$A$15)),
        IF(Import.TipoArredondamento&lt;&gt;"TransfereGOV",
              ROUND(OFFSET($P214,0,AK$13),15-13*ORÇAMENTO!$AF$7)/$H214*OFFSET(ORÇAMENTO!$X$15,ROW(AK214)-ROW(AK$15),0),
              ROUND(ROUND(OFFSET($P214,0,AK$13),15-13*ORÇAMENTO!$AF$7)*OFFSET(ORÇAMENTO!$W$15,ROW(AK214)-ROW(AK$15),0),15-13*ORÇAMENTO!$AF$11)),
         0)</f>
        <v>0</v>
      </c>
      <c r="AM214" s="172">
        <f ca="1">IF(OR($D214&lt;&gt;"Serviço",AND(AUTOEVENTO="Manual",$M214=$A$15)),0,
         IF(OFFSET(CRONOPLE!$F$15,$M214-$A$15,AM$13)=0,10^12,OFFSET(CRONOPLE!$F$15,$M214-$A$15,AM$13)))</f>
        <v>1000000000000</v>
      </c>
      <c r="AN214" s="172">
        <f ca="1">IF(OR($D214&lt;&gt;"Serviço",AND(AUTOEVENTO="Manual",$M214=$A$15)),0,
         IF(OFFSET(CRONOPLE!$F$15,$M214-$A$15,AN$13)=0,10^12,OFFSET(CRONOPLE!$F$15,$M214-$A$15,AN$13)))</f>
        <v>1000000000000</v>
      </c>
      <c r="AO214" s="172">
        <f ca="1">IF(OR($D214&lt;&gt;"Serviço",AND(AUTOEVENTO="Manual",$M214=$A$15)),0,
         IF(OFFSET(CRONOPLE!$F$15,$M214-$A$15,AO$13)=0,10^12,OFFSET(CRONOPLE!$F$15,$M214-$A$15,AO$13)))</f>
        <v>1000000000000</v>
      </c>
      <c r="AP214" s="172">
        <f ca="1">IF(OR($D214&lt;&gt;"Serviço",AND(AUTOEVENTO="Manual",$M214=$A$15)),0,
         IF(OFFSET(CRONOPLE!$F$15,$M214-$A$15,AP$13)=0,10^12,OFFSET(CRONOPLE!$F$15,$M214-$A$15,AP$13)))</f>
        <v>1000000000000</v>
      </c>
      <c r="AQ214" s="172">
        <f ca="1">IF(OR($D214&lt;&gt;"Serviço",AND(AUTOEVENTO="Manual",$M214=$A$15)),0,
         IF(OFFSET(CRONOPLE!$F$15,$M214-$A$15,AQ$13)=0,10^12,OFFSET(CRONOPLE!$F$15,$M214-$A$15,AQ$13)))</f>
        <v>1000000000000</v>
      </c>
      <c r="AR214" s="172">
        <f ca="1">IF(OR($D214&lt;&gt;"Serviço",AND(AUTOEVENTO="Manual",$M214=$A$15)),0,
         IF(OFFSET(CRONOPLE!$F$15,$M214-$A$15,AR$13)=0,10^12,OFFSET(CRONOPLE!$F$15,$M214-$A$15,AR$13)))</f>
        <v>1000000000000</v>
      </c>
      <c r="AS214" s="172">
        <f ca="1">IF(OR($D214&lt;&gt;"Serviço",AND(AUTOEVENTO="Manual",$M214=$A$15)),0,
         IF(OFFSET(CRONOPLE!$F$15,$M214-$A$15,AS$13)=0,10^12,OFFSET(CRONOPLE!$F$15,$M214-$A$15,AS$13)))</f>
        <v>1000000000000</v>
      </c>
      <c r="AT214" s="172">
        <f ca="1">IF(OR($D214&lt;&gt;"Serviço",AND(AUTOEVENTO="Manual",$M214=$A$15)),0,
         IF(OFFSET(CRONOPLE!$F$15,$M214-$A$15,AT$13)=0,10^12,OFFSET(CRONOPLE!$F$15,$M214-$A$15,AT$13)))</f>
        <v>1000000000000</v>
      </c>
      <c r="AU214" s="172">
        <f ca="1">IF(OR($D214&lt;&gt;"Serviço",AND(AUTOEVENTO="Manual",$M214=$A$15)),0,
         IF(OFFSET(CRONOPLE!$F$15,$M214-$A$15,AU$13)=0,10^12,OFFSET(CRONOPLE!$F$15,$M214-$A$15,AU$13)))</f>
        <v>1000000000000</v>
      </c>
      <c r="AV214" s="172">
        <f ca="1">IF(OR($D214&lt;&gt;"Serviço",AND(AUTOEVENTO="Manual",$M214=$A$15)),0,
         IF(OFFSET(CRONOPLE!$F$15,$M214-$A$15,AV$13)=0,10^12,OFFSET(CRONOPLE!$F$15,$M214-$A$15,AV$13)))</f>
        <v>1000000000000</v>
      </c>
      <c r="AX214" s="173">
        <f ca="1">IF(OR($D214&lt;&gt;"Serviço",AND(AUTOEVENTO="Manual",$M214=$A$15),$M214&gt;(ROW(PLE.lastrow)-ROW(PLE.firstrow))),0,
           IF(OFFSET(PLE!$G$15,$M214-$A$15,AX$13)="",10^12,OFFSET(PLE!$G$15,$M214-$A$15,AX$13)))</f>
        <v>1000000000000</v>
      </c>
      <c r="AY214" s="173">
        <f ca="1">IF(OR($D214&lt;&gt;"Serviço",AND(AUTOEVENTO="Manual",$M214=$A$15),$M214&gt;(ROW(PLE.lastrow)-ROW(PLE.firstrow))),0,
           IF(OFFSET(PLE!$G$15,$M214-$A$15,AY$13)="",10^12,OFFSET(PLE!$G$15,$M214-$A$15,AY$13)))</f>
        <v>1000000000000</v>
      </c>
      <c r="AZ214" s="173">
        <f ca="1">IF(OR($D214&lt;&gt;"Serviço",AND(AUTOEVENTO="Manual",$M214=$A$15),$M214&gt;(ROW(PLE.lastrow)-ROW(PLE.firstrow))),0,
           IF(OFFSET(PLE!$G$15,$M214-$A$15,AZ$13)="",10^12,OFFSET(PLE!$G$15,$M214-$A$15,AZ$13)))</f>
        <v>1000000000000</v>
      </c>
      <c r="BA214" s="173">
        <f ca="1">IF(OR($D214&lt;&gt;"Serviço",AND(AUTOEVENTO="Manual",$M214=$A$15),$M214&gt;(ROW(PLE.lastrow)-ROW(PLE.firstrow))),0,
           IF(OFFSET(PLE!$G$15,$M214-$A$15,BA$13)="",10^12,OFFSET(PLE!$G$15,$M214-$A$15,BA$13)))</f>
        <v>1000000000000</v>
      </c>
      <c r="BB214" s="173">
        <f ca="1">IF(OR($D214&lt;&gt;"Serviço",AND(AUTOEVENTO="Manual",$M214=$A$15),$M214&gt;(ROW(PLE.lastrow)-ROW(PLE.firstrow))),0,
           IF(OFFSET(PLE!$G$15,$M214-$A$15,BB$13)="",10^12,OFFSET(PLE!$G$15,$M214-$A$15,BB$13)))</f>
        <v>1000000000000</v>
      </c>
      <c r="BC214" s="173">
        <f ca="1">IF(OR($D214&lt;&gt;"Serviço",AND(AUTOEVENTO="Manual",$M214=$A$15),$M214&gt;(ROW(PLE.lastrow)-ROW(PLE.firstrow))),0,
           IF(OFFSET(PLE!$G$15,$M214-$A$15,BC$13)="",10^12,OFFSET(PLE!$G$15,$M214-$A$15,BC$13)))</f>
        <v>1000000000000</v>
      </c>
      <c r="BD214" s="173">
        <f ca="1">IF(OR($D214&lt;&gt;"Serviço",AND(AUTOEVENTO="Manual",$M214=$A$15),$M214&gt;(ROW(PLE.lastrow)-ROW(PLE.firstrow))),0,
           IF(OFFSET(PLE!$G$15,$M214-$A$15,BD$13)="",10^12,OFFSET(PLE!$G$15,$M214-$A$15,BD$13)))</f>
        <v>1000000000000</v>
      </c>
      <c r="BE214" s="173">
        <f ca="1">IF(OR($D214&lt;&gt;"Serviço",AND(AUTOEVENTO="Manual",$M214=$A$15),$M214&gt;(ROW(PLE.lastrow)-ROW(PLE.firstrow))),0,
           IF(OFFSET(PLE!$G$15,$M214-$A$15,BE$13)="",10^12,OFFSET(PLE!$G$15,$M214-$A$15,BE$13)))</f>
        <v>1000000000000</v>
      </c>
      <c r="BF214" s="173">
        <f ca="1">IF(OR($D214&lt;&gt;"Serviço",AND(AUTOEVENTO="Manual",$M214=$A$15),$M214&gt;(ROW(PLE.lastrow)-ROW(PLE.firstrow))),0,
           IF(OFFSET(PLE!$G$15,$M214-$A$15,BF$13)="",10^12,OFFSET(PLE!$G$15,$M214-$A$15,BF$13)))</f>
        <v>1000000000000</v>
      </c>
      <c r="BG214" s="173">
        <f ca="1">IF(OR($D214&lt;&gt;"Serviço",AND(AUTOEVENTO="Manual",$M214=$A$15),$M214&gt;(ROW(PLE.lastrow)-ROW(PLE.firstrow))),0,
           IF(OFFSET(PLE!$G$15,$M214-$A$15,BG$13)="",10^12,OFFSET(PLE!$G$15,$M214-$A$15,BG$13)))</f>
        <v>1000000000000</v>
      </c>
    </row>
    <row r="215" spans="1:59" s="675" customFormat="1" ht="25.5" x14ac:dyDescent="0.2">
      <c r="A215" s="671" t="str">
        <f t="shared" ca="1" si="11"/>
        <v>195</v>
      </c>
      <c r="B215" s="671" t="str">
        <f ca="1">OFFSET(ORÇAMENTO!C$15,ROW(B215)-ROW(B$15),0)</f>
        <v>S</v>
      </c>
      <c r="C215" s="671" t="str">
        <f ca="1">OFFSET(ORÇAMENTO!L$15,ROW(C215)-ROW(C$15),0)</f>
        <v/>
      </c>
      <c r="D215" s="117" t="str">
        <f ca="1">OFFSET(ORÇAMENTO!N$15,ROW(D215)-ROW(D$15),0)</f>
        <v>Serviço</v>
      </c>
      <c r="E215" s="118" t="str">
        <f ca="1">OFFSET(ORÇAMENTO!O$15,ROW(E215)-ROW(E$15),0)</f>
        <v>-</v>
      </c>
      <c r="F215" s="164" t="str">
        <f ca="1">OFFSET(ORÇAMENTO!R$15,ROW(F215)-ROW(F$15),0)</f>
        <v>(abra o arquivo 'Referência 09-2025.xlsm)</v>
      </c>
      <c r="G215" s="165" t="str">
        <f ca="1">IF($D215&lt;&gt;"Serviço","",OFFSET(ORÇAMENTO!S$15,ROW(G215)-ROW(G$15),0))</f>
        <v>-</v>
      </c>
      <c r="H215" s="123">
        <f ca="1">IF($D215&lt;&gt;"Serviço",0,IF(ACOMPANHAMENTO="BM",ROUND(OFFSET(ORÇAMENTO!AJ$15,ROW(H215)-ROW(H$15),0),15-13*ORÇAMENTO!$AF$7),SUMPRODUCT(($Q$1:$AA$1=1)*ROUND($Q215:$AA215,15-13*ORÇAMENTO!$AF$7))))</f>
        <v>4.4000000000000004</v>
      </c>
      <c r="I215" s="469" t="s">
        <v>1110</v>
      </c>
      <c r="J215" s="667" t="str">
        <f ca="1">IF(OR(B215&lt;&gt;"S",CÁLCULO.FrentesPreenchidas=0),"",IF(AND(ACOMPANHAMENTO="PLE",AUTOEVENTO="Manual",OR(H215&gt;0,ORÇAMENTO!AC215="QUANT."),OR(K215="",M215=0,N215="")),"►",IF(AND(ACOMPANHAMENTO="PLE",ORÇAMENTO!AC215="QUANT."),"►►",IF(AND(COUNTIF($P$11:$AA$11,"▼")=0,H215&gt;0,I215=""),"◄",""))))</f>
        <v/>
      </c>
      <c r="K215" s="668"/>
      <c r="L215" s="166" t="s">
        <v>765</v>
      </c>
      <c r="M215" s="167">
        <f ca="1">IF($D215&lt;&gt;"Serviço","",
          IF(AUTOEVENTO="manual",$A215,
                IF(ISERROR(MATCH($A215,$A$15:OFFSET($A215,-1,0),0)),MAX($M$15:OFFSET(M215,-1,0))+1,
                      INDEX($M$15:OFFSET(M215,-1,0),MATCH($A215,$A$15:OFFSET($A215,-1,0),0)))))</f>
        <v>23</v>
      </c>
      <c r="N215" s="168" t="str">
        <f ca="1">IF($D215&lt;&gt;"Serviço","",
         IF(AUTOEVENTO="Manual",
                IF($A215=0,"&lt;-- defina o número do agrupador",
                       OFFSET(EVENTOS!$D$15,$A215-$A$15,0)),
                OFFSET($F$15,$A215,0)))</f>
        <v>DIVERSOS</v>
      </c>
      <c r="O215" s="169"/>
      <c r="Q215" s="169"/>
      <c r="R215" s="170"/>
      <c r="S215" s="170"/>
      <c r="T215" s="170"/>
      <c r="U215" s="170"/>
      <c r="V215" s="170"/>
      <c r="W215" s="170"/>
      <c r="X215" s="170"/>
      <c r="Y215" s="170"/>
      <c r="Z215" s="171"/>
      <c r="AB215" s="454">
        <f ca="1">IF(AND($D215="Serviço",AB$12&lt;&gt;0,$H215&gt;0,OR(AUTOEVENTO&lt;&gt;"manual",$M215&lt;&gt;$A$15)),
        IF(Import.TipoArredondamento&lt;&gt;"TransfereGOV",
              ROUND(OFFSET($P215,0,AB$13),15-13*ORÇAMENTO!$AF$7)/$H215*OFFSET(ORÇAMENTO!$X$15,ROW(AB215)-ROW(AB$15),0),
              ROUND(ROUND(OFFSET($P215,0,AB$13),15-13*ORÇAMENTO!$AF$7)*OFFSET(ORÇAMENTO!$W$15,ROW(AB215)-ROW(AB$15),0),15-13*ORÇAMENTO!$AF$11)),
         0)</f>
        <v>0</v>
      </c>
      <c r="AC215" s="454">
        <f ca="1">IF(AND($D215="Serviço",AC$12&lt;&gt;0,$H215&gt;0,OR(AUTOEVENTO&lt;&gt;"manual",$M215&lt;&gt;$A$15)),
        IF(Import.TipoArredondamento&lt;&gt;"TransfereGOV",
              ROUND(OFFSET($P215,0,AC$13),15-13*ORÇAMENTO!$AF$7)/$H215*OFFSET(ORÇAMENTO!$X$15,ROW(AC215)-ROW(AC$15),0),
              ROUND(ROUND(OFFSET($P215,0,AC$13),15-13*ORÇAMENTO!$AF$7)*OFFSET(ORÇAMENTO!$W$15,ROW(AC215)-ROW(AC$15),0),15-13*ORÇAMENTO!$AF$11)),
         0)</f>
        <v>0</v>
      </c>
      <c r="AD215" s="454">
        <f ca="1">IF(AND($D215="Serviço",AD$12&lt;&gt;0,$H215&gt;0,OR(AUTOEVENTO&lt;&gt;"manual",$M215&lt;&gt;$A$15)),
        IF(Import.TipoArredondamento&lt;&gt;"TransfereGOV",
              ROUND(OFFSET($P215,0,AD$13),15-13*ORÇAMENTO!$AF$7)/$H215*OFFSET(ORÇAMENTO!$X$15,ROW(AD215)-ROW(AD$15),0),
              ROUND(ROUND(OFFSET($P215,0,AD$13),15-13*ORÇAMENTO!$AF$7)*OFFSET(ORÇAMENTO!$W$15,ROW(AD215)-ROW(AD$15),0),15-13*ORÇAMENTO!$AF$11)),
         0)</f>
        <v>0</v>
      </c>
      <c r="AE215" s="454">
        <f ca="1">IF(AND($D215="Serviço",AE$12&lt;&gt;0,$H215&gt;0,OR(AUTOEVENTO&lt;&gt;"manual",$M215&lt;&gt;$A$15)),
        IF(Import.TipoArredondamento&lt;&gt;"TransfereGOV",
              ROUND(OFFSET($P215,0,AE$13),15-13*ORÇAMENTO!$AF$7)/$H215*OFFSET(ORÇAMENTO!$X$15,ROW(AE215)-ROW(AE$15),0),
              ROUND(ROUND(OFFSET($P215,0,AE$13),15-13*ORÇAMENTO!$AF$7)*OFFSET(ORÇAMENTO!$W$15,ROW(AE215)-ROW(AE$15),0),15-13*ORÇAMENTO!$AF$11)),
         0)</f>
        <v>0</v>
      </c>
      <c r="AF215" s="454">
        <f ca="1">IF(AND($D215="Serviço",AF$12&lt;&gt;0,$H215&gt;0,OR(AUTOEVENTO&lt;&gt;"manual",$M215&lt;&gt;$A$15)),
        IF(Import.TipoArredondamento&lt;&gt;"TransfereGOV",
              ROUND(OFFSET($P215,0,AF$13),15-13*ORÇAMENTO!$AF$7)/$H215*OFFSET(ORÇAMENTO!$X$15,ROW(AF215)-ROW(AF$15),0),
              ROUND(ROUND(OFFSET($P215,0,AF$13),15-13*ORÇAMENTO!$AF$7)*OFFSET(ORÇAMENTO!$W$15,ROW(AF215)-ROW(AF$15),0),15-13*ORÇAMENTO!$AF$11)),
         0)</f>
        <v>0</v>
      </c>
      <c r="AG215" s="454">
        <f ca="1">IF(AND($D215="Serviço",AG$12&lt;&gt;0,$H215&gt;0,OR(AUTOEVENTO&lt;&gt;"manual",$M215&lt;&gt;$A$15)),
        IF(Import.TipoArredondamento&lt;&gt;"TransfereGOV",
              ROUND(OFFSET($P215,0,AG$13),15-13*ORÇAMENTO!$AF$7)/$H215*OFFSET(ORÇAMENTO!$X$15,ROW(AG215)-ROW(AG$15),0),
              ROUND(ROUND(OFFSET($P215,0,AG$13),15-13*ORÇAMENTO!$AF$7)*OFFSET(ORÇAMENTO!$W$15,ROW(AG215)-ROW(AG$15),0),15-13*ORÇAMENTO!$AF$11)),
         0)</f>
        <v>0</v>
      </c>
      <c r="AH215" s="454">
        <f ca="1">IF(AND($D215="Serviço",AH$12&lt;&gt;0,$H215&gt;0,OR(AUTOEVENTO&lt;&gt;"manual",$M215&lt;&gt;$A$15)),
        IF(Import.TipoArredondamento&lt;&gt;"TransfereGOV",
              ROUND(OFFSET($P215,0,AH$13),15-13*ORÇAMENTO!$AF$7)/$H215*OFFSET(ORÇAMENTO!$X$15,ROW(AH215)-ROW(AH$15),0),
              ROUND(ROUND(OFFSET($P215,0,AH$13),15-13*ORÇAMENTO!$AF$7)*OFFSET(ORÇAMENTO!$W$15,ROW(AH215)-ROW(AH$15),0),15-13*ORÇAMENTO!$AF$11)),
         0)</f>
        <v>0</v>
      </c>
      <c r="AI215" s="454">
        <f ca="1">IF(AND($D215="Serviço",AI$12&lt;&gt;0,$H215&gt;0,OR(AUTOEVENTO&lt;&gt;"manual",$M215&lt;&gt;$A$15)),
        IF(Import.TipoArredondamento&lt;&gt;"TransfereGOV",
              ROUND(OFFSET($P215,0,AI$13),15-13*ORÇAMENTO!$AF$7)/$H215*OFFSET(ORÇAMENTO!$X$15,ROW(AI215)-ROW(AI$15),0),
              ROUND(ROUND(OFFSET($P215,0,AI$13),15-13*ORÇAMENTO!$AF$7)*OFFSET(ORÇAMENTO!$W$15,ROW(AI215)-ROW(AI$15),0),15-13*ORÇAMENTO!$AF$11)),
         0)</f>
        <v>0</v>
      </c>
      <c r="AJ215" s="454">
        <f ca="1">IF(AND($D215="Serviço",AJ$12&lt;&gt;0,$H215&gt;0,OR(AUTOEVENTO&lt;&gt;"manual",$M215&lt;&gt;$A$15)),
        IF(Import.TipoArredondamento&lt;&gt;"TransfereGOV",
              ROUND(OFFSET($P215,0,AJ$13),15-13*ORÇAMENTO!$AF$7)/$H215*OFFSET(ORÇAMENTO!$X$15,ROW(AJ215)-ROW(AJ$15),0),
              ROUND(ROUND(OFFSET($P215,0,AJ$13),15-13*ORÇAMENTO!$AF$7)*OFFSET(ORÇAMENTO!$W$15,ROW(AJ215)-ROW(AJ$15),0),15-13*ORÇAMENTO!$AF$11)),
         0)</f>
        <v>0</v>
      </c>
      <c r="AK215" s="454">
        <f ca="1">IF(AND($D215="Serviço",AK$12&lt;&gt;0,$H215&gt;0,OR(AUTOEVENTO&lt;&gt;"manual",$M215&lt;&gt;$A$15)),
        IF(Import.TipoArredondamento&lt;&gt;"TransfereGOV",
              ROUND(OFFSET($P215,0,AK$13),15-13*ORÇAMENTO!$AF$7)/$H215*OFFSET(ORÇAMENTO!$X$15,ROW(AK215)-ROW(AK$15),0),
              ROUND(ROUND(OFFSET($P215,0,AK$13),15-13*ORÇAMENTO!$AF$7)*OFFSET(ORÇAMENTO!$W$15,ROW(AK215)-ROW(AK$15),0),15-13*ORÇAMENTO!$AF$11)),
         0)</f>
        <v>0</v>
      </c>
      <c r="AM215" s="172">
        <f ca="1">IF(OR($D215&lt;&gt;"Serviço",AND(AUTOEVENTO="Manual",$M215=$A$15)),0,
         IF(OFFSET(CRONOPLE!$F$15,$M215-$A$15,AM$13)=0,10^12,OFFSET(CRONOPLE!$F$15,$M215-$A$15,AM$13)))</f>
        <v>1000000000000</v>
      </c>
      <c r="AN215" s="172">
        <f ca="1">IF(OR($D215&lt;&gt;"Serviço",AND(AUTOEVENTO="Manual",$M215=$A$15)),0,
         IF(OFFSET(CRONOPLE!$F$15,$M215-$A$15,AN$13)=0,10^12,OFFSET(CRONOPLE!$F$15,$M215-$A$15,AN$13)))</f>
        <v>1000000000000</v>
      </c>
      <c r="AO215" s="172">
        <f ca="1">IF(OR($D215&lt;&gt;"Serviço",AND(AUTOEVENTO="Manual",$M215=$A$15)),0,
         IF(OFFSET(CRONOPLE!$F$15,$M215-$A$15,AO$13)=0,10^12,OFFSET(CRONOPLE!$F$15,$M215-$A$15,AO$13)))</f>
        <v>1000000000000</v>
      </c>
      <c r="AP215" s="172">
        <f ca="1">IF(OR($D215&lt;&gt;"Serviço",AND(AUTOEVENTO="Manual",$M215=$A$15)),0,
         IF(OFFSET(CRONOPLE!$F$15,$M215-$A$15,AP$13)=0,10^12,OFFSET(CRONOPLE!$F$15,$M215-$A$15,AP$13)))</f>
        <v>1000000000000</v>
      </c>
      <c r="AQ215" s="172">
        <f ca="1">IF(OR($D215&lt;&gt;"Serviço",AND(AUTOEVENTO="Manual",$M215=$A$15)),0,
         IF(OFFSET(CRONOPLE!$F$15,$M215-$A$15,AQ$13)=0,10^12,OFFSET(CRONOPLE!$F$15,$M215-$A$15,AQ$13)))</f>
        <v>1000000000000</v>
      </c>
      <c r="AR215" s="172">
        <f ca="1">IF(OR($D215&lt;&gt;"Serviço",AND(AUTOEVENTO="Manual",$M215=$A$15)),0,
         IF(OFFSET(CRONOPLE!$F$15,$M215-$A$15,AR$13)=0,10^12,OFFSET(CRONOPLE!$F$15,$M215-$A$15,AR$13)))</f>
        <v>1000000000000</v>
      </c>
      <c r="AS215" s="172">
        <f ca="1">IF(OR($D215&lt;&gt;"Serviço",AND(AUTOEVENTO="Manual",$M215=$A$15)),0,
         IF(OFFSET(CRONOPLE!$F$15,$M215-$A$15,AS$13)=0,10^12,OFFSET(CRONOPLE!$F$15,$M215-$A$15,AS$13)))</f>
        <v>1000000000000</v>
      </c>
      <c r="AT215" s="172">
        <f ca="1">IF(OR($D215&lt;&gt;"Serviço",AND(AUTOEVENTO="Manual",$M215=$A$15)),0,
         IF(OFFSET(CRONOPLE!$F$15,$M215-$A$15,AT$13)=0,10^12,OFFSET(CRONOPLE!$F$15,$M215-$A$15,AT$13)))</f>
        <v>1000000000000</v>
      </c>
      <c r="AU215" s="172">
        <f ca="1">IF(OR($D215&lt;&gt;"Serviço",AND(AUTOEVENTO="Manual",$M215=$A$15)),0,
         IF(OFFSET(CRONOPLE!$F$15,$M215-$A$15,AU$13)=0,10^12,OFFSET(CRONOPLE!$F$15,$M215-$A$15,AU$13)))</f>
        <v>1000000000000</v>
      </c>
      <c r="AV215" s="172">
        <f ca="1">IF(OR($D215&lt;&gt;"Serviço",AND(AUTOEVENTO="Manual",$M215=$A$15)),0,
         IF(OFFSET(CRONOPLE!$F$15,$M215-$A$15,AV$13)=0,10^12,OFFSET(CRONOPLE!$F$15,$M215-$A$15,AV$13)))</f>
        <v>1000000000000</v>
      </c>
      <c r="AX215" s="173">
        <f ca="1">IF(OR($D215&lt;&gt;"Serviço",AND(AUTOEVENTO="Manual",$M215=$A$15),$M215&gt;(ROW(PLE.lastrow)-ROW(PLE.firstrow))),0,
           IF(OFFSET(PLE!$G$15,$M215-$A$15,AX$13)="",10^12,OFFSET(PLE!$G$15,$M215-$A$15,AX$13)))</f>
        <v>1000000000000</v>
      </c>
      <c r="AY215" s="173">
        <f ca="1">IF(OR($D215&lt;&gt;"Serviço",AND(AUTOEVENTO="Manual",$M215=$A$15),$M215&gt;(ROW(PLE.lastrow)-ROW(PLE.firstrow))),0,
           IF(OFFSET(PLE!$G$15,$M215-$A$15,AY$13)="",10^12,OFFSET(PLE!$G$15,$M215-$A$15,AY$13)))</f>
        <v>1000000000000</v>
      </c>
      <c r="AZ215" s="173">
        <f ca="1">IF(OR($D215&lt;&gt;"Serviço",AND(AUTOEVENTO="Manual",$M215=$A$15),$M215&gt;(ROW(PLE.lastrow)-ROW(PLE.firstrow))),0,
           IF(OFFSET(PLE!$G$15,$M215-$A$15,AZ$13)="",10^12,OFFSET(PLE!$G$15,$M215-$A$15,AZ$13)))</f>
        <v>1000000000000</v>
      </c>
      <c r="BA215" s="173">
        <f ca="1">IF(OR($D215&lt;&gt;"Serviço",AND(AUTOEVENTO="Manual",$M215=$A$15),$M215&gt;(ROW(PLE.lastrow)-ROW(PLE.firstrow))),0,
           IF(OFFSET(PLE!$G$15,$M215-$A$15,BA$13)="",10^12,OFFSET(PLE!$G$15,$M215-$A$15,BA$13)))</f>
        <v>1000000000000</v>
      </c>
      <c r="BB215" s="173">
        <f ca="1">IF(OR($D215&lt;&gt;"Serviço",AND(AUTOEVENTO="Manual",$M215=$A$15),$M215&gt;(ROW(PLE.lastrow)-ROW(PLE.firstrow))),0,
           IF(OFFSET(PLE!$G$15,$M215-$A$15,BB$13)="",10^12,OFFSET(PLE!$G$15,$M215-$A$15,BB$13)))</f>
        <v>1000000000000</v>
      </c>
      <c r="BC215" s="173">
        <f ca="1">IF(OR($D215&lt;&gt;"Serviço",AND(AUTOEVENTO="Manual",$M215=$A$15),$M215&gt;(ROW(PLE.lastrow)-ROW(PLE.firstrow))),0,
           IF(OFFSET(PLE!$G$15,$M215-$A$15,BC$13)="",10^12,OFFSET(PLE!$G$15,$M215-$A$15,BC$13)))</f>
        <v>1000000000000</v>
      </c>
      <c r="BD215" s="173">
        <f ca="1">IF(OR($D215&lt;&gt;"Serviço",AND(AUTOEVENTO="Manual",$M215=$A$15),$M215&gt;(ROW(PLE.lastrow)-ROW(PLE.firstrow))),0,
           IF(OFFSET(PLE!$G$15,$M215-$A$15,BD$13)="",10^12,OFFSET(PLE!$G$15,$M215-$A$15,BD$13)))</f>
        <v>1000000000000</v>
      </c>
      <c r="BE215" s="173">
        <f ca="1">IF(OR($D215&lt;&gt;"Serviço",AND(AUTOEVENTO="Manual",$M215=$A$15),$M215&gt;(ROW(PLE.lastrow)-ROW(PLE.firstrow))),0,
           IF(OFFSET(PLE!$G$15,$M215-$A$15,BE$13)="",10^12,OFFSET(PLE!$G$15,$M215-$A$15,BE$13)))</f>
        <v>1000000000000</v>
      </c>
      <c r="BF215" s="173">
        <f ca="1">IF(OR($D215&lt;&gt;"Serviço",AND(AUTOEVENTO="Manual",$M215=$A$15),$M215&gt;(ROW(PLE.lastrow)-ROW(PLE.firstrow))),0,
           IF(OFFSET(PLE!$G$15,$M215-$A$15,BF$13)="",10^12,OFFSET(PLE!$G$15,$M215-$A$15,BF$13)))</f>
        <v>1000000000000</v>
      </c>
      <c r="BG215" s="173">
        <f ca="1">IF(OR($D215&lt;&gt;"Serviço",AND(AUTOEVENTO="Manual",$M215=$A$15),$M215&gt;(ROW(PLE.lastrow)-ROW(PLE.firstrow))),0,
           IF(OFFSET(PLE!$G$15,$M215-$A$15,BG$13)="",10^12,OFFSET(PLE!$G$15,$M215-$A$15,BG$13)))</f>
        <v>1000000000000</v>
      </c>
    </row>
    <row r="216" spans="1:59" s="675" customFormat="1" ht="63.75" x14ac:dyDescent="0.2">
      <c r="A216" s="671" t="str">
        <f t="shared" ca="1" si="11"/>
        <v>195</v>
      </c>
      <c r="B216" s="671" t="str">
        <f ca="1">OFFSET(ORÇAMENTO!C$15,ROW(B216)-ROW(B$15),0)</f>
        <v>S</v>
      </c>
      <c r="C216" s="671" t="str">
        <f ca="1">OFFSET(ORÇAMENTO!L$15,ROW(C216)-ROW(C$15),0)</f>
        <v/>
      </c>
      <c r="D216" s="117" t="str">
        <f ca="1">OFFSET(ORÇAMENTO!N$15,ROW(D216)-ROW(D$15),0)</f>
        <v>Serviço</v>
      </c>
      <c r="E216" s="118" t="str">
        <f ca="1">OFFSET(ORÇAMENTO!O$15,ROW(E216)-ROW(E$15),0)</f>
        <v>-</v>
      </c>
      <c r="F216" s="164" t="str">
        <f ca="1">OFFSET(ORÇAMENTO!R$15,ROW(F216)-ROW(F$15),0)</f>
        <v>(abra o arquivo 'Referência 09-2025.xlsm)</v>
      </c>
      <c r="G216" s="165" t="str">
        <f ca="1">IF($D216&lt;&gt;"Serviço","",OFFSET(ORÇAMENTO!S$15,ROW(G216)-ROW(G$15),0))</f>
        <v>-</v>
      </c>
      <c r="H216" s="123">
        <f ca="1">IF($D216&lt;&gt;"Serviço",0,IF(ACOMPANHAMENTO="BM",ROUND(OFFSET(ORÇAMENTO!AJ$15,ROW(H216)-ROW(H$15),0),15-13*ORÇAMENTO!$AF$7),SUMPRODUCT(($Q$1:$AA$1=1)*ROUND($Q216:$AA216,15-13*ORÇAMENTO!$AF$7))))</f>
        <v>4</v>
      </c>
      <c r="I216" s="469" t="s">
        <v>1110</v>
      </c>
      <c r="J216" s="667" t="str">
        <f ca="1">IF(OR(B216&lt;&gt;"S",CÁLCULO.FrentesPreenchidas=0),"",IF(AND(ACOMPANHAMENTO="PLE",AUTOEVENTO="Manual",OR(H216&gt;0,ORÇAMENTO!AC216="QUANT."),OR(K216="",M216=0,N216="")),"►",IF(AND(ACOMPANHAMENTO="PLE",ORÇAMENTO!AC216="QUANT."),"►►",IF(AND(COUNTIF($P$11:$AA$11,"▼")=0,H216&gt;0,I216=""),"◄",""))))</f>
        <v/>
      </c>
      <c r="K216" s="668"/>
      <c r="L216" s="166" t="s">
        <v>765</v>
      </c>
      <c r="M216" s="167">
        <f ca="1">IF($D216&lt;&gt;"Serviço","",
          IF(AUTOEVENTO="manual",$A216,
                IF(ISERROR(MATCH($A216,$A$15:OFFSET($A216,-1,0),0)),MAX($M$15:OFFSET(M216,-1,0))+1,
                      INDEX($M$15:OFFSET(M216,-1,0),MATCH($A216,$A$15:OFFSET($A216,-1,0),0)))))</f>
        <v>23</v>
      </c>
      <c r="N216" s="168" t="str">
        <f ca="1">IF($D216&lt;&gt;"Serviço","",
         IF(AUTOEVENTO="Manual",
                IF($A216=0,"&lt;-- defina o número do agrupador",
                       OFFSET(EVENTOS!$D$15,$A216-$A$15,0)),
                OFFSET($F$15,$A216,0)))</f>
        <v>DIVERSOS</v>
      </c>
      <c r="O216" s="169"/>
      <c r="Q216" s="169"/>
      <c r="R216" s="170"/>
      <c r="S216" s="170"/>
      <c r="T216" s="170"/>
      <c r="U216" s="170"/>
      <c r="V216" s="170"/>
      <c r="W216" s="170"/>
      <c r="X216" s="170"/>
      <c r="Y216" s="170"/>
      <c r="Z216" s="171"/>
      <c r="AB216" s="454">
        <f ca="1">IF(AND($D216="Serviço",AB$12&lt;&gt;0,$H216&gt;0,OR(AUTOEVENTO&lt;&gt;"manual",$M216&lt;&gt;$A$15)),
        IF(Import.TipoArredondamento&lt;&gt;"TransfereGOV",
              ROUND(OFFSET($P216,0,AB$13),15-13*ORÇAMENTO!$AF$7)/$H216*OFFSET(ORÇAMENTO!$X$15,ROW(AB216)-ROW(AB$15),0),
              ROUND(ROUND(OFFSET($P216,0,AB$13),15-13*ORÇAMENTO!$AF$7)*OFFSET(ORÇAMENTO!$W$15,ROW(AB216)-ROW(AB$15),0),15-13*ORÇAMENTO!$AF$11)),
         0)</f>
        <v>0</v>
      </c>
      <c r="AC216" s="454">
        <f ca="1">IF(AND($D216="Serviço",AC$12&lt;&gt;0,$H216&gt;0,OR(AUTOEVENTO&lt;&gt;"manual",$M216&lt;&gt;$A$15)),
        IF(Import.TipoArredondamento&lt;&gt;"TransfereGOV",
              ROUND(OFFSET($P216,0,AC$13),15-13*ORÇAMENTO!$AF$7)/$H216*OFFSET(ORÇAMENTO!$X$15,ROW(AC216)-ROW(AC$15),0),
              ROUND(ROUND(OFFSET($P216,0,AC$13),15-13*ORÇAMENTO!$AF$7)*OFFSET(ORÇAMENTO!$W$15,ROW(AC216)-ROW(AC$15),0),15-13*ORÇAMENTO!$AF$11)),
         0)</f>
        <v>0</v>
      </c>
      <c r="AD216" s="454">
        <f ca="1">IF(AND($D216="Serviço",AD$12&lt;&gt;0,$H216&gt;0,OR(AUTOEVENTO&lt;&gt;"manual",$M216&lt;&gt;$A$15)),
        IF(Import.TipoArredondamento&lt;&gt;"TransfereGOV",
              ROUND(OFFSET($P216,0,AD$13),15-13*ORÇAMENTO!$AF$7)/$H216*OFFSET(ORÇAMENTO!$X$15,ROW(AD216)-ROW(AD$15),0),
              ROUND(ROUND(OFFSET($P216,0,AD$13),15-13*ORÇAMENTO!$AF$7)*OFFSET(ORÇAMENTO!$W$15,ROW(AD216)-ROW(AD$15),0),15-13*ORÇAMENTO!$AF$11)),
         0)</f>
        <v>0</v>
      </c>
      <c r="AE216" s="454">
        <f ca="1">IF(AND($D216="Serviço",AE$12&lt;&gt;0,$H216&gt;0,OR(AUTOEVENTO&lt;&gt;"manual",$M216&lt;&gt;$A$15)),
        IF(Import.TipoArredondamento&lt;&gt;"TransfereGOV",
              ROUND(OFFSET($P216,0,AE$13),15-13*ORÇAMENTO!$AF$7)/$H216*OFFSET(ORÇAMENTO!$X$15,ROW(AE216)-ROW(AE$15),0),
              ROUND(ROUND(OFFSET($P216,0,AE$13),15-13*ORÇAMENTO!$AF$7)*OFFSET(ORÇAMENTO!$W$15,ROW(AE216)-ROW(AE$15),0),15-13*ORÇAMENTO!$AF$11)),
         0)</f>
        <v>0</v>
      </c>
      <c r="AF216" s="454">
        <f ca="1">IF(AND($D216="Serviço",AF$12&lt;&gt;0,$H216&gt;0,OR(AUTOEVENTO&lt;&gt;"manual",$M216&lt;&gt;$A$15)),
        IF(Import.TipoArredondamento&lt;&gt;"TransfereGOV",
              ROUND(OFFSET($P216,0,AF$13),15-13*ORÇAMENTO!$AF$7)/$H216*OFFSET(ORÇAMENTO!$X$15,ROW(AF216)-ROW(AF$15),0),
              ROUND(ROUND(OFFSET($P216,0,AF$13),15-13*ORÇAMENTO!$AF$7)*OFFSET(ORÇAMENTO!$W$15,ROW(AF216)-ROW(AF$15),0),15-13*ORÇAMENTO!$AF$11)),
         0)</f>
        <v>0</v>
      </c>
      <c r="AG216" s="454">
        <f ca="1">IF(AND($D216="Serviço",AG$12&lt;&gt;0,$H216&gt;0,OR(AUTOEVENTO&lt;&gt;"manual",$M216&lt;&gt;$A$15)),
        IF(Import.TipoArredondamento&lt;&gt;"TransfereGOV",
              ROUND(OFFSET($P216,0,AG$13),15-13*ORÇAMENTO!$AF$7)/$H216*OFFSET(ORÇAMENTO!$X$15,ROW(AG216)-ROW(AG$15),0),
              ROUND(ROUND(OFFSET($P216,0,AG$13),15-13*ORÇAMENTO!$AF$7)*OFFSET(ORÇAMENTO!$W$15,ROW(AG216)-ROW(AG$15),0),15-13*ORÇAMENTO!$AF$11)),
         0)</f>
        <v>0</v>
      </c>
      <c r="AH216" s="454">
        <f ca="1">IF(AND($D216="Serviço",AH$12&lt;&gt;0,$H216&gt;0,OR(AUTOEVENTO&lt;&gt;"manual",$M216&lt;&gt;$A$15)),
        IF(Import.TipoArredondamento&lt;&gt;"TransfereGOV",
              ROUND(OFFSET($P216,0,AH$13),15-13*ORÇAMENTO!$AF$7)/$H216*OFFSET(ORÇAMENTO!$X$15,ROW(AH216)-ROW(AH$15),0),
              ROUND(ROUND(OFFSET($P216,0,AH$13),15-13*ORÇAMENTO!$AF$7)*OFFSET(ORÇAMENTO!$W$15,ROW(AH216)-ROW(AH$15),0),15-13*ORÇAMENTO!$AF$11)),
         0)</f>
        <v>0</v>
      </c>
      <c r="AI216" s="454">
        <f ca="1">IF(AND($D216="Serviço",AI$12&lt;&gt;0,$H216&gt;0,OR(AUTOEVENTO&lt;&gt;"manual",$M216&lt;&gt;$A$15)),
        IF(Import.TipoArredondamento&lt;&gt;"TransfereGOV",
              ROUND(OFFSET($P216,0,AI$13),15-13*ORÇAMENTO!$AF$7)/$H216*OFFSET(ORÇAMENTO!$X$15,ROW(AI216)-ROW(AI$15),0),
              ROUND(ROUND(OFFSET($P216,0,AI$13),15-13*ORÇAMENTO!$AF$7)*OFFSET(ORÇAMENTO!$W$15,ROW(AI216)-ROW(AI$15),0),15-13*ORÇAMENTO!$AF$11)),
         0)</f>
        <v>0</v>
      </c>
      <c r="AJ216" s="454">
        <f ca="1">IF(AND($D216="Serviço",AJ$12&lt;&gt;0,$H216&gt;0,OR(AUTOEVENTO&lt;&gt;"manual",$M216&lt;&gt;$A$15)),
        IF(Import.TipoArredondamento&lt;&gt;"TransfereGOV",
              ROUND(OFFSET($P216,0,AJ$13),15-13*ORÇAMENTO!$AF$7)/$H216*OFFSET(ORÇAMENTO!$X$15,ROW(AJ216)-ROW(AJ$15),0),
              ROUND(ROUND(OFFSET($P216,0,AJ$13),15-13*ORÇAMENTO!$AF$7)*OFFSET(ORÇAMENTO!$W$15,ROW(AJ216)-ROW(AJ$15),0),15-13*ORÇAMENTO!$AF$11)),
         0)</f>
        <v>0</v>
      </c>
      <c r="AK216" s="454">
        <f ca="1">IF(AND($D216="Serviço",AK$12&lt;&gt;0,$H216&gt;0,OR(AUTOEVENTO&lt;&gt;"manual",$M216&lt;&gt;$A$15)),
        IF(Import.TipoArredondamento&lt;&gt;"TransfereGOV",
              ROUND(OFFSET($P216,0,AK$13),15-13*ORÇAMENTO!$AF$7)/$H216*OFFSET(ORÇAMENTO!$X$15,ROW(AK216)-ROW(AK$15),0),
              ROUND(ROUND(OFFSET($P216,0,AK$13),15-13*ORÇAMENTO!$AF$7)*OFFSET(ORÇAMENTO!$W$15,ROW(AK216)-ROW(AK$15),0),15-13*ORÇAMENTO!$AF$11)),
         0)</f>
        <v>0</v>
      </c>
      <c r="AM216" s="172">
        <f ca="1">IF(OR($D216&lt;&gt;"Serviço",AND(AUTOEVENTO="Manual",$M216=$A$15)),0,
         IF(OFFSET(CRONOPLE!$F$15,$M216-$A$15,AM$13)=0,10^12,OFFSET(CRONOPLE!$F$15,$M216-$A$15,AM$13)))</f>
        <v>1000000000000</v>
      </c>
      <c r="AN216" s="172">
        <f ca="1">IF(OR($D216&lt;&gt;"Serviço",AND(AUTOEVENTO="Manual",$M216=$A$15)),0,
         IF(OFFSET(CRONOPLE!$F$15,$M216-$A$15,AN$13)=0,10^12,OFFSET(CRONOPLE!$F$15,$M216-$A$15,AN$13)))</f>
        <v>1000000000000</v>
      </c>
      <c r="AO216" s="172">
        <f ca="1">IF(OR($D216&lt;&gt;"Serviço",AND(AUTOEVENTO="Manual",$M216=$A$15)),0,
         IF(OFFSET(CRONOPLE!$F$15,$M216-$A$15,AO$13)=0,10^12,OFFSET(CRONOPLE!$F$15,$M216-$A$15,AO$13)))</f>
        <v>1000000000000</v>
      </c>
      <c r="AP216" s="172">
        <f ca="1">IF(OR($D216&lt;&gt;"Serviço",AND(AUTOEVENTO="Manual",$M216=$A$15)),0,
         IF(OFFSET(CRONOPLE!$F$15,$M216-$A$15,AP$13)=0,10^12,OFFSET(CRONOPLE!$F$15,$M216-$A$15,AP$13)))</f>
        <v>1000000000000</v>
      </c>
      <c r="AQ216" s="172">
        <f ca="1">IF(OR($D216&lt;&gt;"Serviço",AND(AUTOEVENTO="Manual",$M216=$A$15)),0,
         IF(OFFSET(CRONOPLE!$F$15,$M216-$A$15,AQ$13)=0,10^12,OFFSET(CRONOPLE!$F$15,$M216-$A$15,AQ$13)))</f>
        <v>1000000000000</v>
      </c>
      <c r="AR216" s="172">
        <f ca="1">IF(OR($D216&lt;&gt;"Serviço",AND(AUTOEVENTO="Manual",$M216=$A$15)),0,
         IF(OFFSET(CRONOPLE!$F$15,$M216-$A$15,AR$13)=0,10^12,OFFSET(CRONOPLE!$F$15,$M216-$A$15,AR$13)))</f>
        <v>1000000000000</v>
      </c>
      <c r="AS216" s="172">
        <f ca="1">IF(OR($D216&lt;&gt;"Serviço",AND(AUTOEVENTO="Manual",$M216=$A$15)),0,
         IF(OFFSET(CRONOPLE!$F$15,$M216-$A$15,AS$13)=0,10^12,OFFSET(CRONOPLE!$F$15,$M216-$A$15,AS$13)))</f>
        <v>1000000000000</v>
      </c>
      <c r="AT216" s="172">
        <f ca="1">IF(OR($D216&lt;&gt;"Serviço",AND(AUTOEVENTO="Manual",$M216=$A$15)),0,
         IF(OFFSET(CRONOPLE!$F$15,$M216-$A$15,AT$13)=0,10^12,OFFSET(CRONOPLE!$F$15,$M216-$A$15,AT$13)))</f>
        <v>1000000000000</v>
      </c>
      <c r="AU216" s="172">
        <f ca="1">IF(OR($D216&lt;&gt;"Serviço",AND(AUTOEVENTO="Manual",$M216=$A$15)),0,
         IF(OFFSET(CRONOPLE!$F$15,$M216-$A$15,AU$13)=0,10^12,OFFSET(CRONOPLE!$F$15,$M216-$A$15,AU$13)))</f>
        <v>1000000000000</v>
      </c>
      <c r="AV216" s="172">
        <f ca="1">IF(OR($D216&lt;&gt;"Serviço",AND(AUTOEVENTO="Manual",$M216=$A$15)),0,
         IF(OFFSET(CRONOPLE!$F$15,$M216-$A$15,AV$13)=0,10^12,OFFSET(CRONOPLE!$F$15,$M216-$A$15,AV$13)))</f>
        <v>1000000000000</v>
      </c>
      <c r="AX216" s="173">
        <f ca="1">IF(OR($D216&lt;&gt;"Serviço",AND(AUTOEVENTO="Manual",$M216=$A$15),$M216&gt;(ROW(PLE.lastrow)-ROW(PLE.firstrow))),0,
           IF(OFFSET(PLE!$G$15,$M216-$A$15,AX$13)="",10^12,OFFSET(PLE!$G$15,$M216-$A$15,AX$13)))</f>
        <v>1000000000000</v>
      </c>
      <c r="AY216" s="173">
        <f ca="1">IF(OR($D216&lt;&gt;"Serviço",AND(AUTOEVENTO="Manual",$M216=$A$15),$M216&gt;(ROW(PLE.lastrow)-ROW(PLE.firstrow))),0,
           IF(OFFSET(PLE!$G$15,$M216-$A$15,AY$13)="",10^12,OFFSET(PLE!$G$15,$M216-$A$15,AY$13)))</f>
        <v>1000000000000</v>
      </c>
      <c r="AZ216" s="173">
        <f ca="1">IF(OR($D216&lt;&gt;"Serviço",AND(AUTOEVENTO="Manual",$M216=$A$15),$M216&gt;(ROW(PLE.lastrow)-ROW(PLE.firstrow))),0,
           IF(OFFSET(PLE!$G$15,$M216-$A$15,AZ$13)="",10^12,OFFSET(PLE!$G$15,$M216-$A$15,AZ$13)))</f>
        <v>1000000000000</v>
      </c>
      <c r="BA216" s="173">
        <f ca="1">IF(OR($D216&lt;&gt;"Serviço",AND(AUTOEVENTO="Manual",$M216=$A$15),$M216&gt;(ROW(PLE.lastrow)-ROW(PLE.firstrow))),0,
           IF(OFFSET(PLE!$G$15,$M216-$A$15,BA$13)="",10^12,OFFSET(PLE!$G$15,$M216-$A$15,BA$13)))</f>
        <v>1000000000000</v>
      </c>
      <c r="BB216" s="173">
        <f ca="1">IF(OR($D216&lt;&gt;"Serviço",AND(AUTOEVENTO="Manual",$M216=$A$15),$M216&gt;(ROW(PLE.lastrow)-ROW(PLE.firstrow))),0,
           IF(OFFSET(PLE!$G$15,$M216-$A$15,BB$13)="",10^12,OFFSET(PLE!$G$15,$M216-$A$15,BB$13)))</f>
        <v>1000000000000</v>
      </c>
      <c r="BC216" s="173">
        <f ca="1">IF(OR($D216&lt;&gt;"Serviço",AND(AUTOEVENTO="Manual",$M216=$A$15),$M216&gt;(ROW(PLE.lastrow)-ROW(PLE.firstrow))),0,
           IF(OFFSET(PLE!$G$15,$M216-$A$15,BC$13)="",10^12,OFFSET(PLE!$G$15,$M216-$A$15,BC$13)))</f>
        <v>1000000000000</v>
      </c>
      <c r="BD216" s="173">
        <f ca="1">IF(OR($D216&lt;&gt;"Serviço",AND(AUTOEVENTO="Manual",$M216=$A$15),$M216&gt;(ROW(PLE.lastrow)-ROW(PLE.firstrow))),0,
           IF(OFFSET(PLE!$G$15,$M216-$A$15,BD$13)="",10^12,OFFSET(PLE!$G$15,$M216-$A$15,BD$13)))</f>
        <v>1000000000000</v>
      </c>
      <c r="BE216" s="173">
        <f ca="1">IF(OR($D216&lt;&gt;"Serviço",AND(AUTOEVENTO="Manual",$M216=$A$15),$M216&gt;(ROW(PLE.lastrow)-ROW(PLE.firstrow))),0,
           IF(OFFSET(PLE!$G$15,$M216-$A$15,BE$13)="",10^12,OFFSET(PLE!$G$15,$M216-$A$15,BE$13)))</f>
        <v>1000000000000</v>
      </c>
      <c r="BF216" s="173">
        <f ca="1">IF(OR($D216&lt;&gt;"Serviço",AND(AUTOEVENTO="Manual",$M216=$A$15),$M216&gt;(ROW(PLE.lastrow)-ROW(PLE.firstrow))),0,
           IF(OFFSET(PLE!$G$15,$M216-$A$15,BF$13)="",10^12,OFFSET(PLE!$G$15,$M216-$A$15,BF$13)))</f>
        <v>1000000000000</v>
      </c>
      <c r="BG216" s="173">
        <f ca="1">IF(OR($D216&lt;&gt;"Serviço",AND(AUTOEVENTO="Manual",$M216=$A$15),$M216&gt;(ROW(PLE.lastrow)-ROW(PLE.firstrow))),0,
           IF(OFFSET(PLE!$G$15,$M216-$A$15,BG$13)="",10^12,OFFSET(PLE!$G$15,$M216-$A$15,BG$13)))</f>
        <v>1000000000000</v>
      </c>
    </row>
    <row r="217" spans="1:59" s="675" customFormat="1" ht="25.5" x14ac:dyDescent="0.2">
      <c r="A217" s="671" t="str">
        <f t="shared" ca="1" si="11"/>
        <v>195</v>
      </c>
      <c r="B217" s="671" t="str">
        <f ca="1">OFFSET(ORÇAMENTO!C$15,ROW(B217)-ROW(B$15),0)</f>
        <v>S</v>
      </c>
      <c r="C217" s="671" t="str">
        <f ca="1">OFFSET(ORÇAMENTO!L$15,ROW(C217)-ROW(C$15),0)</f>
        <v/>
      </c>
      <c r="D217" s="117" t="str">
        <f ca="1">OFFSET(ORÇAMENTO!N$15,ROW(D217)-ROW(D$15),0)</f>
        <v>Serviço</v>
      </c>
      <c r="E217" s="118" t="str">
        <f ca="1">OFFSET(ORÇAMENTO!O$15,ROW(E217)-ROW(E$15),0)</f>
        <v>-</v>
      </c>
      <c r="F217" s="164" t="str">
        <f ca="1">OFFSET(ORÇAMENTO!R$15,ROW(F217)-ROW(F$15),0)</f>
        <v>(abra o arquivo 'Referência 09-2025.xlsm)</v>
      </c>
      <c r="G217" s="165" t="str">
        <f ca="1">IF($D217&lt;&gt;"Serviço","",OFFSET(ORÇAMENTO!S$15,ROW(G217)-ROW(G$15),0))</f>
        <v>-</v>
      </c>
      <c r="H217" s="123">
        <f ca="1">IF($D217&lt;&gt;"Serviço",0,IF(ACOMPANHAMENTO="BM",ROUND(OFFSET(ORÇAMENTO!AJ$15,ROW(H217)-ROW(H$15),0),15-13*ORÇAMENTO!$AF$7),SUMPRODUCT(($Q$1:$AA$1=1)*ROUND($Q217:$AA217,15-13*ORÇAMENTO!$AF$7))))</f>
        <v>1.2</v>
      </c>
      <c r="I217" s="469" t="s">
        <v>1110</v>
      </c>
      <c r="J217" s="667" t="str">
        <f ca="1">IF(OR(B217&lt;&gt;"S",CÁLCULO.FrentesPreenchidas=0),"",IF(AND(ACOMPANHAMENTO="PLE",AUTOEVENTO="Manual",OR(H217&gt;0,ORÇAMENTO!AC217="QUANT."),OR(K217="",M217=0,N217="")),"►",IF(AND(ACOMPANHAMENTO="PLE",ORÇAMENTO!AC217="QUANT."),"►►",IF(AND(COUNTIF($P$11:$AA$11,"▼")=0,H217&gt;0,I217=""),"◄",""))))</f>
        <v/>
      </c>
      <c r="K217" s="668"/>
      <c r="L217" s="166" t="s">
        <v>765</v>
      </c>
      <c r="M217" s="167">
        <f ca="1">IF($D217&lt;&gt;"Serviço","",
          IF(AUTOEVENTO="manual",$A217,
                IF(ISERROR(MATCH($A217,$A$15:OFFSET($A217,-1,0),0)),MAX($M$15:OFFSET(M217,-1,0))+1,
                      INDEX($M$15:OFFSET(M217,-1,0),MATCH($A217,$A$15:OFFSET($A217,-1,0),0)))))</f>
        <v>23</v>
      </c>
      <c r="N217" s="168" t="str">
        <f ca="1">IF($D217&lt;&gt;"Serviço","",
         IF(AUTOEVENTO="Manual",
                IF($A217=0,"&lt;-- defina o número do agrupador",
                       OFFSET(EVENTOS!$D$15,$A217-$A$15,0)),
                OFFSET($F$15,$A217,0)))</f>
        <v>DIVERSOS</v>
      </c>
      <c r="O217" s="169"/>
      <c r="Q217" s="169"/>
      <c r="R217" s="170"/>
      <c r="S217" s="170"/>
      <c r="T217" s="170"/>
      <c r="U217" s="170"/>
      <c r="V217" s="170"/>
      <c r="W217" s="170"/>
      <c r="X217" s="170"/>
      <c r="Y217" s="170"/>
      <c r="Z217" s="171"/>
      <c r="AB217" s="454">
        <f ca="1">IF(AND($D217="Serviço",AB$12&lt;&gt;0,$H217&gt;0,OR(AUTOEVENTO&lt;&gt;"manual",$M217&lt;&gt;$A$15)),
        IF(Import.TipoArredondamento&lt;&gt;"TransfereGOV",
              ROUND(OFFSET($P217,0,AB$13),15-13*ORÇAMENTO!$AF$7)/$H217*OFFSET(ORÇAMENTO!$X$15,ROW(AB217)-ROW(AB$15),0),
              ROUND(ROUND(OFFSET($P217,0,AB$13),15-13*ORÇAMENTO!$AF$7)*OFFSET(ORÇAMENTO!$W$15,ROW(AB217)-ROW(AB$15),0),15-13*ORÇAMENTO!$AF$11)),
         0)</f>
        <v>0</v>
      </c>
      <c r="AC217" s="454">
        <f ca="1">IF(AND($D217="Serviço",AC$12&lt;&gt;0,$H217&gt;0,OR(AUTOEVENTO&lt;&gt;"manual",$M217&lt;&gt;$A$15)),
        IF(Import.TipoArredondamento&lt;&gt;"TransfereGOV",
              ROUND(OFFSET($P217,0,AC$13),15-13*ORÇAMENTO!$AF$7)/$H217*OFFSET(ORÇAMENTO!$X$15,ROW(AC217)-ROW(AC$15),0),
              ROUND(ROUND(OFFSET($P217,0,AC$13),15-13*ORÇAMENTO!$AF$7)*OFFSET(ORÇAMENTO!$W$15,ROW(AC217)-ROW(AC$15),0),15-13*ORÇAMENTO!$AF$11)),
         0)</f>
        <v>0</v>
      </c>
      <c r="AD217" s="454">
        <f ca="1">IF(AND($D217="Serviço",AD$12&lt;&gt;0,$H217&gt;0,OR(AUTOEVENTO&lt;&gt;"manual",$M217&lt;&gt;$A$15)),
        IF(Import.TipoArredondamento&lt;&gt;"TransfereGOV",
              ROUND(OFFSET($P217,0,AD$13),15-13*ORÇAMENTO!$AF$7)/$H217*OFFSET(ORÇAMENTO!$X$15,ROW(AD217)-ROW(AD$15),0),
              ROUND(ROUND(OFFSET($P217,0,AD$13),15-13*ORÇAMENTO!$AF$7)*OFFSET(ORÇAMENTO!$W$15,ROW(AD217)-ROW(AD$15),0),15-13*ORÇAMENTO!$AF$11)),
         0)</f>
        <v>0</v>
      </c>
      <c r="AE217" s="454">
        <f ca="1">IF(AND($D217="Serviço",AE$12&lt;&gt;0,$H217&gt;0,OR(AUTOEVENTO&lt;&gt;"manual",$M217&lt;&gt;$A$15)),
        IF(Import.TipoArredondamento&lt;&gt;"TransfereGOV",
              ROUND(OFFSET($P217,0,AE$13),15-13*ORÇAMENTO!$AF$7)/$H217*OFFSET(ORÇAMENTO!$X$15,ROW(AE217)-ROW(AE$15),0),
              ROUND(ROUND(OFFSET($P217,0,AE$13),15-13*ORÇAMENTO!$AF$7)*OFFSET(ORÇAMENTO!$W$15,ROW(AE217)-ROW(AE$15),0),15-13*ORÇAMENTO!$AF$11)),
         0)</f>
        <v>0</v>
      </c>
      <c r="AF217" s="454">
        <f ca="1">IF(AND($D217="Serviço",AF$12&lt;&gt;0,$H217&gt;0,OR(AUTOEVENTO&lt;&gt;"manual",$M217&lt;&gt;$A$15)),
        IF(Import.TipoArredondamento&lt;&gt;"TransfereGOV",
              ROUND(OFFSET($P217,0,AF$13),15-13*ORÇAMENTO!$AF$7)/$H217*OFFSET(ORÇAMENTO!$X$15,ROW(AF217)-ROW(AF$15),0),
              ROUND(ROUND(OFFSET($P217,0,AF$13),15-13*ORÇAMENTO!$AF$7)*OFFSET(ORÇAMENTO!$W$15,ROW(AF217)-ROW(AF$15),0),15-13*ORÇAMENTO!$AF$11)),
         0)</f>
        <v>0</v>
      </c>
      <c r="AG217" s="454">
        <f ca="1">IF(AND($D217="Serviço",AG$12&lt;&gt;0,$H217&gt;0,OR(AUTOEVENTO&lt;&gt;"manual",$M217&lt;&gt;$A$15)),
        IF(Import.TipoArredondamento&lt;&gt;"TransfereGOV",
              ROUND(OFFSET($P217,0,AG$13),15-13*ORÇAMENTO!$AF$7)/$H217*OFFSET(ORÇAMENTO!$X$15,ROW(AG217)-ROW(AG$15),0),
              ROUND(ROUND(OFFSET($P217,0,AG$13),15-13*ORÇAMENTO!$AF$7)*OFFSET(ORÇAMENTO!$W$15,ROW(AG217)-ROW(AG$15),0),15-13*ORÇAMENTO!$AF$11)),
         0)</f>
        <v>0</v>
      </c>
      <c r="AH217" s="454">
        <f ca="1">IF(AND($D217="Serviço",AH$12&lt;&gt;0,$H217&gt;0,OR(AUTOEVENTO&lt;&gt;"manual",$M217&lt;&gt;$A$15)),
        IF(Import.TipoArredondamento&lt;&gt;"TransfereGOV",
              ROUND(OFFSET($P217,0,AH$13),15-13*ORÇAMENTO!$AF$7)/$H217*OFFSET(ORÇAMENTO!$X$15,ROW(AH217)-ROW(AH$15),0),
              ROUND(ROUND(OFFSET($P217,0,AH$13),15-13*ORÇAMENTO!$AF$7)*OFFSET(ORÇAMENTO!$W$15,ROW(AH217)-ROW(AH$15),0),15-13*ORÇAMENTO!$AF$11)),
         0)</f>
        <v>0</v>
      </c>
      <c r="AI217" s="454">
        <f ca="1">IF(AND($D217="Serviço",AI$12&lt;&gt;0,$H217&gt;0,OR(AUTOEVENTO&lt;&gt;"manual",$M217&lt;&gt;$A$15)),
        IF(Import.TipoArredondamento&lt;&gt;"TransfereGOV",
              ROUND(OFFSET($P217,0,AI$13),15-13*ORÇAMENTO!$AF$7)/$H217*OFFSET(ORÇAMENTO!$X$15,ROW(AI217)-ROW(AI$15),0),
              ROUND(ROUND(OFFSET($P217,0,AI$13),15-13*ORÇAMENTO!$AF$7)*OFFSET(ORÇAMENTO!$W$15,ROW(AI217)-ROW(AI$15),0),15-13*ORÇAMENTO!$AF$11)),
         0)</f>
        <v>0</v>
      </c>
      <c r="AJ217" s="454">
        <f ca="1">IF(AND($D217="Serviço",AJ$12&lt;&gt;0,$H217&gt;0,OR(AUTOEVENTO&lt;&gt;"manual",$M217&lt;&gt;$A$15)),
        IF(Import.TipoArredondamento&lt;&gt;"TransfereGOV",
              ROUND(OFFSET($P217,0,AJ$13),15-13*ORÇAMENTO!$AF$7)/$H217*OFFSET(ORÇAMENTO!$X$15,ROW(AJ217)-ROW(AJ$15),0),
              ROUND(ROUND(OFFSET($P217,0,AJ$13),15-13*ORÇAMENTO!$AF$7)*OFFSET(ORÇAMENTO!$W$15,ROW(AJ217)-ROW(AJ$15),0),15-13*ORÇAMENTO!$AF$11)),
         0)</f>
        <v>0</v>
      </c>
      <c r="AK217" s="454">
        <f ca="1">IF(AND($D217="Serviço",AK$12&lt;&gt;0,$H217&gt;0,OR(AUTOEVENTO&lt;&gt;"manual",$M217&lt;&gt;$A$15)),
        IF(Import.TipoArredondamento&lt;&gt;"TransfereGOV",
              ROUND(OFFSET($P217,0,AK$13),15-13*ORÇAMENTO!$AF$7)/$H217*OFFSET(ORÇAMENTO!$X$15,ROW(AK217)-ROW(AK$15),0),
              ROUND(ROUND(OFFSET($P217,0,AK$13),15-13*ORÇAMENTO!$AF$7)*OFFSET(ORÇAMENTO!$W$15,ROW(AK217)-ROW(AK$15),0),15-13*ORÇAMENTO!$AF$11)),
         0)</f>
        <v>0</v>
      </c>
      <c r="AM217" s="172">
        <f ca="1">IF(OR($D217&lt;&gt;"Serviço",AND(AUTOEVENTO="Manual",$M217=$A$15)),0,
         IF(OFFSET(CRONOPLE!$F$15,$M217-$A$15,AM$13)=0,10^12,OFFSET(CRONOPLE!$F$15,$M217-$A$15,AM$13)))</f>
        <v>1000000000000</v>
      </c>
      <c r="AN217" s="172">
        <f ca="1">IF(OR($D217&lt;&gt;"Serviço",AND(AUTOEVENTO="Manual",$M217=$A$15)),0,
         IF(OFFSET(CRONOPLE!$F$15,$M217-$A$15,AN$13)=0,10^12,OFFSET(CRONOPLE!$F$15,$M217-$A$15,AN$13)))</f>
        <v>1000000000000</v>
      </c>
      <c r="AO217" s="172">
        <f ca="1">IF(OR($D217&lt;&gt;"Serviço",AND(AUTOEVENTO="Manual",$M217=$A$15)),0,
         IF(OFFSET(CRONOPLE!$F$15,$M217-$A$15,AO$13)=0,10^12,OFFSET(CRONOPLE!$F$15,$M217-$A$15,AO$13)))</f>
        <v>1000000000000</v>
      </c>
      <c r="AP217" s="172">
        <f ca="1">IF(OR($D217&lt;&gt;"Serviço",AND(AUTOEVENTO="Manual",$M217=$A$15)),0,
         IF(OFFSET(CRONOPLE!$F$15,$M217-$A$15,AP$13)=0,10^12,OFFSET(CRONOPLE!$F$15,$M217-$A$15,AP$13)))</f>
        <v>1000000000000</v>
      </c>
      <c r="AQ217" s="172">
        <f ca="1">IF(OR($D217&lt;&gt;"Serviço",AND(AUTOEVENTO="Manual",$M217=$A$15)),0,
         IF(OFFSET(CRONOPLE!$F$15,$M217-$A$15,AQ$13)=0,10^12,OFFSET(CRONOPLE!$F$15,$M217-$A$15,AQ$13)))</f>
        <v>1000000000000</v>
      </c>
      <c r="AR217" s="172">
        <f ca="1">IF(OR($D217&lt;&gt;"Serviço",AND(AUTOEVENTO="Manual",$M217=$A$15)),0,
         IF(OFFSET(CRONOPLE!$F$15,$M217-$A$15,AR$13)=0,10^12,OFFSET(CRONOPLE!$F$15,$M217-$A$15,AR$13)))</f>
        <v>1000000000000</v>
      </c>
      <c r="AS217" s="172">
        <f ca="1">IF(OR($D217&lt;&gt;"Serviço",AND(AUTOEVENTO="Manual",$M217=$A$15)),0,
         IF(OFFSET(CRONOPLE!$F$15,$M217-$A$15,AS$13)=0,10^12,OFFSET(CRONOPLE!$F$15,$M217-$A$15,AS$13)))</f>
        <v>1000000000000</v>
      </c>
      <c r="AT217" s="172">
        <f ca="1">IF(OR($D217&lt;&gt;"Serviço",AND(AUTOEVENTO="Manual",$M217=$A$15)),0,
         IF(OFFSET(CRONOPLE!$F$15,$M217-$A$15,AT$13)=0,10^12,OFFSET(CRONOPLE!$F$15,$M217-$A$15,AT$13)))</f>
        <v>1000000000000</v>
      </c>
      <c r="AU217" s="172">
        <f ca="1">IF(OR($D217&lt;&gt;"Serviço",AND(AUTOEVENTO="Manual",$M217=$A$15)),0,
         IF(OFFSET(CRONOPLE!$F$15,$M217-$A$15,AU$13)=0,10^12,OFFSET(CRONOPLE!$F$15,$M217-$A$15,AU$13)))</f>
        <v>1000000000000</v>
      </c>
      <c r="AV217" s="172">
        <f ca="1">IF(OR($D217&lt;&gt;"Serviço",AND(AUTOEVENTO="Manual",$M217=$A$15)),0,
         IF(OFFSET(CRONOPLE!$F$15,$M217-$A$15,AV$13)=0,10^12,OFFSET(CRONOPLE!$F$15,$M217-$A$15,AV$13)))</f>
        <v>1000000000000</v>
      </c>
      <c r="AX217" s="173">
        <f ca="1">IF(OR($D217&lt;&gt;"Serviço",AND(AUTOEVENTO="Manual",$M217=$A$15),$M217&gt;(ROW(PLE.lastrow)-ROW(PLE.firstrow))),0,
           IF(OFFSET(PLE!$G$15,$M217-$A$15,AX$13)="",10^12,OFFSET(PLE!$G$15,$M217-$A$15,AX$13)))</f>
        <v>1000000000000</v>
      </c>
      <c r="AY217" s="173">
        <f ca="1">IF(OR($D217&lt;&gt;"Serviço",AND(AUTOEVENTO="Manual",$M217=$A$15),$M217&gt;(ROW(PLE.lastrow)-ROW(PLE.firstrow))),0,
           IF(OFFSET(PLE!$G$15,$M217-$A$15,AY$13)="",10^12,OFFSET(PLE!$G$15,$M217-$A$15,AY$13)))</f>
        <v>1000000000000</v>
      </c>
      <c r="AZ217" s="173">
        <f ca="1">IF(OR($D217&lt;&gt;"Serviço",AND(AUTOEVENTO="Manual",$M217=$A$15),$M217&gt;(ROW(PLE.lastrow)-ROW(PLE.firstrow))),0,
           IF(OFFSET(PLE!$G$15,$M217-$A$15,AZ$13)="",10^12,OFFSET(PLE!$G$15,$M217-$A$15,AZ$13)))</f>
        <v>1000000000000</v>
      </c>
      <c r="BA217" s="173">
        <f ca="1">IF(OR($D217&lt;&gt;"Serviço",AND(AUTOEVENTO="Manual",$M217=$A$15),$M217&gt;(ROW(PLE.lastrow)-ROW(PLE.firstrow))),0,
           IF(OFFSET(PLE!$G$15,$M217-$A$15,BA$13)="",10^12,OFFSET(PLE!$G$15,$M217-$A$15,BA$13)))</f>
        <v>1000000000000</v>
      </c>
      <c r="BB217" s="173">
        <f ca="1">IF(OR($D217&lt;&gt;"Serviço",AND(AUTOEVENTO="Manual",$M217=$A$15),$M217&gt;(ROW(PLE.lastrow)-ROW(PLE.firstrow))),0,
           IF(OFFSET(PLE!$G$15,$M217-$A$15,BB$13)="",10^12,OFFSET(PLE!$G$15,$M217-$A$15,BB$13)))</f>
        <v>1000000000000</v>
      </c>
      <c r="BC217" s="173">
        <f ca="1">IF(OR($D217&lt;&gt;"Serviço",AND(AUTOEVENTO="Manual",$M217=$A$15),$M217&gt;(ROW(PLE.lastrow)-ROW(PLE.firstrow))),0,
           IF(OFFSET(PLE!$G$15,$M217-$A$15,BC$13)="",10^12,OFFSET(PLE!$G$15,$M217-$A$15,BC$13)))</f>
        <v>1000000000000</v>
      </c>
      <c r="BD217" s="173">
        <f ca="1">IF(OR($D217&lt;&gt;"Serviço",AND(AUTOEVENTO="Manual",$M217=$A$15),$M217&gt;(ROW(PLE.lastrow)-ROW(PLE.firstrow))),0,
           IF(OFFSET(PLE!$G$15,$M217-$A$15,BD$13)="",10^12,OFFSET(PLE!$G$15,$M217-$A$15,BD$13)))</f>
        <v>1000000000000</v>
      </c>
      <c r="BE217" s="173">
        <f ca="1">IF(OR($D217&lt;&gt;"Serviço",AND(AUTOEVENTO="Manual",$M217=$A$15),$M217&gt;(ROW(PLE.lastrow)-ROW(PLE.firstrow))),0,
           IF(OFFSET(PLE!$G$15,$M217-$A$15,BE$13)="",10^12,OFFSET(PLE!$G$15,$M217-$A$15,BE$13)))</f>
        <v>1000000000000</v>
      </c>
      <c r="BF217" s="173">
        <f ca="1">IF(OR($D217&lt;&gt;"Serviço",AND(AUTOEVENTO="Manual",$M217=$A$15),$M217&gt;(ROW(PLE.lastrow)-ROW(PLE.firstrow))),0,
           IF(OFFSET(PLE!$G$15,$M217-$A$15,BF$13)="",10^12,OFFSET(PLE!$G$15,$M217-$A$15,BF$13)))</f>
        <v>1000000000000</v>
      </c>
      <c r="BG217" s="173">
        <f ca="1">IF(OR($D217&lt;&gt;"Serviço",AND(AUTOEVENTO="Manual",$M217=$A$15),$M217&gt;(ROW(PLE.lastrow)-ROW(PLE.firstrow))),0,
           IF(OFFSET(PLE!$G$15,$M217-$A$15,BG$13)="",10^12,OFFSET(PLE!$G$15,$M217-$A$15,BG$13)))</f>
        <v>1000000000000</v>
      </c>
    </row>
    <row r="218" spans="1:59" s="675" customFormat="1" ht="12.75" x14ac:dyDescent="0.2">
      <c r="A218" s="671" t="str">
        <f t="shared" ca="1" si="11"/>
        <v>203.</v>
      </c>
      <c r="B218" s="671">
        <f ca="1">OFFSET(ORÇAMENTO!C$15,ROW(B218)-ROW(B$15),0)</f>
        <v>2</v>
      </c>
      <c r="C218" s="671" t="str">
        <f ca="1">OFFSET(ORÇAMENTO!L$15,ROW(C218)-ROW(C$15),0)</f>
        <v>F</v>
      </c>
      <c r="D218" s="117" t="str">
        <f ca="1">OFFSET(ORÇAMENTO!N$15,ROW(D218)-ROW(D$15),0)</f>
        <v>Nível 2</v>
      </c>
      <c r="E218" s="118" t="str">
        <f ca="1">OFFSET(ORÇAMENTO!O$15,ROW(E218)-ROW(E$15),0)</f>
        <v>1.28.</v>
      </c>
      <c r="F218" s="164" t="str">
        <f ca="1">OFFSET(ORÇAMENTO!R$15,ROW(F218)-ROW(F$15),0)</f>
        <v>REVESTIMENTO, IMPERMEABILIZAÇÃO E PINTURA</v>
      </c>
      <c r="G218" s="165" t="str">
        <f ca="1">IF($D218&lt;&gt;"Serviço","",OFFSET(ORÇAMENTO!S$15,ROW(G218)-ROW(G$15),0))</f>
        <v/>
      </c>
      <c r="H218" s="123">
        <f ca="1">IF($D218&lt;&gt;"Serviço",0,IF(ACOMPANHAMENTO="BM",ROUND(OFFSET(ORÇAMENTO!AJ$15,ROW(H218)-ROW(H$15),0),15-13*ORÇAMENTO!$AF$7),SUMPRODUCT(($Q$1:$AA$1=1)*ROUND($Q218:$AA218,15-13*ORÇAMENTO!$AF$7))))</f>
        <v>0</v>
      </c>
      <c r="I218" s="469"/>
      <c r="J218" s="667" t="str">
        <f ca="1">IF(OR(B218&lt;&gt;"S",CÁLCULO.FrentesPreenchidas=0),"",IF(AND(ACOMPANHAMENTO="PLE",AUTOEVENTO="Manual",OR(H218&gt;0,ORÇAMENTO!AC218="QUANT."),OR(K218="",M218=0,N218="")),"►",IF(AND(ACOMPANHAMENTO="PLE",ORÇAMENTO!AC218="QUANT."),"►►",IF(AND(COUNTIF($P$11:$AA$11,"▼")=0,H218&gt;0,I218=""),"◄",""))))</f>
        <v/>
      </c>
      <c r="K218" s="668"/>
      <c r="L218" s="166" t="s">
        <v>765</v>
      </c>
      <c r="M218" s="167" t="str">
        <f ca="1">IF($D218&lt;&gt;"Serviço","",
          IF(AUTOEVENTO="manual",$A218,
                IF(ISERROR(MATCH($A218,$A$15:OFFSET($A218,-1,0),0)),MAX($M$15:OFFSET(M218,-1,0))+1,
                      INDEX($M$15:OFFSET(M218,-1,0),MATCH($A218,$A$15:OFFSET($A218,-1,0),0)))))</f>
        <v/>
      </c>
      <c r="N218" s="168" t="str">
        <f ca="1">IF($D218&lt;&gt;"Serviço","",
         IF(AUTOEVENTO="Manual",
                IF($A218=0,"&lt;-- defina o número do agrupador",
                       OFFSET(EVENTOS!$D$15,$A218-$A$15,0)),
                OFFSET($F$15,$A218,0)))</f>
        <v/>
      </c>
      <c r="O218" s="169"/>
      <c r="Q218" s="169"/>
      <c r="R218" s="170"/>
      <c r="S218" s="170"/>
      <c r="T218" s="170"/>
      <c r="U218" s="170"/>
      <c r="V218" s="170"/>
      <c r="W218" s="170"/>
      <c r="X218" s="170"/>
      <c r="Y218" s="170"/>
      <c r="Z218" s="171"/>
      <c r="AB218" s="454">
        <f ca="1">IF(AND($D218="Serviço",AB$12&lt;&gt;0,$H218&gt;0,OR(AUTOEVENTO&lt;&gt;"manual",$M218&lt;&gt;$A$15)),
        IF(Import.TipoArredondamento&lt;&gt;"TransfereGOV",
              ROUND(OFFSET($P218,0,AB$13),15-13*ORÇAMENTO!$AF$7)/$H218*OFFSET(ORÇAMENTO!$X$15,ROW(AB218)-ROW(AB$15),0),
              ROUND(ROUND(OFFSET($P218,0,AB$13),15-13*ORÇAMENTO!$AF$7)*OFFSET(ORÇAMENTO!$W$15,ROW(AB218)-ROW(AB$15),0),15-13*ORÇAMENTO!$AF$11)),
         0)</f>
        <v>0</v>
      </c>
      <c r="AC218" s="454">
        <f ca="1">IF(AND($D218="Serviço",AC$12&lt;&gt;0,$H218&gt;0,OR(AUTOEVENTO&lt;&gt;"manual",$M218&lt;&gt;$A$15)),
        IF(Import.TipoArredondamento&lt;&gt;"TransfereGOV",
              ROUND(OFFSET($P218,0,AC$13),15-13*ORÇAMENTO!$AF$7)/$H218*OFFSET(ORÇAMENTO!$X$15,ROW(AC218)-ROW(AC$15),0),
              ROUND(ROUND(OFFSET($P218,0,AC$13),15-13*ORÇAMENTO!$AF$7)*OFFSET(ORÇAMENTO!$W$15,ROW(AC218)-ROW(AC$15),0),15-13*ORÇAMENTO!$AF$11)),
         0)</f>
        <v>0</v>
      </c>
      <c r="AD218" s="454">
        <f ca="1">IF(AND($D218="Serviço",AD$12&lt;&gt;0,$H218&gt;0,OR(AUTOEVENTO&lt;&gt;"manual",$M218&lt;&gt;$A$15)),
        IF(Import.TipoArredondamento&lt;&gt;"TransfereGOV",
              ROUND(OFFSET($P218,0,AD$13),15-13*ORÇAMENTO!$AF$7)/$H218*OFFSET(ORÇAMENTO!$X$15,ROW(AD218)-ROW(AD$15),0),
              ROUND(ROUND(OFFSET($P218,0,AD$13),15-13*ORÇAMENTO!$AF$7)*OFFSET(ORÇAMENTO!$W$15,ROW(AD218)-ROW(AD$15),0),15-13*ORÇAMENTO!$AF$11)),
         0)</f>
        <v>0</v>
      </c>
      <c r="AE218" s="454">
        <f ca="1">IF(AND($D218="Serviço",AE$12&lt;&gt;0,$H218&gt;0,OR(AUTOEVENTO&lt;&gt;"manual",$M218&lt;&gt;$A$15)),
        IF(Import.TipoArredondamento&lt;&gt;"TransfereGOV",
              ROUND(OFFSET($P218,0,AE$13),15-13*ORÇAMENTO!$AF$7)/$H218*OFFSET(ORÇAMENTO!$X$15,ROW(AE218)-ROW(AE$15),0),
              ROUND(ROUND(OFFSET($P218,0,AE$13),15-13*ORÇAMENTO!$AF$7)*OFFSET(ORÇAMENTO!$W$15,ROW(AE218)-ROW(AE$15),0),15-13*ORÇAMENTO!$AF$11)),
         0)</f>
        <v>0</v>
      </c>
      <c r="AF218" s="454">
        <f ca="1">IF(AND($D218="Serviço",AF$12&lt;&gt;0,$H218&gt;0,OR(AUTOEVENTO&lt;&gt;"manual",$M218&lt;&gt;$A$15)),
        IF(Import.TipoArredondamento&lt;&gt;"TransfereGOV",
              ROUND(OFFSET($P218,0,AF$13),15-13*ORÇAMENTO!$AF$7)/$H218*OFFSET(ORÇAMENTO!$X$15,ROW(AF218)-ROW(AF$15),0),
              ROUND(ROUND(OFFSET($P218,0,AF$13),15-13*ORÇAMENTO!$AF$7)*OFFSET(ORÇAMENTO!$W$15,ROW(AF218)-ROW(AF$15),0),15-13*ORÇAMENTO!$AF$11)),
         0)</f>
        <v>0</v>
      </c>
      <c r="AG218" s="454">
        <f ca="1">IF(AND($D218="Serviço",AG$12&lt;&gt;0,$H218&gt;0,OR(AUTOEVENTO&lt;&gt;"manual",$M218&lt;&gt;$A$15)),
        IF(Import.TipoArredondamento&lt;&gt;"TransfereGOV",
              ROUND(OFFSET($P218,0,AG$13),15-13*ORÇAMENTO!$AF$7)/$H218*OFFSET(ORÇAMENTO!$X$15,ROW(AG218)-ROW(AG$15),0),
              ROUND(ROUND(OFFSET($P218,0,AG$13),15-13*ORÇAMENTO!$AF$7)*OFFSET(ORÇAMENTO!$W$15,ROW(AG218)-ROW(AG$15),0),15-13*ORÇAMENTO!$AF$11)),
         0)</f>
        <v>0</v>
      </c>
      <c r="AH218" s="454">
        <f ca="1">IF(AND($D218="Serviço",AH$12&lt;&gt;0,$H218&gt;0,OR(AUTOEVENTO&lt;&gt;"manual",$M218&lt;&gt;$A$15)),
        IF(Import.TipoArredondamento&lt;&gt;"TransfereGOV",
              ROUND(OFFSET($P218,0,AH$13),15-13*ORÇAMENTO!$AF$7)/$H218*OFFSET(ORÇAMENTO!$X$15,ROW(AH218)-ROW(AH$15),0),
              ROUND(ROUND(OFFSET($P218,0,AH$13),15-13*ORÇAMENTO!$AF$7)*OFFSET(ORÇAMENTO!$W$15,ROW(AH218)-ROW(AH$15),0),15-13*ORÇAMENTO!$AF$11)),
         0)</f>
        <v>0</v>
      </c>
      <c r="AI218" s="454">
        <f ca="1">IF(AND($D218="Serviço",AI$12&lt;&gt;0,$H218&gt;0,OR(AUTOEVENTO&lt;&gt;"manual",$M218&lt;&gt;$A$15)),
        IF(Import.TipoArredondamento&lt;&gt;"TransfereGOV",
              ROUND(OFFSET($P218,0,AI$13),15-13*ORÇAMENTO!$AF$7)/$H218*OFFSET(ORÇAMENTO!$X$15,ROW(AI218)-ROW(AI$15),0),
              ROUND(ROUND(OFFSET($P218,0,AI$13),15-13*ORÇAMENTO!$AF$7)*OFFSET(ORÇAMENTO!$W$15,ROW(AI218)-ROW(AI$15),0),15-13*ORÇAMENTO!$AF$11)),
         0)</f>
        <v>0</v>
      </c>
      <c r="AJ218" s="454">
        <f ca="1">IF(AND($D218="Serviço",AJ$12&lt;&gt;0,$H218&gt;0,OR(AUTOEVENTO&lt;&gt;"manual",$M218&lt;&gt;$A$15)),
        IF(Import.TipoArredondamento&lt;&gt;"TransfereGOV",
              ROUND(OFFSET($P218,0,AJ$13),15-13*ORÇAMENTO!$AF$7)/$H218*OFFSET(ORÇAMENTO!$X$15,ROW(AJ218)-ROW(AJ$15),0),
              ROUND(ROUND(OFFSET($P218,0,AJ$13),15-13*ORÇAMENTO!$AF$7)*OFFSET(ORÇAMENTO!$W$15,ROW(AJ218)-ROW(AJ$15),0),15-13*ORÇAMENTO!$AF$11)),
         0)</f>
        <v>0</v>
      </c>
      <c r="AK218" s="454">
        <f ca="1">IF(AND($D218="Serviço",AK$12&lt;&gt;0,$H218&gt;0,OR(AUTOEVENTO&lt;&gt;"manual",$M218&lt;&gt;$A$15)),
        IF(Import.TipoArredondamento&lt;&gt;"TransfereGOV",
              ROUND(OFFSET($P218,0,AK$13),15-13*ORÇAMENTO!$AF$7)/$H218*OFFSET(ORÇAMENTO!$X$15,ROW(AK218)-ROW(AK$15),0),
              ROUND(ROUND(OFFSET($P218,0,AK$13),15-13*ORÇAMENTO!$AF$7)*OFFSET(ORÇAMENTO!$W$15,ROW(AK218)-ROW(AK$15),0),15-13*ORÇAMENTO!$AF$11)),
         0)</f>
        <v>0</v>
      </c>
      <c r="AM218" s="172">
        <f ca="1">IF(OR($D218&lt;&gt;"Serviço",AND(AUTOEVENTO="Manual",$M218=$A$15)),0,
         IF(OFFSET(CRONOPLE!$F$15,$M218-$A$15,AM$13)=0,10^12,OFFSET(CRONOPLE!$F$15,$M218-$A$15,AM$13)))</f>
        <v>0</v>
      </c>
      <c r="AN218" s="172">
        <f ca="1">IF(OR($D218&lt;&gt;"Serviço",AND(AUTOEVENTO="Manual",$M218=$A$15)),0,
         IF(OFFSET(CRONOPLE!$F$15,$M218-$A$15,AN$13)=0,10^12,OFFSET(CRONOPLE!$F$15,$M218-$A$15,AN$13)))</f>
        <v>0</v>
      </c>
      <c r="AO218" s="172">
        <f ca="1">IF(OR($D218&lt;&gt;"Serviço",AND(AUTOEVENTO="Manual",$M218=$A$15)),0,
         IF(OFFSET(CRONOPLE!$F$15,$M218-$A$15,AO$13)=0,10^12,OFFSET(CRONOPLE!$F$15,$M218-$A$15,AO$13)))</f>
        <v>0</v>
      </c>
      <c r="AP218" s="172">
        <f ca="1">IF(OR($D218&lt;&gt;"Serviço",AND(AUTOEVENTO="Manual",$M218=$A$15)),0,
         IF(OFFSET(CRONOPLE!$F$15,$M218-$A$15,AP$13)=0,10^12,OFFSET(CRONOPLE!$F$15,$M218-$A$15,AP$13)))</f>
        <v>0</v>
      </c>
      <c r="AQ218" s="172">
        <f ca="1">IF(OR($D218&lt;&gt;"Serviço",AND(AUTOEVENTO="Manual",$M218=$A$15)),0,
         IF(OFFSET(CRONOPLE!$F$15,$M218-$A$15,AQ$13)=0,10^12,OFFSET(CRONOPLE!$F$15,$M218-$A$15,AQ$13)))</f>
        <v>0</v>
      </c>
      <c r="AR218" s="172">
        <f ca="1">IF(OR($D218&lt;&gt;"Serviço",AND(AUTOEVENTO="Manual",$M218=$A$15)),0,
         IF(OFFSET(CRONOPLE!$F$15,$M218-$A$15,AR$13)=0,10^12,OFFSET(CRONOPLE!$F$15,$M218-$A$15,AR$13)))</f>
        <v>0</v>
      </c>
      <c r="AS218" s="172">
        <f ca="1">IF(OR($D218&lt;&gt;"Serviço",AND(AUTOEVENTO="Manual",$M218=$A$15)),0,
         IF(OFFSET(CRONOPLE!$F$15,$M218-$A$15,AS$13)=0,10^12,OFFSET(CRONOPLE!$F$15,$M218-$A$15,AS$13)))</f>
        <v>0</v>
      </c>
      <c r="AT218" s="172">
        <f ca="1">IF(OR($D218&lt;&gt;"Serviço",AND(AUTOEVENTO="Manual",$M218=$A$15)),0,
         IF(OFFSET(CRONOPLE!$F$15,$M218-$A$15,AT$13)=0,10^12,OFFSET(CRONOPLE!$F$15,$M218-$A$15,AT$13)))</f>
        <v>0</v>
      </c>
      <c r="AU218" s="172">
        <f ca="1">IF(OR($D218&lt;&gt;"Serviço",AND(AUTOEVENTO="Manual",$M218=$A$15)),0,
         IF(OFFSET(CRONOPLE!$F$15,$M218-$A$15,AU$13)=0,10^12,OFFSET(CRONOPLE!$F$15,$M218-$A$15,AU$13)))</f>
        <v>0</v>
      </c>
      <c r="AV218" s="172">
        <f ca="1">IF(OR($D218&lt;&gt;"Serviço",AND(AUTOEVENTO="Manual",$M218=$A$15)),0,
         IF(OFFSET(CRONOPLE!$F$15,$M218-$A$15,AV$13)=0,10^12,OFFSET(CRONOPLE!$F$15,$M218-$A$15,AV$13)))</f>
        <v>0</v>
      </c>
      <c r="AX218" s="173">
        <f ca="1">IF(OR($D218&lt;&gt;"Serviço",AND(AUTOEVENTO="Manual",$M218=$A$15),$M218&gt;(ROW(PLE.lastrow)-ROW(PLE.firstrow))),0,
           IF(OFFSET(PLE!$G$15,$M218-$A$15,AX$13)="",10^12,OFFSET(PLE!$G$15,$M218-$A$15,AX$13)))</f>
        <v>0</v>
      </c>
      <c r="AY218" s="173">
        <f ca="1">IF(OR($D218&lt;&gt;"Serviço",AND(AUTOEVENTO="Manual",$M218=$A$15),$M218&gt;(ROW(PLE.lastrow)-ROW(PLE.firstrow))),0,
           IF(OFFSET(PLE!$G$15,$M218-$A$15,AY$13)="",10^12,OFFSET(PLE!$G$15,$M218-$A$15,AY$13)))</f>
        <v>0</v>
      </c>
      <c r="AZ218" s="173">
        <f ca="1">IF(OR($D218&lt;&gt;"Serviço",AND(AUTOEVENTO="Manual",$M218=$A$15),$M218&gt;(ROW(PLE.lastrow)-ROW(PLE.firstrow))),0,
           IF(OFFSET(PLE!$G$15,$M218-$A$15,AZ$13)="",10^12,OFFSET(PLE!$G$15,$M218-$A$15,AZ$13)))</f>
        <v>0</v>
      </c>
      <c r="BA218" s="173">
        <f ca="1">IF(OR($D218&lt;&gt;"Serviço",AND(AUTOEVENTO="Manual",$M218=$A$15),$M218&gt;(ROW(PLE.lastrow)-ROW(PLE.firstrow))),0,
           IF(OFFSET(PLE!$G$15,$M218-$A$15,BA$13)="",10^12,OFFSET(PLE!$G$15,$M218-$A$15,BA$13)))</f>
        <v>0</v>
      </c>
      <c r="BB218" s="173">
        <f ca="1">IF(OR($D218&lt;&gt;"Serviço",AND(AUTOEVENTO="Manual",$M218=$A$15),$M218&gt;(ROW(PLE.lastrow)-ROW(PLE.firstrow))),0,
           IF(OFFSET(PLE!$G$15,$M218-$A$15,BB$13)="",10^12,OFFSET(PLE!$G$15,$M218-$A$15,BB$13)))</f>
        <v>0</v>
      </c>
      <c r="BC218" s="173">
        <f ca="1">IF(OR($D218&lt;&gt;"Serviço",AND(AUTOEVENTO="Manual",$M218=$A$15),$M218&gt;(ROW(PLE.lastrow)-ROW(PLE.firstrow))),0,
           IF(OFFSET(PLE!$G$15,$M218-$A$15,BC$13)="",10^12,OFFSET(PLE!$G$15,$M218-$A$15,BC$13)))</f>
        <v>0</v>
      </c>
      <c r="BD218" s="173">
        <f ca="1">IF(OR($D218&lt;&gt;"Serviço",AND(AUTOEVENTO="Manual",$M218=$A$15),$M218&gt;(ROW(PLE.lastrow)-ROW(PLE.firstrow))),0,
           IF(OFFSET(PLE!$G$15,$M218-$A$15,BD$13)="",10^12,OFFSET(PLE!$G$15,$M218-$A$15,BD$13)))</f>
        <v>0</v>
      </c>
      <c r="BE218" s="173">
        <f ca="1">IF(OR($D218&lt;&gt;"Serviço",AND(AUTOEVENTO="Manual",$M218=$A$15),$M218&gt;(ROW(PLE.lastrow)-ROW(PLE.firstrow))),0,
           IF(OFFSET(PLE!$G$15,$M218-$A$15,BE$13)="",10^12,OFFSET(PLE!$G$15,$M218-$A$15,BE$13)))</f>
        <v>0</v>
      </c>
      <c r="BF218" s="173">
        <f ca="1">IF(OR($D218&lt;&gt;"Serviço",AND(AUTOEVENTO="Manual",$M218=$A$15),$M218&gt;(ROW(PLE.lastrow)-ROW(PLE.firstrow))),0,
           IF(OFFSET(PLE!$G$15,$M218-$A$15,BF$13)="",10^12,OFFSET(PLE!$G$15,$M218-$A$15,BF$13)))</f>
        <v>0</v>
      </c>
      <c r="BG218" s="173">
        <f ca="1">IF(OR($D218&lt;&gt;"Serviço",AND(AUTOEVENTO="Manual",$M218=$A$15),$M218&gt;(ROW(PLE.lastrow)-ROW(PLE.firstrow))),0,
           IF(OFFSET(PLE!$G$15,$M218-$A$15,BG$13)="",10^12,OFFSET(PLE!$G$15,$M218-$A$15,BG$13)))</f>
        <v>0</v>
      </c>
    </row>
    <row r="219" spans="1:59" s="675" customFormat="1" ht="51" x14ac:dyDescent="0.2">
      <c r="A219" s="671" t="str">
        <f t="shared" ca="1" si="11"/>
        <v>203</v>
      </c>
      <c r="B219" s="671" t="str">
        <f ca="1">OFFSET(ORÇAMENTO!C$15,ROW(B219)-ROW(B$15),0)</f>
        <v>S</v>
      </c>
      <c r="C219" s="671" t="str">
        <f ca="1">OFFSET(ORÇAMENTO!L$15,ROW(C219)-ROW(C$15),0)</f>
        <v/>
      </c>
      <c r="D219" s="117" t="str">
        <f ca="1">OFFSET(ORÇAMENTO!N$15,ROW(D219)-ROW(D$15),0)</f>
        <v>Serviço</v>
      </c>
      <c r="E219" s="118" t="str">
        <f ca="1">OFFSET(ORÇAMENTO!O$15,ROW(E219)-ROW(E$15),0)</f>
        <v>-</v>
      </c>
      <c r="F219" s="164" t="str">
        <f ca="1">OFFSET(ORÇAMENTO!R$15,ROW(F219)-ROW(F$15),0)</f>
        <v>(abra o arquivo 'Referência 09-2025.xlsm)</v>
      </c>
      <c r="G219" s="165" t="str">
        <f ca="1">IF($D219&lt;&gt;"Serviço","",OFFSET(ORÇAMENTO!S$15,ROW(G219)-ROW(G$15),0))</f>
        <v>-</v>
      </c>
      <c r="H219" s="123">
        <f ca="1">IF($D219&lt;&gt;"Serviço",0,IF(ACOMPANHAMENTO="BM",ROUND(OFFSET(ORÇAMENTO!AJ$15,ROW(H219)-ROW(H$15),0),15-13*ORÇAMENTO!$AF$7),SUMPRODUCT(($Q$1:$AA$1=1)*ROUND($Q219:$AA219,15-13*ORÇAMENTO!$AF$7))))</f>
        <v>66.239999999999995</v>
      </c>
      <c r="I219" s="469" t="s">
        <v>1110</v>
      </c>
      <c r="J219" s="667" t="str">
        <f ca="1">IF(OR(B219&lt;&gt;"S",CÁLCULO.FrentesPreenchidas=0),"",IF(AND(ACOMPANHAMENTO="PLE",AUTOEVENTO="Manual",OR(H219&gt;0,ORÇAMENTO!AC219="QUANT."),OR(K219="",M219=0,N219="")),"►",IF(AND(ACOMPANHAMENTO="PLE",ORÇAMENTO!AC219="QUANT."),"►►",IF(AND(COUNTIF($P$11:$AA$11,"▼")=0,H219&gt;0,I219=""),"◄",""))))</f>
        <v/>
      </c>
      <c r="K219" s="668"/>
      <c r="L219" s="166" t="s">
        <v>765</v>
      </c>
      <c r="M219" s="167">
        <f ca="1">IF($D219&lt;&gt;"Serviço","",
          IF(AUTOEVENTO="manual",$A219,
                IF(ISERROR(MATCH($A219,$A$15:OFFSET($A219,-1,0),0)),MAX($M$15:OFFSET(M219,-1,0))+1,
                      INDEX($M$15:OFFSET(M219,-1,0),MATCH($A219,$A$15:OFFSET($A219,-1,0),0)))))</f>
        <v>24</v>
      </c>
      <c r="N219" s="168" t="str">
        <f ca="1">IF($D219&lt;&gt;"Serviço","",
         IF(AUTOEVENTO="Manual",
                IF($A219=0,"&lt;-- defina o número do agrupador",
                       OFFSET(EVENTOS!$D$15,$A219-$A$15,0)),
                OFFSET($F$15,$A219,0)))</f>
        <v>REVESTIMENTO, IMPERMEABILIZAÇÃO E PINTURA</v>
      </c>
      <c r="O219" s="169"/>
      <c r="Q219" s="169"/>
      <c r="R219" s="170"/>
      <c r="S219" s="170"/>
      <c r="T219" s="170"/>
      <c r="U219" s="170"/>
      <c r="V219" s="170"/>
      <c r="W219" s="170"/>
      <c r="X219" s="170"/>
      <c r="Y219" s="170"/>
      <c r="Z219" s="171"/>
      <c r="AB219" s="454">
        <f ca="1">IF(AND($D219="Serviço",AB$12&lt;&gt;0,$H219&gt;0,OR(AUTOEVENTO&lt;&gt;"manual",$M219&lt;&gt;$A$15)),
        IF(Import.TipoArredondamento&lt;&gt;"TransfereGOV",
              ROUND(OFFSET($P219,0,AB$13),15-13*ORÇAMENTO!$AF$7)/$H219*OFFSET(ORÇAMENTO!$X$15,ROW(AB219)-ROW(AB$15),0),
              ROUND(ROUND(OFFSET($P219,0,AB$13),15-13*ORÇAMENTO!$AF$7)*OFFSET(ORÇAMENTO!$W$15,ROW(AB219)-ROW(AB$15),0),15-13*ORÇAMENTO!$AF$11)),
         0)</f>
        <v>0</v>
      </c>
      <c r="AC219" s="454">
        <f ca="1">IF(AND($D219="Serviço",AC$12&lt;&gt;0,$H219&gt;0,OR(AUTOEVENTO&lt;&gt;"manual",$M219&lt;&gt;$A$15)),
        IF(Import.TipoArredondamento&lt;&gt;"TransfereGOV",
              ROUND(OFFSET($P219,0,AC$13),15-13*ORÇAMENTO!$AF$7)/$H219*OFFSET(ORÇAMENTO!$X$15,ROW(AC219)-ROW(AC$15),0),
              ROUND(ROUND(OFFSET($P219,0,AC$13),15-13*ORÇAMENTO!$AF$7)*OFFSET(ORÇAMENTO!$W$15,ROW(AC219)-ROW(AC$15),0),15-13*ORÇAMENTO!$AF$11)),
         0)</f>
        <v>0</v>
      </c>
      <c r="AD219" s="454">
        <f ca="1">IF(AND($D219="Serviço",AD$12&lt;&gt;0,$H219&gt;0,OR(AUTOEVENTO&lt;&gt;"manual",$M219&lt;&gt;$A$15)),
        IF(Import.TipoArredondamento&lt;&gt;"TransfereGOV",
              ROUND(OFFSET($P219,0,AD$13),15-13*ORÇAMENTO!$AF$7)/$H219*OFFSET(ORÇAMENTO!$X$15,ROW(AD219)-ROW(AD$15),0),
              ROUND(ROUND(OFFSET($P219,0,AD$13),15-13*ORÇAMENTO!$AF$7)*OFFSET(ORÇAMENTO!$W$15,ROW(AD219)-ROW(AD$15),0),15-13*ORÇAMENTO!$AF$11)),
         0)</f>
        <v>0</v>
      </c>
      <c r="AE219" s="454">
        <f ca="1">IF(AND($D219="Serviço",AE$12&lt;&gt;0,$H219&gt;0,OR(AUTOEVENTO&lt;&gt;"manual",$M219&lt;&gt;$A$15)),
        IF(Import.TipoArredondamento&lt;&gt;"TransfereGOV",
              ROUND(OFFSET($P219,0,AE$13),15-13*ORÇAMENTO!$AF$7)/$H219*OFFSET(ORÇAMENTO!$X$15,ROW(AE219)-ROW(AE$15),0),
              ROUND(ROUND(OFFSET($P219,0,AE$13),15-13*ORÇAMENTO!$AF$7)*OFFSET(ORÇAMENTO!$W$15,ROW(AE219)-ROW(AE$15),0),15-13*ORÇAMENTO!$AF$11)),
         0)</f>
        <v>0</v>
      </c>
      <c r="AF219" s="454">
        <f ca="1">IF(AND($D219="Serviço",AF$12&lt;&gt;0,$H219&gt;0,OR(AUTOEVENTO&lt;&gt;"manual",$M219&lt;&gt;$A$15)),
        IF(Import.TipoArredondamento&lt;&gt;"TransfereGOV",
              ROUND(OFFSET($P219,0,AF$13),15-13*ORÇAMENTO!$AF$7)/$H219*OFFSET(ORÇAMENTO!$X$15,ROW(AF219)-ROW(AF$15),0),
              ROUND(ROUND(OFFSET($P219,0,AF$13),15-13*ORÇAMENTO!$AF$7)*OFFSET(ORÇAMENTO!$W$15,ROW(AF219)-ROW(AF$15),0),15-13*ORÇAMENTO!$AF$11)),
         0)</f>
        <v>0</v>
      </c>
      <c r="AG219" s="454">
        <f ca="1">IF(AND($D219="Serviço",AG$12&lt;&gt;0,$H219&gt;0,OR(AUTOEVENTO&lt;&gt;"manual",$M219&lt;&gt;$A$15)),
        IF(Import.TipoArredondamento&lt;&gt;"TransfereGOV",
              ROUND(OFFSET($P219,0,AG$13),15-13*ORÇAMENTO!$AF$7)/$H219*OFFSET(ORÇAMENTO!$X$15,ROW(AG219)-ROW(AG$15),0),
              ROUND(ROUND(OFFSET($P219,0,AG$13),15-13*ORÇAMENTO!$AF$7)*OFFSET(ORÇAMENTO!$W$15,ROW(AG219)-ROW(AG$15),0),15-13*ORÇAMENTO!$AF$11)),
         0)</f>
        <v>0</v>
      </c>
      <c r="AH219" s="454">
        <f ca="1">IF(AND($D219="Serviço",AH$12&lt;&gt;0,$H219&gt;0,OR(AUTOEVENTO&lt;&gt;"manual",$M219&lt;&gt;$A$15)),
        IF(Import.TipoArredondamento&lt;&gt;"TransfereGOV",
              ROUND(OFFSET($P219,0,AH$13),15-13*ORÇAMENTO!$AF$7)/$H219*OFFSET(ORÇAMENTO!$X$15,ROW(AH219)-ROW(AH$15),0),
              ROUND(ROUND(OFFSET($P219,0,AH$13),15-13*ORÇAMENTO!$AF$7)*OFFSET(ORÇAMENTO!$W$15,ROW(AH219)-ROW(AH$15),0),15-13*ORÇAMENTO!$AF$11)),
         0)</f>
        <v>0</v>
      </c>
      <c r="AI219" s="454">
        <f ca="1">IF(AND($D219="Serviço",AI$12&lt;&gt;0,$H219&gt;0,OR(AUTOEVENTO&lt;&gt;"manual",$M219&lt;&gt;$A$15)),
        IF(Import.TipoArredondamento&lt;&gt;"TransfereGOV",
              ROUND(OFFSET($P219,0,AI$13),15-13*ORÇAMENTO!$AF$7)/$H219*OFFSET(ORÇAMENTO!$X$15,ROW(AI219)-ROW(AI$15),0),
              ROUND(ROUND(OFFSET($P219,0,AI$13),15-13*ORÇAMENTO!$AF$7)*OFFSET(ORÇAMENTO!$W$15,ROW(AI219)-ROW(AI$15),0),15-13*ORÇAMENTO!$AF$11)),
         0)</f>
        <v>0</v>
      </c>
      <c r="AJ219" s="454">
        <f ca="1">IF(AND($D219="Serviço",AJ$12&lt;&gt;0,$H219&gt;0,OR(AUTOEVENTO&lt;&gt;"manual",$M219&lt;&gt;$A$15)),
        IF(Import.TipoArredondamento&lt;&gt;"TransfereGOV",
              ROUND(OFFSET($P219,0,AJ$13),15-13*ORÇAMENTO!$AF$7)/$H219*OFFSET(ORÇAMENTO!$X$15,ROW(AJ219)-ROW(AJ$15),0),
              ROUND(ROUND(OFFSET($P219,0,AJ$13),15-13*ORÇAMENTO!$AF$7)*OFFSET(ORÇAMENTO!$W$15,ROW(AJ219)-ROW(AJ$15),0),15-13*ORÇAMENTO!$AF$11)),
         0)</f>
        <v>0</v>
      </c>
      <c r="AK219" s="454">
        <f ca="1">IF(AND($D219="Serviço",AK$12&lt;&gt;0,$H219&gt;0,OR(AUTOEVENTO&lt;&gt;"manual",$M219&lt;&gt;$A$15)),
        IF(Import.TipoArredondamento&lt;&gt;"TransfereGOV",
              ROUND(OFFSET($P219,0,AK$13),15-13*ORÇAMENTO!$AF$7)/$H219*OFFSET(ORÇAMENTO!$X$15,ROW(AK219)-ROW(AK$15),0),
              ROUND(ROUND(OFFSET($P219,0,AK$13),15-13*ORÇAMENTO!$AF$7)*OFFSET(ORÇAMENTO!$W$15,ROW(AK219)-ROW(AK$15),0),15-13*ORÇAMENTO!$AF$11)),
         0)</f>
        <v>0</v>
      </c>
      <c r="AM219" s="172">
        <f ca="1">IF(OR($D219&lt;&gt;"Serviço",AND(AUTOEVENTO="Manual",$M219=$A$15)),0,
         IF(OFFSET(CRONOPLE!$F$15,$M219-$A$15,AM$13)=0,10^12,OFFSET(CRONOPLE!$F$15,$M219-$A$15,AM$13)))</f>
        <v>1000000000000</v>
      </c>
      <c r="AN219" s="172">
        <f ca="1">IF(OR($D219&lt;&gt;"Serviço",AND(AUTOEVENTO="Manual",$M219=$A$15)),0,
         IF(OFFSET(CRONOPLE!$F$15,$M219-$A$15,AN$13)=0,10^12,OFFSET(CRONOPLE!$F$15,$M219-$A$15,AN$13)))</f>
        <v>1000000000000</v>
      </c>
      <c r="AO219" s="172">
        <f ca="1">IF(OR($D219&lt;&gt;"Serviço",AND(AUTOEVENTO="Manual",$M219=$A$15)),0,
         IF(OFFSET(CRONOPLE!$F$15,$M219-$A$15,AO$13)=0,10^12,OFFSET(CRONOPLE!$F$15,$M219-$A$15,AO$13)))</f>
        <v>1000000000000</v>
      </c>
      <c r="AP219" s="172">
        <f ca="1">IF(OR($D219&lt;&gt;"Serviço",AND(AUTOEVENTO="Manual",$M219=$A$15)),0,
         IF(OFFSET(CRONOPLE!$F$15,$M219-$A$15,AP$13)=0,10^12,OFFSET(CRONOPLE!$F$15,$M219-$A$15,AP$13)))</f>
        <v>1000000000000</v>
      </c>
      <c r="AQ219" s="172">
        <f ca="1">IF(OR($D219&lt;&gt;"Serviço",AND(AUTOEVENTO="Manual",$M219=$A$15)),0,
         IF(OFFSET(CRONOPLE!$F$15,$M219-$A$15,AQ$13)=0,10^12,OFFSET(CRONOPLE!$F$15,$M219-$A$15,AQ$13)))</f>
        <v>1000000000000</v>
      </c>
      <c r="AR219" s="172">
        <f ca="1">IF(OR($D219&lt;&gt;"Serviço",AND(AUTOEVENTO="Manual",$M219=$A$15)),0,
         IF(OFFSET(CRONOPLE!$F$15,$M219-$A$15,AR$13)=0,10^12,OFFSET(CRONOPLE!$F$15,$M219-$A$15,AR$13)))</f>
        <v>1000000000000</v>
      </c>
      <c r="AS219" s="172">
        <f ca="1">IF(OR($D219&lt;&gt;"Serviço",AND(AUTOEVENTO="Manual",$M219=$A$15)),0,
         IF(OFFSET(CRONOPLE!$F$15,$M219-$A$15,AS$13)=0,10^12,OFFSET(CRONOPLE!$F$15,$M219-$A$15,AS$13)))</f>
        <v>1000000000000</v>
      </c>
      <c r="AT219" s="172">
        <f ca="1">IF(OR($D219&lt;&gt;"Serviço",AND(AUTOEVENTO="Manual",$M219=$A$15)),0,
         IF(OFFSET(CRONOPLE!$F$15,$M219-$A$15,AT$13)=0,10^12,OFFSET(CRONOPLE!$F$15,$M219-$A$15,AT$13)))</f>
        <v>1000000000000</v>
      </c>
      <c r="AU219" s="172">
        <f ca="1">IF(OR($D219&lt;&gt;"Serviço",AND(AUTOEVENTO="Manual",$M219=$A$15)),0,
         IF(OFFSET(CRONOPLE!$F$15,$M219-$A$15,AU$13)=0,10^12,OFFSET(CRONOPLE!$F$15,$M219-$A$15,AU$13)))</f>
        <v>1000000000000</v>
      </c>
      <c r="AV219" s="172">
        <f ca="1">IF(OR($D219&lt;&gt;"Serviço",AND(AUTOEVENTO="Manual",$M219=$A$15)),0,
         IF(OFFSET(CRONOPLE!$F$15,$M219-$A$15,AV$13)=0,10^12,OFFSET(CRONOPLE!$F$15,$M219-$A$15,AV$13)))</f>
        <v>1000000000000</v>
      </c>
      <c r="AX219" s="173">
        <f ca="1">IF(OR($D219&lt;&gt;"Serviço",AND(AUTOEVENTO="Manual",$M219=$A$15),$M219&gt;(ROW(PLE.lastrow)-ROW(PLE.firstrow))),0,
           IF(OFFSET(PLE!$G$15,$M219-$A$15,AX$13)="",10^12,OFFSET(PLE!$G$15,$M219-$A$15,AX$13)))</f>
        <v>1000000000000</v>
      </c>
      <c r="AY219" s="173">
        <f ca="1">IF(OR($D219&lt;&gt;"Serviço",AND(AUTOEVENTO="Manual",$M219=$A$15),$M219&gt;(ROW(PLE.lastrow)-ROW(PLE.firstrow))),0,
           IF(OFFSET(PLE!$G$15,$M219-$A$15,AY$13)="",10^12,OFFSET(PLE!$G$15,$M219-$A$15,AY$13)))</f>
        <v>1000000000000</v>
      </c>
      <c r="AZ219" s="173">
        <f ca="1">IF(OR($D219&lt;&gt;"Serviço",AND(AUTOEVENTO="Manual",$M219=$A$15),$M219&gt;(ROW(PLE.lastrow)-ROW(PLE.firstrow))),0,
           IF(OFFSET(PLE!$G$15,$M219-$A$15,AZ$13)="",10^12,OFFSET(PLE!$G$15,$M219-$A$15,AZ$13)))</f>
        <v>1000000000000</v>
      </c>
      <c r="BA219" s="173">
        <f ca="1">IF(OR($D219&lt;&gt;"Serviço",AND(AUTOEVENTO="Manual",$M219=$A$15),$M219&gt;(ROW(PLE.lastrow)-ROW(PLE.firstrow))),0,
           IF(OFFSET(PLE!$G$15,$M219-$A$15,BA$13)="",10^12,OFFSET(PLE!$G$15,$M219-$A$15,BA$13)))</f>
        <v>1000000000000</v>
      </c>
      <c r="BB219" s="173">
        <f ca="1">IF(OR($D219&lt;&gt;"Serviço",AND(AUTOEVENTO="Manual",$M219=$A$15),$M219&gt;(ROW(PLE.lastrow)-ROW(PLE.firstrow))),0,
           IF(OFFSET(PLE!$G$15,$M219-$A$15,BB$13)="",10^12,OFFSET(PLE!$G$15,$M219-$A$15,BB$13)))</f>
        <v>1000000000000</v>
      </c>
      <c r="BC219" s="173">
        <f ca="1">IF(OR($D219&lt;&gt;"Serviço",AND(AUTOEVENTO="Manual",$M219=$A$15),$M219&gt;(ROW(PLE.lastrow)-ROW(PLE.firstrow))),0,
           IF(OFFSET(PLE!$G$15,$M219-$A$15,BC$13)="",10^12,OFFSET(PLE!$G$15,$M219-$A$15,BC$13)))</f>
        <v>1000000000000</v>
      </c>
      <c r="BD219" s="173">
        <f ca="1">IF(OR($D219&lt;&gt;"Serviço",AND(AUTOEVENTO="Manual",$M219=$A$15),$M219&gt;(ROW(PLE.lastrow)-ROW(PLE.firstrow))),0,
           IF(OFFSET(PLE!$G$15,$M219-$A$15,BD$13)="",10^12,OFFSET(PLE!$G$15,$M219-$A$15,BD$13)))</f>
        <v>1000000000000</v>
      </c>
      <c r="BE219" s="173">
        <f ca="1">IF(OR($D219&lt;&gt;"Serviço",AND(AUTOEVENTO="Manual",$M219=$A$15),$M219&gt;(ROW(PLE.lastrow)-ROW(PLE.firstrow))),0,
           IF(OFFSET(PLE!$G$15,$M219-$A$15,BE$13)="",10^12,OFFSET(PLE!$G$15,$M219-$A$15,BE$13)))</f>
        <v>1000000000000</v>
      </c>
      <c r="BF219" s="173">
        <f ca="1">IF(OR($D219&lt;&gt;"Serviço",AND(AUTOEVENTO="Manual",$M219=$A$15),$M219&gt;(ROW(PLE.lastrow)-ROW(PLE.firstrow))),0,
           IF(OFFSET(PLE!$G$15,$M219-$A$15,BF$13)="",10^12,OFFSET(PLE!$G$15,$M219-$A$15,BF$13)))</f>
        <v>1000000000000</v>
      </c>
      <c r="BG219" s="173">
        <f ca="1">IF(OR($D219&lt;&gt;"Serviço",AND(AUTOEVENTO="Manual",$M219=$A$15),$M219&gt;(ROW(PLE.lastrow)-ROW(PLE.firstrow))),0,
           IF(OFFSET(PLE!$G$15,$M219-$A$15,BG$13)="",10^12,OFFSET(PLE!$G$15,$M219-$A$15,BG$13)))</f>
        <v>1000000000000</v>
      </c>
    </row>
    <row r="220" spans="1:59" s="675" customFormat="1" ht="38.25" x14ac:dyDescent="0.2">
      <c r="A220" s="671" t="str">
        <f t="shared" ca="1" si="11"/>
        <v>203</v>
      </c>
      <c r="B220" s="671" t="str">
        <f ca="1">OFFSET(ORÇAMENTO!C$15,ROW(B220)-ROW(B$15),0)</f>
        <v>S</v>
      </c>
      <c r="C220" s="671" t="str">
        <f ca="1">OFFSET(ORÇAMENTO!L$15,ROW(C220)-ROW(C$15),0)</f>
        <v/>
      </c>
      <c r="D220" s="117" t="str">
        <f ca="1">OFFSET(ORÇAMENTO!N$15,ROW(D220)-ROW(D$15),0)</f>
        <v>Serviço</v>
      </c>
      <c r="E220" s="118" t="str">
        <f ca="1">OFFSET(ORÇAMENTO!O$15,ROW(E220)-ROW(E$15),0)</f>
        <v>-</v>
      </c>
      <c r="F220" s="164" t="str">
        <f ca="1">OFFSET(ORÇAMENTO!R$15,ROW(F220)-ROW(F$15),0)</f>
        <v>(abra o arquivo 'Referência 09-2025.xlsm)</v>
      </c>
      <c r="G220" s="165" t="str">
        <f ca="1">IF($D220&lt;&gt;"Serviço","",OFFSET(ORÇAMENTO!S$15,ROW(G220)-ROW(G$15),0))</f>
        <v>-</v>
      </c>
      <c r="H220" s="123">
        <f ca="1">IF($D220&lt;&gt;"Serviço",0,IF(ACOMPANHAMENTO="BM",ROUND(OFFSET(ORÇAMENTO!AJ$15,ROW(H220)-ROW(H$15),0),15-13*ORÇAMENTO!$AF$7),SUMPRODUCT(($Q$1:$AA$1=1)*ROUND($Q220:$AA220,15-13*ORÇAMENTO!$AF$7))))</f>
        <v>112.48</v>
      </c>
      <c r="I220" s="469" t="s">
        <v>1110</v>
      </c>
      <c r="J220" s="667" t="str">
        <f ca="1">IF(OR(B220&lt;&gt;"S",CÁLCULO.FrentesPreenchidas=0),"",IF(AND(ACOMPANHAMENTO="PLE",AUTOEVENTO="Manual",OR(H220&gt;0,ORÇAMENTO!AC220="QUANT."),OR(K220="",M220=0,N220="")),"►",IF(AND(ACOMPANHAMENTO="PLE",ORÇAMENTO!AC220="QUANT."),"►►",IF(AND(COUNTIF($P$11:$AA$11,"▼")=0,H220&gt;0,I220=""),"◄",""))))</f>
        <v/>
      </c>
      <c r="K220" s="668"/>
      <c r="L220" s="166" t="s">
        <v>765</v>
      </c>
      <c r="M220" s="167">
        <f ca="1">IF($D220&lt;&gt;"Serviço","",
          IF(AUTOEVENTO="manual",$A220,
                IF(ISERROR(MATCH($A220,$A$15:OFFSET($A220,-1,0),0)),MAX($M$15:OFFSET(M220,-1,0))+1,
                      INDEX($M$15:OFFSET(M220,-1,0),MATCH($A220,$A$15:OFFSET($A220,-1,0),0)))))</f>
        <v>24</v>
      </c>
      <c r="N220" s="168" t="str">
        <f ca="1">IF($D220&lt;&gt;"Serviço","",
         IF(AUTOEVENTO="Manual",
                IF($A220=0,"&lt;-- defina o número do agrupador",
                       OFFSET(EVENTOS!$D$15,$A220-$A$15,0)),
                OFFSET($F$15,$A220,0)))</f>
        <v>REVESTIMENTO, IMPERMEABILIZAÇÃO E PINTURA</v>
      </c>
      <c r="O220" s="169"/>
      <c r="Q220" s="169"/>
      <c r="R220" s="170"/>
      <c r="S220" s="170"/>
      <c r="T220" s="170"/>
      <c r="U220" s="170"/>
      <c r="V220" s="170"/>
      <c r="W220" s="170"/>
      <c r="X220" s="170"/>
      <c r="Y220" s="170"/>
      <c r="Z220" s="171"/>
      <c r="AB220" s="454">
        <f ca="1">IF(AND($D220="Serviço",AB$12&lt;&gt;0,$H220&gt;0,OR(AUTOEVENTO&lt;&gt;"manual",$M220&lt;&gt;$A$15)),
        IF(Import.TipoArredondamento&lt;&gt;"TransfereGOV",
              ROUND(OFFSET($P220,0,AB$13),15-13*ORÇAMENTO!$AF$7)/$H220*OFFSET(ORÇAMENTO!$X$15,ROW(AB220)-ROW(AB$15),0),
              ROUND(ROUND(OFFSET($P220,0,AB$13),15-13*ORÇAMENTO!$AF$7)*OFFSET(ORÇAMENTO!$W$15,ROW(AB220)-ROW(AB$15),0),15-13*ORÇAMENTO!$AF$11)),
         0)</f>
        <v>0</v>
      </c>
      <c r="AC220" s="454">
        <f ca="1">IF(AND($D220="Serviço",AC$12&lt;&gt;0,$H220&gt;0,OR(AUTOEVENTO&lt;&gt;"manual",$M220&lt;&gt;$A$15)),
        IF(Import.TipoArredondamento&lt;&gt;"TransfereGOV",
              ROUND(OFFSET($P220,0,AC$13),15-13*ORÇAMENTO!$AF$7)/$H220*OFFSET(ORÇAMENTO!$X$15,ROW(AC220)-ROW(AC$15),0),
              ROUND(ROUND(OFFSET($P220,0,AC$13),15-13*ORÇAMENTO!$AF$7)*OFFSET(ORÇAMENTO!$W$15,ROW(AC220)-ROW(AC$15),0),15-13*ORÇAMENTO!$AF$11)),
         0)</f>
        <v>0</v>
      </c>
      <c r="AD220" s="454">
        <f ca="1">IF(AND($D220="Serviço",AD$12&lt;&gt;0,$H220&gt;0,OR(AUTOEVENTO&lt;&gt;"manual",$M220&lt;&gt;$A$15)),
        IF(Import.TipoArredondamento&lt;&gt;"TransfereGOV",
              ROUND(OFFSET($P220,0,AD$13),15-13*ORÇAMENTO!$AF$7)/$H220*OFFSET(ORÇAMENTO!$X$15,ROW(AD220)-ROW(AD$15),0),
              ROUND(ROUND(OFFSET($P220,0,AD$13),15-13*ORÇAMENTO!$AF$7)*OFFSET(ORÇAMENTO!$W$15,ROW(AD220)-ROW(AD$15),0),15-13*ORÇAMENTO!$AF$11)),
         0)</f>
        <v>0</v>
      </c>
      <c r="AE220" s="454">
        <f ca="1">IF(AND($D220="Serviço",AE$12&lt;&gt;0,$H220&gt;0,OR(AUTOEVENTO&lt;&gt;"manual",$M220&lt;&gt;$A$15)),
        IF(Import.TipoArredondamento&lt;&gt;"TransfereGOV",
              ROUND(OFFSET($P220,0,AE$13),15-13*ORÇAMENTO!$AF$7)/$H220*OFFSET(ORÇAMENTO!$X$15,ROW(AE220)-ROW(AE$15),0),
              ROUND(ROUND(OFFSET($P220,0,AE$13),15-13*ORÇAMENTO!$AF$7)*OFFSET(ORÇAMENTO!$W$15,ROW(AE220)-ROW(AE$15),0),15-13*ORÇAMENTO!$AF$11)),
         0)</f>
        <v>0</v>
      </c>
      <c r="AF220" s="454">
        <f ca="1">IF(AND($D220="Serviço",AF$12&lt;&gt;0,$H220&gt;0,OR(AUTOEVENTO&lt;&gt;"manual",$M220&lt;&gt;$A$15)),
        IF(Import.TipoArredondamento&lt;&gt;"TransfereGOV",
              ROUND(OFFSET($P220,0,AF$13),15-13*ORÇAMENTO!$AF$7)/$H220*OFFSET(ORÇAMENTO!$X$15,ROW(AF220)-ROW(AF$15),0),
              ROUND(ROUND(OFFSET($P220,0,AF$13),15-13*ORÇAMENTO!$AF$7)*OFFSET(ORÇAMENTO!$W$15,ROW(AF220)-ROW(AF$15),0),15-13*ORÇAMENTO!$AF$11)),
         0)</f>
        <v>0</v>
      </c>
      <c r="AG220" s="454">
        <f ca="1">IF(AND($D220="Serviço",AG$12&lt;&gt;0,$H220&gt;0,OR(AUTOEVENTO&lt;&gt;"manual",$M220&lt;&gt;$A$15)),
        IF(Import.TipoArredondamento&lt;&gt;"TransfereGOV",
              ROUND(OFFSET($P220,0,AG$13),15-13*ORÇAMENTO!$AF$7)/$H220*OFFSET(ORÇAMENTO!$X$15,ROW(AG220)-ROW(AG$15),0),
              ROUND(ROUND(OFFSET($P220,0,AG$13),15-13*ORÇAMENTO!$AF$7)*OFFSET(ORÇAMENTO!$W$15,ROW(AG220)-ROW(AG$15),0),15-13*ORÇAMENTO!$AF$11)),
         0)</f>
        <v>0</v>
      </c>
      <c r="AH220" s="454">
        <f ca="1">IF(AND($D220="Serviço",AH$12&lt;&gt;0,$H220&gt;0,OR(AUTOEVENTO&lt;&gt;"manual",$M220&lt;&gt;$A$15)),
        IF(Import.TipoArredondamento&lt;&gt;"TransfereGOV",
              ROUND(OFFSET($P220,0,AH$13),15-13*ORÇAMENTO!$AF$7)/$H220*OFFSET(ORÇAMENTO!$X$15,ROW(AH220)-ROW(AH$15),0),
              ROUND(ROUND(OFFSET($P220,0,AH$13),15-13*ORÇAMENTO!$AF$7)*OFFSET(ORÇAMENTO!$W$15,ROW(AH220)-ROW(AH$15),0),15-13*ORÇAMENTO!$AF$11)),
         0)</f>
        <v>0</v>
      </c>
      <c r="AI220" s="454">
        <f ca="1">IF(AND($D220="Serviço",AI$12&lt;&gt;0,$H220&gt;0,OR(AUTOEVENTO&lt;&gt;"manual",$M220&lt;&gt;$A$15)),
        IF(Import.TipoArredondamento&lt;&gt;"TransfereGOV",
              ROUND(OFFSET($P220,0,AI$13),15-13*ORÇAMENTO!$AF$7)/$H220*OFFSET(ORÇAMENTO!$X$15,ROW(AI220)-ROW(AI$15),0),
              ROUND(ROUND(OFFSET($P220,0,AI$13),15-13*ORÇAMENTO!$AF$7)*OFFSET(ORÇAMENTO!$W$15,ROW(AI220)-ROW(AI$15),0),15-13*ORÇAMENTO!$AF$11)),
         0)</f>
        <v>0</v>
      </c>
      <c r="AJ220" s="454">
        <f ca="1">IF(AND($D220="Serviço",AJ$12&lt;&gt;0,$H220&gt;0,OR(AUTOEVENTO&lt;&gt;"manual",$M220&lt;&gt;$A$15)),
        IF(Import.TipoArredondamento&lt;&gt;"TransfereGOV",
              ROUND(OFFSET($P220,0,AJ$13),15-13*ORÇAMENTO!$AF$7)/$H220*OFFSET(ORÇAMENTO!$X$15,ROW(AJ220)-ROW(AJ$15),0),
              ROUND(ROUND(OFFSET($P220,0,AJ$13),15-13*ORÇAMENTO!$AF$7)*OFFSET(ORÇAMENTO!$W$15,ROW(AJ220)-ROW(AJ$15),0),15-13*ORÇAMENTO!$AF$11)),
         0)</f>
        <v>0</v>
      </c>
      <c r="AK220" s="454">
        <f ca="1">IF(AND($D220="Serviço",AK$12&lt;&gt;0,$H220&gt;0,OR(AUTOEVENTO&lt;&gt;"manual",$M220&lt;&gt;$A$15)),
        IF(Import.TipoArredondamento&lt;&gt;"TransfereGOV",
              ROUND(OFFSET($P220,0,AK$13),15-13*ORÇAMENTO!$AF$7)/$H220*OFFSET(ORÇAMENTO!$X$15,ROW(AK220)-ROW(AK$15),0),
              ROUND(ROUND(OFFSET($P220,0,AK$13),15-13*ORÇAMENTO!$AF$7)*OFFSET(ORÇAMENTO!$W$15,ROW(AK220)-ROW(AK$15),0),15-13*ORÇAMENTO!$AF$11)),
         0)</f>
        <v>0</v>
      </c>
      <c r="AM220" s="172">
        <f ca="1">IF(OR($D220&lt;&gt;"Serviço",AND(AUTOEVENTO="Manual",$M220=$A$15)),0,
         IF(OFFSET(CRONOPLE!$F$15,$M220-$A$15,AM$13)=0,10^12,OFFSET(CRONOPLE!$F$15,$M220-$A$15,AM$13)))</f>
        <v>1000000000000</v>
      </c>
      <c r="AN220" s="172">
        <f ca="1">IF(OR($D220&lt;&gt;"Serviço",AND(AUTOEVENTO="Manual",$M220=$A$15)),0,
         IF(OFFSET(CRONOPLE!$F$15,$M220-$A$15,AN$13)=0,10^12,OFFSET(CRONOPLE!$F$15,$M220-$A$15,AN$13)))</f>
        <v>1000000000000</v>
      </c>
      <c r="AO220" s="172">
        <f ca="1">IF(OR($D220&lt;&gt;"Serviço",AND(AUTOEVENTO="Manual",$M220=$A$15)),0,
         IF(OFFSET(CRONOPLE!$F$15,$M220-$A$15,AO$13)=0,10^12,OFFSET(CRONOPLE!$F$15,$M220-$A$15,AO$13)))</f>
        <v>1000000000000</v>
      </c>
      <c r="AP220" s="172">
        <f ca="1">IF(OR($D220&lt;&gt;"Serviço",AND(AUTOEVENTO="Manual",$M220=$A$15)),0,
         IF(OFFSET(CRONOPLE!$F$15,$M220-$A$15,AP$13)=0,10^12,OFFSET(CRONOPLE!$F$15,$M220-$A$15,AP$13)))</f>
        <v>1000000000000</v>
      </c>
      <c r="AQ220" s="172">
        <f ca="1">IF(OR($D220&lt;&gt;"Serviço",AND(AUTOEVENTO="Manual",$M220=$A$15)),0,
         IF(OFFSET(CRONOPLE!$F$15,$M220-$A$15,AQ$13)=0,10^12,OFFSET(CRONOPLE!$F$15,$M220-$A$15,AQ$13)))</f>
        <v>1000000000000</v>
      </c>
      <c r="AR220" s="172">
        <f ca="1">IF(OR($D220&lt;&gt;"Serviço",AND(AUTOEVENTO="Manual",$M220=$A$15)),0,
         IF(OFFSET(CRONOPLE!$F$15,$M220-$A$15,AR$13)=0,10^12,OFFSET(CRONOPLE!$F$15,$M220-$A$15,AR$13)))</f>
        <v>1000000000000</v>
      </c>
      <c r="AS220" s="172">
        <f ca="1">IF(OR($D220&lt;&gt;"Serviço",AND(AUTOEVENTO="Manual",$M220=$A$15)),0,
         IF(OFFSET(CRONOPLE!$F$15,$M220-$A$15,AS$13)=0,10^12,OFFSET(CRONOPLE!$F$15,$M220-$A$15,AS$13)))</f>
        <v>1000000000000</v>
      </c>
      <c r="AT220" s="172">
        <f ca="1">IF(OR($D220&lt;&gt;"Serviço",AND(AUTOEVENTO="Manual",$M220=$A$15)),0,
         IF(OFFSET(CRONOPLE!$F$15,$M220-$A$15,AT$13)=0,10^12,OFFSET(CRONOPLE!$F$15,$M220-$A$15,AT$13)))</f>
        <v>1000000000000</v>
      </c>
      <c r="AU220" s="172">
        <f ca="1">IF(OR($D220&lt;&gt;"Serviço",AND(AUTOEVENTO="Manual",$M220=$A$15)),0,
         IF(OFFSET(CRONOPLE!$F$15,$M220-$A$15,AU$13)=0,10^12,OFFSET(CRONOPLE!$F$15,$M220-$A$15,AU$13)))</f>
        <v>1000000000000</v>
      </c>
      <c r="AV220" s="172">
        <f ca="1">IF(OR($D220&lt;&gt;"Serviço",AND(AUTOEVENTO="Manual",$M220=$A$15)),0,
         IF(OFFSET(CRONOPLE!$F$15,$M220-$A$15,AV$13)=0,10^12,OFFSET(CRONOPLE!$F$15,$M220-$A$15,AV$13)))</f>
        <v>1000000000000</v>
      </c>
      <c r="AX220" s="173">
        <f ca="1">IF(OR($D220&lt;&gt;"Serviço",AND(AUTOEVENTO="Manual",$M220=$A$15),$M220&gt;(ROW(PLE.lastrow)-ROW(PLE.firstrow))),0,
           IF(OFFSET(PLE!$G$15,$M220-$A$15,AX$13)="",10^12,OFFSET(PLE!$G$15,$M220-$A$15,AX$13)))</f>
        <v>1000000000000</v>
      </c>
      <c r="AY220" s="173">
        <f ca="1">IF(OR($D220&lt;&gt;"Serviço",AND(AUTOEVENTO="Manual",$M220=$A$15),$M220&gt;(ROW(PLE.lastrow)-ROW(PLE.firstrow))),0,
           IF(OFFSET(PLE!$G$15,$M220-$A$15,AY$13)="",10^12,OFFSET(PLE!$G$15,$M220-$A$15,AY$13)))</f>
        <v>1000000000000</v>
      </c>
      <c r="AZ220" s="173">
        <f ca="1">IF(OR($D220&lt;&gt;"Serviço",AND(AUTOEVENTO="Manual",$M220=$A$15),$M220&gt;(ROW(PLE.lastrow)-ROW(PLE.firstrow))),0,
           IF(OFFSET(PLE!$G$15,$M220-$A$15,AZ$13)="",10^12,OFFSET(PLE!$G$15,$M220-$A$15,AZ$13)))</f>
        <v>1000000000000</v>
      </c>
      <c r="BA220" s="173">
        <f ca="1">IF(OR($D220&lt;&gt;"Serviço",AND(AUTOEVENTO="Manual",$M220=$A$15),$M220&gt;(ROW(PLE.lastrow)-ROW(PLE.firstrow))),0,
           IF(OFFSET(PLE!$G$15,$M220-$A$15,BA$13)="",10^12,OFFSET(PLE!$G$15,$M220-$A$15,BA$13)))</f>
        <v>1000000000000</v>
      </c>
      <c r="BB220" s="173">
        <f ca="1">IF(OR($D220&lt;&gt;"Serviço",AND(AUTOEVENTO="Manual",$M220=$A$15),$M220&gt;(ROW(PLE.lastrow)-ROW(PLE.firstrow))),0,
           IF(OFFSET(PLE!$G$15,$M220-$A$15,BB$13)="",10^12,OFFSET(PLE!$G$15,$M220-$A$15,BB$13)))</f>
        <v>1000000000000</v>
      </c>
      <c r="BC220" s="173">
        <f ca="1">IF(OR($D220&lt;&gt;"Serviço",AND(AUTOEVENTO="Manual",$M220=$A$15),$M220&gt;(ROW(PLE.lastrow)-ROW(PLE.firstrow))),0,
           IF(OFFSET(PLE!$G$15,$M220-$A$15,BC$13)="",10^12,OFFSET(PLE!$G$15,$M220-$A$15,BC$13)))</f>
        <v>1000000000000</v>
      </c>
      <c r="BD220" s="173">
        <f ca="1">IF(OR($D220&lt;&gt;"Serviço",AND(AUTOEVENTO="Manual",$M220=$A$15),$M220&gt;(ROW(PLE.lastrow)-ROW(PLE.firstrow))),0,
           IF(OFFSET(PLE!$G$15,$M220-$A$15,BD$13)="",10^12,OFFSET(PLE!$G$15,$M220-$A$15,BD$13)))</f>
        <v>1000000000000</v>
      </c>
      <c r="BE220" s="173">
        <f ca="1">IF(OR($D220&lt;&gt;"Serviço",AND(AUTOEVENTO="Manual",$M220=$A$15),$M220&gt;(ROW(PLE.lastrow)-ROW(PLE.firstrow))),0,
           IF(OFFSET(PLE!$G$15,$M220-$A$15,BE$13)="",10^12,OFFSET(PLE!$G$15,$M220-$A$15,BE$13)))</f>
        <v>1000000000000</v>
      </c>
      <c r="BF220" s="173">
        <f ca="1">IF(OR($D220&lt;&gt;"Serviço",AND(AUTOEVENTO="Manual",$M220=$A$15),$M220&gt;(ROW(PLE.lastrow)-ROW(PLE.firstrow))),0,
           IF(OFFSET(PLE!$G$15,$M220-$A$15,BF$13)="",10^12,OFFSET(PLE!$G$15,$M220-$A$15,BF$13)))</f>
        <v>1000000000000</v>
      </c>
      <c r="BG220" s="173">
        <f ca="1">IF(OR($D220&lt;&gt;"Serviço",AND(AUTOEVENTO="Manual",$M220=$A$15),$M220&gt;(ROW(PLE.lastrow)-ROW(PLE.firstrow))),0,
           IF(OFFSET(PLE!$G$15,$M220-$A$15,BG$13)="",10^12,OFFSET(PLE!$G$15,$M220-$A$15,BG$13)))</f>
        <v>1000000000000</v>
      </c>
    </row>
    <row r="221" spans="1:59" s="720" customFormat="1" ht="12.75" x14ac:dyDescent="0.2">
      <c r="A221" s="718" t="str">
        <f t="shared" ca="1" si="11"/>
        <v>206.</v>
      </c>
      <c r="B221" s="718">
        <f ca="1">OFFSET(ORÇAMENTO!C$15,ROW(B221)-ROW(B$15),0)</f>
        <v>2</v>
      </c>
      <c r="C221" s="718" t="str">
        <f ca="1">OFFSET(ORÇAMENTO!L$15,ROW(C221)-ROW(C$15),0)</f>
        <v>F</v>
      </c>
      <c r="D221" s="117" t="str">
        <f ca="1">OFFSET(ORÇAMENTO!N$15,ROW(D221)-ROW(D$15),0)</f>
        <v>Nível 2</v>
      </c>
      <c r="E221" s="118" t="str">
        <f ca="1">OFFSET(ORÇAMENTO!O$15,ROW(E221)-ROW(E$15),0)</f>
        <v>1.29.</v>
      </c>
      <c r="F221" s="164" t="str">
        <f ca="1">OFFSET(ORÇAMENTO!R$15,ROW(F221)-ROW(F$15),0)</f>
        <v>EXTENSÃO REDE ELÉTRICA</v>
      </c>
      <c r="G221" s="165" t="str">
        <f ca="1">IF($D221&lt;&gt;"Serviço","",OFFSET(ORÇAMENTO!S$15,ROW(G221)-ROW(G$15),0))</f>
        <v/>
      </c>
      <c r="H221" s="123">
        <f ca="1">IF($D221&lt;&gt;"Serviço",0,IF(ACOMPANHAMENTO="BM",ROUND(OFFSET(ORÇAMENTO!AJ$15,ROW(H221)-ROW(H$15),0),15-13*ORÇAMENTO!$AF$7),SUMPRODUCT(($Q$1:$AA$1=1)*ROUND($Q221:$AA221,15-13*ORÇAMENTO!$AF$7))))</f>
        <v>0</v>
      </c>
      <c r="I221" s="469"/>
      <c r="J221" s="667" t="str">
        <f ca="1">IF(OR(B221&lt;&gt;"S",CÁLCULO.FrentesPreenchidas=0),"",IF(AND(ACOMPANHAMENTO="PLE",AUTOEVENTO="Manual",OR(H221&gt;0,ORÇAMENTO!AC221="QUANT."),OR(K221="",M221=0,N221="")),"►",IF(AND(ACOMPANHAMENTO="PLE",ORÇAMENTO!AC221="QUANT."),"►►",IF(AND(COUNTIF($P$11:$AA$11,"▼")=0,H221&gt;0,I221=""),"◄",""))))</f>
        <v/>
      </c>
      <c r="K221" s="668"/>
      <c r="L221" s="166" t="s">
        <v>765</v>
      </c>
      <c r="M221" s="167" t="str">
        <f ca="1">IF($D221&lt;&gt;"Serviço","",
          IF(AUTOEVENTO="manual",$A221,
                IF(ISERROR(MATCH($A221,$A$15:OFFSET($A221,-1,0),0)),MAX($M$15:OFFSET(M221,-1,0))+1,
                      INDEX($M$15:OFFSET(M221,-1,0),MATCH($A221,$A$15:OFFSET($A221,-1,0),0)))))</f>
        <v/>
      </c>
      <c r="N221" s="168" t="str">
        <f ca="1">IF($D221&lt;&gt;"Serviço","",
         IF(AUTOEVENTO="Manual",
                IF($A221=0,"&lt;-- defina o número do agrupador",
                       OFFSET(EVENTOS!$D$15,$A221-$A$15,0)),
                OFFSET($F$15,$A221,0)))</f>
        <v/>
      </c>
      <c r="O221" s="169"/>
      <c r="Q221" s="169"/>
      <c r="R221" s="170"/>
      <c r="S221" s="170"/>
      <c r="T221" s="170"/>
      <c r="U221" s="170"/>
      <c r="V221" s="170"/>
      <c r="W221" s="170"/>
      <c r="X221" s="170"/>
      <c r="Y221" s="170"/>
      <c r="Z221" s="171"/>
      <c r="AB221" s="454">
        <f ca="1">IF(AND($D221="Serviço",AB$12&lt;&gt;0,$H221&gt;0,OR(AUTOEVENTO&lt;&gt;"manual",$M221&lt;&gt;$A$15)),
        IF(Import.TipoArredondamento&lt;&gt;"TransfereGOV",
              ROUND(OFFSET($P221,0,AB$13),15-13*ORÇAMENTO!$AF$7)/$H221*OFFSET(ORÇAMENTO!$X$15,ROW(AB221)-ROW(AB$15),0),
              ROUND(ROUND(OFFSET($P221,0,AB$13),15-13*ORÇAMENTO!$AF$7)*OFFSET(ORÇAMENTO!$W$15,ROW(AB221)-ROW(AB$15),0),15-13*ORÇAMENTO!$AF$11)),
         0)</f>
        <v>0</v>
      </c>
      <c r="AC221" s="454">
        <f ca="1">IF(AND($D221="Serviço",AC$12&lt;&gt;0,$H221&gt;0,OR(AUTOEVENTO&lt;&gt;"manual",$M221&lt;&gt;$A$15)),
        IF(Import.TipoArredondamento&lt;&gt;"TransfereGOV",
              ROUND(OFFSET($P221,0,AC$13),15-13*ORÇAMENTO!$AF$7)/$H221*OFFSET(ORÇAMENTO!$X$15,ROW(AC221)-ROW(AC$15),0),
              ROUND(ROUND(OFFSET($P221,0,AC$13),15-13*ORÇAMENTO!$AF$7)*OFFSET(ORÇAMENTO!$W$15,ROW(AC221)-ROW(AC$15),0),15-13*ORÇAMENTO!$AF$11)),
         0)</f>
        <v>0</v>
      </c>
      <c r="AD221" s="454">
        <f ca="1">IF(AND($D221="Serviço",AD$12&lt;&gt;0,$H221&gt;0,OR(AUTOEVENTO&lt;&gt;"manual",$M221&lt;&gt;$A$15)),
        IF(Import.TipoArredondamento&lt;&gt;"TransfereGOV",
              ROUND(OFFSET($P221,0,AD$13),15-13*ORÇAMENTO!$AF$7)/$H221*OFFSET(ORÇAMENTO!$X$15,ROW(AD221)-ROW(AD$15),0),
              ROUND(ROUND(OFFSET($P221,0,AD$13),15-13*ORÇAMENTO!$AF$7)*OFFSET(ORÇAMENTO!$W$15,ROW(AD221)-ROW(AD$15),0),15-13*ORÇAMENTO!$AF$11)),
         0)</f>
        <v>0</v>
      </c>
      <c r="AE221" s="454">
        <f ca="1">IF(AND($D221="Serviço",AE$12&lt;&gt;0,$H221&gt;0,OR(AUTOEVENTO&lt;&gt;"manual",$M221&lt;&gt;$A$15)),
        IF(Import.TipoArredondamento&lt;&gt;"TransfereGOV",
              ROUND(OFFSET($P221,0,AE$13),15-13*ORÇAMENTO!$AF$7)/$H221*OFFSET(ORÇAMENTO!$X$15,ROW(AE221)-ROW(AE$15),0),
              ROUND(ROUND(OFFSET($P221,0,AE$13),15-13*ORÇAMENTO!$AF$7)*OFFSET(ORÇAMENTO!$W$15,ROW(AE221)-ROW(AE$15),0),15-13*ORÇAMENTO!$AF$11)),
         0)</f>
        <v>0</v>
      </c>
      <c r="AF221" s="454">
        <f ca="1">IF(AND($D221="Serviço",AF$12&lt;&gt;0,$H221&gt;0,OR(AUTOEVENTO&lt;&gt;"manual",$M221&lt;&gt;$A$15)),
        IF(Import.TipoArredondamento&lt;&gt;"TransfereGOV",
              ROUND(OFFSET($P221,0,AF$13),15-13*ORÇAMENTO!$AF$7)/$H221*OFFSET(ORÇAMENTO!$X$15,ROW(AF221)-ROW(AF$15),0),
              ROUND(ROUND(OFFSET($P221,0,AF$13),15-13*ORÇAMENTO!$AF$7)*OFFSET(ORÇAMENTO!$W$15,ROW(AF221)-ROW(AF$15),0),15-13*ORÇAMENTO!$AF$11)),
         0)</f>
        <v>0</v>
      </c>
      <c r="AG221" s="454">
        <f ca="1">IF(AND($D221="Serviço",AG$12&lt;&gt;0,$H221&gt;0,OR(AUTOEVENTO&lt;&gt;"manual",$M221&lt;&gt;$A$15)),
        IF(Import.TipoArredondamento&lt;&gt;"TransfereGOV",
              ROUND(OFFSET($P221,0,AG$13),15-13*ORÇAMENTO!$AF$7)/$H221*OFFSET(ORÇAMENTO!$X$15,ROW(AG221)-ROW(AG$15),0),
              ROUND(ROUND(OFFSET($P221,0,AG$13),15-13*ORÇAMENTO!$AF$7)*OFFSET(ORÇAMENTO!$W$15,ROW(AG221)-ROW(AG$15),0),15-13*ORÇAMENTO!$AF$11)),
         0)</f>
        <v>0</v>
      </c>
      <c r="AH221" s="454">
        <f ca="1">IF(AND($D221="Serviço",AH$12&lt;&gt;0,$H221&gt;0,OR(AUTOEVENTO&lt;&gt;"manual",$M221&lt;&gt;$A$15)),
        IF(Import.TipoArredondamento&lt;&gt;"TransfereGOV",
              ROUND(OFFSET($P221,0,AH$13),15-13*ORÇAMENTO!$AF$7)/$H221*OFFSET(ORÇAMENTO!$X$15,ROW(AH221)-ROW(AH$15),0),
              ROUND(ROUND(OFFSET($P221,0,AH$13),15-13*ORÇAMENTO!$AF$7)*OFFSET(ORÇAMENTO!$W$15,ROW(AH221)-ROW(AH$15),0),15-13*ORÇAMENTO!$AF$11)),
         0)</f>
        <v>0</v>
      </c>
      <c r="AI221" s="454">
        <f ca="1">IF(AND($D221="Serviço",AI$12&lt;&gt;0,$H221&gt;0,OR(AUTOEVENTO&lt;&gt;"manual",$M221&lt;&gt;$A$15)),
        IF(Import.TipoArredondamento&lt;&gt;"TransfereGOV",
              ROUND(OFFSET($P221,0,AI$13),15-13*ORÇAMENTO!$AF$7)/$H221*OFFSET(ORÇAMENTO!$X$15,ROW(AI221)-ROW(AI$15),0),
              ROUND(ROUND(OFFSET($P221,0,AI$13),15-13*ORÇAMENTO!$AF$7)*OFFSET(ORÇAMENTO!$W$15,ROW(AI221)-ROW(AI$15),0),15-13*ORÇAMENTO!$AF$11)),
         0)</f>
        <v>0</v>
      </c>
      <c r="AJ221" s="454">
        <f ca="1">IF(AND($D221="Serviço",AJ$12&lt;&gt;0,$H221&gt;0,OR(AUTOEVENTO&lt;&gt;"manual",$M221&lt;&gt;$A$15)),
        IF(Import.TipoArredondamento&lt;&gt;"TransfereGOV",
              ROUND(OFFSET($P221,0,AJ$13),15-13*ORÇAMENTO!$AF$7)/$H221*OFFSET(ORÇAMENTO!$X$15,ROW(AJ221)-ROW(AJ$15),0),
              ROUND(ROUND(OFFSET($P221,0,AJ$13),15-13*ORÇAMENTO!$AF$7)*OFFSET(ORÇAMENTO!$W$15,ROW(AJ221)-ROW(AJ$15),0),15-13*ORÇAMENTO!$AF$11)),
         0)</f>
        <v>0</v>
      </c>
      <c r="AK221" s="454">
        <f ca="1">IF(AND($D221="Serviço",AK$12&lt;&gt;0,$H221&gt;0,OR(AUTOEVENTO&lt;&gt;"manual",$M221&lt;&gt;$A$15)),
        IF(Import.TipoArredondamento&lt;&gt;"TransfereGOV",
              ROUND(OFFSET($P221,0,AK$13),15-13*ORÇAMENTO!$AF$7)/$H221*OFFSET(ORÇAMENTO!$X$15,ROW(AK221)-ROW(AK$15),0),
              ROUND(ROUND(OFFSET($P221,0,AK$13),15-13*ORÇAMENTO!$AF$7)*OFFSET(ORÇAMENTO!$W$15,ROW(AK221)-ROW(AK$15),0),15-13*ORÇAMENTO!$AF$11)),
         0)</f>
        <v>0</v>
      </c>
      <c r="AM221" s="172">
        <f ca="1">IF(OR($D221&lt;&gt;"Serviço",AND(AUTOEVENTO="Manual",$M221=$A$15)),0,
         IF(OFFSET(CRONOPLE!$F$15,$M221-$A$15,AM$13)=0,10^12,OFFSET(CRONOPLE!$F$15,$M221-$A$15,AM$13)))</f>
        <v>0</v>
      </c>
      <c r="AN221" s="172">
        <f ca="1">IF(OR($D221&lt;&gt;"Serviço",AND(AUTOEVENTO="Manual",$M221=$A$15)),0,
         IF(OFFSET(CRONOPLE!$F$15,$M221-$A$15,AN$13)=0,10^12,OFFSET(CRONOPLE!$F$15,$M221-$A$15,AN$13)))</f>
        <v>0</v>
      </c>
      <c r="AO221" s="172">
        <f ca="1">IF(OR($D221&lt;&gt;"Serviço",AND(AUTOEVENTO="Manual",$M221=$A$15)),0,
         IF(OFFSET(CRONOPLE!$F$15,$M221-$A$15,AO$13)=0,10^12,OFFSET(CRONOPLE!$F$15,$M221-$A$15,AO$13)))</f>
        <v>0</v>
      </c>
      <c r="AP221" s="172">
        <f ca="1">IF(OR($D221&lt;&gt;"Serviço",AND(AUTOEVENTO="Manual",$M221=$A$15)),0,
         IF(OFFSET(CRONOPLE!$F$15,$M221-$A$15,AP$13)=0,10^12,OFFSET(CRONOPLE!$F$15,$M221-$A$15,AP$13)))</f>
        <v>0</v>
      </c>
      <c r="AQ221" s="172">
        <f ca="1">IF(OR($D221&lt;&gt;"Serviço",AND(AUTOEVENTO="Manual",$M221=$A$15)),0,
         IF(OFFSET(CRONOPLE!$F$15,$M221-$A$15,AQ$13)=0,10^12,OFFSET(CRONOPLE!$F$15,$M221-$A$15,AQ$13)))</f>
        <v>0</v>
      </c>
      <c r="AR221" s="172">
        <f ca="1">IF(OR($D221&lt;&gt;"Serviço",AND(AUTOEVENTO="Manual",$M221=$A$15)),0,
         IF(OFFSET(CRONOPLE!$F$15,$M221-$A$15,AR$13)=0,10^12,OFFSET(CRONOPLE!$F$15,$M221-$A$15,AR$13)))</f>
        <v>0</v>
      </c>
      <c r="AS221" s="172">
        <f ca="1">IF(OR($D221&lt;&gt;"Serviço",AND(AUTOEVENTO="Manual",$M221=$A$15)),0,
         IF(OFFSET(CRONOPLE!$F$15,$M221-$A$15,AS$13)=0,10^12,OFFSET(CRONOPLE!$F$15,$M221-$A$15,AS$13)))</f>
        <v>0</v>
      </c>
      <c r="AT221" s="172">
        <f ca="1">IF(OR($D221&lt;&gt;"Serviço",AND(AUTOEVENTO="Manual",$M221=$A$15)),0,
         IF(OFFSET(CRONOPLE!$F$15,$M221-$A$15,AT$13)=0,10^12,OFFSET(CRONOPLE!$F$15,$M221-$A$15,AT$13)))</f>
        <v>0</v>
      </c>
      <c r="AU221" s="172">
        <f ca="1">IF(OR($D221&lt;&gt;"Serviço",AND(AUTOEVENTO="Manual",$M221=$A$15)),0,
         IF(OFFSET(CRONOPLE!$F$15,$M221-$A$15,AU$13)=0,10^12,OFFSET(CRONOPLE!$F$15,$M221-$A$15,AU$13)))</f>
        <v>0</v>
      </c>
      <c r="AV221" s="172">
        <f ca="1">IF(OR($D221&lt;&gt;"Serviço",AND(AUTOEVENTO="Manual",$M221=$A$15)),0,
         IF(OFFSET(CRONOPLE!$F$15,$M221-$A$15,AV$13)=0,10^12,OFFSET(CRONOPLE!$F$15,$M221-$A$15,AV$13)))</f>
        <v>0</v>
      </c>
      <c r="AX221" s="173">
        <f ca="1">IF(OR($D221&lt;&gt;"Serviço",AND(AUTOEVENTO="Manual",$M221=$A$15),$M221&gt;(ROW(PLE.lastrow)-ROW(PLE.firstrow))),0,
           IF(OFFSET(PLE!$G$15,$M221-$A$15,AX$13)="",10^12,OFFSET(PLE!$G$15,$M221-$A$15,AX$13)))</f>
        <v>0</v>
      </c>
      <c r="AY221" s="173">
        <f ca="1">IF(OR($D221&lt;&gt;"Serviço",AND(AUTOEVENTO="Manual",$M221=$A$15),$M221&gt;(ROW(PLE.lastrow)-ROW(PLE.firstrow))),0,
           IF(OFFSET(PLE!$G$15,$M221-$A$15,AY$13)="",10^12,OFFSET(PLE!$G$15,$M221-$A$15,AY$13)))</f>
        <v>0</v>
      </c>
      <c r="AZ221" s="173">
        <f ca="1">IF(OR($D221&lt;&gt;"Serviço",AND(AUTOEVENTO="Manual",$M221=$A$15),$M221&gt;(ROW(PLE.lastrow)-ROW(PLE.firstrow))),0,
           IF(OFFSET(PLE!$G$15,$M221-$A$15,AZ$13)="",10^12,OFFSET(PLE!$G$15,$M221-$A$15,AZ$13)))</f>
        <v>0</v>
      </c>
      <c r="BA221" s="173">
        <f ca="1">IF(OR($D221&lt;&gt;"Serviço",AND(AUTOEVENTO="Manual",$M221=$A$15),$M221&gt;(ROW(PLE.lastrow)-ROW(PLE.firstrow))),0,
           IF(OFFSET(PLE!$G$15,$M221-$A$15,BA$13)="",10^12,OFFSET(PLE!$G$15,$M221-$A$15,BA$13)))</f>
        <v>0</v>
      </c>
      <c r="BB221" s="173">
        <f ca="1">IF(OR($D221&lt;&gt;"Serviço",AND(AUTOEVENTO="Manual",$M221=$A$15),$M221&gt;(ROW(PLE.lastrow)-ROW(PLE.firstrow))),0,
           IF(OFFSET(PLE!$G$15,$M221-$A$15,BB$13)="",10^12,OFFSET(PLE!$G$15,$M221-$A$15,BB$13)))</f>
        <v>0</v>
      </c>
      <c r="BC221" s="173">
        <f ca="1">IF(OR($D221&lt;&gt;"Serviço",AND(AUTOEVENTO="Manual",$M221=$A$15),$M221&gt;(ROW(PLE.lastrow)-ROW(PLE.firstrow))),0,
           IF(OFFSET(PLE!$G$15,$M221-$A$15,BC$13)="",10^12,OFFSET(PLE!$G$15,$M221-$A$15,BC$13)))</f>
        <v>0</v>
      </c>
      <c r="BD221" s="173">
        <f ca="1">IF(OR($D221&lt;&gt;"Serviço",AND(AUTOEVENTO="Manual",$M221=$A$15),$M221&gt;(ROW(PLE.lastrow)-ROW(PLE.firstrow))),0,
           IF(OFFSET(PLE!$G$15,$M221-$A$15,BD$13)="",10^12,OFFSET(PLE!$G$15,$M221-$A$15,BD$13)))</f>
        <v>0</v>
      </c>
      <c r="BE221" s="173">
        <f ca="1">IF(OR($D221&lt;&gt;"Serviço",AND(AUTOEVENTO="Manual",$M221=$A$15),$M221&gt;(ROW(PLE.lastrow)-ROW(PLE.firstrow))),0,
           IF(OFFSET(PLE!$G$15,$M221-$A$15,BE$13)="",10^12,OFFSET(PLE!$G$15,$M221-$A$15,BE$13)))</f>
        <v>0</v>
      </c>
      <c r="BF221" s="173">
        <f ca="1">IF(OR($D221&lt;&gt;"Serviço",AND(AUTOEVENTO="Manual",$M221=$A$15),$M221&gt;(ROW(PLE.lastrow)-ROW(PLE.firstrow))),0,
           IF(OFFSET(PLE!$G$15,$M221-$A$15,BF$13)="",10^12,OFFSET(PLE!$G$15,$M221-$A$15,BF$13)))</f>
        <v>0</v>
      </c>
      <c r="BG221" s="173">
        <f ca="1">IF(OR($D221&lt;&gt;"Serviço",AND(AUTOEVENTO="Manual",$M221=$A$15),$M221&gt;(ROW(PLE.lastrow)-ROW(PLE.firstrow))),0,
           IF(OFFSET(PLE!$G$15,$M221-$A$15,BG$13)="",10^12,OFFSET(PLE!$G$15,$M221-$A$15,BG$13)))</f>
        <v>0</v>
      </c>
    </row>
    <row r="222" spans="1:59" s="720" customFormat="1" ht="63.75" x14ac:dyDescent="0.2">
      <c r="A222" s="718" t="str">
        <f t="shared" ca="1" si="11"/>
        <v>206</v>
      </c>
      <c r="B222" s="718" t="str">
        <f ca="1">OFFSET(ORÇAMENTO!C$15,ROW(B222)-ROW(B$15),0)</f>
        <v>S</v>
      </c>
      <c r="C222" s="718" t="str">
        <f ca="1">OFFSET(ORÇAMENTO!L$15,ROW(C222)-ROW(C$15),0)</f>
        <v/>
      </c>
      <c r="D222" s="117" t="str">
        <f ca="1">OFFSET(ORÇAMENTO!N$15,ROW(D222)-ROW(D$15),0)</f>
        <v>Serviço</v>
      </c>
      <c r="E222" s="118" t="str">
        <f ca="1">OFFSET(ORÇAMENTO!O$15,ROW(E222)-ROW(E$15),0)</f>
        <v>-</v>
      </c>
      <c r="F222" s="164" t="str">
        <f ca="1">OFFSET(ORÇAMENTO!R$15,ROW(F222)-ROW(F$15),0)</f>
        <v>(abra o arquivo 'Referência 09-2025.xlsm)</v>
      </c>
      <c r="G222" s="165" t="str">
        <f ca="1">IF($D222&lt;&gt;"Serviço","",OFFSET(ORÇAMENTO!S$15,ROW(G222)-ROW(G$15),0))</f>
        <v>-</v>
      </c>
      <c r="H222" s="123">
        <f ca="1">IF($D222&lt;&gt;"Serviço",0,IF(ACOMPANHAMENTO="BM",ROUND(OFFSET(ORÇAMENTO!AJ$15,ROW(H222)-ROW(H$15),0),15-13*ORÇAMENTO!$AF$7),SUMPRODUCT(($Q$1:$AA$1=1)*ROUND($Q222:$AA222,15-13*ORÇAMENTO!$AF$7))))</f>
        <v>1</v>
      </c>
      <c r="I222" s="469" t="s">
        <v>1171</v>
      </c>
      <c r="J222" s="667" t="str">
        <f ca="1">IF(OR(B222&lt;&gt;"S",CÁLCULO.FrentesPreenchidas=0),"",IF(AND(ACOMPANHAMENTO="PLE",AUTOEVENTO="Manual",OR(H222&gt;0,ORÇAMENTO!AC222="QUANT."),OR(K222="",M222=0,N222="")),"►",IF(AND(ACOMPANHAMENTO="PLE",ORÇAMENTO!AC222="QUANT."),"►►",IF(AND(COUNTIF($P$11:$AA$11,"▼")=0,H222&gt;0,I222=""),"◄",""))))</f>
        <v/>
      </c>
      <c r="K222" s="668"/>
      <c r="L222" s="166" t="s">
        <v>765</v>
      </c>
      <c r="M222" s="167">
        <f ca="1">IF($D222&lt;&gt;"Serviço","",
          IF(AUTOEVENTO="manual",$A222,
                IF(ISERROR(MATCH($A222,$A$15:OFFSET($A222,-1,0),0)),MAX($M$15:OFFSET(M222,-1,0))+1,
                      INDEX($M$15:OFFSET(M222,-1,0),MATCH($A222,$A$15:OFFSET($A222,-1,0),0)))))</f>
        <v>25</v>
      </c>
      <c r="N222" s="168" t="str">
        <f ca="1">IF($D222&lt;&gt;"Serviço","",
         IF(AUTOEVENTO="Manual",
                IF($A222=0,"&lt;-- defina o número do agrupador",
                       OFFSET(EVENTOS!$D$15,$A222-$A$15,0)),
                OFFSET($F$15,$A222,0)))</f>
        <v>EXTENSÃO REDE ELÉTRICA</v>
      </c>
      <c r="O222" s="169"/>
      <c r="Q222" s="169"/>
      <c r="R222" s="170"/>
      <c r="S222" s="170"/>
      <c r="T222" s="170"/>
      <c r="U222" s="170"/>
      <c r="V222" s="170"/>
      <c r="W222" s="170"/>
      <c r="X222" s="170"/>
      <c r="Y222" s="170"/>
      <c r="Z222" s="171"/>
      <c r="AB222" s="454">
        <f ca="1">IF(AND($D222="Serviço",AB$12&lt;&gt;0,$H222&gt;0,OR(AUTOEVENTO&lt;&gt;"manual",$M222&lt;&gt;$A$15)),
        IF(Import.TipoArredondamento&lt;&gt;"TransfereGOV",
              ROUND(OFFSET($P222,0,AB$13),15-13*ORÇAMENTO!$AF$7)/$H222*OFFSET(ORÇAMENTO!$X$15,ROW(AB222)-ROW(AB$15),0),
              ROUND(ROUND(OFFSET($P222,0,AB$13),15-13*ORÇAMENTO!$AF$7)*OFFSET(ORÇAMENTO!$W$15,ROW(AB222)-ROW(AB$15),0),15-13*ORÇAMENTO!$AF$11)),
         0)</f>
        <v>0</v>
      </c>
      <c r="AC222" s="454">
        <f ca="1">IF(AND($D222="Serviço",AC$12&lt;&gt;0,$H222&gt;0,OR(AUTOEVENTO&lt;&gt;"manual",$M222&lt;&gt;$A$15)),
        IF(Import.TipoArredondamento&lt;&gt;"TransfereGOV",
              ROUND(OFFSET($P222,0,AC$13),15-13*ORÇAMENTO!$AF$7)/$H222*OFFSET(ORÇAMENTO!$X$15,ROW(AC222)-ROW(AC$15),0),
              ROUND(ROUND(OFFSET($P222,0,AC$13),15-13*ORÇAMENTO!$AF$7)*OFFSET(ORÇAMENTO!$W$15,ROW(AC222)-ROW(AC$15),0),15-13*ORÇAMENTO!$AF$11)),
         0)</f>
        <v>0</v>
      </c>
      <c r="AD222" s="454">
        <f ca="1">IF(AND($D222="Serviço",AD$12&lt;&gt;0,$H222&gt;0,OR(AUTOEVENTO&lt;&gt;"manual",$M222&lt;&gt;$A$15)),
        IF(Import.TipoArredondamento&lt;&gt;"TransfereGOV",
              ROUND(OFFSET($P222,0,AD$13),15-13*ORÇAMENTO!$AF$7)/$H222*OFFSET(ORÇAMENTO!$X$15,ROW(AD222)-ROW(AD$15),0),
              ROUND(ROUND(OFFSET($P222,0,AD$13),15-13*ORÇAMENTO!$AF$7)*OFFSET(ORÇAMENTO!$W$15,ROW(AD222)-ROW(AD$15),0),15-13*ORÇAMENTO!$AF$11)),
         0)</f>
        <v>0</v>
      </c>
      <c r="AE222" s="454">
        <f ca="1">IF(AND($D222="Serviço",AE$12&lt;&gt;0,$H222&gt;0,OR(AUTOEVENTO&lt;&gt;"manual",$M222&lt;&gt;$A$15)),
        IF(Import.TipoArredondamento&lt;&gt;"TransfereGOV",
              ROUND(OFFSET($P222,0,AE$13),15-13*ORÇAMENTO!$AF$7)/$H222*OFFSET(ORÇAMENTO!$X$15,ROW(AE222)-ROW(AE$15),0),
              ROUND(ROUND(OFFSET($P222,0,AE$13),15-13*ORÇAMENTO!$AF$7)*OFFSET(ORÇAMENTO!$W$15,ROW(AE222)-ROW(AE$15),0),15-13*ORÇAMENTO!$AF$11)),
         0)</f>
        <v>0</v>
      </c>
      <c r="AF222" s="454">
        <f ca="1">IF(AND($D222="Serviço",AF$12&lt;&gt;0,$H222&gt;0,OR(AUTOEVENTO&lt;&gt;"manual",$M222&lt;&gt;$A$15)),
        IF(Import.TipoArredondamento&lt;&gt;"TransfereGOV",
              ROUND(OFFSET($P222,0,AF$13),15-13*ORÇAMENTO!$AF$7)/$H222*OFFSET(ORÇAMENTO!$X$15,ROW(AF222)-ROW(AF$15),0),
              ROUND(ROUND(OFFSET($P222,0,AF$13),15-13*ORÇAMENTO!$AF$7)*OFFSET(ORÇAMENTO!$W$15,ROW(AF222)-ROW(AF$15),0),15-13*ORÇAMENTO!$AF$11)),
         0)</f>
        <v>0</v>
      </c>
      <c r="AG222" s="454">
        <f ca="1">IF(AND($D222="Serviço",AG$12&lt;&gt;0,$H222&gt;0,OR(AUTOEVENTO&lt;&gt;"manual",$M222&lt;&gt;$A$15)),
        IF(Import.TipoArredondamento&lt;&gt;"TransfereGOV",
              ROUND(OFFSET($P222,0,AG$13),15-13*ORÇAMENTO!$AF$7)/$H222*OFFSET(ORÇAMENTO!$X$15,ROW(AG222)-ROW(AG$15),0),
              ROUND(ROUND(OFFSET($P222,0,AG$13),15-13*ORÇAMENTO!$AF$7)*OFFSET(ORÇAMENTO!$W$15,ROW(AG222)-ROW(AG$15),0),15-13*ORÇAMENTO!$AF$11)),
         0)</f>
        <v>0</v>
      </c>
      <c r="AH222" s="454">
        <f ca="1">IF(AND($D222="Serviço",AH$12&lt;&gt;0,$H222&gt;0,OR(AUTOEVENTO&lt;&gt;"manual",$M222&lt;&gt;$A$15)),
        IF(Import.TipoArredondamento&lt;&gt;"TransfereGOV",
              ROUND(OFFSET($P222,0,AH$13),15-13*ORÇAMENTO!$AF$7)/$H222*OFFSET(ORÇAMENTO!$X$15,ROW(AH222)-ROW(AH$15),0),
              ROUND(ROUND(OFFSET($P222,0,AH$13),15-13*ORÇAMENTO!$AF$7)*OFFSET(ORÇAMENTO!$W$15,ROW(AH222)-ROW(AH$15),0),15-13*ORÇAMENTO!$AF$11)),
         0)</f>
        <v>0</v>
      </c>
      <c r="AI222" s="454">
        <f ca="1">IF(AND($D222="Serviço",AI$12&lt;&gt;0,$H222&gt;0,OR(AUTOEVENTO&lt;&gt;"manual",$M222&lt;&gt;$A$15)),
        IF(Import.TipoArredondamento&lt;&gt;"TransfereGOV",
              ROUND(OFFSET($P222,0,AI$13),15-13*ORÇAMENTO!$AF$7)/$H222*OFFSET(ORÇAMENTO!$X$15,ROW(AI222)-ROW(AI$15),0),
              ROUND(ROUND(OFFSET($P222,0,AI$13),15-13*ORÇAMENTO!$AF$7)*OFFSET(ORÇAMENTO!$W$15,ROW(AI222)-ROW(AI$15),0),15-13*ORÇAMENTO!$AF$11)),
         0)</f>
        <v>0</v>
      </c>
      <c r="AJ222" s="454">
        <f ca="1">IF(AND($D222="Serviço",AJ$12&lt;&gt;0,$H222&gt;0,OR(AUTOEVENTO&lt;&gt;"manual",$M222&lt;&gt;$A$15)),
        IF(Import.TipoArredondamento&lt;&gt;"TransfereGOV",
              ROUND(OFFSET($P222,0,AJ$13),15-13*ORÇAMENTO!$AF$7)/$H222*OFFSET(ORÇAMENTO!$X$15,ROW(AJ222)-ROW(AJ$15),0),
              ROUND(ROUND(OFFSET($P222,0,AJ$13),15-13*ORÇAMENTO!$AF$7)*OFFSET(ORÇAMENTO!$W$15,ROW(AJ222)-ROW(AJ$15),0),15-13*ORÇAMENTO!$AF$11)),
         0)</f>
        <v>0</v>
      </c>
      <c r="AK222" s="454">
        <f ca="1">IF(AND($D222="Serviço",AK$12&lt;&gt;0,$H222&gt;0,OR(AUTOEVENTO&lt;&gt;"manual",$M222&lt;&gt;$A$15)),
        IF(Import.TipoArredondamento&lt;&gt;"TransfereGOV",
              ROUND(OFFSET($P222,0,AK$13),15-13*ORÇAMENTO!$AF$7)/$H222*OFFSET(ORÇAMENTO!$X$15,ROW(AK222)-ROW(AK$15),0),
              ROUND(ROUND(OFFSET($P222,0,AK$13),15-13*ORÇAMENTO!$AF$7)*OFFSET(ORÇAMENTO!$W$15,ROW(AK222)-ROW(AK$15),0),15-13*ORÇAMENTO!$AF$11)),
         0)</f>
        <v>0</v>
      </c>
      <c r="AM222" s="172">
        <f ca="1">IF(OR($D222&lt;&gt;"Serviço",AND(AUTOEVENTO="Manual",$M222=$A$15)),0,
         IF(OFFSET(CRONOPLE!$F$15,$M222-$A$15,AM$13)=0,10^12,OFFSET(CRONOPLE!$F$15,$M222-$A$15,AM$13)))</f>
        <v>1000000000000</v>
      </c>
      <c r="AN222" s="172">
        <f ca="1">IF(OR($D222&lt;&gt;"Serviço",AND(AUTOEVENTO="Manual",$M222=$A$15)),0,
         IF(OFFSET(CRONOPLE!$F$15,$M222-$A$15,AN$13)=0,10^12,OFFSET(CRONOPLE!$F$15,$M222-$A$15,AN$13)))</f>
        <v>1000000000000</v>
      </c>
      <c r="AO222" s="172">
        <f ca="1">IF(OR($D222&lt;&gt;"Serviço",AND(AUTOEVENTO="Manual",$M222=$A$15)),0,
         IF(OFFSET(CRONOPLE!$F$15,$M222-$A$15,AO$13)=0,10^12,OFFSET(CRONOPLE!$F$15,$M222-$A$15,AO$13)))</f>
        <v>1000000000000</v>
      </c>
      <c r="AP222" s="172">
        <f ca="1">IF(OR($D222&lt;&gt;"Serviço",AND(AUTOEVENTO="Manual",$M222=$A$15)),0,
         IF(OFFSET(CRONOPLE!$F$15,$M222-$A$15,AP$13)=0,10^12,OFFSET(CRONOPLE!$F$15,$M222-$A$15,AP$13)))</f>
        <v>1000000000000</v>
      </c>
      <c r="AQ222" s="172">
        <f ca="1">IF(OR($D222&lt;&gt;"Serviço",AND(AUTOEVENTO="Manual",$M222=$A$15)),0,
         IF(OFFSET(CRONOPLE!$F$15,$M222-$A$15,AQ$13)=0,10^12,OFFSET(CRONOPLE!$F$15,$M222-$A$15,AQ$13)))</f>
        <v>1000000000000</v>
      </c>
      <c r="AR222" s="172">
        <f ca="1">IF(OR($D222&lt;&gt;"Serviço",AND(AUTOEVENTO="Manual",$M222=$A$15)),0,
         IF(OFFSET(CRONOPLE!$F$15,$M222-$A$15,AR$13)=0,10^12,OFFSET(CRONOPLE!$F$15,$M222-$A$15,AR$13)))</f>
        <v>1000000000000</v>
      </c>
      <c r="AS222" s="172">
        <f ca="1">IF(OR($D222&lt;&gt;"Serviço",AND(AUTOEVENTO="Manual",$M222=$A$15)),0,
         IF(OFFSET(CRONOPLE!$F$15,$M222-$A$15,AS$13)=0,10^12,OFFSET(CRONOPLE!$F$15,$M222-$A$15,AS$13)))</f>
        <v>1000000000000</v>
      </c>
      <c r="AT222" s="172">
        <f ca="1">IF(OR($D222&lt;&gt;"Serviço",AND(AUTOEVENTO="Manual",$M222=$A$15)),0,
         IF(OFFSET(CRONOPLE!$F$15,$M222-$A$15,AT$13)=0,10^12,OFFSET(CRONOPLE!$F$15,$M222-$A$15,AT$13)))</f>
        <v>1000000000000</v>
      </c>
      <c r="AU222" s="172">
        <f ca="1">IF(OR($D222&lt;&gt;"Serviço",AND(AUTOEVENTO="Manual",$M222=$A$15)),0,
         IF(OFFSET(CRONOPLE!$F$15,$M222-$A$15,AU$13)=0,10^12,OFFSET(CRONOPLE!$F$15,$M222-$A$15,AU$13)))</f>
        <v>1000000000000</v>
      </c>
      <c r="AV222" s="172">
        <f ca="1">IF(OR($D222&lt;&gt;"Serviço",AND(AUTOEVENTO="Manual",$M222=$A$15)),0,
         IF(OFFSET(CRONOPLE!$F$15,$M222-$A$15,AV$13)=0,10^12,OFFSET(CRONOPLE!$F$15,$M222-$A$15,AV$13)))</f>
        <v>1000000000000</v>
      </c>
      <c r="AX222" s="173">
        <f ca="1">IF(OR($D222&lt;&gt;"Serviço",AND(AUTOEVENTO="Manual",$M222=$A$15),$M222&gt;(ROW(PLE.lastrow)-ROW(PLE.firstrow))),0,
           IF(OFFSET(PLE!$G$15,$M222-$A$15,AX$13)="",10^12,OFFSET(PLE!$G$15,$M222-$A$15,AX$13)))</f>
        <v>1000000000000</v>
      </c>
      <c r="AY222" s="173">
        <f ca="1">IF(OR($D222&lt;&gt;"Serviço",AND(AUTOEVENTO="Manual",$M222=$A$15),$M222&gt;(ROW(PLE.lastrow)-ROW(PLE.firstrow))),0,
           IF(OFFSET(PLE!$G$15,$M222-$A$15,AY$13)="",10^12,OFFSET(PLE!$G$15,$M222-$A$15,AY$13)))</f>
        <v>1000000000000</v>
      </c>
      <c r="AZ222" s="173">
        <f ca="1">IF(OR($D222&lt;&gt;"Serviço",AND(AUTOEVENTO="Manual",$M222=$A$15),$M222&gt;(ROW(PLE.lastrow)-ROW(PLE.firstrow))),0,
           IF(OFFSET(PLE!$G$15,$M222-$A$15,AZ$13)="",10^12,OFFSET(PLE!$G$15,$M222-$A$15,AZ$13)))</f>
        <v>1000000000000</v>
      </c>
      <c r="BA222" s="173">
        <f ca="1">IF(OR($D222&lt;&gt;"Serviço",AND(AUTOEVENTO="Manual",$M222=$A$15),$M222&gt;(ROW(PLE.lastrow)-ROW(PLE.firstrow))),0,
           IF(OFFSET(PLE!$G$15,$M222-$A$15,BA$13)="",10^12,OFFSET(PLE!$G$15,$M222-$A$15,BA$13)))</f>
        <v>1000000000000</v>
      </c>
      <c r="BB222" s="173">
        <f ca="1">IF(OR($D222&lt;&gt;"Serviço",AND(AUTOEVENTO="Manual",$M222=$A$15),$M222&gt;(ROW(PLE.lastrow)-ROW(PLE.firstrow))),0,
           IF(OFFSET(PLE!$G$15,$M222-$A$15,BB$13)="",10^12,OFFSET(PLE!$G$15,$M222-$A$15,BB$13)))</f>
        <v>1000000000000</v>
      </c>
      <c r="BC222" s="173">
        <f ca="1">IF(OR($D222&lt;&gt;"Serviço",AND(AUTOEVENTO="Manual",$M222=$A$15),$M222&gt;(ROW(PLE.lastrow)-ROW(PLE.firstrow))),0,
           IF(OFFSET(PLE!$G$15,$M222-$A$15,BC$13)="",10^12,OFFSET(PLE!$G$15,$M222-$A$15,BC$13)))</f>
        <v>1000000000000</v>
      </c>
      <c r="BD222" s="173">
        <f ca="1">IF(OR($D222&lt;&gt;"Serviço",AND(AUTOEVENTO="Manual",$M222=$A$15),$M222&gt;(ROW(PLE.lastrow)-ROW(PLE.firstrow))),0,
           IF(OFFSET(PLE!$G$15,$M222-$A$15,BD$13)="",10^12,OFFSET(PLE!$G$15,$M222-$A$15,BD$13)))</f>
        <v>1000000000000</v>
      </c>
      <c r="BE222" s="173">
        <f ca="1">IF(OR($D222&lt;&gt;"Serviço",AND(AUTOEVENTO="Manual",$M222=$A$15),$M222&gt;(ROW(PLE.lastrow)-ROW(PLE.firstrow))),0,
           IF(OFFSET(PLE!$G$15,$M222-$A$15,BE$13)="",10^12,OFFSET(PLE!$G$15,$M222-$A$15,BE$13)))</f>
        <v>1000000000000</v>
      </c>
      <c r="BF222" s="173">
        <f ca="1">IF(OR($D222&lt;&gt;"Serviço",AND(AUTOEVENTO="Manual",$M222=$A$15),$M222&gt;(ROW(PLE.lastrow)-ROW(PLE.firstrow))),0,
           IF(OFFSET(PLE!$G$15,$M222-$A$15,BF$13)="",10^12,OFFSET(PLE!$G$15,$M222-$A$15,BF$13)))</f>
        <v>1000000000000</v>
      </c>
      <c r="BG222" s="173">
        <f ca="1">IF(OR($D222&lt;&gt;"Serviço",AND(AUTOEVENTO="Manual",$M222=$A$15),$M222&gt;(ROW(PLE.lastrow)-ROW(PLE.firstrow))),0,
           IF(OFFSET(PLE!$G$15,$M222-$A$15,BG$13)="",10^12,OFFSET(PLE!$G$15,$M222-$A$15,BG$13)))</f>
        <v>1000000000000</v>
      </c>
    </row>
    <row r="223" spans="1:59" s="720" customFormat="1" ht="12.75" x14ac:dyDescent="0.2">
      <c r="A223" s="718" t="str">
        <f t="shared" ca="1" si="11"/>
        <v>208.</v>
      </c>
      <c r="B223" s="718">
        <f ca="1">OFFSET(ORÇAMENTO!C$15,ROW(B223)-ROW(B$15),0)</f>
        <v>2</v>
      </c>
      <c r="C223" s="718" t="str">
        <f ca="1">OFFSET(ORÇAMENTO!L$15,ROW(C223)-ROW(C$15),0)</f>
        <v>F</v>
      </c>
      <c r="D223" s="117" t="str">
        <f ca="1">OFFSET(ORÇAMENTO!N$15,ROW(D223)-ROW(D$15),0)</f>
        <v>Nível 2</v>
      </c>
      <c r="E223" s="118" t="str">
        <f ca="1">OFFSET(ORÇAMENTO!O$15,ROW(E223)-ROW(E$15),0)</f>
        <v>1.30.</v>
      </c>
      <c r="F223" s="164" t="str">
        <f ca="1">OFFSET(ORÇAMENTO!R$15,ROW(F223)-ROW(F$15),0)</f>
        <v>URBANIZAÇÃO</v>
      </c>
      <c r="G223" s="165" t="str">
        <f ca="1">IF($D223&lt;&gt;"Serviço","",OFFSET(ORÇAMENTO!S$15,ROW(G223)-ROW(G$15),0))</f>
        <v/>
      </c>
      <c r="H223" s="123">
        <f ca="1">IF($D223&lt;&gt;"Serviço",0,IF(ACOMPANHAMENTO="BM",ROUND(OFFSET(ORÇAMENTO!AJ$15,ROW(H223)-ROW(H$15),0),15-13*ORÇAMENTO!$AF$7),SUMPRODUCT(($Q$1:$AA$1=1)*ROUND($Q223:$AA223,15-13*ORÇAMENTO!$AF$7))))</f>
        <v>0</v>
      </c>
      <c r="I223" s="469"/>
      <c r="J223" s="667" t="str">
        <f ca="1">IF(OR(B223&lt;&gt;"S",CÁLCULO.FrentesPreenchidas=0),"",IF(AND(ACOMPANHAMENTO="PLE",AUTOEVENTO="Manual",OR(H223&gt;0,ORÇAMENTO!AC223="QUANT."),OR(K223="",M223=0,N223="")),"►",IF(AND(ACOMPANHAMENTO="PLE",ORÇAMENTO!AC223="QUANT."),"►►",IF(AND(COUNTIF($P$11:$AA$11,"▼")=0,H223&gt;0,I223=""),"◄",""))))</f>
        <v/>
      </c>
      <c r="K223" s="668"/>
      <c r="L223" s="166" t="s">
        <v>765</v>
      </c>
      <c r="M223" s="167" t="str">
        <f ca="1">IF($D223&lt;&gt;"Serviço","",
          IF(AUTOEVENTO="manual",$A223,
                IF(ISERROR(MATCH($A223,$A$15:OFFSET($A223,-1,0),0)),MAX($M$15:OFFSET(M223,-1,0))+1,
                      INDEX($M$15:OFFSET(M223,-1,0),MATCH($A223,$A$15:OFFSET($A223,-1,0),0)))))</f>
        <v/>
      </c>
      <c r="N223" s="168" t="str">
        <f ca="1">IF($D223&lt;&gt;"Serviço","",
         IF(AUTOEVENTO="Manual",
                IF($A223=0,"&lt;-- defina o número do agrupador",
                       OFFSET(EVENTOS!$D$15,$A223-$A$15,0)),
                OFFSET($F$15,$A223,0)))</f>
        <v/>
      </c>
      <c r="O223" s="169"/>
      <c r="Q223" s="169"/>
      <c r="R223" s="170"/>
      <c r="S223" s="170"/>
      <c r="T223" s="170"/>
      <c r="U223" s="170"/>
      <c r="V223" s="170"/>
      <c r="W223" s="170"/>
      <c r="X223" s="170"/>
      <c r="Y223" s="170"/>
      <c r="Z223" s="171"/>
      <c r="AB223" s="454">
        <f ca="1">IF(AND($D223="Serviço",AB$12&lt;&gt;0,$H223&gt;0,OR(AUTOEVENTO&lt;&gt;"manual",$M223&lt;&gt;$A$15)),
        IF(Import.TipoArredondamento&lt;&gt;"TransfereGOV",
              ROUND(OFFSET($P223,0,AB$13),15-13*ORÇAMENTO!$AF$7)/$H223*OFFSET(ORÇAMENTO!$X$15,ROW(AB223)-ROW(AB$15),0),
              ROUND(ROUND(OFFSET($P223,0,AB$13),15-13*ORÇAMENTO!$AF$7)*OFFSET(ORÇAMENTO!$W$15,ROW(AB223)-ROW(AB$15),0),15-13*ORÇAMENTO!$AF$11)),
         0)</f>
        <v>0</v>
      </c>
      <c r="AC223" s="454">
        <f ca="1">IF(AND($D223="Serviço",AC$12&lt;&gt;0,$H223&gt;0,OR(AUTOEVENTO&lt;&gt;"manual",$M223&lt;&gt;$A$15)),
        IF(Import.TipoArredondamento&lt;&gt;"TransfereGOV",
              ROUND(OFFSET($P223,0,AC$13),15-13*ORÇAMENTO!$AF$7)/$H223*OFFSET(ORÇAMENTO!$X$15,ROW(AC223)-ROW(AC$15),0),
              ROUND(ROUND(OFFSET($P223,0,AC$13),15-13*ORÇAMENTO!$AF$7)*OFFSET(ORÇAMENTO!$W$15,ROW(AC223)-ROW(AC$15),0),15-13*ORÇAMENTO!$AF$11)),
         0)</f>
        <v>0</v>
      </c>
      <c r="AD223" s="454">
        <f ca="1">IF(AND($D223="Serviço",AD$12&lt;&gt;0,$H223&gt;0,OR(AUTOEVENTO&lt;&gt;"manual",$M223&lt;&gt;$A$15)),
        IF(Import.TipoArredondamento&lt;&gt;"TransfereGOV",
              ROUND(OFFSET($P223,0,AD$13),15-13*ORÇAMENTO!$AF$7)/$H223*OFFSET(ORÇAMENTO!$X$15,ROW(AD223)-ROW(AD$15),0),
              ROUND(ROUND(OFFSET($P223,0,AD$13),15-13*ORÇAMENTO!$AF$7)*OFFSET(ORÇAMENTO!$W$15,ROW(AD223)-ROW(AD$15),0),15-13*ORÇAMENTO!$AF$11)),
         0)</f>
        <v>0</v>
      </c>
      <c r="AE223" s="454">
        <f ca="1">IF(AND($D223="Serviço",AE$12&lt;&gt;0,$H223&gt;0,OR(AUTOEVENTO&lt;&gt;"manual",$M223&lt;&gt;$A$15)),
        IF(Import.TipoArredondamento&lt;&gt;"TransfereGOV",
              ROUND(OFFSET($P223,0,AE$13),15-13*ORÇAMENTO!$AF$7)/$H223*OFFSET(ORÇAMENTO!$X$15,ROW(AE223)-ROW(AE$15),0),
              ROUND(ROUND(OFFSET($P223,0,AE$13),15-13*ORÇAMENTO!$AF$7)*OFFSET(ORÇAMENTO!$W$15,ROW(AE223)-ROW(AE$15),0),15-13*ORÇAMENTO!$AF$11)),
         0)</f>
        <v>0</v>
      </c>
      <c r="AF223" s="454">
        <f ca="1">IF(AND($D223="Serviço",AF$12&lt;&gt;0,$H223&gt;0,OR(AUTOEVENTO&lt;&gt;"manual",$M223&lt;&gt;$A$15)),
        IF(Import.TipoArredondamento&lt;&gt;"TransfereGOV",
              ROUND(OFFSET($P223,0,AF$13),15-13*ORÇAMENTO!$AF$7)/$H223*OFFSET(ORÇAMENTO!$X$15,ROW(AF223)-ROW(AF$15),0),
              ROUND(ROUND(OFFSET($P223,0,AF$13),15-13*ORÇAMENTO!$AF$7)*OFFSET(ORÇAMENTO!$W$15,ROW(AF223)-ROW(AF$15),0),15-13*ORÇAMENTO!$AF$11)),
         0)</f>
        <v>0</v>
      </c>
      <c r="AG223" s="454">
        <f ca="1">IF(AND($D223="Serviço",AG$12&lt;&gt;0,$H223&gt;0,OR(AUTOEVENTO&lt;&gt;"manual",$M223&lt;&gt;$A$15)),
        IF(Import.TipoArredondamento&lt;&gt;"TransfereGOV",
              ROUND(OFFSET($P223,0,AG$13),15-13*ORÇAMENTO!$AF$7)/$H223*OFFSET(ORÇAMENTO!$X$15,ROW(AG223)-ROW(AG$15),0),
              ROUND(ROUND(OFFSET($P223,0,AG$13),15-13*ORÇAMENTO!$AF$7)*OFFSET(ORÇAMENTO!$W$15,ROW(AG223)-ROW(AG$15),0),15-13*ORÇAMENTO!$AF$11)),
         0)</f>
        <v>0</v>
      </c>
      <c r="AH223" s="454">
        <f ca="1">IF(AND($D223="Serviço",AH$12&lt;&gt;0,$H223&gt;0,OR(AUTOEVENTO&lt;&gt;"manual",$M223&lt;&gt;$A$15)),
        IF(Import.TipoArredondamento&lt;&gt;"TransfereGOV",
              ROUND(OFFSET($P223,0,AH$13),15-13*ORÇAMENTO!$AF$7)/$H223*OFFSET(ORÇAMENTO!$X$15,ROW(AH223)-ROW(AH$15),0),
              ROUND(ROUND(OFFSET($P223,0,AH$13),15-13*ORÇAMENTO!$AF$7)*OFFSET(ORÇAMENTO!$W$15,ROW(AH223)-ROW(AH$15),0),15-13*ORÇAMENTO!$AF$11)),
         0)</f>
        <v>0</v>
      </c>
      <c r="AI223" s="454">
        <f ca="1">IF(AND($D223="Serviço",AI$12&lt;&gt;0,$H223&gt;0,OR(AUTOEVENTO&lt;&gt;"manual",$M223&lt;&gt;$A$15)),
        IF(Import.TipoArredondamento&lt;&gt;"TransfereGOV",
              ROUND(OFFSET($P223,0,AI$13),15-13*ORÇAMENTO!$AF$7)/$H223*OFFSET(ORÇAMENTO!$X$15,ROW(AI223)-ROW(AI$15),0),
              ROUND(ROUND(OFFSET($P223,0,AI$13),15-13*ORÇAMENTO!$AF$7)*OFFSET(ORÇAMENTO!$W$15,ROW(AI223)-ROW(AI$15),0),15-13*ORÇAMENTO!$AF$11)),
         0)</f>
        <v>0</v>
      </c>
      <c r="AJ223" s="454">
        <f ca="1">IF(AND($D223="Serviço",AJ$12&lt;&gt;0,$H223&gt;0,OR(AUTOEVENTO&lt;&gt;"manual",$M223&lt;&gt;$A$15)),
        IF(Import.TipoArredondamento&lt;&gt;"TransfereGOV",
              ROUND(OFFSET($P223,0,AJ$13),15-13*ORÇAMENTO!$AF$7)/$H223*OFFSET(ORÇAMENTO!$X$15,ROW(AJ223)-ROW(AJ$15),0),
              ROUND(ROUND(OFFSET($P223,0,AJ$13),15-13*ORÇAMENTO!$AF$7)*OFFSET(ORÇAMENTO!$W$15,ROW(AJ223)-ROW(AJ$15),0),15-13*ORÇAMENTO!$AF$11)),
         0)</f>
        <v>0</v>
      </c>
      <c r="AK223" s="454">
        <f ca="1">IF(AND($D223="Serviço",AK$12&lt;&gt;0,$H223&gt;0,OR(AUTOEVENTO&lt;&gt;"manual",$M223&lt;&gt;$A$15)),
        IF(Import.TipoArredondamento&lt;&gt;"TransfereGOV",
              ROUND(OFFSET($P223,0,AK$13),15-13*ORÇAMENTO!$AF$7)/$H223*OFFSET(ORÇAMENTO!$X$15,ROW(AK223)-ROW(AK$15),0),
              ROUND(ROUND(OFFSET($P223,0,AK$13),15-13*ORÇAMENTO!$AF$7)*OFFSET(ORÇAMENTO!$W$15,ROW(AK223)-ROW(AK$15),0),15-13*ORÇAMENTO!$AF$11)),
         0)</f>
        <v>0</v>
      </c>
      <c r="AM223" s="172">
        <f ca="1">IF(OR($D223&lt;&gt;"Serviço",AND(AUTOEVENTO="Manual",$M223=$A$15)),0,
         IF(OFFSET(CRONOPLE!$F$15,$M223-$A$15,AM$13)=0,10^12,OFFSET(CRONOPLE!$F$15,$M223-$A$15,AM$13)))</f>
        <v>0</v>
      </c>
      <c r="AN223" s="172">
        <f ca="1">IF(OR($D223&lt;&gt;"Serviço",AND(AUTOEVENTO="Manual",$M223=$A$15)),0,
         IF(OFFSET(CRONOPLE!$F$15,$M223-$A$15,AN$13)=0,10^12,OFFSET(CRONOPLE!$F$15,$M223-$A$15,AN$13)))</f>
        <v>0</v>
      </c>
      <c r="AO223" s="172">
        <f ca="1">IF(OR($D223&lt;&gt;"Serviço",AND(AUTOEVENTO="Manual",$M223=$A$15)),0,
         IF(OFFSET(CRONOPLE!$F$15,$M223-$A$15,AO$13)=0,10^12,OFFSET(CRONOPLE!$F$15,$M223-$A$15,AO$13)))</f>
        <v>0</v>
      </c>
      <c r="AP223" s="172">
        <f ca="1">IF(OR($D223&lt;&gt;"Serviço",AND(AUTOEVENTO="Manual",$M223=$A$15)),0,
         IF(OFFSET(CRONOPLE!$F$15,$M223-$A$15,AP$13)=0,10^12,OFFSET(CRONOPLE!$F$15,$M223-$A$15,AP$13)))</f>
        <v>0</v>
      </c>
      <c r="AQ223" s="172">
        <f ca="1">IF(OR($D223&lt;&gt;"Serviço",AND(AUTOEVENTO="Manual",$M223=$A$15)),0,
         IF(OFFSET(CRONOPLE!$F$15,$M223-$A$15,AQ$13)=0,10^12,OFFSET(CRONOPLE!$F$15,$M223-$A$15,AQ$13)))</f>
        <v>0</v>
      </c>
      <c r="AR223" s="172">
        <f ca="1">IF(OR($D223&lt;&gt;"Serviço",AND(AUTOEVENTO="Manual",$M223=$A$15)),0,
         IF(OFFSET(CRONOPLE!$F$15,$M223-$A$15,AR$13)=0,10^12,OFFSET(CRONOPLE!$F$15,$M223-$A$15,AR$13)))</f>
        <v>0</v>
      </c>
      <c r="AS223" s="172">
        <f ca="1">IF(OR($D223&lt;&gt;"Serviço",AND(AUTOEVENTO="Manual",$M223=$A$15)),0,
         IF(OFFSET(CRONOPLE!$F$15,$M223-$A$15,AS$13)=0,10^12,OFFSET(CRONOPLE!$F$15,$M223-$A$15,AS$13)))</f>
        <v>0</v>
      </c>
      <c r="AT223" s="172">
        <f ca="1">IF(OR($D223&lt;&gt;"Serviço",AND(AUTOEVENTO="Manual",$M223=$A$15)),0,
         IF(OFFSET(CRONOPLE!$F$15,$M223-$A$15,AT$13)=0,10^12,OFFSET(CRONOPLE!$F$15,$M223-$A$15,AT$13)))</f>
        <v>0</v>
      </c>
      <c r="AU223" s="172">
        <f ca="1">IF(OR($D223&lt;&gt;"Serviço",AND(AUTOEVENTO="Manual",$M223=$A$15)),0,
         IF(OFFSET(CRONOPLE!$F$15,$M223-$A$15,AU$13)=0,10^12,OFFSET(CRONOPLE!$F$15,$M223-$A$15,AU$13)))</f>
        <v>0</v>
      </c>
      <c r="AV223" s="172">
        <f ca="1">IF(OR($D223&lt;&gt;"Serviço",AND(AUTOEVENTO="Manual",$M223=$A$15)),0,
         IF(OFFSET(CRONOPLE!$F$15,$M223-$A$15,AV$13)=0,10^12,OFFSET(CRONOPLE!$F$15,$M223-$A$15,AV$13)))</f>
        <v>0</v>
      </c>
      <c r="AX223" s="173">
        <f ca="1">IF(OR($D223&lt;&gt;"Serviço",AND(AUTOEVENTO="Manual",$M223=$A$15),$M223&gt;(ROW(PLE.lastrow)-ROW(PLE.firstrow))),0,
           IF(OFFSET(PLE!$G$15,$M223-$A$15,AX$13)="",10^12,OFFSET(PLE!$G$15,$M223-$A$15,AX$13)))</f>
        <v>0</v>
      </c>
      <c r="AY223" s="173">
        <f ca="1">IF(OR($D223&lt;&gt;"Serviço",AND(AUTOEVENTO="Manual",$M223=$A$15),$M223&gt;(ROW(PLE.lastrow)-ROW(PLE.firstrow))),0,
           IF(OFFSET(PLE!$G$15,$M223-$A$15,AY$13)="",10^12,OFFSET(PLE!$G$15,$M223-$A$15,AY$13)))</f>
        <v>0</v>
      </c>
      <c r="AZ223" s="173">
        <f ca="1">IF(OR($D223&lt;&gt;"Serviço",AND(AUTOEVENTO="Manual",$M223=$A$15),$M223&gt;(ROW(PLE.lastrow)-ROW(PLE.firstrow))),0,
           IF(OFFSET(PLE!$G$15,$M223-$A$15,AZ$13)="",10^12,OFFSET(PLE!$G$15,$M223-$A$15,AZ$13)))</f>
        <v>0</v>
      </c>
      <c r="BA223" s="173">
        <f ca="1">IF(OR($D223&lt;&gt;"Serviço",AND(AUTOEVENTO="Manual",$M223=$A$15),$M223&gt;(ROW(PLE.lastrow)-ROW(PLE.firstrow))),0,
           IF(OFFSET(PLE!$G$15,$M223-$A$15,BA$13)="",10^12,OFFSET(PLE!$G$15,$M223-$A$15,BA$13)))</f>
        <v>0</v>
      </c>
      <c r="BB223" s="173">
        <f ca="1">IF(OR($D223&lt;&gt;"Serviço",AND(AUTOEVENTO="Manual",$M223=$A$15),$M223&gt;(ROW(PLE.lastrow)-ROW(PLE.firstrow))),0,
           IF(OFFSET(PLE!$G$15,$M223-$A$15,BB$13)="",10^12,OFFSET(PLE!$G$15,$M223-$A$15,BB$13)))</f>
        <v>0</v>
      </c>
      <c r="BC223" s="173">
        <f ca="1">IF(OR($D223&lt;&gt;"Serviço",AND(AUTOEVENTO="Manual",$M223=$A$15),$M223&gt;(ROW(PLE.lastrow)-ROW(PLE.firstrow))),0,
           IF(OFFSET(PLE!$G$15,$M223-$A$15,BC$13)="",10^12,OFFSET(PLE!$G$15,$M223-$A$15,BC$13)))</f>
        <v>0</v>
      </c>
      <c r="BD223" s="173">
        <f ca="1">IF(OR($D223&lt;&gt;"Serviço",AND(AUTOEVENTO="Manual",$M223=$A$15),$M223&gt;(ROW(PLE.lastrow)-ROW(PLE.firstrow))),0,
           IF(OFFSET(PLE!$G$15,$M223-$A$15,BD$13)="",10^12,OFFSET(PLE!$G$15,$M223-$A$15,BD$13)))</f>
        <v>0</v>
      </c>
      <c r="BE223" s="173">
        <f ca="1">IF(OR($D223&lt;&gt;"Serviço",AND(AUTOEVENTO="Manual",$M223=$A$15),$M223&gt;(ROW(PLE.lastrow)-ROW(PLE.firstrow))),0,
           IF(OFFSET(PLE!$G$15,$M223-$A$15,BE$13)="",10^12,OFFSET(PLE!$G$15,$M223-$A$15,BE$13)))</f>
        <v>0</v>
      </c>
      <c r="BF223" s="173">
        <f ca="1">IF(OR($D223&lt;&gt;"Serviço",AND(AUTOEVENTO="Manual",$M223=$A$15),$M223&gt;(ROW(PLE.lastrow)-ROW(PLE.firstrow))),0,
           IF(OFFSET(PLE!$G$15,$M223-$A$15,BF$13)="",10^12,OFFSET(PLE!$G$15,$M223-$A$15,BF$13)))</f>
        <v>0</v>
      </c>
      <c r="BG223" s="173">
        <f ca="1">IF(OR($D223&lt;&gt;"Serviço",AND(AUTOEVENTO="Manual",$M223=$A$15),$M223&gt;(ROW(PLE.lastrow)-ROW(PLE.firstrow))),0,
           IF(OFFSET(PLE!$G$15,$M223-$A$15,BG$13)="",10^12,OFFSET(PLE!$G$15,$M223-$A$15,BG$13)))</f>
        <v>0</v>
      </c>
    </row>
    <row r="224" spans="1:59" s="720" customFormat="1" ht="25.5" x14ac:dyDescent="0.2">
      <c r="A224" s="718" t="str">
        <f t="shared" ca="1" si="11"/>
        <v>208</v>
      </c>
      <c r="B224" s="718" t="str">
        <f ca="1">OFFSET(ORÇAMENTO!C$15,ROW(B224)-ROW(B$15),0)</f>
        <v>S</v>
      </c>
      <c r="C224" s="718" t="str">
        <f ca="1">OFFSET(ORÇAMENTO!L$15,ROW(C224)-ROW(C$15),0)</f>
        <v/>
      </c>
      <c r="D224" s="117" t="str">
        <f ca="1">OFFSET(ORÇAMENTO!N$15,ROW(D224)-ROW(D$15),0)</f>
        <v>Serviço</v>
      </c>
      <c r="E224" s="118" t="str">
        <f ca="1">OFFSET(ORÇAMENTO!O$15,ROW(E224)-ROW(E$15),0)</f>
        <v>-</v>
      </c>
      <c r="F224" s="164" t="str">
        <f ca="1">OFFSET(ORÇAMENTO!R$15,ROW(F224)-ROW(F$15),0)</f>
        <v>(abra o arquivo 'Referência 09-2025.xlsm)</v>
      </c>
      <c r="G224" s="165" t="str">
        <f ca="1">IF($D224&lt;&gt;"Serviço","",OFFSET(ORÇAMENTO!S$15,ROW(G224)-ROW(G$15),0))</f>
        <v>-</v>
      </c>
      <c r="H224" s="123">
        <f ca="1">IF($D224&lt;&gt;"Serviço",0,IF(ACOMPANHAMENTO="BM",ROUND(OFFSET(ORÇAMENTO!AJ$15,ROW(H224)-ROW(H$15),0),15-13*ORÇAMENTO!$AF$7),SUMPRODUCT(($Q$1:$AA$1=1)*ROUND($Q224:$AA224,15-13*ORÇAMENTO!$AF$7))))</f>
        <v>100</v>
      </c>
      <c r="I224" s="469" t="s">
        <v>1172</v>
      </c>
      <c r="J224" s="667" t="str">
        <f ca="1">IF(OR(B224&lt;&gt;"S",CÁLCULO.FrentesPreenchidas=0),"",IF(AND(ACOMPANHAMENTO="PLE",AUTOEVENTO="Manual",OR(H224&gt;0,ORÇAMENTO!AC224="QUANT."),OR(K224="",M224=0,N224="")),"►",IF(AND(ACOMPANHAMENTO="PLE",ORÇAMENTO!AC224="QUANT."),"►►",IF(AND(COUNTIF($P$11:$AA$11,"▼")=0,H224&gt;0,I224=""),"◄",""))))</f>
        <v/>
      </c>
      <c r="K224" s="668"/>
      <c r="L224" s="166" t="s">
        <v>765</v>
      </c>
      <c r="M224" s="167">
        <f ca="1">IF($D224&lt;&gt;"Serviço","",
          IF(AUTOEVENTO="manual",$A224,
                IF(ISERROR(MATCH($A224,$A$15:OFFSET($A224,-1,0),0)),MAX($M$15:OFFSET(M224,-1,0))+1,
                      INDEX($M$15:OFFSET(M224,-1,0),MATCH($A224,$A$15:OFFSET($A224,-1,0),0)))))</f>
        <v>26</v>
      </c>
      <c r="N224" s="168" t="str">
        <f ca="1">IF($D224&lt;&gt;"Serviço","",
         IF(AUTOEVENTO="Manual",
                IF($A224=0,"&lt;-- defina o número do agrupador",
                       OFFSET(EVENTOS!$D$15,$A224-$A$15,0)),
                OFFSET($F$15,$A224,0)))</f>
        <v>URBANIZAÇÃO</v>
      </c>
      <c r="O224" s="169"/>
      <c r="Q224" s="169"/>
      <c r="R224" s="170"/>
      <c r="S224" s="170"/>
      <c r="T224" s="170"/>
      <c r="U224" s="170"/>
      <c r="V224" s="170"/>
      <c r="W224" s="170"/>
      <c r="X224" s="170"/>
      <c r="Y224" s="170"/>
      <c r="Z224" s="171"/>
      <c r="AB224" s="454">
        <f ca="1">IF(AND($D224="Serviço",AB$12&lt;&gt;0,$H224&gt;0,OR(AUTOEVENTO&lt;&gt;"manual",$M224&lt;&gt;$A$15)),
        IF(Import.TipoArredondamento&lt;&gt;"TransfereGOV",
              ROUND(OFFSET($P224,0,AB$13),15-13*ORÇAMENTO!$AF$7)/$H224*OFFSET(ORÇAMENTO!$X$15,ROW(AB224)-ROW(AB$15),0),
              ROUND(ROUND(OFFSET($P224,0,AB$13),15-13*ORÇAMENTO!$AF$7)*OFFSET(ORÇAMENTO!$W$15,ROW(AB224)-ROW(AB$15),0),15-13*ORÇAMENTO!$AF$11)),
         0)</f>
        <v>0</v>
      </c>
      <c r="AC224" s="454">
        <f ca="1">IF(AND($D224="Serviço",AC$12&lt;&gt;0,$H224&gt;0,OR(AUTOEVENTO&lt;&gt;"manual",$M224&lt;&gt;$A$15)),
        IF(Import.TipoArredondamento&lt;&gt;"TransfereGOV",
              ROUND(OFFSET($P224,0,AC$13),15-13*ORÇAMENTO!$AF$7)/$H224*OFFSET(ORÇAMENTO!$X$15,ROW(AC224)-ROW(AC$15),0),
              ROUND(ROUND(OFFSET($P224,0,AC$13),15-13*ORÇAMENTO!$AF$7)*OFFSET(ORÇAMENTO!$W$15,ROW(AC224)-ROW(AC$15),0),15-13*ORÇAMENTO!$AF$11)),
         0)</f>
        <v>0</v>
      </c>
      <c r="AD224" s="454">
        <f ca="1">IF(AND($D224="Serviço",AD$12&lt;&gt;0,$H224&gt;0,OR(AUTOEVENTO&lt;&gt;"manual",$M224&lt;&gt;$A$15)),
        IF(Import.TipoArredondamento&lt;&gt;"TransfereGOV",
              ROUND(OFFSET($P224,0,AD$13),15-13*ORÇAMENTO!$AF$7)/$H224*OFFSET(ORÇAMENTO!$X$15,ROW(AD224)-ROW(AD$15),0),
              ROUND(ROUND(OFFSET($P224,0,AD$13),15-13*ORÇAMENTO!$AF$7)*OFFSET(ORÇAMENTO!$W$15,ROW(AD224)-ROW(AD$15),0),15-13*ORÇAMENTO!$AF$11)),
         0)</f>
        <v>0</v>
      </c>
      <c r="AE224" s="454">
        <f ca="1">IF(AND($D224="Serviço",AE$12&lt;&gt;0,$H224&gt;0,OR(AUTOEVENTO&lt;&gt;"manual",$M224&lt;&gt;$A$15)),
        IF(Import.TipoArredondamento&lt;&gt;"TransfereGOV",
              ROUND(OFFSET($P224,0,AE$13),15-13*ORÇAMENTO!$AF$7)/$H224*OFFSET(ORÇAMENTO!$X$15,ROW(AE224)-ROW(AE$15),0),
              ROUND(ROUND(OFFSET($P224,0,AE$13),15-13*ORÇAMENTO!$AF$7)*OFFSET(ORÇAMENTO!$W$15,ROW(AE224)-ROW(AE$15),0),15-13*ORÇAMENTO!$AF$11)),
         0)</f>
        <v>0</v>
      </c>
      <c r="AF224" s="454">
        <f ca="1">IF(AND($D224="Serviço",AF$12&lt;&gt;0,$H224&gt;0,OR(AUTOEVENTO&lt;&gt;"manual",$M224&lt;&gt;$A$15)),
        IF(Import.TipoArredondamento&lt;&gt;"TransfereGOV",
              ROUND(OFFSET($P224,0,AF$13),15-13*ORÇAMENTO!$AF$7)/$H224*OFFSET(ORÇAMENTO!$X$15,ROW(AF224)-ROW(AF$15),0),
              ROUND(ROUND(OFFSET($P224,0,AF$13),15-13*ORÇAMENTO!$AF$7)*OFFSET(ORÇAMENTO!$W$15,ROW(AF224)-ROW(AF$15),0),15-13*ORÇAMENTO!$AF$11)),
         0)</f>
        <v>0</v>
      </c>
      <c r="AG224" s="454">
        <f ca="1">IF(AND($D224="Serviço",AG$12&lt;&gt;0,$H224&gt;0,OR(AUTOEVENTO&lt;&gt;"manual",$M224&lt;&gt;$A$15)),
        IF(Import.TipoArredondamento&lt;&gt;"TransfereGOV",
              ROUND(OFFSET($P224,0,AG$13),15-13*ORÇAMENTO!$AF$7)/$H224*OFFSET(ORÇAMENTO!$X$15,ROW(AG224)-ROW(AG$15),0),
              ROUND(ROUND(OFFSET($P224,0,AG$13),15-13*ORÇAMENTO!$AF$7)*OFFSET(ORÇAMENTO!$W$15,ROW(AG224)-ROW(AG$15),0),15-13*ORÇAMENTO!$AF$11)),
         0)</f>
        <v>0</v>
      </c>
      <c r="AH224" s="454">
        <f ca="1">IF(AND($D224="Serviço",AH$12&lt;&gt;0,$H224&gt;0,OR(AUTOEVENTO&lt;&gt;"manual",$M224&lt;&gt;$A$15)),
        IF(Import.TipoArredondamento&lt;&gt;"TransfereGOV",
              ROUND(OFFSET($P224,0,AH$13),15-13*ORÇAMENTO!$AF$7)/$H224*OFFSET(ORÇAMENTO!$X$15,ROW(AH224)-ROW(AH$15),0),
              ROUND(ROUND(OFFSET($P224,0,AH$13),15-13*ORÇAMENTO!$AF$7)*OFFSET(ORÇAMENTO!$W$15,ROW(AH224)-ROW(AH$15),0),15-13*ORÇAMENTO!$AF$11)),
         0)</f>
        <v>0</v>
      </c>
      <c r="AI224" s="454">
        <f ca="1">IF(AND($D224="Serviço",AI$12&lt;&gt;0,$H224&gt;0,OR(AUTOEVENTO&lt;&gt;"manual",$M224&lt;&gt;$A$15)),
        IF(Import.TipoArredondamento&lt;&gt;"TransfereGOV",
              ROUND(OFFSET($P224,0,AI$13),15-13*ORÇAMENTO!$AF$7)/$H224*OFFSET(ORÇAMENTO!$X$15,ROW(AI224)-ROW(AI$15),0),
              ROUND(ROUND(OFFSET($P224,0,AI$13),15-13*ORÇAMENTO!$AF$7)*OFFSET(ORÇAMENTO!$W$15,ROW(AI224)-ROW(AI$15),0),15-13*ORÇAMENTO!$AF$11)),
         0)</f>
        <v>0</v>
      </c>
      <c r="AJ224" s="454">
        <f ca="1">IF(AND($D224="Serviço",AJ$12&lt;&gt;0,$H224&gt;0,OR(AUTOEVENTO&lt;&gt;"manual",$M224&lt;&gt;$A$15)),
        IF(Import.TipoArredondamento&lt;&gt;"TransfereGOV",
              ROUND(OFFSET($P224,0,AJ$13),15-13*ORÇAMENTO!$AF$7)/$H224*OFFSET(ORÇAMENTO!$X$15,ROW(AJ224)-ROW(AJ$15),0),
              ROUND(ROUND(OFFSET($P224,0,AJ$13),15-13*ORÇAMENTO!$AF$7)*OFFSET(ORÇAMENTO!$W$15,ROW(AJ224)-ROW(AJ$15),0),15-13*ORÇAMENTO!$AF$11)),
         0)</f>
        <v>0</v>
      </c>
      <c r="AK224" s="454">
        <f ca="1">IF(AND($D224="Serviço",AK$12&lt;&gt;0,$H224&gt;0,OR(AUTOEVENTO&lt;&gt;"manual",$M224&lt;&gt;$A$15)),
        IF(Import.TipoArredondamento&lt;&gt;"TransfereGOV",
              ROUND(OFFSET($P224,0,AK$13),15-13*ORÇAMENTO!$AF$7)/$H224*OFFSET(ORÇAMENTO!$X$15,ROW(AK224)-ROW(AK$15),0),
              ROUND(ROUND(OFFSET($P224,0,AK$13),15-13*ORÇAMENTO!$AF$7)*OFFSET(ORÇAMENTO!$W$15,ROW(AK224)-ROW(AK$15),0),15-13*ORÇAMENTO!$AF$11)),
         0)</f>
        <v>0</v>
      </c>
      <c r="AM224" s="172">
        <f ca="1">IF(OR($D224&lt;&gt;"Serviço",AND(AUTOEVENTO="Manual",$M224=$A$15)),0,
         IF(OFFSET(CRONOPLE!$F$15,$M224-$A$15,AM$13)=0,10^12,OFFSET(CRONOPLE!$F$15,$M224-$A$15,AM$13)))</f>
        <v>1000000000000</v>
      </c>
      <c r="AN224" s="172">
        <f ca="1">IF(OR($D224&lt;&gt;"Serviço",AND(AUTOEVENTO="Manual",$M224=$A$15)),0,
         IF(OFFSET(CRONOPLE!$F$15,$M224-$A$15,AN$13)=0,10^12,OFFSET(CRONOPLE!$F$15,$M224-$A$15,AN$13)))</f>
        <v>1000000000000</v>
      </c>
      <c r="AO224" s="172">
        <f ca="1">IF(OR($D224&lt;&gt;"Serviço",AND(AUTOEVENTO="Manual",$M224=$A$15)),0,
         IF(OFFSET(CRONOPLE!$F$15,$M224-$A$15,AO$13)=0,10^12,OFFSET(CRONOPLE!$F$15,$M224-$A$15,AO$13)))</f>
        <v>1000000000000</v>
      </c>
      <c r="AP224" s="172">
        <f ca="1">IF(OR($D224&lt;&gt;"Serviço",AND(AUTOEVENTO="Manual",$M224=$A$15)),0,
         IF(OFFSET(CRONOPLE!$F$15,$M224-$A$15,AP$13)=0,10^12,OFFSET(CRONOPLE!$F$15,$M224-$A$15,AP$13)))</f>
        <v>1000000000000</v>
      </c>
      <c r="AQ224" s="172">
        <f ca="1">IF(OR($D224&lt;&gt;"Serviço",AND(AUTOEVENTO="Manual",$M224=$A$15)),0,
         IF(OFFSET(CRONOPLE!$F$15,$M224-$A$15,AQ$13)=0,10^12,OFFSET(CRONOPLE!$F$15,$M224-$A$15,AQ$13)))</f>
        <v>1000000000000</v>
      </c>
      <c r="AR224" s="172">
        <f ca="1">IF(OR($D224&lt;&gt;"Serviço",AND(AUTOEVENTO="Manual",$M224=$A$15)),0,
         IF(OFFSET(CRONOPLE!$F$15,$M224-$A$15,AR$13)=0,10^12,OFFSET(CRONOPLE!$F$15,$M224-$A$15,AR$13)))</f>
        <v>1000000000000</v>
      </c>
      <c r="AS224" s="172">
        <f ca="1">IF(OR($D224&lt;&gt;"Serviço",AND(AUTOEVENTO="Manual",$M224=$A$15)),0,
         IF(OFFSET(CRONOPLE!$F$15,$M224-$A$15,AS$13)=0,10^12,OFFSET(CRONOPLE!$F$15,$M224-$A$15,AS$13)))</f>
        <v>1000000000000</v>
      </c>
      <c r="AT224" s="172">
        <f ca="1">IF(OR($D224&lt;&gt;"Serviço",AND(AUTOEVENTO="Manual",$M224=$A$15)),0,
         IF(OFFSET(CRONOPLE!$F$15,$M224-$A$15,AT$13)=0,10^12,OFFSET(CRONOPLE!$F$15,$M224-$A$15,AT$13)))</f>
        <v>1000000000000</v>
      </c>
      <c r="AU224" s="172">
        <f ca="1">IF(OR($D224&lt;&gt;"Serviço",AND(AUTOEVENTO="Manual",$M224=$A$15)),0,
         IF(OFFSET(CRONOPLE!$F$15,$M224-$A$15,AU$13)=0,10^12,OFFSET(CRONOPLE!$F$15,$M224-$A$15,AU$13)))</f>
        <v>1000000000000</v>
      </c>
      <c r="AV224" s="172">
        <f ca="1">IF(OR($D224&lt;&gt;"Serviço",AND(AUTOEVENTO="Manual",$M224=$A$15)),0,
         IF(OFFSET(CRONOPLE!$F$15,$M224-$A$15,AV$13)=0,10^12,OFFSET(CRONOPLE!$F$15,$M224-$A$15,AV$13)))</f>
        <v>1000000000000</v>
      </c>
      <c r="AX224" s="173">
        <f ca="1">IF(OR($D224&lt;&gt;"Serviço",AND(AUTOEVENTO="Manual",$M224=$A$15),$M224&gt;(ROW(PLE.lastrow)-ROW(PLE.firstrow))),0,
           IF(OFFSET(PLE!$G$15,$M224-$A$15,AX$13)="",10^12,OFFSET(PLE!$G$15,$M224-$A$15,AX$13)))</f>
        <v>1000000000000</v>
      </c>
      <c r="AY224" s="173">
        <f ca="1">IF(OR($D224&lt;&gt;"Serviço",AND(AUTOEVENTO="Manual",$M224=$A$15),$M224&gt;(ROW(PLE.lastrow)-ROW(PLE.firstrow))),0,
           IF(OFFSET(PLE!$G$15,$M224-$A$15,AY$13)="",10^12,OFFSET(PLE!$G$15,$M224-$A$15,AY$13)))</f>
        <v>1000000000000</v>
      </c>
      <c r="AZ224" s="173">
        <f ca="1">IF(OR($D224&lt;&gt;"Serviço",AND(AUTOEVENTO="Manual",$M224=$A$15),$M224&gt;(ROW(PLE.lastrow)-ROW(PLE.firstrow))),0,
           IF(OFFSET(PLE!$G$15,$M224-$A$15,AZ$13)="",10^12,OFFSET(PLE!$G$15,$M224-$A$15,AZ$13)))</f>
        <v>1000000000000</v>
      </c>
      <c r="BA224" s="173">
        <f ca="1">IF(OR($D224&lt;&gt;"Serviço",AND(AUTOEVENTO="Manual",$M224=$A$15),$M224&gt;(ROW(PLE.lastrow)-ROW(PLE.firstrow))),0,
           IF(OFFSET(PLE!$G$15,$M224-$A$15,BA$13)="",10^12,OFFSET(PLE!$G$15,$M224-$A$15,BA$13)))</f>
        <v>1000000000000</v>
      </c>
      <c r="BB224" s="173">
        <f ca="1">IF(OR($D224&lt;&gt;"Serviço",AND(AUTOEVENTO="Manual",$M224=$A$15),$M224&gt;(ROW(PLE.lastrow)-ROW(PLE.firstrow))),0,
           IF(OFFSET(PLE!$G$15,$M224-$A$15,BB$13)="",10^12,OFFSET(PLE!$G$15,$M224-$A$15,BB$13)))</f>
        <v>1000000000000</v>
      </c>
      <c r="BC224" s="173">
        <f ca="1">IF(OR($D224&lt;&gt;"Serviço",AND(AUTOEVENTO="Manual",$M224=$A$15),$M224&gt;(ROW(PLE.lastrow)-ROW(PLE.firstrow))),0,
           IF(OFFSET(PLE!$G$15,$M224-$A$15,BC$13)="",10^12,OFFSET(PLE!$G$15,$M224-$A$15,BC$13)))</f>
        <v>1000000000000</v>
      </c>
      <c r="BD224" s="173">
        <f ca="1">IF(OR($D224&lt;&gt;"Serviço",AND(AUTOEVENTO="Manual",$M224=$A$15),$M224&gt;(ROW(PLE.lastrow)-ROW(PLE.firstrow))),0,
           IF(OFFSET(PLE!$G$15,$M224-$A$15,BD$13)="",10^12,OFFSET(PLE!$G$15,$M224-$A$15,BD$13)))</f>
        <v>1000000000000</v>
      </c>
      <c r="BE224" s="173">
        <f ca="1">IF(OR($D224&lt;&gt;"Serviço",AND(AUTOEVENTO="Manual",$M224=$A$15),$M224&gt;(ROW(PLE.lastrow)-ROW(PLE.firstrow))),0,
           IF(OFFSET(PLE!$G$15,$M224-$A$15,BE$13)="",10^12,OFFSET(PLE!$G$15,$M224-$A$15,BE$13)))</f>
        <v>1000000000000</v>
      </c>
      <c r="BF224" s="173">
        <f ca="1">IF(OR($D224&lt;&gt;"Serviço",AND(AUTOEVENTO="Manual",$M224=$A$15),$M224&gt;(ROW(PLE.lastrow)-ROW(PLE.firstrow))),0,
           IF(OFFSET(PLE!$G$15,$M224-$A$15,BF$13)="",10^12,OFFSET(PLE!$G$15,$M224-$A$15,BF$13)))</f>
        <v>1000000000000</v>
      </c>
      <c r="BG224" s="173">
        <f ca="1">IF(OR($D224&lt;&gt;"Serviço",AND(AUTOEVENTO="Manual",$M224=$A$15),$M224&gt;(ROW(PLE.lastrow)-ROW(PLE.firstrow))),0,
           IF(OFFSET(PLE!$G$15,$M224-$A$15,BG$13)="",10^12,OFFSET(PLE!$G$15,$M224-$A$15,BG$13)))</f>
        <v>1000000000000</v>
      </c>
    </row>
    <row r="225" spans="1:59" s="720" customFormat="1" ht="25.5" x14ac:dyDescent="0.2">
      <c r="A225" s="718" t="str">
        <f t="shared" ca="1" si="11"/>
        <v>208</v>
      </c>
      <c r="B225" s="718" t="str">
        <f ca="1">OFFSET(ORÇAMENTO!C$15,ROW(B225)-ROW(B$15),0)</f>
        <v>S</v>
      </c>
      <c r="C225" s="718" t="str">
        <f ca="1">OFFSET(ORÇAMENTO!L$15,ROW(C225)-ROW(C$15),0)</f>
        <v/>
      </c>
      <c r="D225" s="117" t="str">
        <f ca="1">OFFSET(ORÇAMENTO!N$15,ROW(D225)-ROW(D$15),0)</f>
        <v>Serviço</v>
      </c>
      <c r="E225" s="118" t="str">
        <f ca="1">OFFSET(ORÇAMENTO!O$15,ROW(E225)-ROW(E$15),0)</f>
        <v>-</v>
      </c>
      <c r="F225" s="164" t="str">
        <f ca="1">OFFSET(ORÇAMENTO!R$15,ROW(F225)-ROW(F$15),0)</f>
        <v>(abra o arquivo 'Referência 09-2025.xlsm)</v>
      </c>
      <c r="G225" s="165" t="str">
        <f ca="1">IF($D225&lt;&gt;"Serviço","",OFFSET(ORÇAMENTO!S$15,ROW(G225)-ROW(G$15),0))</f>
        <v>-</v>
      </c>
      <c r="H225" s="123">
        <f ca="1">IF($D225&lt;&gt;"Serviço",0,IF(ACOMPANHAMENTO="BM",ROUND(OFFSET(ORÇAMENTO!AJ$15,ROW(H225)-ROW(H$15),0),15-13*ORÇAMENTO!$AF$7),SUMPRODUCT(($Q$1:$AA$1=1)*ROUND($Q225:$AA225,15-13*ORÇAMENTO!$AF$7))))</f>
        <v>100</v>
      </c>
      <c r="I225" s="469" t="s">
        <v>1173</v>
      </c>
      <c r="J225" s="667" t="str">
        <f ca="1">IF(OR(B225&lt;&gt;"S",CÁLCULO.FrentesPreenchidas=0),"",IF(AND(ACOMPANHAMENTO="PLE",AUTOEVENTO="Manual",OR(H225&gt;0,ORÇAMENTO!AC225="QUANT."),OR(K225="",M225=0,N225="")),"►",IF(AND(ACOMPANHAMENTO="PLE",ORÇAMENTO!AC225="QUANT."),"►►",IF(AND(COUNTIF($P$11:$AA$11,"▼")=0,H225&gt;0,I225=""),"◄",""))))</f>
        <v/>
      </c>
      <c r="K225" s="668"/>
      <c r="L225" s="166" t="s">
        <v>765</v>
      </c>
      <c r="M225" s="167">
        <f ca="1">IF($D225&lt;&gt;"Serviço","",
          IF(AUTOEVENTO="manual",$A225,
                IF(ISERROR(MATCH($A225,$A$15:OFFSET($A225,-1,0),0)),MAX($M$15:OFFSET(M225,-1,0))+1,
                      INDEX($M$15:OFFSET(M225,-1,0),MATCH($A225,$A$15:OFFSET($A225,-1,0),0)))))</f>
        <v>26</v>
      </c>
      <c r="N225" s="168" t="str">
        <f ca="1">IF($D225&lt;&gt;"Serviço","",
         IF(AUTOEVENTO="Manual",
                IF($A225=0,"&lt;-- defina o número do agrupador",
                       OFFSET(EVENTOS!$D$15,$A225-$A$15,0)),
                OFFSET($F$15,$A225,0)))</f>
        <v>URBANIZAÇÃO</v>
      </c>
      <c r="O225" s="169"/>
      <c r="Q225" s="169"/>
      <c r="R225" s="170"/>
      <c r="S225" s="170"/>
      <c r="T225" s="170"/>
      <c r="U225" s="170"/>
      <c r="V225" s="170"/>
      <c r="W225" s="170"/>
      <c r="X225" s="170"/>
      <c r="Y225" s="170"/>
      <c r="Z225" s="171"/>
      <c r="AB225" s="454">
        <f ca="1">IF(AND($D225="Serviço",AB$12&lt;&gt;0,$H225&gt;0,OR(AUTOEVENTO&lt;&gt;"manual",$M225&lt;&gt;$A$15)),
        IF(Import.TipoArredondamento&lt;&gt;"TransfereGOV",
              ROUND(OFFSET($P225,0,AB$13),15-13*ORÇAMENTO!$AF$7)/$H225*OFFSET(ORÇAMENTO!$X$15,ROW(AB225)-ROW(AB$15),0),
              ROUND(ROUND(OFFSET($P225,0,AB$13),15-13*ORÇAMENTO!$AF$7)*OFFSET(ORÇAMENTO!$W$15,ROW(AB225)-ROW(AB$15),0),15-13*ORÇAMENTO!$AF$11)),
         0)</f>
        <v>0</v>
      </c>
      <c r="AC225" s="454">
        <f ca="1">IF(AND($D225="Serviço",AC$12&lt;&gt;0,$H225&gt;0,OR(AUTOEVENTO&lt;&gt;"manual",$M225&lt;&gt;$A$15)),
        IF(Import.TipoArredondamento&lt;&gt;"TransfereGOV",
              ROUND(OFFSET($P225,0,AC$13),15-13*ORÇAMENTO!$AF$7)/$H225*OFFSET(ORÇAMENTO!$X$15,ROW(AC225)-ROW(AC$15),0),
              ROUND(ROUND(OFFSET($P225,0,AC$13),15-13*ORÇAMENTO!$AF$7)*OFFSET(ORÇAMENTO!$W$15,ROW(AC225)-ROW(AC$15),0),15-13*ORÇAMENTO!$AF$11)),
         0)</f>
        <v>0</v>
      </c>
      <c r="AD225" s="454">
        <f ca="1">IF(AND($D225="Serviço",AD$12&lt;&gt;0,$H225&gt;0,OR(AUTOEVENTO&lt;&gt;"manual",$M225&lt;&gt;$A$15)),
        IF(Import.TipoArredondamento&lt;&gt;"TransfereGOV",
              ROUND(OFFSET($P225,0,AD$13),15-13*ORÇAMENTO!$AF$7)/$H225*OFFSET(ORÇAMENTO!$X$15,ROW(AD225)-ROW(AD$15),0),
              ROUND(ROUND(OFFSET($P225,0,AD$13),15-13*ORÇAMENTO!$AF$7)*OFFSET(ORÇAMENTO!$W$15,ROW(AD225)-ROW(AD$15),0),15-13*ORÇAMENTO!$AF$11)),
         0)</f>
        <v>0</v>
      </c>
      <c r="AE225" s="454">
        <f ca="1">IF(AND($D225="Serviço",AE$12&lt;&gt;0,$H225&gt;0,OR(AUTOEVENTO&lt;&gt;"manual",$M225&lt;&gt;$A$15)),
        IF(Import.TipoArredondamento&lt;&gt;"TransfereGOV",
              ROUND(OFFSET($P225,0,AE$13),15-13*ORÇAMENTO!$AF$7)/$H225*OFFSET(ORÇAMENTO!$X$15,ROW(AE225)-ROW(AE$15),0),
              ROUND(ROUND(OFFSET($P225,0,AE$13),15-13*ORÇAMENTO!$AF$7)*OFFSET(ORÇAMENTO!$W$15,ROW(AE225)-ROW(AE$15),0),15-13*ORÇAMENTO!$AF$11)),
         0)</f>
        <v>0</v>
      </c>
      <c r="AF225" s="454">
        <f ca="1">IF(AND($D225="Serviço",AF$12&lt;&gt;0,$H225&gt;0,OR(AUTOEVENTO&lt;&gt;"manual",$M225&lt;&gt;$A$15)),
        IF(Import.TipoArredondamento&lt;&gt;"TransfereGOV",
              ROUND(OFFSET($P225,0,AF$13),15-13*ORÇAMENTO!$AF$7)/$H225*OFFSET(ORÇAMENTO!$X$15,ROW(AF225)-ROW(AF$15),0),
              ROUND(ROUND(OFFSET($P225,0,AF$13),15-13*ORÇAMENTO!$AF$7)*OFFSET(ORÇAMENTO!$W$15,ROW(AF225)-ROW(AF$15),0),15-13*ORÇAMENTO!$AF$11)),
         0)</f>
        <v>0</v>
      </c>
      <c r="AG225" s="454">
        <f ca="1">IF(AND($D225="Serviço",AG$12&lt;&gt;0,$H225&gt;0,OR(AUTOEVENTO&lt;&gt;"manual",$M225&lt;&gt;$A$15)),
        IF(Import.TipoArredondamento&lt;&gt;"TransfereGOV",
              ROUND(OFFSET($P225,0,AG$13),15-13*ORÇAMENTO!$AF$7)/$H225*OFFSET(ORÇAMENTO!$X$15,ROW(AG225)-ROW(AG$15),0),
              ROUND(ROUND(OFFSET($P225,0,AG$13),15-13*ORÇAMENTO!$AF$7)*OFFSET(ORÇAMENTO!$W$15,ROW(AG225)-ROW(AG$15),0),15-13*ORÇAMENTO!$AF$11)),
         0)</f>
        <v>0</v>
      </c>
      <c r="AH225" s="454">
        <f ca="1">IF(AND($D225="Serviço",AH$12&lt;&gt;0,$H225&gt;0,OR(AUTOEVENTO&lt;&gt;"manual",$M225&lt;&gt;$A$15)),
        IF(Import.TipoArredondamento&lt;&gt;"TransfereGOV",
              ROUND(OFFSET($P225,0,AH$13),15-13*ORÇAMENTO!$AF$7)/$H225*OFFSET(ORÇAMENTO!$X$15,ROW(AH225)-ROW(AH$15),0),
              ROUND(ROUND(OFFSET($P225,0,AH$13),15-13*ORÇAMENTO!$AF$7)*OFFSET(ORÇAMENTO!$W$15,ROW(AH225)-ROW(AH$15),0),15-13*ORÇAMENTO!$AF$11)),
         0)</f>
        <v>0</v>
      </c>
      <c r="AI225" s="454">
        <f ca="1">IF(AND($D225="Serviço",AI$12&lt;&gt;0,$H225&gt;0,OR(AUTOEVENTO&lt;&gt;"manual",$M225&lt;&gt;$A$15)),
        IF(Import.TipoArredondamento&lt;&gt;"TransfereGOV",
              ROUND(OFFSET($P225,0,AI$13),15-13*ORÇAMENTO!$AF$7)/$H225*OFFSET(ORÇAMENTO!$X$15,ROW(AI225)-ROW(AI$15),0),
              ROUND(ROUND(OFFSET($P225,0,AI$13),15-13*ORÇAMENTO!$AF$7)*OFFSET(ORÇAMENTO!$W$15,ROW(AI225)-ROW(AI$15),0),15-13*ORÇAMENTO!$AF$11)),
         0)</f>
        <v>0</v>
      </c>
      <c r="AJ225" s="454">
        <f ca="1">IF(AND($D225="Serviço",AJ$12&lt;&gt;0,$H225&gt;0,OR(AUTOEVENTO&lt;&gt;"manual",$M225&lt;&gt;$A$15)),
        IF(Import.TipoArredondamento&lt;&gt;"TransfereGOV",
              ROUND(OFFSET($P225,0,AJ$13),15-13*ORÇAMENTO!$AF$7)/$H225*OFFSET(ORÇAMENTO!$X$15,ROW(AJ225)-ROW(AJ$15),0),
              ROUND(ROUND(OFFSET($P225,0,AJ$13),15-13*ORÇAMENTO!$AF$7)*OFFSET(ORÇAMENTO!$W$15,ROW(AJ225)-ROW(AJ$15),0),15-13*ORÇAMENTO!$AF$11)),
         0)</f>
        <v>0</v>
      </c>
      <c r="AK225" s="454">
        <f ca="1">IF(AND($D225="Serviço",AK$12&lt;&gt;0,$H225&gt;0,OR(AUTOEVENTO&lt;&gt;"manual",$M225&lt;&gt;$A$15)),
        IF(Import.TipoArredondamento&lt;&gt;"TransfereGOV",
              ROUND(OFFSET($P225,0,AK$13),15-13*ORÇAMENTO!$AF$7)/$H225*OFFSET(ORÇAMENTO!$X$15,ROW(AK225)-ROW(AK$15),0),
              ROUND(ROUND(OFFSET($P225,0,AK$13),15-13*ORÇAMENTO!$AF$7)*OFFSET(ORÇAMENTO!$W$15,ROW(AK225)-ROW(AK$15),0),15-13*ORÇAMENTO!$AF$11)),
         0)</f>
        <v>0</v>
      </c>
      <c r="AM225" s="172">
        <f ca="1">IF(OR($D225&lt;&gt;"Serviço",AND(AUTOEVENTO="Manual",$M225=$A$15)),0,
         IF(OFFSET(CRONOPLE!$F$15,$M225-$A$15,AM$13)=0,10^12,OFFSET(CRONOPLE!$F$15,$M225-$A$15,AM$13)))</f>
        <v>1000000000000</v>
      </c>
      <c r="AN225" s="172">
        <f ca="1">IF(OR($D225&lt;&gt;"Serviço",AND(AUTOEVENTO="Manual",$M225=$A$15)),0,
         IF(OFFSET(CRONOPLE!$F$15,$M225-$A$15,AN$13)=0,10^12,OFFSET(CRONOPLE!$F$15,$M225-$A$15,AN$13)))</f>
        <v>1000000000000</v>
      </c>
      <c r="AO225" s="172">
        <f ca="1">IF(OR($D225&lt;&gt;"Serviço",AND(AUTOEVENTO="Manual",$M225=$A$15)),0,
         IF(OFFSET(CRONOPLE!$F$15,$M225-$A$15,AO$13)=0,10^12,OFFSET(CRONOPLE!$F$15,$M225-$A$15,AO$13)))</f>
        <v>1000000000000</v>
      </c>
      <c r="AP225" s="172">
        <f ca="1">IF(OR($D225&lt;&gt;"Serviço",AND(AUTOEVENTO="Manual",$M225=$A$15)),0,
         IF(OFFSET(CRONOPLE!$F$15,$M225-$A$15,AP$13)=0,10^12,OFFSET(CRONOPLE!$F$15,$M225-$A$15,AP$13)))</f>
        <v>1000000000000</v>
      </c>
      <c r="AQ225" s="172">
        <f ca="1">IF(OR($D225&lt;&gt;"Serviço",AND(AUTOEVENTO="Manual",$M225=$A$15)),0,
         IF(OFFSET(CRONOPLE!$F$15,$M225-$A$15,AQ$13)=0,10^12,OFFSET(CRONOPLE!$F$15,$M225-$A$15,AQ$13)))</f>
        <v>1000000000000</v>
      </c>
      <c r="AR225" s="172">
        <f ca="1">IF(OR($D225&lt;&gt;"Serviço",AND(AUTOEVENTO="Manual",$M225=$A$15)),0,
         IF(OFFSET(CRONOPLE!$F$15,$M225-$A$15,AR$13)=0,10^12,OFFSET(CRONOPLE!$F$15,$M225-$A$15,AR$13)))</f>
        <v>1000000000000</v>
      </c>
      <c r="AS225" s="172">
        <f ca="1">IF(OR($D225&lt;&gt;"Serviço",AND(AUTOEVENTO="Manual",$M225=$A$15)),0,
         IF(OFFSET(CRONOPLE!$F$15,$M225-$A$15,AS$13)=0,10^12,OFFSET(CRONOPLE!$F$15,$M225-$A$15,AS$13)))</f>
        <v>1000000000000</v>
      </c>
      <c r="AT225" s="172">
        <f ca="1">IF(OR($D225&lt;&gt;"Serviço",AND(AUTOEVENTO="Manual",$M225=$A$15)),0,
         IF(OFFSET(CRONOPLE!$F$15,$M225-$A$15,AT$13)=0,10^12,OFFSET(CRONOPLE!$F$15,$M225-$A$15,AT$13)))</f>
        <v>1000000000000</v>
      </c>
      <c r="AU225" s="172">
        <f ca="1">IF(OR($D225&lt;&gt;"Serviço",AND(AUTOEVENTO="Manual",$M225=$A$15)),0,
         IF(OFFSET(CRONOPLE!$F$15,$M225-$A$15,AU$13)=0,10^12,OFFSET(CRONOPLE!$F$15,$M225-$A$15,AU$13)))</f>
        <v>1000000000000</v>
      </c>
      <c r="AV225" s="172">
        <f ca="1">IF(OR($D225&lt;&gt;"Serviço",AND(AUTOEVENTO="Manual",$M225=$A$15)),0,
         IF(OFFSET(CRONOPLE!$F$15,$M225-$A$15,AV$13)=0,10^12,OFFSET(CRONOPLE!$F$15,$M225-$A$15,AV$13)))</f>
        <v>1000000000000</v>
      </c>
      <c r="AX225" s="173">
        <f ca="1">IF(OR($D225&lt;&gt;"Serviço",AND(AUTOEVENTO="Manual",$M225=$A$15),$M225&gt;(ROW(PLE.lastrow)-ROW(PLE.firstrow))),0,
           IF(OFFSET(PLE!$G$15,$M225-$A$15,AX$13)="",10^12,OFFSET(PLE!$G$15,$M225-$A$15,AX$13)))</f>
        <v>1000000000000</v>
      </c>
      <c r="AY225" s="173">
        <f ca="1">IF(OR($D225&lt;&gt;"Serviço",AND(AUTOEVENTO="Manual",$M225=$A$15),$M225&gt;(ROW(PLE.lastrow)-ROW(PLE.firstrow))),0,
           IF(OFFSET(PLE!$G$15,$M225-$A$15,AY$13)="",10^12,OFFSET(PLE!$G$15,$M225-$A$15,AY$13)))</f>
        <v>1000000000000</v>
      </c>
      <c r="AZ225" s="173">
        <f ca="1">IF(OR($D225&lt;&gt;"Serviço",AND(AUTOEVENTO="Manual",$M225=$A$15),$M225&gt;(ROW(PLE.lastrow)-ROW(PLE.firstrow))),0,
           IF(OFFSET(PLE!$G$15,$M225-$A$15,AZ$13)="",10^12,OFFSET(PLE!$G$15,$M225-$A$15,AZ$13)))</f>
        <v>1000000000000</v>
      </c>
      <c r="BA225" s="173">
        <f ca="1">IF(OR($D225&lt;&gt;"Serviço",AND(AUTOEVENTO="Manual",$M225=$A$15),$M225&gt;(ROW(PLE.lastrow)-ROW(PLE.firstrow))),0,
           IF(OFFSET(PLE!$G$15,$M225-$A$15,BA$13)="",10^12,OFFSET(PLE!$G$15,$M225-$A$15,BA$13)))</f>
        <v>1000000000000</v>
      </c>
      <c r="BB225" s="173">
        <f ca="1">IF(OR($D225&lt;&gt;"Serviço",AND(AUTOEVENTO="Manual",$M225=$A$15),$M225&gt;(ROW(PLE.lastrow)-ROW(PLE.firstrow))),0,
           IF(OFFSET(PLE!$G$15,$M225-$A$15,BB$13)="",10^12,OFFSET(PLE!$G$15,$M225-$A$15,BB$13)))</f>
        <v>1000000000000</v>
      </c>
      <c r="BC225" s="173">
        <f ca="1">IF(OR($D225&lt;&gt;"Serviço",AND(AUTOEVENTO="Manual",$M225=$A$15),$M225&gt;(ROW(PLE.lastrow)-ROW(PLE.firstrow))),0,
           IF(OFFSET(PLE!$G$15,$M225-$A$15,BC$13)="",10^12,OFFSET(PLE!$G$15,$M225-$A$15,BC$13)))</f>
        <v>1000000000000</v>
      </c>
      <c r="BD225" s="173">
        <f ca="1">IF(OR($D225&lt;&gt;"Serviço",AND(AUTOEVENTO="Manual",$M225=$A$15),$M225&gt;(ROW(PLE.lastrow)-ROW(PLE.firstrow))),0,
           IF(OFFSET(PLE!$G$15,$M225-$A$15,BD$13)="",10^12,OFFSET(PLE!$G$15,$M225-$A$15,BD$13)))</f>
        <v>1000000000000</v>
      </c>
      <c r="BE225" s="173">
        <f ca="1">IF(OR($D225&lt;&gt;"Serviço",AND(AUTOEVENTO="Manual",$M225=$A$15),$M225&gt;(ROW(PLE.lastrow)-ROW(PLE.firstrow))),0,
           IF(OFFSET(PLE!$G$15,$M225-$A$15,BE$13)="",10^12,OFFSET(PLE!$G$15,$M225-$A$15,BE$13)))</f>
        <v>1000000000000</v>
      </c>
      <c r="BF225" s="173">
        <f ca="1">IF(OR($D225&lt;&gt;"Serviço",AND(AUTOEVENTO="Manual",$M225=$A$15),$M225&gt;(ROW(PLE.lastrow)-ROW(PLE.firstrow))),0,
           IF(OFFSET(PLE!$G$15,$M225-$A$15,BF$13)="",10^12,OFFSET(PLE!$G$15,$M225-$A$15,BF$13)))</f>
        <v>1000000000000</v>
      </c>
      <c r="BG225" s="173">
        <f ca="1">IF(OR($D225&lt;&gt;"Serviço",AND(AUTOEVENTO="Manual",$M225=$A$15),$M225&gt;(ROW(PLE.lastrow)-ROW(PLE.firstrow))),0,
           IF(OFFSET(PLE!$G$15,$M225-$A$15,BG$13)="",10^12,OFFSET(PLE!$G$15,$M225-$A$15,BG$13)))</f>
        <v>1000000000000</v>
      </c>
    </row>
    <row r="226" spans="1:59" s="675" customFormat="1" ht="12.75" x14ac:dyDescent="0.2">
      <c r="A226" s="671" t="str">
        <f t="shared" ca="1" si="11"/>
        <v>211.</v>
      </c>
      <c r="B226" s="671">
        <f ca="1">OFFSET(ORÇAMENTO!C$15,ROW(B226)-ROW(B$15),0)</f>
        <v>2</v>
      </c>
      <c r="C226" s="671" t="str">
        <f ca="1">OFFSET(ORÇAMENTO!L$15,ROW(C226)-ROW(C$15),0)</f>
        <v>F</v>
      </c>
      <c r="D226" s="117" t="str">
        <f ca="1">OFFSET(ORÇAMENTO!N$15,ROW(D226)-ROW(D$15),0)</f>
        <v>Nível 2</v>
      </c>
      <c r="E226" s="118" t="str">
        <f ca="1">OFFSET(ORÇAMENTO!O$15,ROW(E226)-ROW(E$15),0)</f>
        <v>1.31.</v>
      </c>
      <c r="F226" s="164" t="str">
        <f ca="1">OFFSET(ORÇAMENTO!R$15,ROW(F226)-ROW(F$15),0)</f>
        <v>CONCLUSÃO DA OBRA</v>
      </c>
      <c r="G226" s="165" t="str">
        <f ca="1">IF($D226&lt;&gt;"Serviço","",OFFSET(ORÇAMENTO!S$15,ROW(G226)-ROW(G$15),0))</f>
        <v/>
      </c>
      <c r="H226" s="123">
        <f ca="1">IF($D226&lt;&gt;"Serviço",0,IF(ACOMPANHAMENTO="BM",ROUND(OFFSET(ORÇAMENTO!AJ$15,ROW(H226)-ROW(H$15),0),15-13*ORÇAMENTO!$AF$7),SUMPRODUCT(($Q$1:$AA$1=1)*ROUND($Q226:$AA226,15-13*ORÇAMENTO!$AF$7))))</f>
        <v>0</v>
      </c>
      <c r="I226" s="469"/>
      <c r="J226" s="667" t="str">
        <f ca="1">IF(OR(B226&lt;&gt;"S",CÁLCULO.FrentesPreenchidas=0),"",IF(AND(ACOMPANHAMENTO="PLE",AUTOEVENTO="Manual",OR(H226&gt;0,ORÇAMENTO!AC226="QUANT."),OR(K226="",M226=0,N226="")),"►",IF(AND(ACOMPANHAMENTO="PLE",ORÇAMENTO!AC226="QUANT."),"►►",IF(AND(COUNTIF($P$11:$AA$11,"▼")=0,H226&gt;0,I226=""),"◄",""))))</f>
        <v/>
      </c>
      <c r="K226" s="668"/>
      <c r="L226" s="166" t="s">
        <v>765</v>
      </c>
      <c r="M226" s="167" t="str">
        <f ca="1">IF($D226&lt;&gt;"Serviço","",
          IF(AUTOEVENTO="manual",$A226,
                IF(ISERROR(MATCH($A226,$A$15:OFFSET($A226,-1,0),0)),MAX($M$15:OFFSET(M226,-1,0))+1,
                      INDEX($M$15:OFFSET(M226,-1,0),MATCH($A226,$A$15:OFFSET($A226,-1,0),0)))))</f>
        <v/>
      </c>
      <c r="N226" s="168" t="str">
        <f ca="1">IF($D226&lt;&gt;"Serviço","",
         IF(AUTOEVENTO="Manual",
                IF($A226=0,"&lt;-- defina o número do agrupador",
                       OFFSET(EVENTOS!$D$15,$A226-$A$15,0)),
                OFFSET($F$15,$A226,0)))</f>
        <v/>
      </c>
      <c r="O226" s="169"/>
      <c r="Q226" s="169"/>
      <c r="R226" s="170"/>
      <c r="S226" s="170"/>
      <c r="T226" s="170"/>
      <c r="U226" s="170"/>
      <c r="V226" s="170"/>
      <c r="W226" s="170"/>
      <c r="X226" s="170"/>
      <c r="Y226" s="170"/>
      <c r="Z226" s="171"/>
      <c r="AB226" s="454">
        <f ca="1">IF(AND($D226="Serviço",AB$12&lt;&gt;0,$H226&gt;0,OR(AUTOEVENTO&lt;&gt;"manual",$M226&lt;&gt;$A$15)),
        IF(Import.TipoArredondamento&lt;&gt;"TransfereGOV",
              ROUND(OFFSET($P226,0,AB$13),15-13*ORÇAMENTO!$AF$7)/$H226*OFFSET(ORÇAMENTO!$X$15,ROW(AB226)-ROW(AB$15),0),
              ROUND(ROUND(OFFSET($P226,0,AB$13),15-13*ORÇAMENTO!$AF$7)*OFFSET(ORÇAMENTO!$W$15,ROW(AB226)-ROW(AB$15),0),15-13*ORÇAMENTO!$AF$11)),
         0)</f>
        <v>0</v>
      </c>
      <c r="AC226" s="454">
        <f ca="1">IF(AND($D226="Serviço",AC$12&lt;&gt;0,$H226&gt;0,OR(AUTOEVENTO&lt;&gt;"manual",$M226&lt;&gt;$A$15)),
        IF(Import.TipoArredondamento&lt;&gt;"TransfereGOV",
              ROUND(OFFSET($P226,0,AC$13),15-13*ORÇAMENTO!$AF$7)/$H226*OFFSET(ORÇAMENTO!$X$15,ROW(AC226)-ROW(AC$15),0),
              ROUND(ROUND(OFFSET($P226,0,AC$13),15-13*ORÇAMENTO!$AF$7)*OFFSET(ORÇAMENTO!$W$15,ROW(AC226)-ROW(AC$15),0),15-13*ORÇAMENTO!$AF$11)),
         0)</f>
        <v>0</v>
      </c>
      <c r="AD226" s="454">
        <f ca="1">IF(AND($D226="Serviço",AD$12&lt;&gt;0,$H226&gt;0,OR(AUTOEVENTO&lt;&gt;"manual",$M226&lt;&gt;$A$15)),
        IF(Import.TipoArredondamento&lt;&gt;"TransfereGOV",
              ROUND(OFFSET($P226,0,AD$13),15-13*ORÇAMENTO!$AF$7)/$H226*OFFSET(ORÇAMENTO!$X$15,ROW(AD226)-ROW(AD$15),0),
              ROUND(ROUND(OFFSET($P226,0,AD$13),15-13*ORÇAMENTO!$AF$7)*OFFSET(ORÇAMENTO!$W$15,ROW(AD226)-ROW(AD$15),0),15-13*ORÇAMENTO!$AF$11)),
         0)</f>
        <v>0</v>
      </c>
      <c r="AE226" s="454">
        <f ca="1">IF(AND($D226="Serviço",AE$12&lt;&gt;0,$H226&gt;0,OR(AUTOEVENTO&lt;&gt;"manual",$M226&lt;&gt;$A$15)),
        IF(Import.TipoArredondamento&lt;&gt;"TransfereGOV",
              ROUND(OFFSET($P226,0,AE$13),15-13*ORÇAMENTO!$AF$7)/$H226*OFFSET(ORÇAMENTO!$X$15,ROW(AE226)-ROW(AE$15),0),
              ROUND(ROUND(OFFSET($P226,0,AE$13),15-13*ORÇAMENTO!$AF$7)*OFFSET(ORÇAMENTO!$W$15,ROW(AE226)-ROW(AE$15),0),15-13*ORÇAMENTO!$AF$11)),
         0)</f>
        <v>0</v>
      </c>
      <c r="AF226" s="454">
        <f ca="1">IF(AND($D226="Serviço",AF$12&lt;&gt;0,$H226&gt;0,OR(AUTOEVENTO&lt;&gt;"manual",$M226&lt;&gt;$A$15)),
        IF(Import.TipoArredondamento&lt;&gt;"TransfereGOV",
              ROUND(OFFSET($P226,0,AF$13),15-13*ORÇAMENTO!$AF$7)/$H226*OFFSET(ORÇAMENTO!$X$15,ROW(AF226)-ROW(AF$15),0),
              ROUND(ROUND(OFFSET($P226,0,AF$13),15-13*ORÇAMENTO!$AF$7)*OFFSET(ORÇAMENTO!$W$15,ROW(AF226)-ROW(AF$15),0),15-13*ORÇAMENTO!$AF$11)),
         0)</f>
        <v>0</v>
      </c>
      <c r="AG226" s="454">
        <f ca="1">IF(AND($D226="Serviço",AG$12&lt;&gt;0,$H226&gt;0,OR(AUTOEVENTO&lt;&gt;"manual",$M226&lt;&gt;$A$15)),
        IF(Import.TipoArredondamento&lt;&gt;"TransfereGOV",
              ROUND(OFFSET($P226,0,AG$13),15-13*ORÇAMENTO!$AF$7)/$H226*OFFSET(ORÇAMENTO!$X$15,ROW(AG226)-ROW(AG$15),0),
              ROUND(ROUND(OFFSET($P226,0,AG$13),15-13*ORÇAMENTO!$AF$7)*OFFSET(ORÇAMENTO!$W$15,ROW(AG226)-ROW(AG$15),0),15-13*ORÇAMENTO!$AF$11)),
         0)</f>
        <v>0</v>
      </c>
      <c r="AH226" s="454">
        <f ca="1">IF(AND($D226="Serviço",AH$12&lt;&gt;0,$H226&gt;0,OR(AUTOEVENTO&lt;&gt;"manual",$M226&lt;&gt;$A$15)),
        IF(Import.TipoArredondamento&lt;&gt;"TransfereGOV",
              ROUND(OFFSET($P226,0,AH$13),15-13*ORÇAMENTO!$AF$7)/$H226*OFFSET(ORÇAMENTO!$X$15,ROW(AH226)-ROW(AH$15),0),
              ROUND(ROUND(OFFSET($P226,0,AH$13),15-13*ORÇAMENTO!$AF$7)*OFFSET(ORÇAMENTO!$W$15,ROW(AH226)-ROW(AH$15),0),15-13*ORÇAMENTO!$AF$11)),
         0)</f>
        <v>0</v>
      </c>
      <c r="AI226" s="454">
        <f ca="1">IF(AND($D226="Serviço",AI$12&lt;&gt;0,$H226&gt;0,OR(AUTOEVENTO&lt;&gt;"manual",$M226&lt;&gt;$A$15)),
        IF(Import.TipoArredondamento&lt;&gt;"TransfereGOV",
              ROUND(OFFSET($P226,0,AI$13),15-13*ORÇAMENTO!$AF$7)/$H226*OFFSET(ORÇAMENTO!$X$15,ROW(AI226)-ROW(AI$15),0),
              ROUND(ROUND(OFFSET($P226,0,AI$13),15-13*ORÇAMENTO!$AF$7)*OFFSET(ORÇAMENTO!$W$15,ROW(AI226)-ROW(AI$15),0),15-13*ORÇAMENTO!$AF$11)),
         0)</f>
        <v>0</v>
      </c>
      <c r="AJ226" s="454">
        <f ca="1">IF(AND($D226="Serviço",AJ$12&lt;&gt;0,$H226&gt;0,OR(AUTOEVENTO&lt;&gt;"manual",$M226&lt;&gt;$A$15)),
        IF(Import.TipoArredondamento&lt;&gt;"TransfereGOV",
              ROUND(OFFSET($P226,0,AJ$13),15-13*ORÇAMENTO!$AF$7)/$H226*OFFSET(ORÇAMENTO!$X$15,ROW(AJ226)-ROW(AJ$15),0),
              ROUND(ROUND(OFFSET($P226,0,AJ$13),15-13*ORÇAMENTO!$AF$7)*OFFSET(ORÇAMENTO!$W$15,ROW(AJ226)-ROW(AJ$15),0),15-13*ORÇAMENTO!$AF$11)),
         0)</f>
        <v>0</v>
      </c>
      <c r="AK226" s="454">
        <f ca="1">IF(AND($D226="Serviço",AK$12&lt;&gt;0,$H226&gt;0,OR(AUTOEVENTO&lt;&gt;"manual",$M226&lt;&gt;$A$15)),
        IF(Import.TipoArredondamento&lt;&gt;"TransfereGOV",
              ROUND(OFFSET($P226,0,AK$13),15-13*ORÇAMENTO!$AF$7)/$H226*OFFSET(ORÇAMENTO!$X$15,ROW(AK226)-ROW(AK$15),0),
              ROUND(ROUND(OFFSET($P226,0,AK$13),15-13*ORÇAMENTO!$AF$7)*OFFSET(ORÇAMENTO!$W$15,ROW(AK226)-ROW(AK$15),0),15-13*ORÇAMENTO!$AF$11)),
         0)</f>
        <v>0</v>
      </c>
      <c r="AM226" s="172">
        <f ca="1">IF(OR($D226&lt;&gt;"Serviço",AND(AUTOEVENTO="Manual",$M226=$A$15)),0,
         IF(OFFSET(CRONOPLE!$F$15,$M226-$A$15,AM$13)=0,10^12,OFFSET(CRONOPLE!$F$15,$M226-$A$15,AM$13)))</f>
        <v>0</v>
      </c>
      <c r="AN226" s="172">
        <f ca="1">IF(OR($D226&lt;&gt;"Serviço",AND(AUTOEVENTO="Manual",$M226=$A$15)),0,
         IF(OFFSET(CRONOPLE!$F$15,$M226-$A$15,AN$13)=0,10^12,OFFSET(CRONOPLE!$F$15,$M226-$A$15,AN$13)))</f>
        <v>0</v>
      </c>
      <c r="AO226" s="172">
        <f ca="1">IF(OR($D226&lt;&gt;"Serviço",AND(AUTOEVENTO="Manual",$M226=$A$15)),0,
         IF(OFFSET(CRONOPLE!$F$15,$M226-$A$15,AO$13)=0,10^12,OFFSET(CRONOPLE!$F$15,$M226-$A$15,AO$13)))</f>
        <v>0</v>
      </c>
      <c r="AP226" s="172">
        <f ca="1">IF(OR($D226&lt;&gt;"Serviço",AND(AUTOEVENTO="Manual",$M226=$A$15)),0,
         IF(OFFSET(CRONOPLE!$F$15,$M226-$A$15,AP$13)=0,10^12,OFFSET(CRONOPLE!$F$15,$M226-$A$15,AP$13)))</f>
        <v>0</v>
      </c>
      <c r="AQ226" s="172">
        <f ca="1">IF(OR($D226&lt;&gt;"Serviço",AND(AUTOEVENTO="Manual",$M226=$A$15)),0,
         IF(OFFSET(CRONOPLE!$F$15,$M226-$A$15,AQ$13)=0,10^12,OFFSET(CRONOPLE!$F$15,$M226-$A$15,AQ$13)))</f>
        <v>0</v>
      </c>
      <c r="AR226" s="172">
        <f ca="1">IF(OR($D226&lt;&gt;"Serviço",AND(AUTOEVENTO="Manual",$M226=$A$15)),0,
         IF(OFFSET(CRONOPLE!$F$15,$M226-$A$15,AR$13)=0,10^12,OFFSET(CRONOPLE!$F$15,$M226-$A$15,AR$13)))</f>
        <v>0</v>
      </c>
      <c r="AS226" s="172">
        <f ca="1">IF(OR($D226&lt;&gt;"Serviço",AND(AUTOEVENTO="Manual",$M226=$A$15)),0,
         IF(OFFSET(CRONOPLE!$F$15,$M226-$A$15,AS$13)=0,10^12,OFFSET(CRONOPLE!$F$15,$M226-$A$15,AS$13)))</f>
        <v>0</v>
      </c>
      <c r="AT226" s="172">
        <f ca="1">IF(OR($D226&lt;&gt;"Serviço",AND(AUTOEVENTO="Manual",$M226=$A$15)),0,
         IF(OFFSET(CRONOPLE!$F$15,$M226-$A$15,AT$13)=0,10^12,OFFSET(CRONOPLE!$F$15,$M226-$A$15,AT$13)))</f>
        <v>0</v>
      </c>
      <c r="AU226" s="172">
        <f ca="1">IF(OR($D226&lt;&gt;"Serviço",AND(AUTOEVENTO="Manual",$M226=$A$15)),0,
         IF(OFFSET(CRONOPLE!$F$15,$M226-$A$15,AU$13)=0,10^12,OFFSET(CRONOPLE!$F$15,$M226-$A$15,AU$13)))</f>
        <v>0</v>
      </c>
      <c r="AV226" s="172">
        <f ca="1">IF(OR($D226&lt;&gt;"Serviço",AND(AUTOEVENTO="Manual",$M226=$A$15)),0,
         IF(OFFSET(CRONOPLE!$F$15,$M226-$A$15,AV$13)=0,10^12,OFFSET(CRONOPLE!$F$15,$M226-$A$15,AV$13)))</f>
        <v>0</v>
      </c>
      <c r="AX226" s="173">
        <f ca="1">IF(OR($D226&lt;&gt;"Serviço",AND(AUTOEVENTO="Manual",$M226=$A$15),$M226&gt;(ROW(PLE.lastrow)-ROW(PLE.firstrow))),0,
           IF(OFFSET(PLE!$G$15,$M226-$A$15,AX$13)="",10^12,OFFSET(PLE!$G$15,$M226-$A$15,AX$13)))</f>
        <v>0</v>
      </c>
      <c r="AY226" s="173">
        <f ca="1">IF(OR($D226&lt;&gt;"Serviço",AND(AUTOEVENTO="Manual",$M226=$A$15),$M226&gt;(ROW(PLE.lastrow)-ROW(PLE.firstrow))),0,
           IF(OFFSET(PLE!$G$15,$M226-$A$15,AY$13)="",10^12,OFFSET(PLE!$G$15,$M226-$A$15,AY$13)))</f>
        <v>0</v>
      </c>
      <c r="AZ226" s="173">
        <f ca="1">IF(OR($D226&lt;&gt;"Serviço",AND(AUTOEVENTO="Manual",$M226=$A$15),$M226&gt;(ROW(PLE.lastrow)-ROW(PLE.firstrow))),0,
           IF(OFFSET(PLE!$G$15,$M226-$A$15,AZ$13)="",10^12,OFFSET(PLE!$G$15,$M226-$A$15,AZ$13)))</f>
        <v>0</v>
      </c>
      <c r="BA226" s="173">
        <f ca="1">IF(OR($D226&lt;&gt;"Serviço",AND(AUTOEVENTO="Manual",$M226=$A$15),$M226&gt;(ROW(PLE.lastrow)-ROW(PLE.firstrow))),0,
           IF(OFFSET(PLE!$G$15,$M226-$A$15,BA$13)="",10^12,OFFSET(PLE!$G$15,$M226-$A$15,BA$13)))</f>
        <v>0</v>
      </c>
      <c r="BB226" s="173">
        <f ca="1">IF(OR($D226&lt;&gt;"Serviço",AND(AUTOEVENTO="Manual",$M226=$A$15),$M226&gt;(ROW(PLE.lastrow)-ROW(PLE.firstrow))),0,
           IF(OFFSET(PLE!$G$15,$M226-$A$15,BB$13)="",10^12,OFFSET(PLE!$G$15,$M226-$A$15,BB$13)))</f>
        <v>0</v>
      </c>
      <c r="BC226" s="173">
        <f ca="1">IF(OR($D226&lt;&gt;"Serviço",AND(AUTOEVENTO="Manual",$M226=$A$15),$M226&gt;(ROW(PLE.lastrow)-ROW(PLE.firstrow))),0,
           IF(OFFSET(PLE!$G$15,$M226-$A$15,BC$13)="",10^12,OFFSET(PLE!$G$15,$M226-$A$15,BC$13)))</f>
        <v>0</v>
      </c>
      <c r="BD226" s="173">
        <f ca="1">IF(OR($D226&lt;&gt;"Serviço",AND(AUTOEVENTO="Manual",$M226=$A$15),$M226&gt;(ROW(PLE.lastrow)-ROW(PLE.firstrow))),0,
           IF(OFFSET(PLE!$G$15,$M226-$A$15,BD$13)="",10^12,OFFSET(PLE!$G$15,$M226-$A$15,BD$13)))</f>
        <v>0</v>
      </c>
      <c r="BE226" s="173">
        <f ca="1">IF(OR($D226&lt;&gt;"Serviço",AND(AUTOEVENTO="Manual",$M226=$A$15),$M226&gt;(ROW(PLE.lastrow)-ROW(PLE.firstrow))),0,
           IF(OFFSET(PLE!$G$15,$M226-$A$15,BE$13)="",10^12,OFFSET(PLE!$G$15,$M226-$A$15,BE$13)))</f>
        <v>0</v>
      </c>
      <c r="BF226" s="173">
        <f ca="1">IF(OR($D226&lt;&gt;"Serviço",AND(AUTOEVENTO="Manual",$M226=$A$15),$M226&gt;(ROW(PLE.lastrow)-ROW(PLE.firstrow))),0,
           IF(OFFSET(PLE!$G$15,$M226-$A$15,BF$13)="",10^12,OFFSET(PLE!$G$15,$M226-$A$15,BF$13)))</f>
        <v>0</v>
      </c>
      <c r="BG226" s="173">
        <f ca="1">IF(OR($D226&lt;&gt;"Serviço",AND(AUTOEVENTO="Manual",$M226=$A$15),$M226&gt;(ROW(PLE.lastrow)-ROW(PLE.firstrow))),0,
           IF(OFFSET(PLE!$G$15,$M226-$A$15,BG$13)="",10^12,OFFSET(PLE!$G$15,$M226-$A$15,BG$13)))</f>
        <v>0</v>
      </c>
    </row>
    <row r="227" spans="1:59" s="708" customFormat="1" ht="12.75" x14ac:dyDescent="0.2">
      <c r="A227" s="706" t="str">
        <f t="shared" ca="1" si="11"/>
        <v>212.</v>
      </c>
      <c r="B227" s="706">
        <f ca="1">OFFSET(ORÇAMENTO!C$15,ROW(B227)-ROW(B$15),0)</f>
        <v>2</v>
      </c>
      <c r="C227" s="706" t="str">
        <f ca="1">OFFSET(ORÇAMENTO!L$15,ROW(C227)-ROW(C$15),0)</f>
        <v>F</v>
      </c>
      <c r="D227" s="117" t="str">
        <f ca="1">OFFSET(ORÇAMENTO!N$15,ROW(D227)-ROW(D$15),0)</f>
        <v>Nível 2</v>
      </c>
      <c r="E227" s="118" t="str">
        <f ca="1">OFFSET(ORÇAMENTO!O$15,ROW(E227)-ROW(E$15),0)</f>
        <v>1.32.</v>
      </c>
      <c r="F227" s="164" t="str">
        <f ca="1">OFFSET(ORÇAMENTO!R$15,ROW(F227)-ROW(F$15),0)</f>
        <v>PROJETO AS BUILT</v>
      </c>
      <c r="G227" s="165" t="str">
        <f ca="1">IF($D227&lt;&gt;"Serviço","",OFFSET(ORÇAMENTO!S$15,ROW(G227)-ROW(G$15),0))</f>
        <v/>
      </c>
      <c r="H227" s="123">
        <f ca="1">IF($D227&lt;&gt;"Serviço",0,IF(ACOMPANHAMENTO="BM",ROUND(OFFSET(ORÇAMENTO!AJ$15,ROW(H227)-ROW(H$15),0),15-13*ORÇAMENTO!$AF$7),SUMPRODUCT(($Q$1:$AA$1=1)*ROUND($Q227:$AA227,15-13*ORÇAMENTO!$AF$7))))</f>
        <v>0</v>
      </c>
      <c r="I227" s="469"/>
      <c r="J227" s="667" t="str">
        <f ca="1">IF(OR(B227&lt;&gt;"S",CÁLCULO.FrentesPreenchidas=0),"",IF(AND(ACOMPANHAMENTO="PLE",AUTOEVENTO="Manual",OR(H227&gt;0,ORÇAMENTO!AC227="QUANT."),OR(K227="",M227=0,N227="")),"►",IF(AND(ACOMPANHAMENTO="PLE",ORÇAMENTO!AC227="QUANT."),"►►",IF(AND(COUNTIF($P$11:$AA$11,"▼")=0,H227&gt;0,I227=""),"◄",""))))</f>
        <v/>
      </c>
      <c r="K227" s="668"/>
      <c r="L227" s="166" t="s">
        <v>765</v>
      </c>
      <c r="M227" s="167" t="str">
        <f ca="1">IF($D227&lt;&gt;"Serviço","",
          IF(AUTOEVENTO="manual",$A227,
                IF(ISERROR(MATCH($A227,$A$15:OFFSET($A227,-1,0),0)),MAX($M$15:OFFSET(M227,-1,0))+1,
                      INDEX($M$15:OFFSET(M227,-1,0),MATCH($A227,$A$15:OFFSET($A227,-1,0),0)))))</f>
        <v/>
      </c>
      <c r="N227" s="168" t="str">
        <f ca="1">IF($D227&lt;&gt;"Serviço","",
         IF(AUTOEVENTO="Manual",
                IF($A227=0,"&lt;-- defina o número do agrupador",
                       OFFSET(EVENTOS!$D$15,$A227-$A$15,0)),
                OFFSET($F$15,$A227,0)))</f>
        <v/>
      </c>
      <c r="O227" s="169"/>
      <c r="Q227" s="169"/>
      <c r="R227" s="170"/>
      <c r="S227" s="170"/>
      <c r="T227" s="170"/>
      <c r="U227" s="170"/>
      <c r="V227" s="170"/>
      <c r="W227" s="170"/>
      <c r="X227" s="170"/>
      <c r="Y227" s="170"/>
      <c r="Z227" s="171"/>
      <c r="AB227" s="454">
        <f ca="1">IF(AND($D227="Serviço",AB$12&lt;&gt;0,$H227&gt;0,OR(AUTOEVENTO&lt;&gt;"manual",$M227&lt;&gt;$A$15)),
        IF(Import.TipoArredondamento&lt;&gt;"TransfereGOV",
              ROUND(OFFSET($P227,0,AB$13),15-13*ORÇAMENTO!$AF$7)/$H227*OFFSET(ORÇAMENTO!$X$15,ROW(AB227)-ROW(AB$15),0),
              ROUND(ROUND(OFFSET($P227,0,AB$13),15-13*ORÇAMENTO!$AF$7)*OFFSET(ORÇAMENTO!$W$15,ROW(AB227)-ROW(AB$15),0),15-13*ORÇAMENTO!$AF$11)),
         0)</f>
        <v>0</v>
      </c>
      <c r="AC227" s="454">
        <f ca="1">IF(AND($D227="Serviço",AC$12&lt;&gt;0,$H227&gt;0,OR(AUTOEVENTO&lt;&gt;"manual",$M227&lt;&gt;$A$15)),
        IF(Import.TipoArredondamento&lt;&gt;"TransfereGOV",
              ROUND(OFFSET($P227,0,AC$13),15-13*ORÇAMENTO!$AF$7)/$H227*OFFSET(ORÇAMENTO!$X$15,ROW(AC227)-ROW(AC$15),0),
              ROUND(ROUND(OFFSET($P227,0,AC$13),15-13*ORÇAMENTO!$AF$7)*OFFSET(ORÇAMENTO!$W$15,ROW(AC227)-ROW(AC$15),0),15-13*ORÇAMENTO!$AF$11)),
         0)</f>
        <v>0</v>
      </c>
      <c r="AD227" s="454">
        <f ca="1">IF(AND($D227="Serviço",AD$12&lt;&gt;0,$H227&gt;0,OR(AUTOEVENTO&lt;&gt;"manual",$M227&lt;&gt;$A$15)),
        IF(Import.TipoArredondamento&lt;&gt;"TransfereGOV",
              ROUND(OFFSET($P227,0,AD$13),15-13*ORÇAMENTO!$AF$7)/$H227*OFFSET(ORÇAMENTO!$X$15,ROW(AD227)-ROW(AD$15),0),
              ROUND(ROUND(OFFSET($P227,0,AD$13),15-13*ORÇAMENTO!$AF$7)*OFFSET(ORÇAMENTO!$W$15,ROW(AD227)-ROW(AD$15),0),15-13*ORÇAMENTO!$AF$11)),
         0)</f>
        <v>0</v>
      </c>
      <c r="AE227" s="454">
        <f ca="1">IF(AND($D227="Serviço",AE$12&lt;&gt;0,$H227&gt;0,OR(AUTOEVENTO&lt;&gt;"manual",$M227&lt;&gt;$A$15)),
        IF(Import.TipoArredondamento&lt;&gt;"TransfereGOV",
              ROUND(OFFSET($P227,0,AE$13),15-13*ORÇAMENTO!$AF$7)/$H227*OFFSET(ORÇAMENTO!$X$15,ROW(AE227)-ROW(AE$15),0),
              ROUND(ROUND(OFFSET($P227,0,AE$13),15-13*ORÇAMENTO!$AF$7)*OFFSET(ORÇAMENTO!$W$15,ROW(AE227)-ROW(AE$15),0),15-13*ORÇAMENTO!$AF$11)),
         0)</f>
        <v>0</v>
      </c>
      <c r="AF227" s="454">
        <f ca="1">IF(AND($D227="Serviço",AF$12&lt;&gt;0,$H227&gt;0,OR(AUTOEVENTO&lt;&gt;"manual",$M227&lt;&gt;$A$15)),
        IF(Import.TipoArredondamento&lt;&gt;"TransfereGOV",
              ROUND(OFFSET($P227,0,AF$13),15-13*ORÇAMENTO!$AF$7)/$H227*OFFSET(ORÇAMENTO!$X$15,ROW(AF227)-ROW(AF$15),0),
              ROUND(ROUND(OFFSET($P227,0,AF$13),15-13*ORÇAMENTO!$AF$7)*OFFSET(ORÇAMENTO!$W$15,ROW(AF227)-ROW(AF$15),0),15-13*ORÇAMENTO!$AF$11)),
         0)</f>
        <v>0</v>
      </c>
      <c r="AG227" s="454">
        <f ca="1">IF(AND($D227="Serviço",AG$12&lt;&gt;0,$H227&gt;0,OR(AUTOEVENTO&lt;&gt;"manual",$M227&lt;&gt;$A$15)),
        IF(Import.TipoArredondamento&lt;&gt;"TransfereGOV",
              ROUND(OFFSET($P227,0,AG$13),15-13*ORÇAMENTO!$AF$7)/$H227*OFFSET(ORÇAMENTO!$X$15,ROW(AG227)-ROW(AG$15),0),
              ROUND(ROUND(OFFSET($P227,0,AG$13),15-13*ORÇAMENTO!$AF$7)*OFFSET(ORÇAMENTO!$W$15,ROW(AG227)-ROW(AG$15),0),15-13*ORÇAMENTO!$AF$11)),
         0)</f>
        <v>0</v>
      </c>
      <c r="AH227" s="454">
        <f ca="1">IF(AND($D227="Serviço",AH$12&lt;&gt;0,$H227&gt;0,OR(AUTOEVENTO&lt;&gt;"manual",$M227&lt;&gt;$A$15)),
        IF(Import.TipoArredondamento&lt;&gt;"TransfereGOV",
              ROUND(OFFSET($P227,0,AH$13),15-13*ORÇAMENTO!$AF$7)/$H227*OFFSET(ORÇAMENTO!$X$15,ROW(AH227)-ROW(AH$15),0),
              ROUND(ROUND(OFFSET($P227,0,AH$13),15-13*ORÇAMENTO!$AF$7)*OFFSET(ORÇAMENTO!$W$15,ROW(AH227)-ROW(AH$15),0),15-13*ORÇAMENTO!$AF$11)),
         0)</f>
        <v>0</v>
      </c>
      <c r="AI227" s="454">
        <f ca="1">IF(AND($D227="Serviço",AI$12&lt;&gt;0,$H227&gt;0,OR(AUTOEVENTO&lt;&gt;"manual",$M227&lt;&gt;$A$15)),
        IF(Import.TipoArredondamento&lt;&gt;"TransfereGOV",
              ROUND(OFFSET($P227,0,AI$13),15-13*ORÇAMENTO!$AF$7)/$H227*OFFSET(ORÇAMENTO!$X$15,ROW(AI227)-ROW(AI$15),0),
              ROUND(ROUND(OFFSET($P227,0,AI$13),15-13*ORÇAMENTO!$AF$7)*OFFSET(ORÇAMENTO!$W$15,ROW(AI227)-ROW(AI$15),0),15-13*ORÇAMENTO!$AF$11)),
         0)</f>
        <v>0</v>
      </c>
      <c r="AJ227" s="454">
        <f ca="1">IF(AND($D227="Serviço",AJ$12&lt;&gt;0,$H227&gt;0,OR(AUTOEVENTO&lt;&gt;"manual",$M227&lt;&gt;$A$15)),
        IF(Import.TipoArredondamento&lt;&gt;"TransfereGOV",
              ROUND(OFFSET($P227,0,AJ$13),15-13*ORÇAMENTO!$AF$7)/$H227*OFFSET(ORÇAMENTO!$X$15,ROW(AJ227)-ROW(AJ$15),0),
              ROUND(ROUND(OFFSET($P227,0,AJ$13),15-13*ORÇAMENTO!$AF$7)*OFFSET(ORÇAMENTO!$W$15,ROW(AJ227)-ROW(AJ$15),0),15-13*ORÇAMENTO!$AF$11)),
         0)</f>
        <v>0</v>
      </c>
      <c r="AK227" s="454">
        <f ca="1">IF(AND($D227="Serviço",AK$12&lt;&gt;0,$H227&gt;0,OR(AUTOEVENTO&lt;&gt;"manual",$M227&lt;&gt;$A$15)),
        IF(Import.TipoArredondamento&lt;&gt;"TransfereGOV",
              ROUND(OFFSET($P227,0,AK$13),15-13*ORÇAMENTO!$AF$7)/$H227*OFFSET(ORÇAMENTO!$X$15,ROW(AK227)-ROW(AK$15),0),
              ROUND(ROUND(OFFSET($P227,0,AK$13),15-13*ORÇAMENTO!$AF$7)*OFFSET(ORÇAMENTO!$W$15,ROW(AK227)-ROW(AK$15),0),15-13*ORÇAMENTO!$AF$11)),
         0)</f>
        <v>0</v>
      </c>
      <c r="AM227" s="172">
        <f ca="1">IF(OR($D227&lt;&gt;"Serviço",AND(AUTOEVENTO="Manual",$M227=$A$15)),0,
         IF(OFFSET(CRONOPLE!$F$15,$M227-$A$15,AM$13)=0,10^12,OFFSET(CRONOPLE!$F$15,$M227-$A$15,AM$13)))</f>
        <v>0</v>
      </c>
      <c r="AN227" s="172">
        <f ca="1">IF(OR($D227&lt;&gt;"Serviço",AND(AUTOEVENTO="Manual",$M227=$A$15)),0,
         IF(OFFSET(CRONOPLE!$F$15,$M227-$A$15,AN$13)=0,10^12,OFFSET(CRONOPLE!$F$15,$M227-$A$15,AN$13)))</f>
        <v>0</v>
      </c>
      <c r="AO227" s="172">
        <f ca="1">IF(OR($D227&lt;&gt;"Serviço",AND(AUTOEVENTO="Manual",$M227=$A$15)),0,
         IF(OFFSET(CRONOPLE!$F$15,$M227-$A$15,AO$13)=0,10^12,OFFSET(CRONOPLE!$F$15,$M227-$A$15,AO$13)))</f>
        <v>0</v>
      </c>
      <c r="AP227" s="172">
        <f ca="1">IF(OR($D227&lt;&gt;"Serviço",AND(AUTOEVENTO="Manual",$M227=$A$15)),0,
         IF(OFFSET(CRONOPLE!$F$15,$M227-$A$15,AP$13)=0,10^12,OFFSET(CRONOPLE!$F$15,$M227-$A$15,AP$13)))</f>
        <v>0</v>
      </c>
      <c r="AQ227" s="172">
        <f ca="1">IF(OR($D227&lt;&gt;"Serviço",AND(AUTOEVENTO="Manual",$M227=$A$15)),0,
         IF(OFFSET(CRONOPLE!$F$15,$M227-$A$15,AQ$13)=0,10^12,OFFSET(CRONOPLE!$F$15,$M227-$A$15,AQ$13)))</f>
        <v>0</v>
      </c>
      <c r="AR227" s="172">
        <f ca="1">IF(OR($D227&lt;&gt;"Serviço",AND(AUTOEVENTO="Manual",$M227=$A$15)),0,
         IF(OFFSET(CRONOPLE!$F$15,$M227-$A$15,AR$13)=0,10^12,OFFSET(CRONOPLE!$F$15,$M227-$A$15,AR$13)))</f>
        <v>0</v>
      </c>
      <c r="AS227" s="172">
        <f ca="1">IF(OR($D227&lt;&gt;"Serviço",AND(AUTOEVENTO="Manual",$M227=$A$15)),0,
         IF(OFFSET(CRONOPLE!$F$15,$M227-$A$15,AS$13)=0,10^12,OFFSET(CRONOPLE!$F$15,$M227-$A$15,AS$13)))</f>
        <v>0</v>
      </c>
      <c r="AT227" s="172">
        <f ca="1">IF(OR($D227&lt;&gt;"Serviço",AND(AUTOEVENTO="Manual",$M227=$A$15)),0,
         IF(OFFSET(CRONOPLE!$F$15,$M227-$A$15,AT$13)=0,10^12,OFFSET(CRONOPLE!$F$15,$M227-$A$15,AT$13)))</f>
        <v>0</v>
      </c>
      <c r="AU227" s="172">
        <f ca="1">IF(OR($D227&lt;&gt;"Serviço",AND(AUTOEVENTO="Manual",$M227=$A$15)),0,
         IF(OFFSET(CRONOPLE!$F$15,$M227-$A$15,AU$13)=0,10^12,OFFSET(CRONOPLE!$F$15,$M227-$A$15,AU$13)))</f>
        <v>0</v>
      </c>
      <c r="AV227" s="172">
        <f ca="1">IF(OR($D227&lt;&gt;"Serviço",AND(AUTOEVENTO="Manual",$M227=$A$15)),0,
         IF(OFFSET(CRONOPLE!$F$15,$M227-$A$15,AV$13)=0,10^12,OFFSET(CRONOPLE!$F$15,$M227-$A$15,AV$13)))</f>
        <v>0</v>
      </c>
      <c r="AX227" s="173">
        <f ca="1">IF(OR($D227&lt;&gt;"Serviço",AND(AUTOEVENTO="Manual",$M227=$A$15),$M227&gt;(ROW(PLE.lastrow)-ROW(PLE.firstrow))),0,
           IF(OFFSET(PLE!$G$15,$M227-$A$15,AX$13)="",10^12,OFFSET(PLE!$G$15,$M227-$A$15,AX$13)))</f>
        <v>0</v>
      </c>
      <c r="AY227" s="173">
        <f ca="1">IF(OR($D227&lt;&gt;"Serviço",AND(AUTOEVENTO="Manual",$M227=$A$15),$M227&gt;(ROW(PLE.lastrow)-ROW(PLE.firstrow))),0,
           IF(OFFSET(PLE!$G$15,$M227-$A$15,AY$13)="",10^12,OFFSET(PLE!$G$15,$M227-$A$15,AY$13)))</f>
        <v>0</v>
      </c>
      <c r="AZ227" s="173">
        <f ca="1">IF(OR($D227&lt;&gt;"Serviço",AND(AUTOEVENTO="Manual",$M227=$A$15),$M227&gt;(ROW(PLE.lastrow)-ROW(PLE.firstrow))),0,
           IF(OFFSET(PLE!$G$15,$M227-$A$15,AZ$13)="",10^12,OFFSET(PLE!$G$15,$M227-$A$15,AZ$13)))</f>
        <v>0</v>
      </c>
      <c r="BA227" s="173">
        <f ca="1">IF(OR($D227&lt;&gt;"Serviço",AND(AUTOEVENTO="Manual",$M227=$A$15),$M227&gt;(ROW(PLE.lastrow)-ROW(PLE.firstrow))),0,
           IF(OFFSET(PLE!$G$15,$M227-$A$15,BA$13)="",10^12,OFFSET(PLE!$G$15,$M227-$A$15,BA$13)))</f>
        <v>0</v>
      </c>
      <c r="BB227" s="173">
        <f ca="1">IF(OR($D227&lt;&gt;"Serviço",AND(AUTOEVENTO="Manual",$M227=$A$15),$M227&gt;(ROW(PLE.lastrow)-ROW(PLE.firstrow))),0,
           IF(OFFSET(PLE!$G$15,$M227-$A$15,BB$13)="",10^12,OFFSET(PLE!$G$15,$M227-$A$15,BB$13)))</f>
        <v>0</v>
      </c>
      <c r="BC227" s="173">
        <f ca="1">IF(OR($D227&lt;&gt;"Serviço",AND(AUTOEVENTO="Manual",$M227=$A$15),$M227&gt;(ROW(PLE.lastrow)-ROW(PLE.firstrow))),0,
           IF(OFFSET(PLE!$G$15,$M227-$A$15,BC$13)="",10^12,OFFSET(PLE!$G$15,$M227-$A$15,BC$13)))</f>
        <v>0</v>
      </c>
      <c r="BD227" s="173">
        <f ca="1">IF(OR($D227&lt;&gt;"Serviço",AND(AUTOEVENTO="Manual",$M227=$A$15),$M227&gt;(ROW(PLE.lastrow)-ROW(PLE.firstrow))),0,
           IF(OFFSET(PLE!$G$15,$M227-$A$15,BD$13)="",10^12,OFFSET(PLE!$G$15,$M227-$A$15,BD$13)))</f>
        <v>0</v>
      </c>
      <c r="BE227" s="173">
        <f ca="1">IF(OR($D227&lt;&gt;"Serviço",AND(AUTOEVENTO="Manual",$M227=$A$15),$M227&gt;(ROW(PLE.lastrow)-ROW(PLE.firstrow))),0,
           IF(OFFSET(PLE!$G$15,$M227-$A$15,BE$13)="",10^12,OFFSET(PLE!$G$15,$M227-$A$15,BE$13)))</f>
        <v>0</v>
      </c>
      <c r="BF227" s="173">
        <f ca="1">IF(OR($D227&lt;&gt;"Serviço",AND(AUTOEVENTO="Manual",$M227=$A$15),$M227&gt;(ROW(PLE.lastrow)-ROW(PLE.firstrow))),0,
           IF(OFFSET(PLE!$G$15,$M227-$A$15,BF$13)="",10^12,OFFSET(PLE!$G$15,$M227-$A$15,BF$13)))</f>
        <v>0</v>
      </c>
      <c r="BG227" s="173">
        <f ca="1">IF(OR($D227&lt;&gt;"Serviço",AND(AUTOEVENTO="Manual",$M227=$A$15),$M227&gt;(ROW(PLE.lastrow)-ROW(PLE.firstrow))),0,
           IF(OFFSET(PLE!$G$15,$M227-$A$15,BG$13)="",10^12,OFFSET(PLE!$G$15,$M227-$A$15,BG$13)))</f>
        <v>0</v>
      </c>
    </row>
    <row r="228" spans="1:59" s="708" customFormat="1" ht="12.75" x14ac:dyDescent="0.2">
      <c r="A228" s="706" t="str">
        <f t="shared" ca="1" si="11"/>
        <v>212</v>
      </c>
      <c r="B228" s="706" t="str">
        <f ca="1">OFFSET(ORÇAMENTO!C$15,ROW(B228)-ROW(B$15),0)</f>
        <v>S</v>
      </c>
      <c r="C228" s="706" t="str">
        <f ca="1">OFFSET(ORÇAMENTO!L$15,ROW(C228)-ROW(C$15),0)</f>
        <v/>
      </c>
      <c r="D228" s="117" t="str">
        <f ca="1">OFFSET(ORÇAMENTO!N$15,ROW(D228)-ROW(D$15),0)</f>
        <v>Serviço</v>
      </c>
      <c r="E228" s="118" t="str">
        <f ca="1">OFFSET(ORÇAMENTO!O$15,ROW(E228)-ROW(E$15),0)</f>
        <v>-</v>
      </c>
      <c r="F228" s="164" t="str">
        <f ca="1">OFFSET(ORÇAMENTO!R$15,ROW(F228)-ROW(F$15),0)</f>
        <v>(abra o arquivo 'Referência 09-2025.xlsm)</v>
      </c>
      <c r="G228" s="165" t="str">
        <f ca="1">IF($D228&lt;&gt;"Serviço","",OFFSET(ORÇAMENTO!S$15,ROW(G228)-ROW(G$15),0))</f>
        <v>-</v>
      </c>
      <c r="H228" s="123">
        <f ca="1">IF($D228&lt;&gt;"Serviço",0,IF(ACOMPANHAMENTO="BM",ROUND(OFFSET(ORÇAMENTO!AJ$15,ROW(H228)-ROW(H$15),0),15-13*ORÇAMENTO!$AF$7),SUMPRODUCT(($Q$1:$AA$1=1)*ROUND($Q228:$AA228,15-13*ORÇAMENTO!$AF$7))))</f>
        <v>1.2</v>
      </c>
      <c r="I228" s="469" t="s">
        <v>1174</v>
      </c>
      <c r="J228" s="667" t="str">
        <f ca="1">IF(OR(B228&lt;&gt;"S",CÁLCULO.FrentesPreenchidas=0),"",IF(AND(ACOMPANHAMENTO="PLE",AUTOEVENTO="Manual",OR(H228&gt;0,ORÇAMENTO!AC228="QUANT."),OR(K228="",M228=0,N228="")),"►",IF(AND(ACOMPANHAMENTO="PLE",ORÇAMENTO!AC228="QUANT."),"►►",IF(AND(COUNTIF($P$11:$AA$11,"▼")=0,H228&gt;0,I228=""),"◄",""))))</f>
        <v/>
      </c>
      <c r="K228" s="668"/>
      <c r="L228" s="166" t="s">
        <v>765</v>
      </c>
      <c r="M228" s="167">
        <f ca="1">IF($D228&lt;&gt;"Serviço","",
          IF(AUTOEVENTO="manual",$A228,
                IF(ISERROR(MATCH($A228,$A$15:OFFSET($A228,-1,0),0)),MAX($M$15:OFFSET(M228,-1,0))+1,
                      INDEX($M$15:OFFSET(M228,-1,0),MATCH($A228,$A$15:OFFSET($A228,-1,0),0)))))</f>
        <v>27</v>
      </c>
      <c r="N228" s="168" t="str">
        <f ca="1">IF($D228&lt;&gt;"Serviço","",
         IF(AUTOEVENTO="Manual",
                IF($A228=0,"&lt;-- defina o número do agrupador",
                       OFFSET(EVENTOS!$D$15,$A228-$A$15,0)),
                OFFSET($F$15,$A228,0)))</f>
        <v>PROJETO AS BUILT</v>
      </c>
      <c r="O228" s="169"/>
      <c r="Q228" s="169"/>
      <c r="R228" s="170"/>
      <c r="S228" s="170"/>
      <c r="T228" s="170"/>
      <c r="U228" s="170"/>
      <c r="V228" s="170"/>
      <c r="W228" s="170"/>
      <c r="X228" s="170"/>
      <c r="Y228" s="170"/>
      <c r="Z228" s="171"/>
      <c r="AB228" s="454">
        <f ca="1">IF(AND($D228="Serviço",AB$12&lt;&gt;0,$H228&gt;0,OR(AUTOEVENTO&lt;&gt;"manual",$M228&lt;&gt;$A$15)),
        IF(Import.TipoArredondamento&lt;&gt;"TransfereGOV",
              ROUND(OFFSET($P228,0,AB$13),15-13*ORÇAMENTO!$AF$7)/$H228*OFFSET(ORÇAMENTO!$X$15,ROW(AB228)-ROW(AB$15),0),
              ROUND(ROUND(OFFSET($P228,0,AB$13),15-13*ORÇAMENTO!$AF$7)*OFFSET(ORÇAMENTO!$W$15,ROW(AB228)-ROW(AB$15),0),15-13*ORÇAMENTO!$AF$11)),
         0)</f>
        <v>0</v>
      </c>
      <c r="AC228" s="454">
        <f ca="1">IF(AND($D228="Serviço",AC$12&lt;&gt;0,$H228&gt;0,OR(AUTOEVENTO&lt;&gt;"manual",$M228&lt;&gt;$A$15)),
        IF(Import.TipoArredondamento&lt;&gt;"TransfereGOV",
              ROUND(OFFSET($P228,0,AC$13),15-13*ORÇAMENTO!$AF$7)/$H228*OFFSET(ORÇAMENTO!$X$15,ROW(AC228)-ROW(AC$15),0),
              ROUND(ROUND(OFFSET($P228,0,AC$13),15-13*ORÇAMENTO!$AF$7)*OFFSET(ORÇAMENTO!$W$15,ROW(AC228)-ROW(AC$15),0),15-13*ORÇAMENTO!$AF$11)),
         0)</f>
        <v>0</v>
      </c>
      <c r="AD228" s="454">
        <f ca="1">IF(AND($D228="Serviço",AD$12&lt;&gt;0,$H228&gt;0,OR(AUTOEVENTO&lt;&gt;"manual",$M228&lt;&gt;$A$15)),
        IF(Import.TipoArredondamento&lt;&gt;"TransfereGOV",
              ROUND(OFFSET($P228,0,AD$13),15-13*ORÇAMENTO!$AF$7)/$H228*OFFSET(ORÇAMENTO!$X$15,ROW(AD228)-ROW(AD$15),0),
              ROUND(ROUND(OFFSET($P228,0,AD$13),15-13*ORÇAMENTO!$AF$7)*OFFSET(ORÇAMENTO!$W$15,ROW(AD228)-ROW(AD$15),0),15-13*ORÇAMENTO!$AF$11)),
         0)</f>
        <v>0</v>
      </c>
      <c r="AE228" s="454">
        <f ca="1">IF(AND($D228="Serviço",AE$12&lt;&gt;0,$H228&gt;0,OR(AUTOEVENTO&lt;&gt;"manual",$M228&lt;&gt;$A$15)),
        IF(Import.TipoArredondamento&lt;&gt;"TransfereGOV",
              ROUND(OFFSET($P228,0,AE$13),15-13*ORÇAMENTO!$AF$7)/$H228*OFFSET(ORÇAMENTO!$X$15,ROW(AE228)-ROW(AE$15),0),
              ROUND(ROUND(OFFSET($P228,0,AE$13),15-13*ORÇAMENTO!$AF$7)*OFFSET(ORÇAMENTO!$W$15,ROW(AE228)-ROW(AE$15),0),15-13*ORÇAMENTO!$AF$11)),
         0)</f>
        <v>0</v>
      </c>
      <c r="AF228" s="454">
        <f ca="1">IF(AND($D228="Serviço",AF$12&lt;&gt;0,$H228&gt;0,OR(AUTOEVENTO&lt;&gt;"manual",$M228&lt;&gt;$A$15)),
        IF(Import.TipoArredondamento&lt;&gt;"TransfereGOV",
              ROUND(OFFSET($P228,0,AF$13),15-13*ORÇAMENTO!$AF$7)/$H228*OFFSET(ORÇAMENTO!$X$15,ROW(AF228)-ROW(AF$15),0),
              ROUND(ROUND(OFFSET($P228,0,AF$13),15-13*ORÇAMENTO!$AF$7)*OFFSET(ORÇAMENTO!$W$15,ROW(AF228)-ROW(AF$15),0),15-13*ORÇAMENTO!$AF$11)),
         0)</f>
        <v>0</v>
      </c>
      <c r="AG228" s="454">
        <f ca="1">IF(AND($D228="Serviço",AG$12&lt;&gt;0,$H228&gt;0,OR(AUTOEVENTO&lt;&gt;"manual",$M228&lt;&gt;$A$15)),
        IF(Import.TipoArredondamento&lt;&gt;"TransfereGOV",
              ROUND(OFFSET($P228,0,AG$13),15-13*ORÇAMENTO!$AF$7)/$H228*OFFSET(ORÇAMENTO!$X$15,ROW(AG228)-ROW(AG$15),0),
              ROUND(ROUND(OFFSET($P228,0,AG$13),15-13*ORÇAMENTO!$AF$7)*OFFSET(ORÇAMENTO!$W$15,ROW(AG228)-ROW(AG$15),0),15-13*ORÇAMENTO!$AF$11)),
         0)</f>
        <v>0</v>
      </c>
      <c r="AH228" s="454">
        <f ca="1">IF(AND($D228="Serviço",AH$12&lt;&gt;0,$H228&gt;0,OR(AUTOEVENTO&lt;&gt;"manual",$M228&lt;&gt;$A$15)),
        IF(Import.TipoArredondamento&lt;&gt;"TransfereGOV",
              ROUND(OFFSET($P228,0,AH$13),15-13*ORÇAMENTO!$AF$7)/$H228*OFFSET(ORÇAMENTO!$X$15,ROW(AH228)-ROW(AH$15),0),
              ROUND(ROUND(OFFSET($P228,0,AH$13),15-13*ORÇAMENTO!$AF$7)*OFFSET(ORÇAMENTO!$W$15,ROW(AH228)-ROW(AH$15),0),15-13*ORÇAMENTO!$AF$11)),
         0)</f>
        <v>0</v>
      </c>
      <c r="AI228" s="454">
        <f ca="1">IF(AND($D228="Serviço",AI$12&lt;&gt;0,$H228&gt;0,OR(AUTOEVENTO&lt;&gt;"manual",$M228&lt;&gt;$A$15)),
        IF(Import.TipoArredondamento&lt;&gt;"TransfereGOV",
              ROUND(OFFSET($P228,0,AI$13),15-13*ORÇAMENTO!$AF$7)/$H228*OFFSET(ORÇAMENTO!$X$15,ROW(AI228)-ROW(AI$15),0),
              ROUND(ROUND(OFFSET($P228,0,AI$13),15-13*ORÇAMENTO!$AF$7)*OFFSET(ORÇAMENTO!$W$15,ROW(AI228)-ROW(AI$15),0),15-13*ORÇAMENTO!$AF$11)),
         0)</f>
        <v>0</v>
      </c>
      <c r="AJ228" s="454">
        <f ca="1">IF(AND($D228="Serviço",AJ$12&lt;&gt;0,$H228&gt;0,OR(AUTOEVENTO&lt;&gt;"manual",$M228&lt;&gt;$A$15)),
        IF(Import.TipoArredondamento&lt;&gt;"TransfereGOV",
              ROUND(OFFSET($P228,0,AJ$13),15-13*ORÇAMENTO!$AF$7)/$H228*OFFSET(ORÇAMENTO!$X$15,ROW(AJ228)-ROW(AJ$15),0),
              ROUND(ROUND(OFFSET($P228,0,AJ$13),15-13*ORÇAMENTO!$AF$7)*OFFSET(ORÇAMENTO!$W$15,ROW(AJ228)-ROW(AJ$15),0),15-13*ORÇAMENTO!$AF$11)),
         0)</f>
        <v>0</v>
      </c>
      <c r="AK228" s="454">
        <f ca="1">IF(AND($D228="Serviço",AK$12&lt;&gt;0,$H228&gt;0,OR(AUTOEVENTO&lt;&gt;"manual",$M228&lt;&gt;$A$15)),
        IF(Import.TipoArredondamento&lt;&gt;"TransfereGOV",
              ROUND(OFFSET($P228,0,AK$13),15-13*ORÇAMENTO!$AF$7)/$H228*OFFSET(ORÇAMENTO!$X$15,ROW(AK228)-ROW(AK$15),0),
              ROUND(ROUND(OFFSET($P228,0,AK$13),15-13*ORÇAMENTO!$AF$7)*OFFSET(ORÇAMENTO!$W$15,ROW(AK228)-ROW(AK$15),0),15-13*ORÇAMENTO!$AF$11)),
         0)</f>
        <v>0</v>
      </c>
      <c r="AM228" s="172">
        <f ca="1">IF(OR($D228&lt;&gt;"Serviço",AND(AUTOEVENTO="Manual",$M228=$A$15)),0,
         IF(OFFSET(CRONOPLE!$F$15,$M228-$A$15,AM$13)=0,10^12,OFFSET(CRONOPLE!$F$15,$M228-$A$15,AM$13)))</f>
        <v>1000000000000</v>
      </c>
      <c r="AN228" s="172">
        <f ca="1">IF(OR($D228&lt;&gt;"Serviço",AND(AUTOEVENTO="Manual",$M228=$A$15)),0,
         IF(OFFSET(CRONOPLE!$F$15,$M228-$A$15,AN$13)=0,10^12,OFFSET(CRONOPLE!$F$15,$M228-$A$15,AN$13)))</f>
        <v>1000000000000</v>
      </c>
      <c r="AO228" s="172">
        <f ca="1">IF(OR($D228&lt;&gt;"Serviço",AND(AUTOEVENTO="Manual",$M228=$A$15)),0,
         IF(OFFSET(CRONOPLE!$F$15,$M228-$A$15,AO$13)=0,10^12,OFFSET(CRONOPLE!$F$15,$M228-$A$15,AO$13)))</f>
        <v>1000000000000</v>
      </c>
      <c r="AP228" s="172">
        <f ca="1">IF(OR($D228&lt;&gt;"Serviço",AND(AUTOEVENTO="Manual",$M228=$A$15)),0,
         IF(OFFSET(CRONOPLE!$F$15,$M228-$A$15,AP$13)=0,10^12,OFFSET(CRONOPLE!$F$15,$M228-$A$15,AP$13)))</f>
        <v>1000000000000</v>
      </c>
      <c r="AQ228" s="172">
        <f ca="1">IF(OR($D228&lt;&gt;"Serviço",AND(AUTOEVENTO="Manual",$M228=$A$15)),0,
         IF(OFFSET(CRONOPLE!$F$15,$M228-$A$15,AQ$13)=0,10^12,OFFSET(CRONOPLE!$F$15,$M228-$A$15,AQ$13)))</f>
        <v>1000000000000</v>
      </c>
      <c r="AR228" s="172">
        <f ca="1">IF(OR($D228&lt;&gt;"Serviço",AND(AUTOEVENTO="Manual",$M228=$A$15)),0,
         IF(OFFSET(CRONOPLE!$F$15,$M228-$A$15,AR$13)=0,10^12,OFFSET(CRONOPLE!$F$15,$M228-$A$15,AR$13)))</f>
        <v>1000000000000</v>
      </c>
      <c r="AS228" s="172">
        <f ca="1">IF(OR($D228&lt;&gt;"Serviço",AND(AUTOEVENTO="Manual",$M228=$A$15)),0,
         IF(OFFSET(CRONOPLE!$F$15,$M228-$A$15,AS$13)=0,10^12,OFFSET(CRONOPLE!$F$15,$M228-$A$15,AS$13)))</f>
        <v>1000000000000</v>
      </c>
      <c r="AT228" s="172">
        <f ca="1">IF(OR($D228&lt;&gt;"Serviço",AND(AUTOEVENTO="Manual",$M228=$A$15)),0,
         IF(OFFSET(CRONOPLE!$F$15,$M228-$A$15,AT$13)=0,10^12,OFFSET(CRONOPLE!$F$15,$M228-$A$15,AT$13)))</f>
        <v>1000000000000</v>
      </c>
      <c r="AU228" s="172">
        <f ca="1">IF(OR($D228&lt;&gt;"Serviço",AND(AUTOEVENTO="Manual",$M228=$A$15)),0,
         IF(OFFSET(CRONOPLE!$F$15,$M228-$A$15,AU$13)=0,10^12,OFFSET(CRONOPLE!$F$15,$M228-$A$15,AU$13)))</f>
        <v>1000000000000</v>
      </c>
      <c r="AV228" s="172">
        <f ca="1">IF(OR($D228&lt;&gt;"Serviço",AND(AUTOEVENTO="Manual",$M228=$A$15)),0,
         IF(OFFSET(CRONOPLE!$F$15,$M228-$A$15,AV$13)=0,10^12,OFFSET(CRONOPLE!$F$15,$M228-$A$15,AV$13)))</f>
        <v>1000000000000</v>
      </c>
      <c r="AX228" s="173">
        <f ca="1">IF(OR($D228&lt;&gt;"Serviço",AND(AUTOEVENTO="Manual",$M228=$A$15),$M228&gt;(ROW(PLE.lastrow)-ROW(PLE.firstrow))),0,
           IF(OFFSET(PLE!$G$15,$M228-$A$15,AX$13)="",10^12,OFFSET(PLE!$G$15,$M228-$A$15,AX$13)))</f>
        <v>1000000000000</v>
      </c>
      <c r="AY228" s="173">
        <f ca="1">IF(OR($D228&lt;&gt;"Serviço",AND(AUTOEVENTO="Manual",$M228=$A$15),$M228&gt;(ROW(PLE.lastrow)-ROW(PLE.firstrow))),0,
           IF(OFFSET(PLE!$G$15,$M228-$A$15,AY$13)="",10^12,OFFSET(PLE!$G$15,$M228-$A$15,AY$13)))</f>
        <v>1000000000000</v>
      </c>
      <c r="AZ228" s="173">
        <f ca="1">IF(OR($D228&lt;&gt;"Serviço",AND(AUTOEVENTO="Manual",$M228=$A$15),$M228&gt;(ROW(PLE.lastrow)-ROW(PLE.firstrow))),0,
           IF(OFFSET(PLE!$G$15,$M228-$A$15,AZ$13)="",10^12,OFFSET(PLE!$G$15,$M228-$A$15,AZ$13)))</f>
        <v>1000000000000</v>
      </c>
      <c r="BA228" s="173">
        <f ca="1">IF(OR($D228&lt;&gt;"Serviço",AND(AUTOEVENTO="Manual",$M228=$A$15),$M228&gt;(ROW(PLE.lastrow)-ROW(PLE.firstrow))),0,
           IF(OFFSET(PLE!$G$15,$M228-$A$15,BA$13)="",10^12,OFFSET(PLE!$G$15,$M228-$A$15,BA$13)))</f>
        <v>1000000000000</v>
      </c>
      <c r="BB228" s="173">
        <f ca="1">IF(OR($D228&lt;&gt;"Serviço",AND(AUTOEVENTO="Manual",$M228=$A$15),$M228&gt;(ROW(PLE.lastrow)-ROW(PLE.firstrow))),0,
           IF(OFFSET(PLE!$G$15,$M228-$A$15,BB$13)="",10^12,OFFSET(PLE!$G$15,$M228-$A$15,BB$13)))</f>
        <v>1000000000000</v>
      </c>
      <c r="BC228" s="173">
        <f ca="1">IF(OR($D228&lt;&gt;"Serviço",AND(AUTOEVENTO="Manual",$M228=$A$15),$M228&gt;(ROW(PLE.lastrow)-ROW(PLE.firstrow))),0,
           IF(OFFSET(PLE!$G$15,$M228-$A$15,BC$13)="",10^12,OFFSET(PLE!$G$15,$M228-$A$15,BC$13)))</f>
        <v>1000000000000</v>
      </c>
      <c r="BD228" s="173">
        <f ca="1">IF(OR($D228&lt;&gt;"Serviço",AND(AUTOEVENTO="Manual",$M228=$A$15),$M228&gt;(ROW(PLE.lastrow)-ROW(PLE.firstrow))),0,
           IF(OFFSET(PLE!$G$15,$M228-$A$15,BD$13)="",10^12,OFFSET(PLE!$G$15,$M228-$A$15,BD$13)))</f>
        <v>1000000000000</v>
      </c>
      <c r="BE228" s="173">
        <f ca="1">IF(OR($D228&lt;&gt;"Serviço",AND(AUTOEVENTO="Manual",$M228=$A$15),$M228&gt;(ROW(PLE.lastrow)-ROW(PLE.firstrow))),0,
           IF(OFFSET(PLE!$G$15,$M228-$A$15,BE$13)="",10^12,OFFSET(PLE!$G$15,$M228-$A$15,BE$13)))</f>
        <v>1000000000000</v>
      </c>
      <c r="BF228" s="173">
        <f ca="1">IF(OR($D228&lt;&gt;"Serviço",AND(AUTOEVENTO="Manual",$M228=$A$15),$M228&gt;(ROW(PLE.lastrow)-ROW(PLE.firstrow))),0,
           IF(OFFSET(PLE!$G$15,$M228-$A$15,BF$13)="",10^12,OFFSET(PLE!$G$15,$M228-$A$15,BF$13)))</f>
        <v>1000000000000</v>
      </c>
      <c r="BG228" s="173">
        <f ca="1">IF(OR($D228&lt;&gt;"Serviço",AND(AUTOEVENTO="Manual",$M228=$A$15),$M228&gt;(ROW(PLE.lastrow)-ROW(PLE.firstrow))),0,
           IF(OFFSET(PLE!$G$15,$M228-$A$15,BG$13)="",10^12,OFFSET(PLE!$G$15,$M228-$A$15,BG$13)))</f>
        <v>1000000000000</v>
      </c>
    </row>
    <row r="229" spans="1:59" s="711" customFormat="1" ht="12.75" x14ac:dyDescent="0.2">
      <c r="A229" s="709" t="str">
        <f t="shared" ca="1" si="11"/>
        <v>212</v>
      </c>
      <c r="B229" s="709" t="str">
        <f ca="1">OFFSET(ORÇAMENTO!C$15,ROW(B229)-ROW(B$15),0)</f>
        <v>S</v>
      </c>
      <c r="C229" s="709" t="str">
        <f ca="1">OFFSET(ORÇAMENTO!L$15,ROW(C229)-ROW(C$15),0)</f>
        <v/>
      </c>
      <c r="D229" s="117" t="str">
        <f ca="1">OFFSET(ORÇAMENTO!N$15,ROW(D229)-ROW(D$15),0)</f>
        <v>Serviço</v>
      </c>
      <c r="E229" s="118" t="str">
        <f ca="1">OFFSET(ORÇAMENTO!O$15,ROW(E229)-ROW(E$15),0)</f>
        <v>-</v>
      </c>
      <c r="F229" s="164" t="str">
        <f ca="1">OFFSET(ORÇAMENTO!R$15,ROW(F229)-ROW(F$15),0)</f>
        <v>(abra o arquivo 'Referência 09-2025.xlsm)</v>
      </c>
      <c r="G229" s="165" t="str">
        <f ca="1">IF($D229&lt;&gt;"Serviço","",OFFSET(ORÇAMENTO!S$15,ROW(G229)-ROW(G$15),0))</f>
        <v>-</v>
      </c>
      <c r="H229" s="123">
        <f ca="1">IF($D229&lt;&gt;"Serviço",0,IF(ACOMPANHAMENTO="BM",ROUND(OFFSET(ORÇAMENTO!AJ$15,ROW(H229)-ROW(H$15),0),15-13*ORÇAMENTO!$AF$7),SUMPRODUCT(($Q$1:$AA$1=1)*ROUND($Q229:$AA229,15-13*ORÇAMENTO!$AF$7))))</f>
        <v>2.89</v>
      </c>
      <c r="I229" s="469" t="s">
        <v>1135</v>
      </c>
      <c r="J229" s="667" t="str">
        <f ca="1">IF(OR(B229&lt;&gt;"S",CÁLCULO.FrentesPreenchidas=0),"",IF(AND(ACOMPANHAMENTO="PLE",AUTOEVENTO="Manual",OR(H229&gt;0,ORÇAMENTO!AC229="QUANT."),OR(K229="",M229=0,N229="")),"►",IF(AND(ACOMPANHAMENTO="PLE",ORÇAMENTO!AC229="QUANT."),"►►",IF(AND(COUNTIF($P$11:$AA$11,"▼")=0,H229&gt;0,I229=""),"◄",""))))</f>
        <v/>
      </c>
      <c r="K229" s="668"/>
      <c r="L229" s="166" t="s">
        <v>765</v>
      </c>
      <c r="M229" s="167">
        <f ca="1">IF($D229&lt;&gt;"Serviço","",
          IF(AUTOEVENTO="manual",$A229,
                IF(ISERROR(MATCH($A229,$A$15:OFFSET($A229,-1,0),0)),MAX($M$15:OFFSET(M229,-1,0))+1,
                      INDEX($M$15:OFFSET(M229,-1,0),MATCH($A229,$A$15:OFFSET($A229,-1,0),0)))))</f>
        <v>27</v>
      </c>
      <c r="N229" s="168" t="str">
        <f ca="1">IF($D229&lt;&gt;"Serviço","",
         IF(AUTOEVENTO="Manual",
                IF($A229=0,"&lt;-- defina o número do agrupador",
                       OFFSET(EVENTOS!$D$15,$A229-$A$15,0)),
                OFFSET($F$15,$A229,0)))</f>
        <v>PROJETO AS BUILT</v>
      </c>
      <c r="O229" s="169"/>
      <c r="Q229" s="169"/>
      <c r="R229" s="170"/>
      <c r="S229" s="170"/>
      <c r="T229" s="170"/>
      <c r="U229" s="170"/>
      <c r="V229" s="170"/>
      <c r="W229" s="170"/>
      <c r="X229" s="170"/>
      <c r="Y229" s="170"/>
      <c r="Z229" s="171"/>
      <c r="AB229" s="454">
        <f ca="1">IF(AND($D229="Serviço",AB$12&lt;&gt;0,$H229&gt;0,OR(AUTOEVENTO&lt;&gt;"manual",$M229&lt;&gt;$A$15)),
        IF(Import.TipoArredondamento&lt;&gt;"TransfereGOV",
              ROUND(OFFSET($P229,0,AB$13),15-13*ORÇAMENTO!$AF$7)/$H229*OFFSET(ORÇAMENTO!$X$15,ROW(AB229)-ROW(AB$15),0),
              ROUND(ROUND(OFFSET($P229,0,AB$13),15-13*ORÇAMENTO!$AF$7)*OFFSET(ORÇAMENTO!$W$15,ROW(AB229)-ROW(AB$15),0),15-13*ORÇAMENTO!$AF$11)),
         0)</f>
        <v>0</v>
      </c>
      <c r="AC229" s="454">
        <f ca="1">IF(AND($D229="Serviço",AC$12&lt;&gt;0,$H229&gt;0,OR(AUTOEVENTO&lt;&gt;"manual",$M229&lt;&gt;$A$15)),
        IF(Import.TipoArredondamento&lt;&gt;"TransfereGOV",
              ROUND(OFFSET($P229,0,AC$13),15-13*ORÇAMENTO!$AF$7)/$H229*OFFSET(ORÇAMENTO!$X$15,ROW(AC229)-ROW(AC$15),0),
              ROUND(ROUND(OFFSET($P229,0,AC$13),15-13*ORÇAMENTO!$AF$7)*OFFSET(ORÇAMENTO!$W$15,ROW(AC229)-ROW(AC$15),0),15-13*ORÇAMENTO!$AF$11)),
         0)</f>
        <v>0</v>
      </c>
      <c r="AD229" s="454">
        <f ca="1">IF(AND($D229="Serviço",AD$12&lt;&gt;0,$H229&gt;0,OR(AUTOEVENTO&lt;&gt;"manual",$M229&lt;&gt;$A$15)),
        IF(Import.TipoArredondamento&lt;&gt;"TransfereGOV",
              ROUND(OFFSET($P229,0,AD$13),15-13*ORÇAMENTO!$AF$7)/$H229*OFFSET(ORÇAMENTO!$X$15,ROW(AD229)-ROW(AD$15),0),
              ROUND(ROUND(OFFSET($P229,0,AD$13),15-13*ORÇAMENTO!$AF$7)*OFFSET(ORÇAMENTO!$W$15,ROW(AD229)-ROW(AD$15),0),15-13*ORÇAMENTO!$AF$11)),
         0)</f>
        <v>0</v>
      </c>
      <c r="AE229" s="454">
        <f ca="1">IF(AND($D229="Serviço",AE$12&lt;&gt;0,$H229&gt;0,OR(AUTOEVENTO&lt;&gt;"manual",$M229&lt;&gt;$A$15)),
        IF(Import.TipoArredondamento&lt;&gt;"TransfereGOV",
              ROUND(OFFSET($P229,0,AE$13),15-13*ORÇAMENTO!$AF$7)/$H229*OFFSET(ORÇAMENTO!$X$15,ROW(AE229)-ROW(AE$15),0),
              ROUND(ROUND(OFFSET($P229,0,AE$13),15-13*ORÇAMENTO!$AF$7)*OFFSET(ORÇAMENTO!$W$15,ROW(AE229)-ROW(AE$15),0),15-13*ORÇAMENTO!$AF$11)),
         0)</f>
        <v>0</v>
      </c>
      <c r="AF229" s="454">
        <f ca="1">IF(AND($D229="Serviço",AF$12&lt;&gt;0,$H229&gt;0,OR(AUTOEVENTO&lt;&gt;"manual",$M229&lt;&gt;$A$15)),
        IF(Import.TipoArredondamento&lt;&gt;"TransfereGOV",
              ROUND(OFFSET($P229,0,AF$13),15-13*ORÇAMENTO!$AF$7)/$H229*OFFSET(ORÇAMENTO!$X$15,ROW(AF229)-ROW(AF$15),0),
              ROUND(ROUND(OFFSET($P229,0,AF$13),15-13*ORÇAMENTO!$AF$7)*OFFSET(ORÇAMENTO!$W$15,ROW(AF229)-ROW(AF$15),0),15-13*ORÇAMENTO!$AF$11)),
         0)</f>
        <v>0</v>
      </c>
      <c r="AG229" s="454">
        <f ca="1">IF(AND($D229="Serviço",AG$12&lt;&gt;0,$H229&gt;0,OR(AUTOEVENTO&lt;&gt;"manual",$M229&lt;&gt;$A$15)),
        IF(Import.TipoArredondamento&lt;&gt;"TransfereGOV",
              ROUND(OFFSET($P229,0,AG$13),15-13*ORÇAMENTO!$AF$7)/$H229*OFFSET(ORÇAMENTO!$X$15,ROW(AG229)-ROW(AG$15),0),
              ROUND(ROUND(OFFSET($P229,0,AG$13),15-13*ORÇAMENTO!$AF$7)*OFFSET(ORÇAMENTO!$W$15,ROW(AG229)-ROW(AG$15),0),15-13*ORÇAMENTO!$AF$11)),
         0)</f>
        <v>0</v>
      </c>
      <c r="AH229" s="454">
        <f ca="1">IF(AND($D229="Serviço",AH$12&lt;&gt;0,$H229&gt;0,OR(AUTOEVENTO&lt;&gt;"manual",$M229&lt;&gt;$A$15)),
        IF(Import.TipoArredondamento&lt;&gt;"TransfereGOV",
              ROUND(OFFSET($P229,0,AH$13),15-13*ORÇAMENTO!$AF$7)/$H229*OFFSET(ORÇAMENTO!$X$15,ROW(AH229)-ROW(AH$15),0),
              ROUND(ROUND(OFFSET($P229,0,AH$13),15-13*ORÇAMENTO!$AF$7)*OFFSET(ORÇAMENTO!$W$15,ROW(AH229)-ROW(AH$15),0),15-13*ORÇAMENTO!$AF$11)),
         0)</f>
        <v>0</v>
      </c>
      <c r="AI229" s="454">
        <f ca="1">IF(AND($D229="Serviço",AI$12&lt;&gt;0,$H229&gt;0,OR(AUTOEVENTO&lt;&gt;"manual",$M229&lt;&gt;$A$15)),
        IF(Import.TipoArredondamento&lt;&gt;"TransfereGOV",
              ROUND(OFFSET($P229,0,AI$13),15-13*ORÇAMENTO!$AF$7)/$H229*OFFSET(ORÇAMENTO!$X$15,ROW(AI229)-ROW(AI$15),0),
              ROUND(ROUND(OFFSET($P229,0,AI$13),15-13*ORÇAMENTO!$AF$7)*OFFSET(ORÇAMENTO!$W$15,ROW(AI229)-ROW(AI$15),0),15-13*ORÇAMENTO!$AF$11)),
         0)</f>
        <v>0</v>
      </c>
      <c r="AJ229" s="454">
        <f ca="1">IF(AND($D229="Serviço",AJ$12&lt;&gt;0,$H229&gt;0,OR(AUTOEVENTO&lt;&gt;"manual",$M229&lt;&gt;$A$15)),
        IF(Import.TipoArredondamento&lt;&gt;"TransfereGOV",
              ROUND(OFFSET($P229,0,AJ$13),15-13*ORÇAMENTO!$AF$7)/$H229*OFFSET(ORÇAMENTO!$X$15,ROW(AJ229)-ROW(AJ$15),0),
              ROUND(ROUND(OFFSET($P229,0,AJ$13),15-13*ORÇAMENTO!$AF$7)*OFFSET(ORÇAMENTO!$W$15,ROW(AJ229)-ROW(AJ$15),0),15-13*ORÇAMENTO!$AF$11)),
         0)</f>
        <v>0</v>
      </c>
      <c r="AK229" s="454">
        <f ca="1">IF(AND($D229="Serviço",AK$12&lt;&gt;0,$H229&gt;0,OR(AUTOEVENTO&lt;&gt;"manual",$M229&lt;&gt;$A$15)),
        IF(Import.TipoArredondamento&lt;&gt;"TransfereGOV",
              ROUND(OFFSET($P229,0,AK$13),15-13*ORÇAMENTO!$AF$7)/$H229*OFFSET(ORÇAMENTO!$X$15,ROW(AK229)-ROW(AK$15),0),
              ROUND(ROUND(OFFSET($P229,0,AK$13),15-13*ORÇAMENTO!$AF$7)*OFFSET(ORÇAMENTO!$W$15,ROW(AK229)-ROW(AK$15),0),15-13*ORÇAMENTO!$AF$11)),
         0)</f>
        <v>0</v>
      </c>
      <c r="AM229" s="172">
        <f ca="1">IF(OR($D229&lt;&gt;"Serviço",AND(AUTOEVENTO="Manual",$M229=$A$15)),0,
         IF(OFFSET(CRONOPLE!$F$15,$M229-$A$15,AM$13)=0,10^12,OFFSET(CRONOPLE!$F$15,$M229-$A$15,AM$13)))</f>
        <v>1000000000000</v>
      </c>
      <c r="AN229" s="172">
        <f ca="1">IF(OR($D229&lt;&gt;"Serviço",AND(AUTOEVENTO="Manual",$M229=$A$15)),0,
         IF(OFFSET(CRONOPLE!$F$15,$M229-$A$15,AN$13)=0,10^12,OFFSET(CRONOPLE!$F$15,$M229-$A$15,AN$13)))</f>
        <v>1000000000000</v>
      </c>
      <c r="AO229" s="172">
        <f ca="1">IF(OR($D229&lt;&gt;"Serviço",AND(AUTOEVENTO="Manual",$M229=$A$15)),0,
         IF(OFFSET(CRONOPLE!$F$15,$M229-$A$15,AO$13)=0,10^12,OFFSET(CRONOPLE!$F$15,$M229-$A$15,AO$13)))</f>
        <v>1000000000000</v>
      </c>
      <c r="AP229" s="172">
        <f ca="1">IF(OR($D229&lt;&gt;"Serviço",AND(AUTOEVENTO="Manual",$M229=$A$15)),0,
         IF(OFFSET(CRONOPLE!$F$15,$M229-$A$15,AP$13)=0,10^12,OFFSET(CRONOPLE!$F$15,$M229-$A$15,AP$13)))</f>
        <v>1000000000000</v>
      </c>
      <c r="AQ229" s="172">
        <f ca="1">IF(OR($D229&lt;&gt;"Serviço",AND(AUTOEVENTO="Manual",$M229=$A$15)),0,
         IF(OFFSET(CRONOPLE!$F$15,$M229-$A$15,AQ$13)=0,10^12,OFFSET(CRONOPLE!$F$15,$M229-$A$15,AQ$13)))</f>
        <v>1000000000000</v>
      </c>
      <c r="AR229" s="172">
        <f ca="1">IF(OR($D229&lt;&gt;"Serviço",AND(AUTOEVENTO="Manual",$M229=$A$15)),0,
         IF(OFFSET(CRONOPLE!$F$15,$M229-$A$15,AR$13)=0,10^12,OFFSET(CRONOPLE!$F$15,$M229-$A$15,AR$13)))</f>
        <v>1000000000000</v>
      </c>
      <c r="AS229" s="172">
        <f ca="1">IF(OR($D229&lt;&gt;"Serviço",AND(AUTOEVENTO="Manual",$M229=$A$15)),0,
         IF(OFFSET(CRONOPLE!$F$15,$M229-$A$15,AS$13)=0,10^12,OFFSET(CRONOPLE!$F$15,$M229-$A$15,AS$13)))</f>
        <v>1000000000000</v>
      </c>
      <c r="AT229" s="172">
        <f ca="1">IF(OR($D229&lt;&gt;"Serviço",AND(AUTOEVENTO="Manual",$M229=$A$15)),0,
         IF(OFFSET(CRONOPLE!$F$15,$M229-$A$15,AT$13)=0,10^12,OFFSET(CRONOPLE!$F$15,$M229-$A$15,AT$13)))</f>
        <v>1000000000000</v>
      </c>
      <c r="AU229" s="172">
        <f ca="1">IF(OR($D229&lt;&gt;"Serviço",AND(AUTOEVENTO="Manual",$M229=$A$15)),0,
         IF(OFFSET(CRONOPLE!$F$15,$M229-$A$15,AU$13)=0,10^12,OFFSET(CRONOPLE!$F$15,$M229-$A$15,AU$13)))</f>
        <v>1000000000000</v>
      </c>
      <c r="AV229" s="172">
        <f ca="1">IF(OR($D229&lt;&gt;"Serviço",AND(AUTOEVENTO="Manual",$M229=$A$15)),0,
         IF(OFFSET(CRONOPLE!$F$15,$M229-$A$15,AV$13)=0,10^12,OFFSET(CRONOPLE!$F$15,$M229-$A$15,AV$13)))</f>
        <v>1000000000000</v>
      </c>
      <c r="AX229" s="173">
        <f ca="1">IF(OR($D229&lt;&gt;"Serviço",AND(AUTOEVENTO="Manual",$M229=$A$15),$M229&gt;(ROW(PLE.lastrow)-ROW(PLE.firstrow))),0,
           IF(OFFSET(PLE!$G$15,$M229-$A$15,AX$13)="",10^12,OFFSET(PLE!$G$15,$M229-$A$15,AX$13)))</f>
        <v>1000000000000</v>
      </c>
      <c r="AY229" s="173">
        <f ca="1">IF(OR($D229&lt;&gt;"Serviço",AND(AUTOEVENTO="Manual",$M229=$A$15),$M229&gt;(ROW(PLE.lastrow)-ROW(PLE.firstrow))),0,
           IF(OFFSET(PLE!$G$15,$M229-$A$15,AY$13)="",10^12,OFFSET(PLE!$G$15,$M229-$A$15,AY$13)))</f>
        <v>1000000000000</v>
      </c>
      <c r="AZ229" s="173">
        <f ca="1">IF(OR($D229&lt;&gt;"Serviço",AND(AUTOEVENTO="Manual",$M229=$A$15),$M229&gt;(ROW(PLE.lastrow)-ROW(PLE.firstrow))),0,
           IF(OFFSET(PLE!$G$15,$M229-$A$15,AZ$13)="",10^12,OFFSET(PLE!$G$15,$M229-$A$15,AZ$13)))</f>
        <v>1000000000000</v>
      </c>
      <c r="BA229" s="173">
        <f ca="1">IF(OR($D229&lt;&gt;"Serviço",AND(AUTOEVENTO="Manual",$M229=$A$15),$M229&gt;(ROW(PLE.lastrow)-ROW(PLE.firstrow))),0,
           IF(OFFSET(PLE!$G$15,$M229-$A$15,BA$13)="",10^12,OFFSET(PLE!$G$15,$M229-$A$15,BA$13)))</f>
        <v>1000000000000</v>
      </c>
      <c r="BB229" s="173">
        <f ca="1">IF(OR($D229&lt;&gt;"Serviço",AND(AUTOEVENTO="Manual",$M229=$A$15),$M229&gt;(ROW(PLE.lastrow)-ROW(PLE.firstrow))),0,
           IF(OFFSET(PLE!$G$15,$M229-$A$15,BB$13)="",10^12,OFFSET(PLE!$G$15,$M229-$A$15,BB$13)))</f>
        <v>1000000000000</v>
      </c>
      <c r="BC229" s="173">
        <f ca="1">IF(OR($D229&lt;&gt;"Serviço",AND(AUTOEVENTO="Manual",$M229=$A$15),$M229&gt;(ROW(PLE.lastrow)-ROW(PLE.firstrow))),0,
           IF(OFFSET(PLE!$G$15,$M229-$A$15,BC$13)="",10^12,OFFSET(PLE!$G$15,$M229-$A$15,BC$13)))</f>
        <v>1000000000000</v>
      </c>
      <c r="BD229" s="173">
        <f ca="1">IF(OR($D229&lt;&gt;"Serviço",AND(AUTOEVENTO="Manual",$M229=$A$15),$M229&gt;(ROW(PLE.lastrow)-ROW(PLE.firstrow))),0,
           IF(OFFSET(PLE!$G$15,$M229-$A$15,BD$13)="",10^12,OFFSET(PLE!$G$15,$M229-$A$15,BD$13)))</f>
        <v>1000000000000</v>
      </c>
      <c r="BE229" s="173">
        <f ca="1">IF(OR($D229&lt;&gt;"Serviço",AND(AUTOEVENTO="Manual",$M229=$A$15),$M229&gt;(ROW(PLE.lastrow)-ROW(PLE.firstrow))),0,
           IF(OFFSET(PLE!$G$15,$M229-$A$15,BE$13)="",10^12,OFFSET(PLE!$G$15,$M229-$A$15,BE$13)))</f>
        <v>1000000000000</v>
      </c>
      <c r="BF229" s="173">
        <f ca="1">IF(OR($D229&lt;&gt;"Serviço",AND(AUTOEVENTO="Manual",$M229=$A$15),$M229&gt;(ROW(PLE.lastrow)-ROW(PLE.firstrow))),0,
           IF(OFFSET(PLE!$G$15,$M229-$A$15,BF$13)="",10^12,OFFSET(PLE!$G$15,$M229-$A$15,BF$13)))</f>
        <v>1000000000000</v>
      </c>
      <c r="BG229" s="173">
        <f ca="1">IF(OR($D229&lt;&gt;"Serviço",AND(AUTOEVENTO="Manual",$M229=$A$15),$M229&gt;(ROW(PLE.lastrow)-ROW(PLE.firstrow))),0,
           IF(OFFSET(PLE!$G$15,$M229-$A$15,BG$13)="",10^12,OFFSET(PLE!$G$15,$M229-$A$15,BG$13)))</f>
        <v>1000000000000</v>
      </c>
    </row>
    <row r="230" spans="1:59" s="708" customFormat="1" ht="25.5" x14ac:dyDescent="0.2">
      <c r="A230" s="706" t="str">
        <f t="shared" ca="1" si="11"/>
        <v>212</v>
      </c>
      <c r="B230" s="706" t="str">
        <f ca="1">OFFSET(ORÇAMENTO!C$15,ROW(B230)-ROW(B$15),0)</f>
        <v>S</v>
      </c>
      <c r="C230" s="706" t="str">
        <f ca="1">OFFSET(ORÇAMENTO!L$15,ROW(C230)-ROW(C$15),0)</f>
        <v/>
      </c>
      <c r="D230" s="117" t="str">
        <f ca="1">OFFSET(ORÇAMENTO!N$15,ROW(D230)-ROW(D$15),0)</f>
        <v>Serviço</v>
      </c>
      <c r="E230" s="118" t="str">
        <f ca="1">OFFSET(ORÇAMENTO!O$15,ROW(E230)-ROW(E$15),0)</f>
        <v>-</v>
      </c>
      <c r="F230" s="164" t="str">
        <f ca="1">OFFSET(ORÇAMENTO!R$15,ROW(F230)-ROW(F$15),0)</f>
        <v>(abra o arquivo 'Referência 09-2025.xlsm)</v>
      </c>
      <c r="G230" s="165" t="str">
        <f ca="1">IF($D230&lt;&gt;"Serviço","",OFFSET(ORÇAMENTO!S$15,ROW(G230)-ROW(G$15),0))</f>
        <v>-</v>
      </c>
      <c r="H230" s="123">
        <f ca="1">IF($D230&lt;&gt;"Serviço",0,IF(ACOMPANHAMENTO="BM",ROUND(OFFSET(ORÇAMENTO!AJ$15,ROW(H230)-ROW(H$15),0),15-13*ORÇAMENTO!$AF$7),SUMPRODUCT(($Q$1:$AA$1=1)*ROUND($Q230:$AA230,15-13*ORÇAMENTO!$AF$7))))</f>
        <v>2</v>
      </c>
      <c r="I230" s="469"/>
      <c r="J230" s="667" t="str">
        <f ca="1">IF(OR(B230&lt;&gt;"S",CÁLCULO.FrentesPreenchidas=0),"",IF(AND(ACOMPANHAMENTO="PLE",AUTOEVENTO="Manual",OR(H230&gt;0,ORÇAMENTO!AC230="QUANT."),OR(K230="",M230=0,N230="")),"►",IF(AND(ACOMPANHAMENTO="PLE",ORÇAMENTO!AC230="QUANT."),"►►",IF(AND(COUNTIF($P$11:$AA$11,"▼")=0,H230&gt;0,I230=""),"◄",""))))</f>
        <v/>
      </c>
      <c r="K230" s="668"/>
      <c r="L230" s="166" t="s">
        <v>765</v>
      </c>
      <c r="M230" s="167">
        <f ca="1">IF($D230&lt;&gt;"Serviço","",
          IF(AUTOEVENTO="manual",$A230,
                IF(ISERROR(MATCH($A230,$A$15:OFFSET($A230,-1,0),0)),MAX($M$15:OFFSET(M230,-1,0))+1,
                      INDEX($M$15:OFFSET(M230,-1,0),MATCH($A230,$A$15:OFFSET($A230,-1,0),0)))))</f>
        <v>27</v>
      </c>
      <c r="N230" s="168" t="str">
        <f ca="1">IF($D230&lt;&gt;"Serviço","",
         IF(AUTOEVENTO="Manual",
                IF($A230=0,"&lt;-- defina o número do agrupador",
                       OFFSET(EVENTOS!$D$15,$A230-$A$15,0)),
                OFFSET($F$15,$A230,0)))</f>
        <v>PROJETO AS BUILT</v>
      </c>
      <c r="O230" s="169"/>
      <c r="Q230" s="169"/>
      <c r="R230" s="170"/>
      <c r="S230" s="170"/>
      <c r="T230" s="170"/>
      <c r="U230" s="170"/>
      <c r="V230" s="170"/>
      <c r="W230" s="170"/>
      <c r="X230" s="170"/>
      <c r="Y230" s="170"/>
      <c r="Z230" s="171"/>
      <c r="AB230" s="454">
        <f ca="1">IF(AND($D230="Serviço",AB$12&lt;&gt;0,$H230&gt;0,OR(AUTOEVENTO&lt;&gt;"manual",$M230&lt;&gt;$A$15)),
        IF(Import.TipoArredondamento&lt;&gt;"TransfereGOV",
              ROUND(OFFSET($P230,0,AB$13),15-13*ORÇAMENTO!$AF$7)/$H230*OFFSET(ORÇAMENTO!$X$15,ROW(AB230)-ROW(AB$15),0),
              ROUND(ROUND(OFFSET($P230,0,AB$13),15-13*ORÇAMENTO!$AF$7)*OFFSET(ORÇAMENTO!$W$15,ROW(AB230)-ROW(AB$15),0),15-13*ORÇAMENTO!$AF$11)),
         0)</f>
        <v>0</v>
      </c>
      <c r="AC230" s="454">
        <f ca="1">IF(AND($D230="Serviço",AC$12&lt;&gt;0,$H230&gt;0,OR(AUTOEVENTO&lt;&gt;"manual",$M230&lt;&gt;$A$15)),
        IF(Import.TipoArredondamento&lt;&gt;"TransfereGOV",
              ROUND(OFFSET($P230,0,AC$13),15-13*ORÇAMENTO!$AF$7)/$H230*OFFSET(ORÇAMENTO!$X$15,ROW(AC230)-ROW(AC$15),0),
              ROUND(ROUND(OFFSET($P230,0,AC$13),15-13*ORÇAMENTO!$AF$7)*OFFSET(ORÇAMENTO!$W$15,ROW(AC230)-ROW(AC$15),0),15-13*ORÇAMENTO!$AF$11)),
         0)</f>
        <v>0</v>
      </c>
      <c r="AD230" s="454">
        <f ca="1">IF(AND($D230="Serviço",AD$12&lt;&gt;0,$H230&gt;0,OR(AUTOEVENTO&lt;&gt;"manual",$M230&lt;&gt;$A$15)),
        IF(Import.TipoArredondamento&lt;&gt;"TransfereGOV",
              ROUND(OFFSET($P230,0,AD$13),15-13*ORÇAMENTO!$AF$7)/$H230*OFFSET(ORÇAMENTO!$X$15,ROW(AD230)-ROW(AD$15),0),
              ROUND(ROUND(OFFSET($P230,0,AD$13),15-13*ORÇAMENTO!$AF$7)*OFFSET(ORÇAMENTO!$W$15,ROW(AD230)-ROW(AD$15),0),15-13*ORÇAMENTO!$AF$11)),
         0)</f>
        <v>0</v>
      </c>
      <c r="AE230" s="454">
        <f ca="1">IF(AND($D230="Serviço",AE$12&lt;&gt;0,$H230&gt;0,OR(AUTOEVENTO&lt;&gt;"manual",$M230&lt;&gt;$A$15)),
        IF(Import.TipoArredondamento&lt;&gt;"TransfereGOV",
              ROUND(OFFSET($P230,0,AE$13),15-13*ORÇAMENTO!$AF$7)/$H230*OFFSET(ORÇAMENTO!$X$15,ROW(AE230)-ROW(AE$15),0),
              ROUND(ROUND(OFFSET($P230,0,AE$13),15-13*ORÇAMENTO!$AF$7)*OFFSET(ORÇAMENTO!$W$15,ROW(AE230)-ROW(AE$15),0),15-13*ORÇAMENTO!$AF$11)),
         0)</f>
        <v>0</v>
      </c>
      <c r="AF230" s="454">
        <f ca="1">IF(AND($D230="Serviço",AF$12&lt;&gt;0,$H230&gt;0,OR(AUTOEVENTO&lt;&gt;"manual",$M230&lt;&gt;$A$15)),
        IF(Import.TipoArredondamento&lt;&gt;"TransfereGOV",
              ROUND(OFFSET($P230,0,AF$13),15-13*ORÇAMENTO!$AF$7)/$H230*OFFSET(ORÇAMENTO!$X$15,ROW(AF230)-ROW(AF$15),0),
              ROUND(ROUND(OFFSET($P230,0,AF$13),15-13*ORÇAMENTO!$AF$7)*OFFSET(ORÇAMENTO!$W$15,ROW(AF230)-ROW(AF$15),0),15-13*ORÇAMENTO!$AF$11)),
         0)</f>
        <v>0</v>
      </c>
      <c r="AG230" s="454">
        <f ca="1">IF(AND($D230="Serviço",AG$12&lt;&gt;0,$H230&gt;0,OR(AUTOEVENTO&lt;&gt;"manual",$M230&lt;&gt;$A$15)),
        IF(Import.TipoArredondamento&lt;&gt;"TransfereGOV",
              ROUND(OFFSET($P230,0,AG$13),15-13*ORÇAMENTO!$AF$7)/$H230*OFFSET(ORÇAMENTO!$X$15,ROW(AG230)-ROW(AG$15),0),
              ROUND(ROUND(OFFSET($P230,0,AG$13),15-13*ORÇAMENTO!$AF$7)*OFFSET(ORÇAMENTO!$W$15,ROW(AG230)-ROW(AG$15),0),15-13*ORÇAMENTO!$AF$11)),
         0)</f>
        <v>0</v>
      </c>
      <c r="AH230" s="454">
        <f ca="1">IF(AND($D230="Serviço",AH$12&lt;&gt;0,$H230&gt;0,OR(AUTOEVENTO&lt;&gt;"manual",$M230&lt;&gt;$A$15)),
        IF(Import.TipoArredondamento&lt;&gt;"TransfereGOV",
              ROUND(OFFSET($P230,0,AH$13),15-13*ORÇAMENTO!$AF$7)/$H230*OFFSET(ORÇAMENTO!$X$15,ROW(AH230)-ROW(AH$15),0),
              ROUND(ROUND(OFFSET($P230,0,AH$13),15-13*ORÇAMENTO!$AF$7)*OFFSET(ORÇAMENTO!$W$15,ROW(AH230)-ROW(AH$15),0),15-13*ORÇAMENTO!$AF$11)),
         0)</f>
        <v>0</v>
      </c>
      <c r="AI230" s="454">
        <f ca="1">IF(AND($D230="Serviço",AI$12&lt;&gt;0,$H230&gt;0,OR(AUTOEVENTO&lt;&gt;"manual",$M230&lt;&gt;$A$15)),
        IF(Import.TipoArredondamento&lt;&gt;"TransfereGOV",
              ROUND(OFFSET($P230,0,AI$13),15-13*ORÇAMENTO!$AF$7)/$H230*OFFSET(ORÇAMENTO!$X$15,ROW(AI230)-ROW(AI$15),0),
              ROUND(ROUND(OFFSET($P230,0,AI$13),15-13*ORÇAMENTO!$AF$7)*OFFSET(ORÇAMENTO!$W$15,ROW(AI230)-ROW(AI$15),0),15-13*ORÇAMENTO!$AF$11)),
         0)</f>
        <v>0</v>
      </c>
      <c r="AJ230" s="454">
        <f ca="1">IF(AND($D230="Serviço",AJ$12&lt;&gt;0,$H230&gt;0,OR(AUTOEVENTO&lt;&gt;"manual",$M230&lt;&gt;$A$15)),
        IF(Import.TipoArredondamento&lt;&gt;"TransfereGOV",
              ROUND(OFFSET($P230,0,AJ$13),15-13*ORÇAMENTO!$AF$7)/$H230*OFFSET(ORÇAMENTO!$X$15,ROW(AJ230)-ROW(AJ$15),0),
              ROUND(ROUND(OFFSET($P230,0,AJ$13),15-13*ORÇAMENTO!$AF$7)*OFFSET(ORÇAMENTO!$W$15,ROW(AJ230)-ROW(AJ$15),0),15-13*ORÇAMENTO!$AF$11)),
         0)</f>
        <v>0</v>
      </c>
      <c r="AK230" s="454">
        <f ca="1">IF(AND($D230="Serviço",AK$12&lt;&gt;0,$H230&gt;0,OR(AUTOEVENTO&lt;&gt;"manual",$M230&lt;&gt;$A$15)),
        IF(Import.TipoArredondamento&lt;&gt;"TransfereGOV",
              ROUND(OFFSET($P230,0,AK$13),15-13*ORÇAMENTO!$AF$7)/$H230*OFFSET(ORÇAMENTO!$X$15,ROW(AK230)-ROW(AK$15),0),
              ROUND(ROUND(OFFSET($P230,0,AK$13),15-13*ORÇAMENTO!$AF$7)*OFFSET(ORÇAMENTO!$W$15,ROW(AK230)-ROW(AK$15),0),15-13*ORÇAMENTO!$AF$11)),
         0)</f>
        <v>0</v>
      </c>
      <c r="AM230" s="172">
        <f ca="1">IF(OR($D230&lt;&gt;"Serviço",AND(AUTOEVENTO="Manual",$M230=$A$15)),0,
         IF(OFFSET(CRONOPLE!$F$15,$M230-$A$15,AM$13)=0,10^12,OFFSET(CRONOPLE!$F$15,$M230-$A$15,AM$13)))</f>
        <v>1000000000000</v>
      </c>
      <c r="AN230" s="172">
        <f ca="1">IF(OR($D230&lt;&gt;"Serviço",AND(AUTOEVENTO="Manual",$M230=$A$15)),0,
         IF(OFFSET(CRONOPLE!$F$15,$M230-$A$15,AN$13)=0,10^12,OFFSET(CRONOPLE!$F$15,$M230-$A$15,AN$13)))</f>
        <v>1000000000000</v>
      </c>
      <c r="AO230" s="172">
        <f ca="1">IF(OR($D230&lt;&gt;"Serviço",AND(AUTOEVENTO="Manual",$M230=$A$15)),0,
         IF(OFFSET(CRONOPLE!$F$15,$M230-$A$15,AO$13)=0,10^12,OFFSET(CRONOPLE!$F$15,$M230-$A$15,AO$13)))</f>
        <v>1000000000000</v>
      </c>
      <c r="AP230" s="172">
        <f ca="1">IF(OR($D230&lt;&gt;"Serviço",AND(AUTOEVENTO="Manual",$M230=$A$15)),0,
         IF(OFFSET(CRONOPLE!$F$15,$M230-$A$15,AP$13)=0,10^12,OFFSET(CRONOPLE!$F$15,$M230-$A$15,AP$13)))</f>
        <v>1000000000000</v>
      </c>
      <c r="AQ230" s="172">
        <f ca="1">IF(OR($D230&lt;&gt;"Serviço",AND(AUTOEVENTO="Manual",$M230=$A$15)),0,
         IF(OFFSET(CRONOPLE!$F$15,$M230-$A$15,AQ$13)=0,10^12,OFFSET(CRONOPLE!$F$15,$M230-$A$15,AQ$13)))</f>
        <v>1000000000000</v>
      </c>
      <c r="AR230" s="172">
        <f ca="1">IF(OR($D230&lt;&gt;"Serviço",AND(AUTOEVENTO="Manual",$M230=$A$15)),0,
         IF(OFFSET(CRONOPLE!$F$15,$M230-$A$15,AR$13)=0,10^12,OFFSET(CRONOPLE!$F$15,$M230-$A$15,AR$13)))</f>
        <v>1000000000000</v>
      </c>
      <c r="AS230" s="172">
        <f ca="1">IF(OR($D230&lt;&gt;"Serviço",AND(AUTOEVENTO="Manual",$M230=$A$15)),0,
         IF(OFFSET(CRONOPLE!$F$15,$M230-$A$15,AS$13)=0,10^12,OFFSET(CRONOPLE!$F$15,$M230-$A$15,AS$13)))</f>
        <v>1000000000000</v>
      </c>
      <c r="AT230" s="172">
        <f ca="1">IF(OR($D230&lt;&gt;"Serviço",AND(AUTOEVENTO="Manual",$M230=$A$15)),0,
         IF(OFFSET(CRONOPLE!$F$15,$M230-$A$15,AT$13)=0,10^12,OFFSET(CRONOPLE!$F$15,$M230-$A$15,AT$13)))</f>
        <v>1000000000000</v>
      </c>
      <c r="AU230" s="172">
        <f ca="1">IF(OR($D230&lt;&gt;"Serviço",AND(AUTOEVENTO="Manual",$M230=$A$15)),0,
         IF(OFFSET(CRONOPLE!$F$15,$M230-$A$15,AU$13)=0,10^12,OFFSET(CRONOPLE!$F$15,$M230-$A$15,AU$13)))</f>
        <v>1000000000000</v>
      </c>
      <c r="AV230" s="172">
        <f ca="1">IF(OR($D230&lt;&gt;"Serviço",AND(AUTOEVENTO="Manual",$M230=$A$15)),0,
         IF(OFFSET(CRONOPLE!$F$15,$M230-$A$15,AV$13)=0,10^12,OFFSET(CRONOPLE!$F$15,$M230-$A$15,AV$13)))</f>
        <v>1000000000000</v>
      </c>
      <c r="AX230" s="173">
        <f ca="1">IF(OR($D230&lt;&gt;"Serviço",AND(AUTOEVENTO="Manual",$M230=$A$15),$M230&gt;(ROW(PLE.lastrow)-ROW(PLE.firstrow))),0,
           IF(OFFSET(PLE!$G$15,$M230-$A$15,AX$13)="",10^12,OFFSET(PLE!$G$15,$M230-$A$15,AX$13)))</f>
        <v>1000000000000</v>
      </c>
      <c r="AY230" s="173">
        <f ca="1">IF(OR($D230&lt;&gt;"Serviço",AND(AUTOEVENTO="Manual",$M230=$A$15),$M230&gt;(ROW(PLE.lastrow)-ROW(PLE.firstrow))),0,
           IF(OFFSET(PLE!$G$15,$M230-$A$15,AY$13)="",10^12,OFFSET(PLE!$G$15,$M230-$A$15,AY$13)))</f>
        <v>1000000000000</v>
      </c>
      <c r="AZ230" s="173">
        <f ca="1">IF(OR($D230&lt;&gt;"Serviço",AND(AUTOEVENTO="Manual",$M230=$A$15),$M230&gt;(ROW(PLE.lastrow)-ROW(PLE.firstrow))),0,
           IF(OFFSET(PLE!$G$15,$M230-$A$15,AZ$13)="",10^12,OFFSET(PLE!$G$15,$M230-$A$15,AZ$13)))</f>
        <v>1000000000000</v>
      </c>
      <c r="BA230" s="173">
        <f ca="1">IF(OR($D230&lt;&gt;"Serviço",AND(AUTOEVENTO="Manual",$M230=$A$15),$M230&gt;(ROW(PLE.lastrow)-ROW(PLE.firstrow))),0,
           IF(OFFSET(PLE!$G$15,$M230-$A$15,BA$13)="",10^12,OFFSET(PLE!$G$15,$M230-$A$15,BA$13)))</f>
        <v>1000000000000</v>
      </c>
      <c r="BB230" s="173">
        <f ca="1">IF(OR($D230&lt;&gt;"Serviço",AND(AUTOEVENTO="Manual",$M230=$A$15),$M230&gt;(ROW(PLE.lastrow)-ROW(PLE.firstrow))),0,
           IF(OFFSET(PLE!$G$15,$M230-$A$15,BB$13)="",10^12,OFFSET(PLE!$G$15,$M230-$A$15,BB$13)))</f>
        <v>1000000000000</v>
      </c>
      <c r="BC230" s="173">
        <f ca="1">IF(OR($D230&lt;&gt;"Serviço",AND(AUTOEVENTO="Manual",$M230=$A$15),$M230&gt;(ROW(PLE.lastrow)-ROW(PLE.firstrow))),0,
           IF(OFFSET(PLE!$G$15,$M230-$A$15,BC$13)="",10^12,OFFSET(PLE!$G$15,$M230-$A$15,BC$13)))</f>
        <v>1000000000000</v>
      </c>
      <c r="BD230" s="173">
        <f ca="1">IF(OR($D230&lt;&gt;"Serviço",AND(AUTOEVENTO="Manual",$M230=$A$15),$M230&gt;(ROW(PLE.lastrow)-ROW(PLE.firstrow))),0,
           IF(OFFSET(PLE!$G$15,$M230-$A$15,BD$13)="",10^12,OFFSET(PLE!$G$15,$M230-$A$15,BD$13)))</f>
        <v>1000000000000</v>
      </c>
      <c r="BE230" s="173">
        <f ca="1">IF(OR($D230&lt;&gt;"Serviço",AND(AUTOEVENTO="Manual",$M230=$A$15),$M230&gt;(ROW(PLE.lastrow)-ROW(PLE.firstrow))),0,
           IF(OFFSET(PLE!$G$15,$M230-$A$15,BE$13)="",10^12,OFFSET(PLE!$G$15,$M230-$A$15,BE$13)))</f>
        <v>1000000000000</v>
      </c>
      <c r="BF230" s="173">
        <f ca="1">IF(OR($D230&lt;&gt;"Serviço",AND(AUTOEVENTO="Manual",$M230=$A$15),$M230&gt;(ROW(PLE.lastrow)-ROW(PLE.firstrow))),0,
           IF(OFFSET(PLE!$G$15,$M230-$A$15,BF$13)="",10^12,OFFSET(PLE!$G$15,$M230-$A$15,BF$13)))</f>
        <v>1000000000000</v>
      </c>
      <c r="BG230" s="173">
        <f ca="1">IF(OR($D230&lt;&gt;"Serviço",AND(AUTOEVENTO="Manual",$M230=$A$15),$M230&gt;(ROW(PLE.lastrow)-ROW(PLE.firstrow))),0,
           IF(OFFSET(PLE!$G$15,$M230-$A$15,BG$13)="",10^12,OFFSET(PLE!$G$15,$M230-$A$15,BG$13)))</f>
        <v>1000000000000</v>
      </c>
    </row>
    <row r="231" spans="1:59" ht="5.0999999999999996" customHeight="1" x14ac:dyDescent="0.2">
      <c r="B231" s="7">
        <f ca="1">OFFSET(ORÇAMENTO!C$15,ROW(B231)-ROW(B$15),0)</f>
        <v>-1</v>
      </c>
      <c r="C231" s="7" t="str">
        <f ca="1">OFFSET(ORÇAMENTO!L$15,ROW(C231)-ROW(C$15),0)</f>
        <v>F</v>
      </c>
      <c r="D231" s="635" t="s">
        <v>701</v>
      </c>
      <c r="E231" s="619"/>
      <c r="F231" s="620"/>
      <c r="G231" s="620"/>
      <c r="H231" s="620"/>
      <c r="I231" s="420"/>
      <c r="K231" s="570"/>
      <c r="L231" s="166" t="s">
        <v>765</v>
      </c>
      <c r="M231" s="422"/>
      <c r="N231" s="421"/>
      <c r="O231" s="636"/>
      <c r="Q231" s="619"/>
      <c r="R231" s="620"/>
      <c r="S231" s="620"/>
      <c r="T231" s="620"/>
      <c r="U231" s="620"/>
      <c r="V231" s="620"/>
      <c r="W231" s="620"/>
      <c r="X231" s="620"/>
      <c r="Y231" s="620"/>
      <c r="Z231" s="420"/>
      <c r="AB231" s="637"/>
      <c r="AC231" s="638"/>
      <c r="AD231" s="638"/>
      <c r="AE231" s="638"/>
      <c r="AF231" s="638"/>
      <c r="AG231" s="638"/>
      <c r="AH231" s="638"/>
      <c r="AI231" s="638"/>
      <c r="AJ231" s="638"/>
      <c r="AK231" s="134"/>
      <c r="AM231" s="637"/>
      <c r="AN231" s="638"/>
      <c r="AO231" s="638"/>
      <c r="AP231" s="638"/>
      <c r="AQ231" s="638"/>
      <c r="AR231" s="638"/>
      <c r="AS231" s="638"/>
      <c r="AT231" s="638"/>
      <c r="AU231" s="638"/>
      <c r="AV231" s="134"/>
      <c r="AX231" s="637"/>
      <c r="AY231" s="638"/>
      <c r="AZ231" s="638"/>
      <c r="BA231" s="638"/>
      <c r="BB231" s="638"/>
      <c r="BC231" s="638"/>
      <c r="BD231" s="638"/>
      <c r="BE231" s="638"/>
      <c r="BF231" s="638"/>
      <c r="BG231" s="134"/>
    </row>
    <row r="232" spans="1:59" ht="12.75" customHeight="1" x14ac:dyDescent="0.2"/>
    <row r="233" spans="1:59" ht="12.75" customHeight="1" x14ac:dyDescent="0.2"/>
    <row r="234" spans="1:59" ht="12.75" customHeight="1" x14ac:dyDescent="0.2"/>
    <row r="235" spans="1:59" ht="15" customHeight="1" x14ac:dyDescent="0.2">
      <c r="F235" s="180" t="str">
        <f>Import.Município</f>
        <v>PASSOS/MG</v>
      </c>
      <c r="I235" s="461"/>
      <c r="J235" s="461"/>
      <c r="K235" s="461"/>
      <c r="L235" s="461"/>
      <c r="M235" s="462"/>
      <c r="N235" s="418"/>
      <c r="T235" s="140"/>
      <c r="U235" s="140"/>
      <c r="V235" s="181"/>
      <c r="W235" s="181"/>
      <c r="X235" s="181"/>
      <c r="Y235" s="181"/>
    </row>
    <row r="236" spans="1:59" ht="12.75" customHeight="1" x14ac:dyDescent="0.2">
      <c r="F236" s="9" t="s">
        <v>694</v>
      </c>
      <c r="I236" s="182" t="s">
        <v>697</v>
      </c>
      <c r="J236" s="182"/>
      <c r="K236" s="182"/>
      <c r="L236" s="182"/>
      <c r="T236" s="182" t="s">
        <v>697</v>
      </c>
      <c r="U236" s="182"/>
    </row>
    <row r="237" spans="1:59" ht="12.75" customHeight="1" x14ac:dyDescent="0.2">
      <c r="I237" s="399" t="str">
        <f t="array" aca="1" ref="I237:I239" ca="1">OFFSET(Import.RespOrçamento,0,-1) &amp; " " &amp; Import.RespOrçamento</f>
        <v>Nome: LUCAS REZENDE CARVALHO</v>
      </c>
      <c r="K237" s="79"/>
      <c r="L237" s="79"/>
      <c r="T237" s="399" t="str">
        <f t="array" aca="1" ref="T237:T239" ca="1">OFFSET(Import.RespOrçamento,0,-1) &amp; " " &amp; Import.RespOrçamento</f>
        <v>Nome: LUCAS REZENDE CARVALHO</v>
      </c>
      <c r="U237" s="78"/>
    </row>
    <row r="238" spans="1:59" ht="12.75" customHeight="1" x14ac:dyDescent="0.2">
      <c r="F238" s="460">
        <f>DADOS!$C$25</f>
        <v>45945</v>
      </c>
      <c r="I238" s="399" t="str">
        <f ca="1"/>
        <v>CREA/CAU: 126.061/D</v>
      </c>
      <c r="K238" s="79"/>
      <c r="L238" s="79"/>
      <c r="T238" s="399" t="str">
        <f ca="1"/>
        <v>CREA/CAU: 126.061/D</v>
      </c>
      <c r="U238" s="78"/>
    </row>
    <row r="239" spans="1:59" ht="12.75" customHeight="1" x14ac:dyDescent="0.2">
      <c r="F239" s="141" t="s">
        <v>695</v>
      </c>
      <c r="I239" s="399" t="str">
        <f ca="1"/>
        <v>ART/RRT: MG20253685005</v>
      </c>
      <c r="K239" s="79"/>
      <c r="L239" s="79"/>
      <c r="T239" s="399" t="str">
        <f ca="1"/>
        <v>ART/RRT: MG20253685005</v>
      </c>
      <c r="U239" s="78"/>
    </row>
    <row r="240" spans="1:59"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4420" spans="3:13" ht="12.75" customHeight="1" x14ac:dyDescent="0.2">
      <c r="C4420"/>
      <c r="M4420"/>
    </row>
    <row r="4421" spans="3:13" ht="12.75" customHeight="1" x14ac:dyDescent="0.2">
      <c r="C4421"/>
      <c r="M4421"/>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4426" spans="3:13" ht="12.75" customHeight="1" x14ac:dyDescent="0.2">
      <c r="C4426"/>
      <c r="M4426"/>
    </row>
    <row r="4427" spans="3:13" ht="12.75" customHeight="1" x14ac:dyDescent="0.2">
      <c r="C4427"/>
      <c r="M4427"/>
    </row>
    <row r="4428" spans="3:13" ht="12.75" customHeight="1" x14ac:dyDescent="0.2">
      <c r="C4428"/>
      <c r="M4428"/>
    </row>
    <row r="4429" spans="3:13" ht="12.75" customHeight="1" x14ac:dyDescent="0.2">
      <c r="C4429"/>
      <c r="M4429"/>
    </row>
    <row r="4430" spans="3:13" ht="12.75" customHeight="1" x14ac:dyDescent="0.2">
      <c r="C4430"/>
      <c r="M4430"/>
    </row>
    <row r="4431" spans="3:13" ht="12.75" customHeight="1" x14ac:dyDescent="0.2">
      <c r="C4431"/>
      <c r="M4431"/>
    </row>
    <row r="4432" spans="3:13" ht="12.75" customHeight="1" x14ac:dyDescent="0.2">
      <c r="C4432"/>
      <c r="M4432"/>
    </row>
    <row r="4433" spans="3:13" ht="12.75" customHeight="1" x14ac:dyDescent="0.2">
      <c r="C4433"/>
      <c r="M4433"/>
    </row>
    <row r="4434" spans="3:13" ht="12.75" customHeight="1" x14ac:dyDescent="0.2">
      <c r="C4434"/>
      <c r="M4434"/>
    </row>
    <row r="4435" spans="3:13" ht="12.75" customHeight="1" x14ac:dyDescent="0.2">
      <c r="C4435"/>
      <c r="M4435"/>
    </row>
    <row r="4436" spans="3:13" ht="12.75" customHeight="1" x14ac:dyDescent="0.2">
      <c r="C4436"/>
      <c r="M4436"/>
    </row>
    <row r="4437" spans="3:13" ht="12.75" customHeight="1" x14ac:dyDescent="0.2">
      <c r="C4437"/>
      <c r="M4437"/>
    </row>
    <row r="4438" spans="3:13" ht="12.75" customHeight="1" x14ac:dyDescent="0.2">
      <c r="C4438"/>
      <c r="M4438"/>
    </row>
    <row r="4439" spans="3:13" ht="12.75" customHeight="1" x14ac:dyDescent="0.2">
      <c r="C4439"/>
      <c r="M4439"/>
    </row>
    <row r="4440" spans="3:13" ht="12.75" customHeight="1" x14ac:dyDescent="0.2">
      <c r="C4440"/>
      <c r="M4440"/>
    </row>
    <row r="4441" spans="3:13" ht="12.75" customHeight="1" x14ac:dyDescent="0.2">
      <c r="C4441"/>
      <c r="M4441"/>
    </row>
    <row r="4442" spans="3:13" ht="12.75" customHeight="1" x14ac:dyDescent="0.2">
      <c r="C4442"/>
      <c r="M4442"/>
    </row>
    <row r="4443" spans="3:13" ht="12.75" customHeight="1" x14ac:dyDescent="0.2">
      <c r="C4443"/>
      <c r="M4443"/>
    </row>
    <row r="4444" spans="3:13" ht="12.75" customHeight="1" x14ac:dyDescent="0.2">
      <c r="C4444"/>
      <c r="M4444"/>
    </row>
    <row r="4445" spans="3:13" ht="12.75" customHeight="1" x14ac:dyDescent="0.2">
      <c r="C4445"/>
      <c r="M4445"/>
    </row>
    <row r="4446" spans="3:13" ht="12.75" customHeight="1" x14ac:dyDescent="0.2">
      <c r="C4446"/>
      <c r="M4446"/>
    </row>
    <row r="4447" spans="3:13" ht="12.75" customHeight="1" x14ac:dyDescent="0.2">
      <c r="C4447"/>
      <c r="M4447"/>
    </row>
    <row r="4448" spans="3:13" ht="12.75" customHeight="1" x14ac:dyDescent="0.2">
      <c r="C4448"/>
      <c r="M4448"/>
    </row>
    <row r="4449" spans="3:13" ht="12.75" customHeight="1" x14ac:dyDescent="0.2">
      <c r="C4449"/>
      <c r="M4449"/>
    </row>
    <row r="4450" spans="3:13" ht="12.75" customHeight="1" x14ac:dyDescent="0.2">
      <c r="C4450"/>
      <c r="M4450"/>
    </row>
    <row r="4451" spans="3:13" ht="12.75" customHeight="1" x14ac:dyDescent="0.2">
      <c r="C4451"/>
      <c r="M4451"/>
    </row>
    <row r="4452" spans="3:13" ht="12.75" customHeight="1" x14ac:dyDescent="0.2">
      <c r="C4452"/>
      <c r="M4452"/>
    </row>
    <row r="4453" spans="3:13" ht="12.75" customHeight="1" x14ac:dyDescent="0.2">
      <c r="C4453"/>
      <c r="M4453"/>
    </row>
    <row r="4454" spans="3:13" ht="12.75" customHeight="1" x14ac:dyDescent="0.2">
      <c r="C4454"/>
      <c r="M4454"/>
    </row>
    <row r="4455" spans="3:13" ht="12.75" customHeight="1" x14ac:dyDescent="0.2">
      <c r="C4455"/>
      <c r="M4455"/>
    </row>
    <row r="4456" spans="3:13" ht="12.75" customHeight="1" x14ac:dyDescent="0.2">
      <c r="C4456"/>
      <c r="M4456"/>
    </row>
    <row r="4457" spans="3:13" ht="12.75" customHeight="1" x14ac:dyDescent="0.2">
      <c r="C4457"/>
      <c r="M4457"/>
    </row>
    <row r="4458" spans="3:13" ht="12.75" customHeight="1" x14ac:dyDescent="0.2">
      <c r="C4458"/>
      <c r="M4458"/>
    </row>
    <row r="4459" spans="3:13" ht="12.75" customHeight="1" x14ac:dyDescent="0.2">
      <c r="C4459"/>
      <c r="M4459"/>
    </row>
    <row r="4460" spans="3:13" ht="12.75" customHeight="1" x14ac:dyDescent="0.2">
      <c r="C4460"/>
      <c r="M4460"/>
    </row>
    <row r="4461" spans="3:13" ht="12.75" customHeight="1" x14ac:dyDescent="0.2">
      <c r="C4461"/>
      <c r="M4461"/>
    </row>
    <row r="4462" spans="3:13" ht="12.75" customHeight="1" x14ac:dyDescent="0.2">
      <c r="C4462"/>
      <c r="M4462"/>
    </row>
    <row r="4463" spans="3:13" ht="12.75" customHeight="1" x14ac:dyDescent="0.2">
      <c r="C4463"/>
      <c r="M4463"/>
    </row>
    <row r="4464" spans="3:13" ht="12.75" customHeight="1" x14ac:dyDescent="0.2">
      <c r="C4464"/>
      <c r="M4464"/>
    </row>
    <row r="4465" spans="3:13" ht="12.75" customHeight="1" x14ac:dyDescent="0.2">
      <c r="C4465"/>
      <c r="M4465"/>
    </row>
    <row r="4466" spans="3:13" ht="12.75" customHeight="1" x14ac:dyDescent="0.2">
      <c r="C4466"/>
      <c r="M4466"/>
    </row>
    <row r="4467" spans="3:13" ht="12.75" customHeight="1" x14ac:dyDescent="0.2">
      <c r="C4467"/>
      <c r="M4467"/>
    </row>
    <row r="4468" spans="3:13" ht="12.75" customHeight="1" x14ac:dyDescent="0.2">
      <c r="C4468"/>
      <c r="M4468"/>
    </row>
    <row r="4469" spans="3:13" ht="12.75" customHeight="1" x14ac:dyDescent="0.2">
      <c r="C4469"/>
      <c r="M4469"/>
    </row>
    <row r="4470" spans="3:13" ht="12.75" customHeight="1" x14ac:dyDescent="0.2">
      <c r="C4470"/>
      <c r="M4470"/>
    </row>
    <row r="4471" spans="3:13" ht="12.75" customHeight="1" x14ac:dyDescent="0.2">
      <c r="C4471"/>
      <c r="M4471"/>
    </row>
    <row r="4472" spans="3:13" ht="12.75" customHeight="1" x14ac:dyDescent="0.2">
      <c r="C4472"/>
      <c r="M4472"/>
    </row>
    <row r="4482" spans="3:13" ht="12.75" customHeight="1" x14ac:dyDescent="0.2">
      <c r="C4482"/>
      <c r="M4482"/>
    </row>
    <row r="4483" spans="3:13" ht="12.75" customHeight="1" x14ac:dyDescent="0.2">
      <c r="C4483"/>
      <c r="M4483"/>
    </row>
    <row r="4484" spans="3:13" ht="12.75" customHeight="1" x14ac:dyDescent="0.2">
      <c r="C4484"/>
      <c r="M4484"/>
    </row>
    <row r="4485" spans="3:13" ht="12.75" customHeight="1" x14ac:dyDescent="0.2">
      <c r="C4485"/>
      <c r="M4485"/>
    </row>
    <row r="61143" spans="3:13" ht="12.75" customHeight="1" x14ac:dyDescent="0.2">
      <c r="C61143"/>
      <c r="M61143"/>
    </row>
    <row r="61159" spans="3:13" ht="12.75" customHeight="1" x14ac:dyDescent="0.2">
      <c r="C61159"/>
      <c r="M61159"/>
    </row>
    <row r="61175" spans="3:13" ht="12.75" customHeight="1" x14ac:dyDescent="0.2">
      <c r="C61175"/>
      <c r="M61175"/>
    </row>
    <row r="61191" spans="3:13" ht="12.75" customHeight="1" x14ac:dyDescent="0.2">
      <c r="C61191"/>
      <c r="M61191"/>
    </row>
    <row r="61204" spans="3:13" ht="12.75" customHeight="1" x14ac:dyDescent="0.2">
      <c r="C61204"/>
      <c r="M61204"/>
    </row>
    <row r="61205" spans="3:13" ht="12.75" customHeight="1" x14ac:dyDescent="0.2">
      <c r="C61205"/>
      <c r="M61205"/>
    </row>
    <row r="61207" spans="3:13" ht="12.75" customHeight="1" x14ac:dyDescent="0.2">
      <c r="C61207"/>
      <c r="M61207"/>
    </row>
    <row r="61218" spans="3:13" ht="12.75" customHeight="1" x14ac:dyDescent="0.2">
      <c r="C61218"/>
      <c r="M61218"/>
    </row>
    <row r="61219" spans="3:13" ht="12.75" customHeight="1" x14ac:dyDescent="0.2">
      <c r="C61219"/>
      <c r="M61219"/>
    </row>
    <row r="61220" spans="3:13" ht="12.75" customHeight="1" x14ac:dyDescent="0.2">
      <c r="C61220"/>
      <c r="M61220"/>
    </row>
    <row r="61221" spans="3:13" ht="12.75" customHeight="1" x14ac:dyDescent="0.2">
      <c r="C61221"/>
      <c r="M61221"/>
    </row>
    <row r="61223" spans="3:13" ht="12.75" customHeight="1" x14ac:dyDescent="0.2">
      <c r="C61223"/>
      <c r="M61223"/>
    </row>
    <row r="61234" spans="3:13" ht="12.75" customHeight="1" x14ac:dyDescent="0.2">
      <c r="C61234"/>
      <c r="M61234"/>
    </row>
    <row r="61235" spans="3:13" ht="12.75" customHeight="1" x14ac:dyDescent="0.2">
      <c r="C61235"/>
      <c r="M61235"/>
    </row>
    <row r="61236" spans="3:13" ht="12.75" customHeight="1" x14ac:dyDescent="0.2">
      <c r="C61236"/>
      <c r="M61236"/>
    </row>
    <row r="61237" spans="3:13" ht="12.75" customHeight="1" x14ac:dyDescent="0.2">
      <c r="C61237"/>
      <c r="M61237"/>
    </row>
    <row r="61239" spans="3:13" ht="12.75" customHeight="1" x14ac:dyDescent="0.2">
      <c r="C61239"/>
      <c r="M6123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5" spans="3:13" ht="12.75" customHeight="1" x14ac:dyDescent="0.2">
      <c r="C61255"/>
      <c r="M6125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1" spans="3:13" ht="12.75" customHeight="1" x14ac:dyDescent="0.2">
      <c r="C61271"/>
      <c r="M6127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7" spans="3:13" ht="12.75" customHeight="1" x14ac:dyDescent="0.2">
      <c r="C61287"/>
      <c r="M6128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3" spans="3:13" ht="12.75" customHeight="1" x14ac:dyDescent="0.2">
      <c r="C61303"/>
      <c r="M6130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9" spans="3:13" ht="12.75" customHeight="1" x14ac:dyDescent="0.2">
      <c r="C61319"/>
      <c r="M6131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5" spans="3:13" ht="12.75" customHeight="1" x14ac:dyDescent="0.2">
      <c r="C61335"/>
      <c r="M61335"/>
    </row>
    <row r="61343" spans="3:13" ht="12.75" customHeight="1" x14ac:dyDescent="0.2">
      <c r="C61343"/>
      <c r="M61343"/>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1" spans="3:13" ht="12.75" customHeight="1" x14ac:dyDescent="0.2">
      <c r="C61351"/>
      <c r="M61351"/>
    </row>
    <row r="61359" spans="3:13" ht="12.75" customHeight="1" x14ac:dyDescent="0.2">
      <c r="C61359"/>
      <c r="M61359"/>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7" spans="3:13" ht="12.75" customHeight="1" x14ac:dyDescent="0.2">
      <c r="C61367"/>
      <c r="M61367"/>
    </row>
    <row r="61375" spans="3:13" ht="12.75" customHeight="1" x14ac:dyDescent="0.2">
      <c r="C61375"/>
      <c r="M61375"/>
    </row>
    <row r="61376" spans="3:13" ht="12.75" customHeight="1" x14ac:dyDescent="0.2">
      <c r="C61376"/>
      <c r="M61376"/>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3" spans="3:13" ht="12.75" customHeight="1" x14ac:dyDescent="0.2">
      <c r="C61383"/>
      <c r="M61383"/>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9" spans="3:13" ht="12.75" customHeight="1" x14ac:dyDescent="0.2">
      <c r="C61399"/>
      <c r="M61399"/>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5" spans="3:13" ht="12.75" customHeight="1" x14ac:dyDescent="0.2">
      <c r="C61415"/>
      <c r="M61415"/>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row r="65440" spans="3:13" ht="12.75" customHeight="1" x14ac:dyDescent="0.2">
      <c r="C65440"/>
      <c r="M65440"/>
    </row>
    <row r="65441" spans="3:13" ht="12.75" customHeight="1" x14ac:dyDescent="0.2">
      <c r="C65441"/>
      <c r="M65441"/>
    </row>
    <row r="65442" spans="3:13" ht="12.75" customHeight="1" x14ac:dyDescent="0.2">
      <c r="C65442"/>
      <c r="M65442"/>
    </row>
    <row r="65443" spans="3:13" ht="12.75" customHeight="1" x14ac:dyDescent="0.2">
      <c r="C65443"/>
      <c r="M65443"/>
    </row>
    <row r="65444" spans="3:13" ht="12.75" customHeight="1" x14ac:dyDescent="0.2">
      <c r="C65444"/>
      <c r="M65444"/>
    </row>
    <row r="65445" spans="3:13" ht="12.75" customHeight="1" x14ac:dyDescent="0.2">
      <c r="C65445"/>
      <c r="M65445"/>
    </row>
    <row r="65446" spans="3:13" ht="12.75" customHeight="1" x14ac:dyDescent="0.2">
      <c r="C65446"/>
      <c r="M65446"/>
    </row>
    <row r="65447" spans="3:13" ht="12.75" customHeight="1" x14ac:dyDescent="0.2">
      <c r="C65447"/>
      <c r="M65447"/>
    </row>
    <row r="65448" spans="3:13" ht="12.75" customHeight="1" x14ac:dyDescent="0.2">
      <c r="C65448"/>
      <c r="M65448"/>
    </row>
    <row r="65449" spans="3:13" ht="12.75" customHeight="1" x14ac:dyDescent="0.2">
      <c r="C65449"/>
      <c r="M65449"/>
    </row>
    <row r="65450" spans="3:13" ht="12.75" customHeight="1" x14ac:dyDescent="0.2">
      <c r="C65450"/>
      <c r="M65450"/>
    </row>
    <row r="65451" spans="3:13" ht="12.75" customHeight="1" x14ac:dyDescent="0.2">
      <c r="C65451"/>
      <c r="M65451"/>
    </row>
    <row r="65452" spans="3:13" ht="12.75" customHeight="1" x14ac:dyDescent="0.2">
      <c r="C65452"/>
      <c r="M65452"/>
    </row>
    <row r="65453" spans="3:13" ht="12.75" customHeight="1" x14ac:dyDescent="0.2">
      <c r="C65453"/>
      <c r="M65453"/>
    </row>
    <row r="65454" spans="3:13" ht="12.75" customHeight="1" x14ac:dyDescent="0.2">
      <c r="C65454"/>
      <c r="M65454"/>
    </row>
    <row r="65455" spans="3:13" ht="12.75" customHeight="1" x14ac:dyDescent="0.2">
      <c r="C65455"/>
      <c r="M65455"/>
    </row>
    <row r="65456" spans="3:13" ht="12.75" customHeight="1" x14ac:dyDescent="0.2">
      <c r="C65456"/>
      <c r="M65456"/>
    </row>
    <row r="65457" spans="3:13" ht="12.75" customHeight="1" x14ac:dyDescent="0.2">
      <c r="C65457"/>
      <c r="M65457"/>
    </row>
    <row r="65458" spans="3:13" ht="12.75" customHeight="1" x14ac:dyDescent="0.2">
      <c r="C65458"/>
      <c r="M65458"/>
    </row>
    <row r="65459" spans="3:13" ht="12.75" customHeight="1" x14ac:dyDescent="0.2">
      <c r="C65459"/>
      <c r="M65459"/>
    </row>
    <row r="65460" spans="3:13" ht="12.75" customHeight="1" x14ac:dyDescent="0.2">
      <c r="C65460"/>
      <c r="M65460"/>
    </row>
    <row r="65461" spans="3:13" ht="12.75" customHeight="1" x14ac:dyDescent="0.2">
      <c r="C65461"/>
      <c r="M65461"/>
    </row>
    <row r="65462" spans="3:13" ht="12.75" customHeight="1" x14ac:dyDescent="0.2">
      <c r="C65462"/>
      <c r="M65462"/>
    </row>
    <row r="65463" spans="3:13" ht="12.75" customHeight="1" x14ac:dyDescent="0.2">
      <c r="C65463"/>
      <c r="M65463"/>
    </row>
    <row r="65464" spans="3:13" ht="12.75" customHeight="1" x14ac:dyDescent="0.2">
      <c r="C65464"/>
      <c r="M65464"/>
    </row>
    <row r="65465" spans="3:13" ht="12.75" customHeight="1" x14ac:dyDescent="0.2">
      <c r="C65465"/>
      <c r="M65465"/>
    </row>
    <row r="65466" spans="3:13" ht="12.75" customHeight="1" x14ac:dyDescent="0.2">
      <c r="C65466"/>
      <c r="M65466"/>
    </row>
    <row r="65467" spans="3:13" ht="12.75" customHeight="1" x14ac:dyDescent="0.2">
      <c r="C65467"/>
      <c r="M65467"/>
    </row>
    <row r="65468" spans="3:13" ht="12.75" customHeight="1" x14ac:dyDescent="0.2">
      <c r="C65468"/>
      <c r="M65468"/>
    </row>
    <row r="65469" spans="3:13" ht="12.75" customHeight="1" x14ac:dyDescent="0.2">
      <c r="C65469"/>
      <c r="M65469"/>
    </row>
    <row r="65470" spans="3:13" ht="12.75" customHeight="1" x14ac:dyDescent="0.2">
      <c r="C65470"/>
      <c r="M65470"/>
    </row>
    <row r="65471" spans="3:13" ht="12.75" customHeight="1" x14ac:dyDescent="0.2">
      <c r="C65471"/>
      <c r="M65471"/>
    </row>
    <row r="65472" spans="3:13" ht="12.75" customHeight="1" x14ac:dyDescent="0.2">
      <c r="C65472"/>
      <c r="M65472"/>
    </row>
    <row r="65473" spans="3:13" ht="12.75" customHeight="1" x14ac:dyDescent="0.2">
      <c r="C65473"/>
      <c r="M65473"/>
    </row>
    <row r="65474" spans="3:13" ht="12.75" customHeight="1" x14ac:dyDescent="0.2">
      <c r="C65474"/>
      <c r="M65474"/>
    </row>
    <row r="65475" spans="3:13" ht="12.75" customHeight="1" x14ac:dyDescent="0.2">
      <c r="C65475"/>
      <c r="M65475"/>
    </row>
    <row r="65476" spans="3:13" ht="12.75" customHeight="1" x14ac:dyDescent="0.2">
      <c r="C65476"/>
      <c r="M65476"/>
    </row>
    <row r="65477" spans="3:13" ht="12.75" customHeight="1" x14ac:dyDescent="0.2">
      <c r="C65477"/>
      <c r="M65477"/>
    </row>
    <row r="65478" spans="3:13" ht="12.75" customHeight="1" x14ac:dyDescent="0.2">
      <c r="C65478"/>
      <c r="M65478"/>
    </row>
    <row r="65479" spans="3:13" ht="12.75" customHeight="1" x14ac:dyDescent="0.2">
      <c r="C65479"/>
      <c r="M65479"/>
    </row>
    <row r="65480" spans="3:13" ht="12.75" customHeight="1" x14ac:dyDescent="0.2">
      <c r="C65480"/>
      <c r="M65480"/>
    </row>
    <row r="65481" spans="3:13" ht="12.75" customHeight="1" x14ac:dyDescent="0.2">
      <c r="C65481"/>
      <c r="M65481"/>
    </row>
    <row r="65482" spans="3:13" ht="12.75" customHeight="1" x14ac:dyDescent="0.2">
      <c r="C65482"/>
      <c r="M65482"/>
    </row>
    <row r="65483" spans="3:13" ht="12.75" customHeight="1" x14ac:dyDescent="0.2">
      <c r="C65483"/>
      <c r="M65483"/>
    </row>
    <row r="65484" spans="3:13" ht="12.75" customHeight="1" x14ac:dyDescent="0.2">
      <c r="C65484"/>
      <c r="M65484"/>
    </row>
    <row r="65485" spans="3:13" ht="12.75" customHeight="1" x14ac:dyDescent="0.2">
      <c r="C65485"/>
      <c r="M65485"/>
    </row>
    <row r="65486" spans="3:13" ht="12.75" customHeight="1" x14ac:dyDescent="0.2">
      <c r="C65486"/>
      <c r="M65486"/>
    </row>
    <row r="65487" spans="3:13" ht="12.75" customHeight="1" x14ac:dyDescent="0.2">
      <c r="C65487"/>
      <c r="M65487"/>
    </row>
    <row r="65488" spans="3:13" ht="12.75" customHeight="1" x14ac:dyDescent="0.2">
      <c r="C65488"/>
      <c r="M65488"/>
    </row>
    <row r="65489" spans="3:13" ht="12.75" customHeight="1" x14ac:dyDescent="0.2">
      <c r="C65489"/>
      <c r="M65489"/>
    </row>
    <row r="65490" spans="3:13" ht="12.75" customHeight="1" x14ac:dyDescent="0.2">
      <c r="C65490"/>
      <c r="M65490"/>
    </row>
    <row r="65491" spans="3:13" ht="12.75" customHeight="1" x14ac:dyDescent="0.2">
      <c r="C65491"/>
      <c r="M65491"/>
    </row>
    <row r="65492" spans="3:13" ht="12.75" customHeight="1" x14ac:dyDescent="0.2">
      <c r="C65492"/>
      <c r="M65492"/>
    </row>
    <row r="65493" spans="3:13" ht="12.75" customHeight="1" x14ac:dyDescent="0.2">
      <c r="C65493"/>
      <c r="M65493"/>
    </row>
    <row r="65494" spans="3:13" ht="12.75" customHeight="1" x14ac:dyDescent="0.2">
      <c r="C65494"/>
      <c r="M65494"/>
    </row>
    <row r="65495" spans="3:13" ht="12.75" customHeight="1" x14ac:dyDescent="0.2">
      <c r="C65495"/>
      <c r="M65495"/>
    </row>
    <row r="65496" spans="3:13" ht="12.75" customHeight="1" x14ac:dyDescent="0.2">
      <c r="C65496"/>
      <c r="M65496"/>
    </row>
    <row r="65497" spans="3:13" ht="12.75" customHeight="1" x14ac:dyDescent="0.2">
      <c r="C65497"/>
      <c r="M65497"/>
    </row>
    <row r="65498" spans="3:13" ht="12.75" customHeight="1" x14ac:dyDescent="0.2">
      <c r="C65498"/>
      <c r="M65498"/>
    </row>
    <row r="65499" spans="3:13" ht="12.75" customHeight="1" x14ac:dyDescent="0.2">
      <c r="C65499"/>
      <c r="M65499"/>
    </row>
  </sheetData>
  <sheetProtection algorithmName="SHA-512" hashValue="Ba5qdhaQ6JrUgh9lylTZL0UDt3nZn145PPGg1jhROpUWcSckrcLOA4T/pklRt1B4uyZItXnvQVnanOQ2lQEpmA==" saltValue="0ExEjLlxiae6dk4C1F/BQg==" spinCount="100000" sheet="1" objects="1" scenarios="1" autoFilter="0"/>
  <autoFilter ref="C15:C231"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I14 D36:I43 D156:I163 D141:I141 D123:I130 D211:I230 D71:I73">
    <cfRule type="expression" dxfId="493" priority="9909" stopIfTrue="1">
      <formula>$B14=1</formula>
    </cfRule>
    <cfRule type="expression" dxfId="492" priority="9910" stopIfTrue="1">
      <formula>OR($B14=0,$B14=2,$B14=3,$B14=4)</formula>
    </cfRule>
  </conditionalFormatting>
  <conditionalFormatting sqref="M12:N231">
    <cfRule type="expression" dxfId="491" priority="9911" stopIfTrue="1">
      <formula>ACOMPANHAMENTO="BM"</formula>
    </cfRule>
    <cfRule type="expression" dxfId="490" priority="9912" stopIfTrue="1">
      <formula>OR($B12=0,$B12=2,$B12=3,$B12=4)</formula>
    </cfRule>
    <cfRule type="expression" dxfId="489" priority="9913" stopIfTrue="1">
      <formula>$B12=1</formula>
    </cfRule>
  </conditionalFormatting>
  <conditionalFormatting sqref="K12:K231">
    <cfRule type="expression" dxfId="488" priority="9914" stopIfTrue="1">
      <formula>OR(ACOMPANHAMENTO="BM",$A$12&lt;&gt;"Manual")</formula>
    </cfRule>
    <cfRule type="expression" dxfId="487" priority="9915" stopIfTrue="1">
      <formula>$B12=1</formula>
    </cfRule>
    <cfRule type="expression" dxfId="486" priority="9916" stopIfTrue="1">
      <formula>OR($B12=2,$B12=3,$B12=4,$B12=0)</formula>
    </cfRule>
  </conditionalFormatting>
  <conditionalFormatting sqref="O12:AA231">
    <cfRule type="expression" dxfId="485" priority="3500" stopIfTrue="1">
      <formula>ACOMPANHAMENTO="BM"</formula>
    </cfRule>
    <cfRule type="expression" dxfId="484" priority="9918" stopIfTrue="1">
      <formula>AND(O$12&lt;&gt;".",OR($B12=0,$B12=2,$B12=3,$B12=4,AND(O$12="",$B12&lt;&gt;"Empty"),OFFSET(O$1,0,-1)=0))</formula>
    </cfRule>
    <cfRule type="expression" dxfId="483" priority="9919" stopIfTrue="1">
      <formula>AND($B12=1,O$1=1)</formula>
    </cfRule>
  </conditionalFormatting>
  <conditionalFormatting sqref="Q15:Z15">
    <cfRule type="expression" dxfId="482" priority="9917">
      <formula>Q$11="▼"</formula>
    </cfRule>
  </conditionalFormatting>
  <conditionalFormatting sqref="O15">
    <cfRule type="expression" dxfId="481" priority="3499">
      <formula>O$11="▼"</formula>
    </cfRule>
  </conditionalFormatting>
  <conditionalFormatting sqref="N14 N36:N43 N156:N163 N141 N123:N130 N211:N230 N71:N73">
    <cfRule type="expression" dxfId="480" priority="534">
      <formula>$J14="►"</formula>
    </cfRule>
  </conditionalFormatting>
  <conditionalFormatting sqref="N12">
    <cfRule type="cellIs" dxfId="479" priority="532" operator="notEqual">
      <formula>"FRENTES DE OBRA:"</formula>
    </cfRule>
  </conditionalFormatting>
  <conditionalFormatting sqref="D16:I24">
    <cfRule type="expression" dxfId="478" priority="164" stopIfTrue="1">
      <formula>$B16=1</formula>
    </cfRule>
    <cfRule type="expression" dxfId="477" priority="165" stopIfTrue="1">
      <formula>OR($B16=0,$B16=2,$B16=3,$B16=4)</formula>
    </cfRule>
  </conditionalFormatting>
  <conditionalFormatting sqref="N16:N24">
    <cfRule type="expression" dxfId="476" priority="163">
      <formula>$J16="►"</formula>
    </cfRule>
  </conditionalFormatting>
  <conditionalFormatting sqref="D25:I25 D28:I35">
    <cfRule type="expression" dxfId="475" priority="161" stopIfTrue="1">
      <formula>$B25=1</formula>
    </cfRule>
    <cfRule type="expression" dxfId="474" priority="162" stopIfTrue="1">
      <formula>OR($B25=0,$B25=2,$B25=3,$B25=4)</formula>
    </cfRule>
  </conditionalFormatting>
  <conditionalFormatting sqref="N25 N28:N35">
    <cfRule type="expression" dxfId="473" priority="160">
      <formula>$J25="►"</formula>
    </cfRule>
  </conditionalFormatting>
  <conditionalFormatting sqref="D44:I52">
    <cfRule type="expression" dxfId="472" priority="155" stopIfTrue="1">
      <formula>$B44=1</formula>
    </cfRule>
    <cfRule type="expression" dxfId="471" priority="156" stopIfTrue="1">
      <formula>OR($B44=0,$B44=2,$B44=3,$B44=4)</formula>
    </cfRule>
  </conditionalFormatting>
  <conditionalFormatting sqref="N44:N52">
    <cfRule type="expression" dxfId="470" priority="154">
      <formula>$J44="►"</formula>
    </cfRule>
  </conditionalFormatting>
  <conditionalFormatting sqref="D53:I61">
    <cfRule type="expression" dxfId="469" priority="152" stopIfTrue="1">
      <formula>$B53=1</formula>
    </cfRule>
    <cfRule type="expression" dxfId="468" priority="153" stopIfTrue="1">
      <formula>OR($B53=0,$B53=2,$B53=3,$B53=4)</formula>
    </cfRule>
  </conditionalFormatting>
  <conditionalFormatting sqref="N53:N61">
    <cfRule type="expression" dxfId="467" priority="151">
      <formula>$J53="►"</formula>
    </cfRule>
  </conditionalFormatting>
  <conditionalFormatting sqref="D62:I70">
    <cfRule type="expression" dxfId="466" priority="149" stopIfTrue="1">
      <formula>$B62=1</formula>
    </cfRule>
    <cfRule type="expression" dxfId="465" priority="150" stopIfTrue="1">
      <formula>OR($B62=0,$B62=2,$B62=3,$B62=4)</formula>
    </cfRule>
  </conditionalFormatting>
  <conditionalFormatting sqref="N62:N70">
    <cfRule type="expression" dxfId="464" priority="148">
      <formula>$J62="►"</formula>
    </cfRule>
  </conditionalFormatting>
  <conditionalFormatting sqref="D74:I80">
    <cfRule type="expression" dxfId="463" priority="140" stopIfTrue="1">
      <formula>$B74=1</formula>
    </cfRule>
    <cfRule type="expression" dxfId="462" priority="141" stopIfTrue="1">
      <formula>OR($B74=0,$B74=2,$B74=3,$B74=4)</formula>
    </cfRule>
  </conditionalFormatting>
  <conditionalFormatting sqref="N74:N80">
    <cfRule type="expression" dxfId="461" priority="139">
      <formula>$J74="►"</formula>
    </cfRule>
  </conditionalFormatting>
  <conditionalFormatting sqref="D81:I81 D84:I91">
    <cfRule type="expression" dxfId="460" priority="137" stopIfTrue="1">
      <formula>$B81=1</formula>
    </cfRule>
    <cfRule type="expression" dxfId="459" priority="138" stopIfTrue="1">
      <formula>OR($B81=0,$B81=2,$B81=3,$B81=4)</formula>
    </cfRule>
  </conditionalFormatting>
  <conditionalFormatting sqref="N81 N84:N91">
    <cfRule type="expression" dxfId="458" priority="136">
      <formula>$J81="►"</formula>
    </cfRule>
  </conditionalFormatting>
  <conditionalFormatting sqref="D92:I97 D113:I113 D109:I110">
    <cfRule type="expression" dxfId="457" priority="134" stopIfTrue="1">
      <formula>$B92=1</formula>
    </cfRule>
    <cfRule type="expression" dxfId="456" priority="135" stopIfTrue="1">
      <formula>OR($B92=0,$B92=2,$B92=3,$B92=4)</formula>
    </cfRule>
  </conditionalFormatting>
  <conditionalFormatting sqref="N92:N97 N113 N109:N110">
    <cfRule type="expression" dxfId="455" priority="133">
      <formula>$J92="►"</formula>
    </cfRule>
  </conditionalFormatting>
  <conditionalFormatting sqref="D114:I122">
    <cfRule type="expression" dxfId="454" priority="131" stopIfTrue="1">
      <formula>$B114=1</formula>
    </cfRule>
    <cfRule type="expression" dxfId="453" priority="132" stopIfTrue="1">
      <formula>OR($B114=0,$B114=2,$B114=3,$B114=4)</formula>
    </cfRule>
  </conditionalFormatting>
  <conditionalFormatting sqref="N114:N122">
    <cfRule type="expression" dxfId="452" priority="130">
      <formula>$J114="►"</formula>
    </cfRule>
  </conditionalFormatting>
  <conditionalFormatting sqref="D131:I131 D133:I140">
    <cfRule type="expression" dxfId="451" priority="125" stopIfTrue="1">
      <formula>$B131=1</formula>
    </cfRule>
    <cfRule type="expression" dxfId="450" priority="126" stopIfTrue="1">
      <formula>OR($B131=0,$B131=2,$B131=3,$B131=4)</formula>
    </cfRule>
  </conditionalFormatting>
  <conditionalFormatting sqref="N131 N133:N140">
    <cfRule type="expression" dxfId="449" priority="124">
      <formula>$J131="►"</formula>
    </cfRule>
  </conditionalFormatting>
  <conditionalFormatting sqref="D164:I164 D143:I145 D167:I169">
    <cfRule type="expression" dxfId="448" priority="122" stopIfTrue="1">
      <formula>$B143=1</formula>
    </cfRule>
    <cfRule type="expression" dxfId="447" priority="123" stopIfTrue="1">
      <formula>OR($B143=0,$B143=2,$B143=3,$B143=4)</formula>
    </cfRule>
  </conditionalFormatting>
  <conditionalFormatting sqref="N164 N143:N145 N167:N169">
    <cfRule type="expression" dxfId="446" priority="121">
      <formula>$J143="►"</formula>
    </cfRule>
  </conditionalFormatting>
  <conditionalFormatting sqref="D170:I173 D179:I182 D176:I176">
    <cfRule type="expression" dxfId="445" priority="119" stopIfTrue="1">
      <formula>$B170=1</formula>
    </cfRule>
    <cfRule type="expression" dxfId="444" priority="120" stopIfTrue="1">
      <formula>OR($B170=0,$B170=2,$B170=3,$B170=4)</formula>
    </cfRule>
  </conditionalFormatting>
  <conditionalFormatting sqref="N170:N173 N179:N182 N176">
    <cfRule type="expression" dxfId="443" priority="118">
      <formula>$J170="►"</formula>
    </cfRule>
  </conditionalFormatting>
  <conditionalFormatting sqref="D183:I188 D190:I192">
    <cfRule type="expression" dxfId="442" priority="116" stopIfTrue="1">
      <formula>$B183=1</formula>
    </cfRule>
    <cfRule type="expression" dxfId="441" priority="117" stopIfTrue="1">
      <formula>OR($B183=0,$B183=2,$B183=3,$B183=4)</formula>
    </cfRule>
  </conditionalFormatting>
  <conditionalFormatting sqref="N183:N188 N190:N192">
    <cfRule type="expression" dxfId="440" priority="115">
      <formula>$J183="►"</formula>
    </cfRule>
  </conditionalFormatting>
  <conditionalFormatting sqref="D193:I201">
    <cfRule type="expression" dxfId="439" priority="113" stopIfTrue="1">
      <formula>$B193=1</formula>
    </cfRule>
    <cfRule type="expression" dxfId="438" priority="114" stopIfTrue="1">
      <formula>OR($B193=0,$B193=2,$B193=3,$B193=4)</formula>
    </cfRule>
  </conditionalFormatting>
  <conditionalFormatting sqref="N193:N201">
    <cfRule type="expression" dxfId="437" priority="112">
      <formula>$J193="►"</formula>
    </cfRule>
  </conditionalFormatting>
  <conditionalFormatting sqref="D202:I210">
    <cfRule type="expression" dxfId="436" priority="110" stopIfTrue="1">
      <formula>$B202=1</formula>
    </cfRule>
    <cfRule type="expression" dxfId="435" priority="111" stopIfTrue="1">
      <formula>OR($B202=0,$B202=2,$B202=3,$B202=4)</formula>
    </cfRule>
  </conditionalFormatting>
  <conditionalFormatting sqref="N202:N210">
    <cfRule type="expression" dxfId="434" priority="109">
      <formula>$J202="►"</formula>
    </cfRule>
  </conditionalFormatting>
  <conditionalFormatting sqref="D146:I154">
    <cfRule type="expression" dxfId="433" priority="71" stopIfTrue="1">
      <formula>$B146=1</formula>
    </cfRule>
    <cfRule type="expression" dxfId="432" priority="72" stopIfTrue="1">
      <formula>OR($B146=0,$B146=2,$B146=3,$B146=4)</formula>
    </cfRule>
  </conditionalFormatting>
  <conditionalFormatting sqref="N146:N154">
    <cfRule type="expression" dxfId="431" priority="70">
      <formula>$J146="►"</formula>
    </cfRule>
  </conditionalFormatting>
  <conditionalFormatting sqref="D155:I155">
    <cfRule type="expression" dxfId="430" priority="68" stopIfTrue="1">
      <formula>$B155=1</formula>
    </cfRule>
    <cfRule type="expression" dxfId="429" priority="69" stopIfTrue="1">
      <formula>OR($B155=0,$B155=2,$B155=3,$B155=4)</formula>
    </cfRule>
  </conditionalFormatting>
  <conditionalFormatting sqref="N155">
    <cfRule type="expression" dxfId="428" priority="67">
      <formula>$J155="►"</formula>
    </cfRule>
  </conditionalFormatting>
  <conditionalFormatting sqref="D132:I132">
    <cfRule type="expression" dxfId="427" priority="56" stopIfTrue="1">
      <formula>$B132=1</formula>
    </cfRule>
    <cfRule type="expression" dxfId="426" priority="57" stopIfTrue="1">
      <formula>OR($B132=0,$B132=2,$B132=3,$B132=4)</formula>
    </cfRule>
  </conditionalFormatting>
  <conditionalFormatting sqref="N132">
    <cfRule type="expression" dxfId="425" priority="55">
      <formula>$J132="►"</formula>
    </cfRule>
  </conditionalFormatting>
  <conditionalFormatting sqref="D142:I142">
    <cfRule type="expression" dxfId="424" priority="50" stopIfTrue="1">
      <formula>$B142=1</formula>
    </cfRule>
    <cfRule type="expression" dxfId="423" priority="51" stopIfTrue="1">
      <formula>OR($B142=0,$B142=2,$B142=3,$B142=4)</formula>
    </cfRule>
  </conditionalFormatting>
  <conditionalFormatting sqref="N142">
    <cfRule type="expression" dxfId="422" priority="49">
      <formula>$J142="►"</formula>
    </cfRule>
  </conditionalFormatting>
  <conditionalFormatting sqref="D177:I177">
    <cfRule type="expression" dxfId="421" priority="47" stopIfTrue="1">
      <formula>$B177=1</formula>
    </cfRule>
    <cfRule type="expression" dxfId="420" priority="48" stopIfTrue="1">
      <formula>OR($B177=0,$B177=2,$B177=3,$B177=4)</formula>
    </cfRule>
  </conditionalFormatting>
  <conditionalFormatting sqref="N177">
    <cfRule type="expression" dxfId="419" priority="46">
      <formula>$J177="►"</formula>
    </cfRule>
  </conditionalFormatting>
  <conditionalFormatting sqref="D178:I178">
    <cfRule type="expression" dxfId="418" priority="44" stopIfTrue="1">
      <formula>$B178=1</formula>
    </cfRule>
    <cfRule type="expression" dxfId="417" priority="45" stopIfTrue="1">
      <formula>OR($B178=0,$B178=2,$B178=3,$B178=4)</formula>
    </cfRule>
  </conditionalFormatting>
  <conditionalFormatting sqref="N178">
    <cfRule type="expression" dxfId="416" priority="43">
      <formula>$J178="►"</formula>
    </cfRule>
  </conditionalFormatting>
  <conditionalFormatting sqref="D174:I175">
    <cfRule type="expression" dxfId="415" priority="35" stopIfTrue="1">
      <formula>$B174=1</formula>
    </cfRule>
    <cfRule type="expression" dxfId="414" priority="36" stopIfTrue="1">
      <formula>OR($B174=0,$B174=2,$B174=3,$B174=4)</formula>
    </cfRule>
  </conditionalFormatting>
  <conditionalFormatting sqref="N174:N175">
    <cfRule type="expression" dxfId="413" priority="34">
      <formula>$J174="►"</formula>
    </cfRule>
  </conditionalFormatting>
  <conditionalFormatting sqref="D189:I189">
    <cfRule type="expression" dxfId="412" priority="32" stopIfTrue="1">
      <formula>$B189=1</formula>
    </cfRule>
    <cfRule type="expression" dxfId="411" priority="33" stopIfTrue="1">
      <formula>OR($B189=0,$B189=2,$B189=3,$B189=4)</formula>
    </cfRule>
  </conditionalFormatting>
  <conditionalFormatting sqref="N189">
    <cfRule type="expression" dxfId="410" priority="31">
      <formula>$J189="►"</formula>
    </cfRule>
  </conditionalFormatting>
  <conditionalFormatting sqref="D26:I27">
    <cfRule type="expression" dxfId="409" priority="29" stopIfTrue="1">
      <formula>$B26=1</formula>
    </cfRule>
    <cfRule type="expression" dxfId="408" priority="30" stopIfTrue="1">
      <formula>OR($B26=0,$B26=2,$B26=3,$B26=4)</formula>
    </cfRule>
  </conditionalFormatting>
  <conditionalFormatting sqref="N26:N27">
    <cfRule type="expression" dxfId="407" priority="28">
      <formula>$J26="►"</formula>
    </cfRule>
  </conditionalFormatting>
  <conditionalFormatting sqref="D111:I112">
    <cfRule type="expression" dxfId="406" priority="23" stopIfTrue="1">
      <formula>$B111=1</formula>
    </cfRule>
    <cfRule type="expression" dxfId="405" priority="24" stopIfTrue="1">
      <formula>OR($B111=0,$B111=2,$B111=3,$B111=4)</formula>
    </cfRule>
  </conditionalFormatting>
  <conditionalFormatting sqref="N111:N112">
    <cfRule type="expression" dxfId="404" priority="22">
      <formula>$J111="►"</formula>
    </cfRule>
  </conditionalFormatting>
  <conditionalFormatting sqref="D82:I83">
    <cfRule type="expression" dxfId="403" priority="20" stopIfTrue="1">
      <formula>$B82=1</formula>
    </cfRule>
    <cfRule type="expression" dxfId="402" priority="21" stopIfTrue="1">
      <formula>OR($B82=0,$B82=2,$B82=3,$B82=4)</formula>
    </cfRule>
  </conditionalFormatting>
  <conditionalFormatting sqref="N82:N83">
    <cfRule type="expression" dxfId="401" priority="19">
      <formula>$J82="►"</formula>
    </cfRule>
  </conditionalFormatting>
  <conditionalFormatting sqref="D98:I98 D100:I107">
    <cfRule type="expression" dxfId="400" priority="11" stopIfTrue="1">
      <formula>$B98=1</formula>
    </cfRule>
    <cfRule type="expression" dxfId="399" priority="12" stopIfTrue="1">
      <formula>OR($B98=0,$B98=2,$B98=3,$B98=4)</formula>
    </cfRule>
  </conditionalFormatting>
  <conditionalFormatting sqref="N98 N100:N107">
    <cfRule type="expression" dxfId="398" priority="10">
      <formula>$J98="►"</formula>
    </cfRule>
  </conditionalFormatting>
  <conditionalFormatting sqref="D108:I108">
    <cfRule type="expression" dxfId="397" priority="8" stopIfTrue="1">
      <formula>$B108=1</formula>
    </cfRule>
    <cfRule type="expression" dxfId="396" priority="9" stopIfTrue="1">
      <formula>OR($B108=0,$B108=2,$B108=3,$B108=4)</formula>
    </cfRule>
  </conditionalFormatting>
  <conditionalFormatting sqref="N108">
    <cfRule type="expression" dxfId="395" priority="7">
      <formula>$J108="►"</formula>
    </cfRule>
  </conditionalFormatting>
  <conditionalFormatting sqref="D99:I99">
    <cfRule type="expression" dxfId="394" priority="5" stopIfTrue="1">
      <formula>$B99=1</formula>
    </cfRule>
    <cfRule type="expression" dxfId="393" priority="6" stopIfTrue="1">
      <formula>OR($B99=0,$B99=2,$B99=3,$B99=4)</formula>
    </cfRule>
  </conditionalFormatting>
  <conditionalFormatting sqref="N99">
    <cfRule type="expression" dxfId="392" priority="4">
      <formula>$J99="►"</formula>
    </cfRule>
  </conditionalFormatting>
  <conditionalFormatting sqref="D165:I166">
    <cfRule type="expression" dxfId="391" priority="2" stopIfTrue="1">
      <formula>$B165=1</formula>
    </cfRule>
    <cfRule type="expression" dxfId="390" priority="3" stopIfTrue="1">
      <formula>OR($B165=0,$B165=2,$B165=3,$B165=4)</formula>
    </cfRule>
  </conditionalFormatting>
  <conditionalFormatting sqref="N165:N166">
    <cfRule type="expression" dxfId="389" priority="1">
      <formula>$J165="►"</formula>
    </cfRule>
  </conditionalFormatting>
  <dataValidations count="4">
    <dataValidation type="decimal" operator="greaterThan" allowBlank="1" showErrorMessage="1" error="Apenas números decimais maiores que zero." sqref="O14 Q14:Z14 Q16:Z230 O16:O230"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230"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230"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&amp;LPMv3.12&amp;R&amp;P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671" t="e">
        <f ca="1">IF(AUTOEVENTO="Manual",IF(EVENTOS!$F1&gt;0,"F",""),IF(AND(B1&gt;0,B1&lt;=MAX(CÁLCULO!$M$15:$M$231)),"F",""))</f>
        <v>#REF!</v>
      </c>
      <c r="B1" s="248" t="e">
        <f ca="1">OFFSET(B1,-1,0)+1</f>
        <v>#REF!</v>
      </c>
      <c r="C1" s="515" t="e">
        <f ca="1">IF(AUTOEVENTO="Manual",IF($B1&gt;0,OFFSET(EVENTOS!$D$15,$B1-$B$15,0),0),IF(B1&lt;=MAX(CÁLCULO!$M$15:$M$231),VLOOKUP($B1,CÁLCULO!$M$15:$N$231,2,FALSE),0))</f>
        <v>#REF!</v>
      </c>
      <c r="D1" s="555"/>
      <c r="E1" s="249"/>
      <c r="F1" t="e">
        <f ca="1">IF($C1=0,"",CONCATENATE($B1,". ",$C1))</f>
        <v>#REF!</v>
      </c>
      <c r="G1" s="554"/>
      <c r="H1" s="554"/>
      <c r="I1" s="554"/>
      <c r="J1" s="554"/>
      <c r="K1" s="554"/>
      <c r="L1" s="554"/>
      <c r="M1" s="554"/>
      <c r="N1" s="554"/>
      <c r="O1" s="554"/>
      <c r="P1" s="554"/>
      <c r="Q1" s="554"/>
      <c r="R1" s="554"/>
      <c r="S1" s="554"/>
      <c r="T1" s="554"/>
      <c r="U1" s="554"/>
      <c r="V1" s="554"/>
      <c r="W1" s="554"/>
      <c r="X1" s="554"/>
      <c r="Y1" s="554"/>
      <c r="Z1" s="554"/>
      <c r="AA1" s="554"/>
      <c r="AB1" s="554"/>
      <c r="AC1" s="554"/>
      <c r="AD1" s="554"/>
      <c r="AE1" s="554"/>
    </row>
    <row r="2" spans="1:31" ht="30" customHeight="1" x14ac:dyDescent="0.2">
      <c r="G2" s="82" t="s">
        <v>778</v>
      </c>
      <c r="AC2" s="806" t="s">
        <v>758</v>
      </c>
      <c r="AD2" s="807"/>
      <c r="AE2" s="808"/>
    </row>
    <row r="3" spans="1:31" ht="12.75" customHeight="1" x14ac:dyDescent="0.2">
      <c r="G3" s="82"/>
      <c r="AD3" s="484"/>
      <c r="AE3" s="484"/>
    </row>
    <row r="4" spans="1:31" ht="12.75" customHeight="1" x14ac:dyDescent="0.2">
      <c r="B4" s="731" t="s">
        <v>653</v>
      </c>
      <c r="C4" s="731"/>
      <c r="D4" s="731"/>
      <c r="G4" s="769" t="s">
        <v>651</v>
      </c>
      <c r="H4" s="769"/>
      <c r="I4" s="769"/>
      <c r="J4" s="769" t="s">
        <v>708</v>
      </c>
      <c r="K4" s="769"/>
      <c r="L4" s="769"/>
      <c r="M4" s="209" t="s">
        <v>759</v>
      </c>
      <c r="N4" s="213"/>
      <c r="P4" s="187"/>
      <c r="Q4" s="187"/>
      <c r="R4" s="187"/>
      <c r="U4" s="485"/>
      <c r="V4" s="187"/>
      <c r="W4" s="187"/>
      <c r="X4" s="187"/>
      <c r="Y4" s="187"/>
      <c r="AD4" s="484"/>
      <c r="AE4" s="486"/>
    </row>
    <row r="5" spans="1:31" ht="12.75" customHeight="1" x14ac:dyDescent="0.2">
      <c r="B5" s="728" t="str">
        <f>Import.Proponente</f>
        <v>PREFEITURA MUNICIPAL DE PASSOS/MG</v>
      </c>
      <c r="C5" s="728"/>
      <c r="D5" s="728"/>
      <c r="G5" s="767" t="str">
        <f>Import.CR</f>
        <v>0639.998-99</v>
      </c>
      <c r="H5" s="767"/>
      <c r="I5" s="767"/>
      <c r="J5" s="767" t="str">
        <f>Import.SICONV</f>
        <v>56000003291</v>
      </c>
      <c r="K5" s="767"/>
      <c r="L5" s="767"/>
      <c r="M5" s="780" t="str">
        <f>Import.Apelido</f>
        <v>AMPLIAÇÃO DO SISTEMA DE ESGOTAMENTO SANITÁRIO</v>
      </c>
      <c r="N5" s="781"/>
      <c r="O5" s="781"/>
      <c r="P5" s="781"/>
      <c r="Q5" s="781"/>
      <c r="R5" s="781"/>
      <c r="S5" s="781"/>
      <c r="T5" s="781"/>
      <c r="U5" s="781"/>
      <c r="V5" s="781"/>
      <c r="W5" s="781"/>
      <c r="X5" s="781"/>
      <c r="Y5" s="781"/>
      <c r="Z5" s="781"/>
      <c r="AA5" s="781"/>
      <c r="AB5" s="781"/>
      <c r="AC5" s="781"/>
      <c r="AD5" s="781"/>
      <c r="AE5" s="809"/>
    </row>
    <row r="6" spans="1:31" ht="14.25" customHeight="1" x14ac:dyDescent="0.25">
      <c r="B6" s="250" t="str" cm="1">
        <f t="array" aca="1" ref="B6" ca="1">IF(ACOMPANHAMENTO="BM","NO ACOMPANHAMENTO POR BM, UTILIZE A ABA CRONO",
  IF(MAX($B$14:$B$65)&lt;MAX(CÁLCULO!$M$15:$M$231),"ERRO: NÚMERO DE EVENTOS INSUFICIENTE, CLIQUE EM ATUALIZAR LINHAS",
  IF(ROUND(OFFSET(CRONO!$AG$111,0,-1),2)&lt;&gt;CRONO!$R$102,"ERRO: CRONOGRAMA NÃO FECHA 100%","")))</f>
        <v>NO ACOMPANHAMENTO POR BM, UTILIZE A ABA CRONO</v>
      </c>
    </row>
    <row r="7" spans="1:31" ht="15" customHeight="1" thickBot="1" x14ac:dyDescent="0.25">
      <c r="B7" s="523" t="str" cm="1">
        <f t="array" ref="B7">IF(AdmLocal="Automática","","1. Selecione o Título do Evento da Administração Local:")</f>
        <v>1. Selecione o Título do Evento da Administração Local:</v>
      </c>
    </row>
    <row r="8" spans="1:31" ht="13.5" thickBot="1" x14ac:dyDescent="0.25">
      <c r="A8" s="549" t="e">
        <f>MID(Import.EventoAdmLocal,1,SEARCH(".",Import.EventoAdmLocal)-1)</f>
        <v>#VALUE!</v>
      </c>
      <c r="B8" s="776"/>
      <c r="C8" s="777"/>
      <c r="D8" s="572"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9"/>
    </row>
    <row r="10" spans="1:31" ht="15" customHeight="1" x14ac:dyDescent="0.2">
      <c r="A10" s="549" t="e">
        <f>MATCH(VALUE(A8),CÁLCULO!$M$15:$M$231,0)-2</f>
        <v>#VALUE!</v>
      </c>
      <c r="B10" s="523"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90" t="s">
        <v>656</v>
      </c>
      <c r="C11" s="252"/>
      <c r="E11" s="253" t="str">
        <f ca="1">IF(E$12&gt;CÁLCULO.FrentesPreenchidas,"",OFFSET(CÁLCULO!$P$12,0,E$12))</f>
        <v/>
      </c>
      <c r="G11" s="253" t="str">
        <f ca="1">IF(G$12&gt;CÁLCULO.FrentesPreenchidas,"",OFFSET(CÁLCULO!$P$12,0,G$12))</f>
        <v/>
      </c>
      <c r="H11" s="253" t="str">
        <f ca="1">IF(H$12&gt;CÁLCULO.FrentesPreenchidas,"",OFFSET(CÁLCULO!$P$12,0,H$12))</f>
        <v/>
      </c>
      <c r="I11" s="253" t="str">
        <f ca="1">IF(I$12&gt;CÁLCULO.FrentesPreenchidas,"",OFFSET(CÁLCULO!$P$12,0,I$12))</f>
        <v/>
      </c>
      <c r="J11" s="253" t="str">
        <f ca="1">IF(J$12&gt;CÁLCULO.FrentesPreenchidas,"",OFFSET(CÁLCULO!$P$12,0,J$12))</f>
        <v/>
      </c>
      <c r="K11" s="253" t="str">
        <f ca="1">IF(K$12&gt;CÁLCULO.FrentesPreenchidas,"",OFFSET(CÁLCULO!$P$12,0,K$12))</f>
        <v/>
      </c>
      <c r="L11" s="253" t="str">
        <f ca="1">IF(L$12&gt;CÁLCULO.FrentesPreenchidas,"",OFFSET(CÁLCULO!$P$12,0,L$12))</f>
        <v/>
      </c>
      <c r="M11" s="253" t="str">
        <f ca="1">IF(M$12&gt;CÁLCULO.FrentesPreenchidas,"",OFFSET(CÁLCULO!$P$12,0,M$12))</f>
        <v/>
      </c>
      <c r="N11" s="253" t="str">
        <f ca="1">IF(N$12&gt;CÁLCULO.FrentesPreenchidas,"",OFFSET(CÁLCULO!$P$12,0,N$12))</f>
        <v/>
      </c>
      <c r="O11" s="253" t="str">
        <f ca="1">IF(O$12&gt;CÁLCULO.FrentesPreenchidas,"",OFFSET(CÁLCULO!$P$12,0,O$12))</f>
        <v/>
      </c>
      <c r="P11" s="253" t="str">
        <f ca="1">IF(P$12&gt;CÁLCULO.FrentesPreenchidas,"",OFFSET(CÁLCULO!$P$12,0,P$12))</f>
        <v/>
      </c>
      <c r="Q11" s="253" t="str">
        <f ca="1">IF(Q$12&gt;CÁLCULO.FrentesPreenchidas,"",OFFSET(CÁLCULO!$P$12,0,Q$12))</f>
        <v/>
      </c>
      <c r="R11" s="253" t="str">
        <f ca="1">IF(R$12&gt;CÁLCULO.FrentesPreenchidas,"",OFFSET(CÁLCULO!$P$12,0,R$12))</f>
        <v/>
      </c>
      <c r="S11" s="253" t="str">
        <f ca="1">IF(S$12&gt;CÁLCULO.FrentesPreenchidas,"",OFFSET(CÁLCULO!$P$12,0,S$12))</f>
        <v/>
      </c>
      <c r="T11" s="253" t="str">
        <f ca="1">IF(T$12&gt;CÁLCULO.FrentesPreenchidas,"",OFFSET(CÁLCULO!$P$12,0,T$12))</f>
        <v/>
      </c>
      <c r="U11" s="253" t="str">
        <f ca="1">IF(U$12&gt;CÁLCULO.FrentesPreenchidas,"",OFFSET(CÁLCULO!$P$12,0,U$12))</f>
        <v/>
      </c>
      <c r="V11" s="253" t="str">
        <f ca="1">IF(V$12&gt;CÁLCULO.FrentesPreenchidas,"",OFFSET(CÁLCULO!$P$12,0,V$12))</f>
        <v/>
      </c>
      <c r="W11" s="253" t="str">
        <f ca="1">IF(W$12&gt;CÁLCULO.FrentesPreenchidas,"",OFFSET(CÁLCULO!$P$12,0,W$12))</f>
        <v/>
      </c>
      <c r="X11" s="253" t="str">
        <f ca="1">IF(X$12&gt;CÁLCULO.FrentesPreenchidas,"",OFFSET(CÁLCULO!$P$12,0,X$12))</f>
        <v/>
      </c>
      <c r="Y11" s="253" t="str">
        <f ca="1">IF(Y$12&gt;CÁLCULO.FrentesPreenchidas,"",OFFSET(CÁLCULO!$P$12,0,Y$12))</f>
        <v/>
      </c>
      <c r="Z11" s="253" t="str">
        <f ca="1">IF(Z$12&gt;CÁLCULO.FrentesPreenchidas,"",OFFSET(CÁLCULO!$P$12,0,Z$12))</f>
        <v/>
      </c>
      <c r="AA11" s="253" t="str">
        <f ca="1">IF(AA$12&gt;CÁLCULO.FrentesPreenchidas,"",OFFSET(CÁLCULO!$P$12,0,AA$12))</f>
        <v/>
      </c>
      <c r="AB11" s="253" t="str">
        <f ca="1">IF(AB$12&gt;CÁLCULO.FrentesPreenchidas,"",OFFSET(CÁLCULO!$P$12,0,AB$12))</f>
        <v/>
      </c>
      <c r="AC11" s="253" t="str">
        <f ca="1">IF(AC$12&gt;CÁLCULO.FrentesPreenchidas,"",OFFSET(CÁLCULO!$P$12,0,AC$12))</f>
        <v/>
      </c>
      <c r="AD11" s="253" t="str">
        <f ca="1">IF(AD$12&gt;CÁLCULO.FrentesPreenchidas,"",OFFSET(CÁLCULO!$P$12,0,AD$12))</f>
        <v/>
      </c>
      <c r="AE11" s="253" t="str">
        <f ca="1">IF(AE$12&gt;CÁLCULO.FrentesPreenchidas,"",OFFSET(CÁLCULO!$P$12,0,AE$12))</f>
        <v/>
      </c>
    </row>
    <row r="12" spans="1:31" ht="12.75" customHeight="1" x14ac:dyDescent="0.2">
      <c r="A12" s="491" t="s">
        <v>661</v>
      </c>
      <c r="B12" s="803" t="s">
        <v>761</v>
      </c>
      <c r="C12" s="803" t="s">
        <v>779</v>
      </c>
      <c r="E12" s="254">
        <f ca="1">OFFSET(E12,0,-1)+1</f>
        <v>1</v>
      </c>
      <c r="G12" s="254">
        <f ca="1">OFFSET(G12,0,-1)+1</f>
        <v>1</v>
      </c>
      <c r="H12" s="254">
        <f ca="1">OFFSET(H12,0,-1)+1</f>
        <v>2</v>
      </c>
      <c r="I12" s="254">
        <f t="shared" ref="I12:AE12" ca="1" si="0">OFFSET(I12,0,-1)+1</f>
        <v>3</v>
      </c>
      <c r="J12" s="254">
        <f t="shared" ca="1" si="0"/>
        <v>4</v>
      </c>
      <c r="K12" s="254">
        <f t="shared" ca="1" si="0"/>
        <v>5</v>
      </c>
      <c r="L12" s="254">
        <f t="shared" ca="1" si="0"/>
        <v>6</v>
      </c>
      <c r="M12" s="254">
        <f t="shared" ca="1" si="0"/>
        <v>7</v>
      </c>
      <c r="N12" s="254">
        <f t="shared" ca="1" si="0"/>
        <v>8</v>
      </c>
      <c r="O12" s="254">
        <f t="shared" ca="1" si="0"/>
        <v>9</v>
      </c>
      <c r="P12" s="254">
        <f t="shared" ca="1" si="0"/>
        <v>10</v>
      </c>
      <c r="Q12" s="254">
        <f t="shared" ca="1" si="0"/>
        <v>11</v>
      </c>
      <c r="R12" s="254">
        <f t="shared" ca="1" si="0"/>
        <v>12</v>
      </c>
      <c r="S12" s="254">
        <f t="shared" ca="1" si="0"/>
        <v>13</v>
      </c>
      <c r="T12" s="254">
        <f t="shared" ca="1" si="0"/>
        <v>14</v>
      </c>
      <c r="U12" s="254">
        <f t="shared" ca="1" si="0"/>
        <v>15</v>
      </c>
      <c r="V12" s="254">
        <f t="shared" ca="1" si="0"/>
        <v>16</v>
      </c>
      <c r="W12" s="254">
        <f t="shared" ca="1" si="0"/>
        <v>17</v>
      </c>
      <c r="X12" s="254">
        <f t="shared" ca="1" si="0"/>
        <v>18</v>
      </c>
      <c r="Y12" s="254">
        <f t="shared" ca="1" si="0"/>
        <v>19</v>
      </c>
      <c r="Z12" s="254">
        <f t="shared" ca="1" si="0"/>
        <v>20</v>
      </c>
      <c r="AA12" s="254">
        <f t="shared" ca="1" si="0"/>
        <v>21</v>
      </c>
      <c r="AB12" s="254">
        <f t="shared" ca="1" si="0"/>
        <v>22</v>
      </c>
      <c r="AC12" s="254">
        <f t="shared" ca="1" si="0"/>
        <v>23</v>
      </c>
      <c r="AD12" s="254">
        <f t="shared" ca="1" si="0"/>
        <v>24</v>
      </c>
      <c r="AE12" s="254">
        <f t="shared" ca="1" si="0"/>
        <v>25</v>
      </c>
    </row>
    <row r="13" spans="1:31" x14ac:dyDescent="0.2">
      <c r="A13" t="s">
        <v>656</v>
      </c>
      <c r="B13" s="803"/>
      <c r="C13" s="803"/>
      <c r="E13" s="255"/>
      <c r="G13" s="256"/>
      <c r="H13" s="255"/>
      <c r="I13" s="255"/>
      <c r="J13" s="255"/>
      <c r="K13" s="255"/>
      <c r="L13" s="255"/>
      <c r="M13" s="577" t="str">
        <f ca="1">IF(CRONOPLE.Erro="ERRO: CRONOGRAMA NÃO FECHA 100%","Informe abaixo o NÚMERO DO PERÍODO em que os eventos serão concluídos","")</f>
        <v/>
      </c>
      <c r="N13" s="255"/>
      <c r="O13" s="255"/>
      <c r="P13" s="255"/>
      <c r="Q13" s="255"/>
      <c r="R13" s="255"/>
      <c r="S13" s="255"/>
      <c r="T13" s="255"/>
      <c r="U13" s="255"/>
      <c r="V13" s="255"/>
      <c r="W13" s="255"/>
      <c r="X13" s="255"/>
      <c r="Y13" s="255"/>
      <c r="Z13" s="255"/>
      <c r="AA13" s="255"/>
      <c r="AB13" s="255"/>
      <c r="AC13" s="255"/>
      <c r="AD13" s="255"/>
      <c r="AE13" s="257"/>
    </row>
    <row r="14" spans="1:31" ht="5.0999999999999996" customHeight="1" x14ac:dyDescent="0.2">
      <c r="A14" s="7" t="s">
        <v>537</v>
      </c>
    </row>
    <row r="15" spans="1:31" x14ac:dyDescent="0.2">
      <c r="A15" s="7" t="str">
        <f ca="1">IF(AUTOEVENTO="Manual",IF(EVENTOS!$F15&gt;0,"F",""),IF(AND(B15&gt;0,B15&lt;=MAX(CÁLCULO!$M$15:$M$231)),"F",""))</f>
        <v/>
      </c>
      <c r="B15" s="258">
        <f>EVENTOS!$C$15</f>
        <v>0</v>
      </c>
      <c r="C15" s="259" t="str">
        <f>EVENTOS!$D$15</f>
        <v/>
      </c>
      <c r="D15" s="555"/>
      <c r="E15" s="260"/>
      <c r="F15" t="str">
        <f>IF($C15="","",CONCATENATE($B15,". ",$C15))</f>
        <v/>
      </c>
      <c r="G15" s="261"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60"/>
      <c r="I15" s="260"/>
      <c r="J15" s="260"/>
      <c r="K15" s="260"/>
      <c r="L15" s="260"/>
      <c r="M15" s="260"/>
      <c r="N15" s="260"/>
      <c r="O15" s="260"/>
      <c r="P15" s="260"/>
      <c r="Q15" s="260"/>
      <c r="R15" s="260"/>
      <c r="S15" s="260"/>
      <c r="T15" s="260"/>
      <c r="U15" s="260"/>
      <c r="V15" s="260"/>
      <c r="W15" s="260"/>
      <c r="X15" s="260"/>
      <c r="Y15" s="260"/>
      <c r="Z15" s="260"/>
      <c r="AA15" s="260"/>
      <c r="AB15" s="260"/>
      <c r="AC15" s="260"/>
      <c r="AD15" s="260"/>
      <c r="AE15" s="262"/>
    </row>
    <row r="16" spans="1:31" s="675" customFormat="1" x14ac:dyDescent="0.2">
      <c r="A16" s="671" t="str">
        <f ca="1">IF(AUTOEVENTO="Manual",IF(EVENTOS!$F16&gt;0,"F",""),IF(AND(B16&gt;0,B16&lt;=MAX(CÁLCULO!$M$15:$M$231)),"F",""))</f>
        <v>F</v>
      </c>
      <c r="B16" s="248">
        <f t="shared" ref="B16:B64" ca="1" si="1">OFFSET(B16,-1,0)+1</f>
        <v>1</v>
      </c>
      <c r="C16" s="673" t="str">
        <f ca="1">IF(AUTOEVENTO="Manual",IF($B16&gt;0,OFFSET(EVENTOS!$D$15,$B16-$B$15,0),0),IF(B16&lt;=MAX(CÁLCULO!$M$15:$M$231),VLOOKUP($B16,CÁLCULO!$M$15:$N$231,2,FALSE),0))</f>
        <v>ADMINISTRAÇÃO LOCAL - CANTEIRO DE OBRAS</v>
      </c>
      <c r="D16" s="555"/>
      <c r="E16" s="249"/>
      <c r="F16" s="675" t="str">
        <f t="shared" ref="F16:F64" ca="1" si="2">IF($C16=0,"",CONCATENATE($B16,". ",$C16))</f>
        <v>1. ADMINISTRAÇÃO LOCAL - CANTEIRO DE OBRAS</v>
      </c>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row>
    <row r="17" spans="1:31" s="675" customFormat="1" x14ac:dyDescent="0.2">
      <c r="A17" s="671" t="str">
        <f ca="1">IF(AUTOEVENTO="Manual",IF(EVENTOS!$F17&gt;0,"F",""),IF(AND(B17&gt;0,B17&lt;=MAX(CÁLCULO!$M$15:$M$231)),"F",""))</f>
        <v>F</v>
      </c>
      <c r="B17" s="248">
        <f t="shared" ca="1" si="1"/>
        <v>2</v>
      </c>
      <c r="C17" s="673" t="str">
        <f ca="1">IF(AUTOEVENTO="Manual",IF($B17&gt;0,OFFSET(EVENTOS!$D$15,$B17-$B$15,0),0),IF(B17&lt;=MAX(CÁLCULO!$M$15:$M$231),VLOOKUP($B17,CÁLCULO!$M$15:$N$231,2,FALSE),0))</f>
        <v>ASSENTAMENTO LINHA DE RECALQUE</v>
      </c>
      <c r="D17" s="555"/>
      <c r="E17" s="249"/>
      <c r="F17" s="675" t="str">
        <f t="shared" ca="1" si="2"/>
        <v>2. ASSENTAMENTO LINHA DE RECALQUE</v>
      </c>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row>
    <row r="18" spans="1:31" s="675" customFormat="1" x14ac:dyDescent="0.2">
      <c r="A18" s="671" t="str">
        <f ca="1">IF(AUTOEVENTO="Manual",IF(EVENTOS!$F18&gt;0,"F",""),IF(AND(B18&gt;0,B18&lt;=MAX(CÁLCULO!$M$15:$M$231)),"F",""))</f>
        <v>F</v>
      </c>
      <c r="B18" s="248">
        <f t="shared" ca="1" si="1"/>
        <v>3</v>
      </c>
      <c r="C18" s="673" t="str">
        <f ca="1">IF(AUTOEVENTO="Manual",IF($B18&gt;0,OFFSET(EVENTOS!$D$15,$B18-$B$15,0),0),IF(B18&lt;=MAX(CÁLCULO!$M$15:$M$231),VLOOKUP($B18,CÁLCULO!$M$15:$N$231,2,FALSE),0))</f>
        <v>BLOCOS DE ANCORAGEM</v>
      </c>
      <c r="D18" s="555"/>
      <c r="E18" s="249"/>
      <c r="F18" s="675" t="str">
        <f t="shared" ca="1" si="2"/>
        <v>3. BLOCOS DE ANCORAGEM</v>
      </c>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row>
    <row r="19" spans="1:31" s="675" customFormat="1" x14ac:dyDescent="0.2">
      <c r="A19" s="671" t="str">
        <f ca="1">IF(AUTOEVENTO="Manual",IF(EVENTOS!$F19&gt;0,"F",""),IF(AND(B19&gt;0,B19&lt;=MAX(CÁLCULO!$M$15:$M$231)),"F",""))</f>
        <v>F</v>
      </c>
      <c r="B19" s="248">
        <f t="shared" ca="1" si="1"/>
        <v>4</v>
      </c>
      <c r="C19" s="673" t="str">
        <f ca="1">IF(AUTOEVENTO="Manual",IF($B19&gt;0,OFFSET(EVENTOS!$D$15,$B19-$B$15,0),0),IF(B19&lt;=MAX(CÁLCULO!$M$15:$M$231),VLOOKUP($B19,CÁLCULO!$M$15:$N$231,2,FALSE),0))</f>
        <v>TRAVESSIA RODOVIA MG-050</v>
      </c>
      <c r="D19" s="555"/>
      <c r="E19" s="249"/>
      <c r="F19" s="675" t="str">
        <f t="shared" ca="1" si="2"/>
        <v>4. TRAVESSIA RODOVIA MG-050</v>
      </c>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row>
    <row r="20" spans="1:31" s="675" customFormat="1" x14ac:dyDescent="0.2">
      <c r="A20" s="671" t="str">
        <f ca="1">IF(AUTOEVENTO="Manual",IF(EVENTOS!$F20&gt;0,"F",""),IF(AND(B20&gt;0,B20&lt;=MAX(CÁLCULO!$M$15:$M$231)),"F",""))</f>
        <v>F</v>
      </c>
      <c r="B20" s="248">
        <f t="shared" ca="1" si="1"/>
        <v>5</v>
      </c>
      <c r="C20" s="673" t="str">
        <f ca="1">IF(AUTOEVENTO="Manual",IF($B20&gt;0,OFFSET(EVENTOS!$D$15,$B20-$B$15,0),0),IF(B20&lt;=MAX(CÁLCULO!$M$15:$M$231),VLOOKUP($B20,CÁLCULO!$M$15:$N$231,2,FALSE),0))</f>
        <v>POÇO DE VISITA PARA PROTEÇÃO VENTOSAS E DESCARGAS</v>
      </c>
      <c r="D20" s="555"/>
      <c r="E20" s="249"/>
      <c r="F20" s="675" t="str">
        <f t="shared" ca="1" si="2"/>
        <v>5. POÇO DE VISITA PARA PROTEÇÃO VENTOSAS E DESCARGAS</v>
      </c>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row>
    <row r="21" spans="1:31" s="675" customFormat="1" x14ac:dyDescent="0.2">
      <c r="A21" s="671" t="str">
        <f ca="1">IF(AUTOEVENTO="Manual",IF(EVENTOS!$F21&gt;0,"F",""),IF(AND(B21&gt;0,B21&lt;=MAX(CÁLCULO!$M$15:$M$231)),"F",""))</f>
        <v>F</v>
      </c>
      <c r="B21" s="248">
        <f t="shared" ca="1" si="1"/>
        <v>6</v>
      </c>
      <c r="C21" s="673" t="str">
        <f ca="1">IF(AUTOEVENTO="Manual",IF($B21&gt;0,OFFSET(EVENTOS!$D$15,$B21-$B$15,0),0),IF(B21&lt;=MAX(CÁLCULO!$M$15:$M$231),VLOOKUP($B21,CÁLCULO!$M$15:$N$231,2,FALSE),0))</f>
        <v>BY-PASS</v>
      </c>
      <c r="D21" s="555"/>
      <c r="E21" s="249"/>
      <c r="F21" s="675" t="str">
        <f t="shared" ca="1" si="2"/>
        <v>6. BY-PASS</v>
      </c>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row>
    <row r="22" spans="1:31" s="675" customFormat="1" x14ac:dyDescent="0.2">
      <c r="A22" s="671" t="str">
        <f ca="1">IF(AUTOEVENTO="Manual",IF(EVENTOS!$F22&gt;0,"F",""),IF(AND(B22&gt;0,B22&lt;=MAX(CÁLCULO!$M$15:$M$231)),"F",""))</f>
        <v>F</v>
      </c>
      <c r="B22" s="248">
        <f t="shared" ca="1" si="1"/>
        <v>7</v>
      </c>
      <c r="C22" s="673" t="str">
        <f ca="1">IF(AUTOEVENTO="Manual",IF($B22&gt;0,OFFSET(EVENTOS!$D$15,$B22-$B$15,0),0),IF(B22&lt;=MAX(CÁLCULO!$M$15:$M$231),VLOOKUP($B22,CÁLCULO!$M$15:$N$231,2,FALSE),0))</f>
        <v>LINHA DE RECALQUE INCLUI TRAVESSIA - MATERIAIS</v>
      </c>
      <c r="D22" s="555"/>
      <c r="E22" s="249"/>
      <c r="F22" s="675" t="str">
        <f t="shared" ca="1" si="2"/>
        <v>7. LINHA DE RECALQUE INCLUI TRAVESSIA - MATERIAIS</v>
      </c>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row>
    <row r="23" spans="1:31" s="675" customFormat="1" x14ac:dyDescent="0.2">
      <c r="A23" s="671" t="str">
        <f ca="1">IF(AUTOEVENTO="Manual",IF(EVENTOS!$F23&gt;0,"F",""),IF(AND(B23&gt;0,B23&lt;=MAX(CÁLCULO!$M$15:$M$231)),"F",""))</f>
        <v>F</v>
      </c>
      <c r="B23" s="248">
        <f t="shared" ca="1" si="1"/>
        <v>8</v>
      </c>
      <c r="C23" s="673" t="str">
        <f ca="1">IF(AUTOEVENTO="Manual",IF($B23&gt;0,OFFSET(EVENTOS!$D$15,$B23-$B$15,0),0),IF(B23&lt;=MAX(CÁLCULO!$M$15:$M$231),VLOOKUP($B23,CÁLCULO!$M$15:$N$231,2,FALSE),0))</f>
        <v xml:space="preserve">TRAVESSIA RODOVIA MG-050 - MATERIAIS </v>
      </c>
      <c r="D23" s="555"/>
      <c r="E23" s="249"/>
      <c r="F23" s="675" t="str">
        <f t="shared" ca="1" si="2"/>
        <v xml:space="preserve">8. TRAVESSIA RODOVIA MG-050 - MATERIAIS </v>
      </c>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row>
    <row r="24" spans="1:31" s="675" customFormat="1" x14ac:dyDescent="0.2">
      <c r="A24" s="671" t="str">
        <f ca="1">IF(AUTOEVENTO="Manual",IF(EVENTOS!$F24&gt;0,"F",""),IF(AND(B24&gt;0,B24&lt;=MAX(CÁLCULO!$M$15:$M$231)),"F",""))</f>
        <v>F</v>
      </c>
      <c r="B24" s="248">
        <f t="shared" ca="1" si="1"/>
        <v>9</v>
      </c>
      <c r="C24" s="673" t="str">
        <f ca="1">IF(AUTOEVENTO="Manual",IF($B24&gt;0,OFFSET(EVENTOS!$D$15,$B24-$B$15,0),0),IF(B24&lt;=MAX(CÁLCULO!$M$15:$M$231),VLOOKUP($B24,CÁLCULO!$M$15:$N$231,2,FALSE),0))</f>
        <v>BY-PASS - MATERIAIS</v>
      </c>
      <c r="D24" s="555"/>
      <c r="E24" s="249"/>
      <c r="F24" s="675" t="str">
        <f t="shared" ca="1" si="2"/>
        <v>9. BY-PASS - MATERIAIS</v>
      </c>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row>
    <row r="25" spans="1:31" s="675" customFormat="1" x14ac:dyDescent="0.2">
      <c r="A25" s="671" t="str">
        <f ca="1">IF(AUTOEVENTO="Manual",IF(EVENTOS!$F25&gt;0,"F",""),IF(AND(B25&gt;0,B25&lt;=MAX(CÁLCULO!$M$15:$M$231)),"F",""))</f>
        <v>F</v>
      </c>
      <c r="B25" s="248">
        <f t="shared" ca="1" si="1"/>
        <v>10</v>
      </c>
      <c r="C25" s="673" t="str">
        <f ca="1">IF(AUTOEVENTO="Manual",IF($B25&gt;0,OFFSET(EVENTOS!$D$15,$B25-$B$15,0),0),IF(B25&lt;=MAX(CÁLCULO!$M$15:$M$231),VLOOKUP($B25,CÁLCULO!$M$15:$N$231,2,FALSE),0))</f>
        <v>SERVIÇOS PRELIMINARES</v>
      </c>
      <c r="D25" s="555"/>
      <c r="E25" s="249"/>
      <c r="F25" s="675" t="str">
        <f t="shared" ca="1" si="2"/>
        <v>10. SERVIÇOS PRELIMINARES</v>
      </c>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row>
    <row r="26" spans="1:31" s="675" customFormat="1" x14ac:dyDescent="0.2">
      <c r="A26" s="671" t="str">
        <f ca="1">IF(AUTOEVENTO="Manual",IF(EVENTOS!$F26&gt;0,"F",""),IF(AND(B26&gt;0,B26&lt;=MAX(CÁLCULO!$M$15:$M$231)),"F",""))</f>
        <v>F</v>
      </c>
      <c r="B26" s="248">
        <f t="shared" ca="1" si="1"/>
        <v>11</v>
      </c>
      <c r="C26" s="673" t="str">
        <f ca="1">IF(AUTOEVENTO="Manual",IF($B26&gt;0,OFFSET(EVENTOS!$D$15,$B26-$B$15,0),0),IF(B26&lt;=MAX(CÁLCULO!$M$15:$M$231),VLOOKUP($B26,CÁLCULO!$M$15:$N$231,2,FALSE),0))</f>
        <v>MOVIMENTO DE TERRA</v>
      </c>
      <c r="D26" s="555"/>
      <c r="E26" s="249"/>
      <c r="F26" s="675" t="str">
        <f t="shared" ca="1" si="2"/>
        <v>11. MOVIMENTO DE TERRA</v>
      </c>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row>
    <row r="27" spans="1:31" s="675" customFormat="1" x14ac:dyDescent="0.2">
      <c r="A27" s="671" t="str">
        <f ca="1">IF(AUTOEVENTO="Manual",IF(EVENTOS!$F27&gt;0,"F",""),IF(AND(B27&gt;0,B27&lt;=MAX(CÁLCULO!$M$15:$M$231)),"F",""))</f>
        <v>F</v>
      </c>
      <c r="B27" s="248">
        <f t="shared" ca="1" si="1"/>
        <v>12</v>
      </c>
      <c r="C27" s="673" t="str">
        <f ca="1">IF(AUTOEVENTO="Manual",IF($B27&gt;0,OFFSET(EVENTOS!$D$15,$B27-$B$15,0),0),IF(B27&lt;=MAX(CÁLCULO!$M$15:$M$231),VLOOKUP($B27,CÁLCULO!$M$15:$N$231,2,FALSE),0))</f>
        <v>ESCORAMENTO, ESGOTAMENTO E DRENAGEM</v>
      </c>
      <c r="D27" s="555"/>
      <c r="E27" s="249"/>
      <c r="F27" s="675" t="str">
        <f t="shared" ca="1" si="2"/>
        <v>12. ESCORAMENTO, ESGOTAMENTO E DRENAGEM</v>
      </c>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row>
    <row r="28" spans="1:31" s="675" customFormat="1" x14ac:dyDescent="0.2">
      <c r="A28" s="671" t="str">
        <f ca="1">IF(AUTOEVENTO="Manual",IF(EVENTOS!$F28&gt;0,"F",""),IF(AND(B28&gt;0,B28&lt;=MAX(CÁLCULO!$M$15:$M$231)),"F",""))</f>
        <v>F</v>
      </c>
      <c r="B28" s="248">
        <f t="shared" ca="1" si="1"/>
        <v>13</v>
      </c>
      <c r="C28" s="673" t="str">
        <f ca="1">IF(AUTOEVENTO="Manual",IF($B28&gt;0,OFFSET(EVENTOS!$D$15,$B28-$B$15,0),0),IF(B28&lt;=MAX(CÁLCULO!$M$15:$M$231),VLOOKUP($B28,CÁLCULO!$M$15:$N$231,2,FALSE),0))</f>
        <v>ASSENTAMENTOS</v>
      </c>
      <c r="D28" s="555"/>
      <c r="E28" s="249"/>
      <c r="F28" s="675" t="str">
        <f t="shared" ca="1" si="2"/>
        <v>13. ASSENTAMENTOS</v>
      </c>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row>
    <row r="29" spans="1:31" s="675" customFormat="1" x14ac:dyDescent="0.2">
      <c r="A29" s="671" t="str">
        <f ca="1">IF(AUTOEVENTO="Manual",IF(EVENTOS!$F29&gt;0,"F",""),IF(AND(B29&gt;0,B29&lt;=MAX(CÁLCULO!$M$15:$M$231)),"F",""))</f>
        <v>F</v>
      </c>
      <c r="B29" s="248">
        <f t="shared" ca="1" si="1"/>
        <v>14</v>
      </c>
      <c r="C29" s="673" t="str">
        <f ca="1">IF(AUTOEVENTO="Manual",IF($B29&gt;0,OFFSET(EVENTOS!$D$15,$B29-$B$15,0),0),IF(B29&lt;=MAX(CÁLCULO!$M$15:$M$231),VLOOKUP($B29,CÁLCULO!$M$15:$N$231,2,FALSE),0))</f>
        <v>POÇO DE VISITA</v>
      </c>
      <c r="D29" s="555"/>
      <c r="E29" s="249"/>
      <c r="F29" s="675" t="str">
        <f t="shared" ca="1" si="2"/>
        <v>14. POÇO DE VISITA</v>
      </c>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row>
    <row r="30" spans="1:31" s="675" customFormat="1" x14ac:dyDescent="0.2">
      <c r="A30" s="671" t="str">
        <f ca="1">IF(AUTOEVENTO="Manual",IF(EVENTOS!$F30&gt;0,"F",""),IF(AND(B30&gt;0,B30&lt;=MAX(CÁLCULO!$M$15:$M$231)),"F",""))</f>
        <v>F</v>
      </c>
      <c r="B30" s="248">
        <f t="shared" ca="1" si="1"/>
        <v>15</v>
      </c>
      <c r="C30" s="673" t="str">
        <f ca="1">IF(AUTOEVENTO="Manual",IF($B30&gt;0,OFFSET(EVENTOS!$D$15,$B30-$B$15,0),0),IF(B30&lt;=MAX(CÁLCULO!$M$15:$M$231),VLOOKUP($B30,CÁLCULO!$M$15:$N$231,2,FALSE),0))</f>
        <v>EMISSÁRIO DE ESGOTO - MATERIAIS</v>
      </c>
      <c r="D30" s="555"/>
      <c r="E30" s="249"/>
      <c r="F30" s="675" t="str">
        <f t="shared" ca="1" si="2"/>
        <v>15. EMISSÁRIO DE ESGOTO - MATERIAIS</v>
      </c>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row>
    <row r="31" spans="1:31" s="675" customFormat="1" x14ac:dyDescent="0.2">
      <c r="A31" s="671" t="str">
        <f ca="1">IF(AUTOEVENTO="Manual",IF(EVENTOS!$F31&gt;0,"F",""),IF(AND(B31&gt;0,B31&lt;=MAX(CÁLCULO!$M$15:$M$231)),"F",""))</f>
        <v>F</v>
      </c>
      <c r="B31" s="248">
        <f t="shared" ca="1" si="1"/>
        <v>16</v>
      </c>
      <c r="C31" s="673" t="str">
        <f ca="1">IF(AUTOEVENTO="Manual",IF($B31&gt;0,OFFSET(EVENTOS!$D$15,$B31-$B$15,0),0),IF(B31&lt;=MAX(CÁLCULO!$M$15:$M$231),VLOOKUP($B31,CÁLCULO!$M$15:$N$231,2,FALSE),0))</f>
        <v>ELEVATÓRIA DE ESGOTO - MATERIAIS</v>
      </c>
      <c r="D31" s="555"/>
      <c r="E31" s="249"/>
      <c r="F31" s="675" t="str">
        <f t="shared" ca="1" si="2"/>
        <v>16. ELEVATÓRIA DE ESGOTO - MATERIAIS</v>
      </c>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row>
    <row r="32" spans="1:31" s="675" customFormat="1" x14ac:dyDescent="0.2">
      <c r="A32" s="671" t="str">
        <f ca="1">IF(AUTOEVENTO="Manual",IF(EVENTOS!$F32&gt;0,"F",""),IF(AND(B32&gt;0,B32&lt;=MAX(CÁLCULO!$M$15:$M$231)),"F",""))</f>
        <v>F</v>
      </c>
      <c r="B32" s="248">
        <f t="shared" ca="1" si="1"/>
        <v>17</v>
      </c>
      <c r="C32" s="673" t="str">
        <f ca="1">IF(AUTOEVENTO="Manual",IF($B32&gt;0,OFFSET(EVENTOS!$D$15,$B32-$B$15,0),0),IF(B32&lt;=MAX(CÁLCULO!$M$15:$M$231),VLOOKUP($B32,CÁLCULO!$M$15:$N$231,2,FALSE),0))</f>
        <v>SERVIÇOS PRELIMINARES</v>
      </c>
      <c r="D32" s="555"/>
      <c r="E32" s="249"/>
      <c r="F32" s="675" t="str">
        <f t="shared" ca="1" si="2"/>
        <v>17. SERVIÇOS PRELIMINARES</v>
      </c>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row>
    <row r="33" spans="1:31" s="675" customFormat="1" x14ac:dyDescent="0.2">
      <c r="A33" s="671" t="str">
        <f ca="1">IF(AUTOEVENTO="Manual",IF(EVENTOS!$F33&gt;0,"F",""),IF(AND(B33&gt;0,B33&lt;=MAX(CÁLCULO!$M$15:$M$231)),"F",""))</f>
        <v>F</v>
      </c>
      <c r="B33" s="248">
        <f t="shared" ca="1" si="1"/>
        <v>18</v>
      </c>
      <c r="C33" s="673" t="str">
        <f ca="1">IF(AUTOEVENTO="Manual",IF($B33&gt;0,OFFSET(EVENTOS!$D$15,$B33-$B$15,0),0),IF(B33&lt;=MAX(CÁLCULO!$M$15:$M$231),VLOOKUP($B33,CÁLCULO!$M$15:$N$231,2,FALSE),0))</f>
        <v>FUNDAÇÃO</v>
      </c>
      <c r="D33" s="555"/>
      <c r="E33" s="249"/>
      <c r="F33" s="675" t="str">
        <f t="shared" ca="1" si="2"/>
        <v>18. FUNDAÇÃO</v>
      </c>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row>
    <row r="34" spans="1:31" s="675" customFormat="1" x14ac:dyDescent="0.2">
      <c r="A34" s="671" t="str">
        <f ca="1">IF(AUTOEVENTO="Manual",IF(EVENTOS!$F34&gt;0,"F",""),IF(AND(B34&gt;0,B34&lt;=MAX(CÁLCULO!$M$15:$M$231)),"F",""))</f>
        <v>F</v>
      </c>
      <c r="B34" s="248">
        <f t="shared" ca="1" si="1"/>
        <v>19</v>
      </c>
      <c r="C34" s="673" t="str">
        <f ca="1">IF(AUTOEVENTO="Manual",IF($B34&gt;0,OFFSET(EVENTOS!$D$15,$B34-$B$15,0),0),IF(B34&lt;=MAX(CÁLCULO!$M$15:$M$231),VLOOKUP($B34,CÁLCULO!$M$15:$N$231,2,FALSE),0))</f>
        <v>PISO</v>
      </c>
      <c r="D34" s="555"/>
      <c r="E34" s="249"/>
      <c r="F34" s="675" t="str">
        <f t="shared" ca="1" si="2"/>
        <v>19. PISO</v>
      </c>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row>
    <row r="35" spans="1:31" s="675" customFormat="1" x14ac:dyDescent="0.2">
      <c r="A35" s="671" t="str">
        <f ca="1">IF(AUTOEVENTO="Manual",IF(EVENTOS!$F35&gt;0,"F",""),IF(AND(B35&gt;0,B35&lt;=MAX(CÁLCULO!$M$15:$M$231)),"F",""))</f>
        <v>F</v>
      </c>
      <c r="B35" s="248">
        <f t="shared" ca="1" si="1"/>
        <v>20</v>
      </c>
      <c r="C35" s="673" t="str">
        <f ca="1">IF(AUTOEVENTO="Manual",IF($B35&gt;0,OFFSET(EVENTOS!$D$15,$B35-$B$15,0),0),IF(B35&lt;=MAX(CÁLCULO!$M$15:$M$231),VLOOKUP($B35,CÁLCULO!$M$15:$N$231,2,FALSE),0))</f>
        <v>ESTRUTURA</v>
      </c>
      <c r="D35" s="555"/>
      <c r="E35" s="249"/>
      <c r="F35" s="675" t="str">
        <f t="shared" ca="1" si="2"/>
        <v>20. ESTRUTURA</v>
      </c>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row>
    <row r="36" spans="1:31" s="675" customFormat="1" x14ac:dyDescent="0.2">
      <c r="A36" s="671" t="str">
        <f ca="1">IF(AUTOEVENTO="Manual",IF(EVENTOS!$F36&gt;0,"F",""),IF(AND(B36&gt;0,B36&lt;=MAX(CÁLCULO!$M$15:$M$231)),"F",""))</f>
        <v>F</v>
      </c>
      <c r="B36" s="248">
        <f t="shared" ca="1" si="1"/>
        <v>21</v>
      </c>
      <c r="C36" s="673" t="str">
        <f ca="1">IF(AUTOEVENTO="Manual",IF($B36&gt;0,OFFSET(EVENTOS!$D$15,$B36-$B$15,0),0),IF(B36&lt;=MAX(CÁLCULO!$M$15:$M$231),VLOOKUP($B36,CÁLCULO!$M$15:$N$231,2,FALSE),0))</f>
        <v>PAREDE DE CONTENÇÃO ARMADA</v>
      </c>
      <c r="D36" s="555"/>
      <c r="E36" s="249"/>
      <c r="F36" s="675" t="str">
        <f t="shared" ca="1" si="2"/>
        <v>21. PAREDE DE CONTENÇÃO ARMADA</v>
      </c>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row>
    <row r="37" spans="1:31" s="675" customFormat="1" x14ac:dyDescent="0.2">
      <c r="A37" s="671" t="str">
        <f ca="1">IF(AUTOEVENTO="Manual",IF(EVENTOS!$F37&gt;0,"F",""),IF(AND(B37&gt;0,B37&lt;=MAX(CÁLCULO!$M$15:$M$231)),"F",""))</f>
        <v>F</v>
      </c>
      <c r="B37" s="248">
        <f t="shared" ca="1" si="1"/>
        <v>22</v>
      </c>
      <c r="C37" s="673" t="str">
        <f ca="1">IF(AUTOEVENTO="Manual",IF($B37&gt;0,OFFSET(EVENTOS!$D$15,$B37-$B$15,0),0),IF(B37&lt;=MAX(CÁLCULO!$M$15:$M$231),VLOOKUP($B37,CÁLCULO!$M$15:$N$231,2,FALSE),0))</f>
        <v>LAJE COBERTURA</v>
      </c>
      <c r="D37" s="555"/>
      <c r="E37" s="249"/>
      <c r="F37" s="675" t="str">
        <f t="shared" ca="1" si="2"/>
        <v>22. LAJE COBERTURA</v>
      </c>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row>
    <row r="38" spans="1:31" s="675" customFormat="1" x14ac:dyDescent="0.2">
      <c r="A38" s="671" t="str">
        <f ca="1">IF(AUTOEVENTO="Manual",IF(EVENTOS!$F38&gt;0,"F",""),IF(AND(B38&gt;0,B38&lt;=MAX(CÁLCULO!$M$15:$M$231)),"F",""))</f>
        <v>F</v>
      </c>
      <c r="B38" s="248">
        <f t="shared" ca="1" si="1"/>
        <v>23</v>
      </c>
      <c r="C38" s="673" t="str">
        <f ca="1">IF(AUTOEVENTO="Manual",IF($B38&gt;0,OFFSET(EVENTOS!$D$15,$B38-$B$15,0),0),IF(B38&lt;=MAX(CÁLCULO!$M$15:$M$231),VLOOKUP($B38,CÁLCULO!$M$15:$N$231,2,FALSE),0))</f>
        <v>DIVERSOS</v>
      </c>
      <c r="D38" s="555"/>
      <c r="E38" s="249"/>
      <c r="F38" s="675" t="str">
        <f t="shared" ca="1" si="2"/>
        <v>23. DIVERSOS</v>
      </c>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row>
    <row r="39" spans="1:31" s="675" customFormat="1" x14ac:dyDescent="0.2">
      <c r="A39" s="671" t="str">
        <f ca="1">IF(AUTOEVENTO="Manual",IF(EVENTOS!$F39&gt;0,"F",""),IF(AND(B39&gt;0,B39&lt;=MAX(CÁLCULO!$M$15:$M$231)),"F",""))</f>
        <v>F</v>
      </c>
      <c r="B39" s="248">
        <f t="shared" ca="1" si="1"/>
        <v>24</v>
      </c>
      <c r="C39" s="673" t="str">
        <f ca="1">IF(AUTOEVENTO="Manual",IF($B39&gt;0,OFFSET(EVENTOS!$D$15,$B39-$B$15,0),0),IF(B39&lt;=MAX(CÁLCULO!$M$15:$M$231),VLOOKUP($B39,CÁLCULO!$M$15:$N$231,2,FALSE),0))</f>
        <v>REVESTIMENTO, IMPERMEABILIZAÇÃO E PINTURA</v>
      </c>
      <c r="D39" s="555"/>
      <c r="E39" s="249"/>
      <c r="F39" s="675" t="str">
        <f t="shared" ca="1" si="2"/>
        <v>24. REVESTIMENTO, IMPERMEABILIZAÇÃO E PINTURA</v>
      </c>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row>
    <row r="40" spans="1:31" s="675" customFormat="1" x14ac:dyDescent="0.2">
      <c r="A40" s="671" t="str">
        <f ca="1">IF(AUTOEVENTO="Manual",IF(EVENTOS!$F40&gt;0,"F",""),IF(AND(B40&gt;0,B40&lt;=MAX(CÁLCULO!$M$15:$M$231)),"F",""))</f>
        <v>F</v>
      </c>
      <c r="B40" s="248">
        <f t="shared" ca="1" si="1"/>
        <v>25</v>
      </c>
      <c r="C40" s="673" t="str">
        <f ca="1">IF(AUTOEVENTO="Manual",IF($B40&gt;0,OFFSET(EVENTOS!$D$15,$B40-$B$15,0),0),IF(B40&lt;=MAX(CÁLCULO!$M$15:$M$231),VLOOKUP($B40,CÁLCULO!$M$15:$N$231,2,FALSE),0))</f>
        <v>EXTENSÃO REDE ELÉTRICA</v>
      </c>
      <c r="D40" s="555"/>
      <c r="E40" s="249"/>
      <c r="F40" s="675" t="str">
        <f t="shared" ca="1" si="2"/>
        <v>25. EXTENSÃO REDE ELÉTRICA</v>
      </c>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row>
    <row r="41" spans="1:31" s="675" customFormat="1" x14ac:dyDescent="0.2">
      <c r="A41" s="671" t="str">
        <f ca="1">IF(AUTOEVENTO="Manual",IF(EVENTOS!$F41&gt;0,"F",""),IF(AND(B41&gt;0,B41&lt;=MAX(CÁLCULO!$M$15:$M$231)),"F",""))</f>
        <v>F</v>
      </c>
      <c r="B41" s="248">
        <f t="shared" ca="1" si="1"/>
        <v>26</v>
      </c>
      <c r="C41" s="673" t="str">
        <f ca="1">IF(AUTOEVENTO="Manual",IF($B41&gt;0,OFFSET(EVENTOS!$D$15,$B41-$B$15,0),0),IF(B41&lt;=MAX(CÁLCULO!$M$15:$M$231),VLOOKUP($B41,CÁLCULO!$M$15:$N$231,2,FALSE),0))</f>
        <v>URBANIZAÇÃO</v>
      </c>
      <c r="D41" s="555"/>
      <c r="E41" s="249"/>
      <c r="F41" s="675" t="str">
        <f t="shared" ca="1" si="2"/>
        <v>26. URBANIZAÇÃO</v>
      </c>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row>
    <row r="42" spans="1:31" s="675" customFormat="1" x14ac:dyDescent="0.2">
      <c r="A42" s="671" t="str">
        <f ca="1">IF(AUTOEVENTO="Manual",IF(EVENTOS!$F42&gt;0,"F",""),IF(AND(B42&gt;0,B42&lt;=MAX(CÁLCULO!$M$15:$M$231)),"F",""))</f>
        <v>F</v>
      </c>
      <c r="B42" s="248">
        <f t="shared" ca="1" si="1"/>
        <v>27</v>
      </c>
      <c r="C42" s="673" t="str">
        <f ca="1">IF(AUTOEVENTO="Manual",IF($B42&gt;0,OFFSET(EVENTOS!$D$15,$B42-$B$15,0),0),IF(B42&lt;=MAX(CÁLCULO!$M$15:$M$231),VLOOKUP($B42,CÁLCULO!$M$15:$N$231,2,FALSE),0))</f>
        <v>PROJETO AS BUILT</v>
      </c>
      <c r="D42" s="555"/>
      <c r="E42" s="249"/>
      <c r="F42" s="675" t="str">
        <f t="shared" ca="1" si="2"/>
        <v>27. PROJETO AS BUILT</v>
      </c>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row>
    <row r="43" spans="1:31" s="675" customFormat="1" x14ac:dyDescent="0.2">
      <c r="A43" s="671" t="str">
        <f ca="1">IF(AUTOEVENTO="Manual",IF(EVENTOS!$F43&gt;0,"F",""),IF(AND(B43&gt;0,B43&lt;=MAX(CÁLCULO!$M$15:$M$231)),"F",""))</f>
        <v/>
      </c>
      <c r="B43" s="248">
        <f t="shared" ca="1" si="1"/>
        <v>28</v>
      </c>
      <c r="C43" s="673">
        <f ca="1">IF(AUTOEVENTO="Manual",IF($B43&gt;0,OFFSET(EVENTOS!$D$15,$B43-$B$15,0),0),IF(B43&lt;=MAX(CÁLCULO!$M$15:$M$231),VLOOKUP($B43,CÁLCULO!$M$15:$N$231,2,FALSE),0))</f>
        <v>0</v>
      </c>
      <c r="D43" s="555"/>
      <c r="E43" s="249"/>
      <c r="F43" s="675" t="str">
        <f t="shared" ca="1" si="2"/>
        <v/>
      </c>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row>
    <row r="44" spans="1:31" s="675" customFormat="1" x14ac:dyDescent="0.2">
      <c r="A44" s="671" t="str">
        <f ca="1">IF(AUTOEVENTO="Manual",IF(EVENTOS!$F44&gt;0,"F",""),IF(AND(B44&gt;0,B44&lt;=MAX(CÁLCULO!$M$15:$M$231)),"F",""))</f>
        <v/>
      </c>
      <c r="B44" s="248">
        <f t="shared" ca="1" si="1"/>
        <v>29</v>
      </c>
      <c r="C44" s="673">
        <f ca="1">IF(AUTOEVENTO="Manual",IF($B44&gt;0,OFFSET(EVENTOS!$D$15,$B44-$B$15,0),0),IF(B44&lt;=MAX(CÁLCULO!$M$15:$M$231),VLOOKUP($B44,CÁLCULO!$M$15:$N$231,2,FALSE),0))</f>
        <v>0</v>
      </c>
      <c r="D44" s="555"/>
      <c r="E44" s="249"/>
      <c r="F44" s="675" t="str">
        <f t="shared" ca="1" si="2"/>
        <v/>
      </c>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row>
    <row r="45" spans="1:31" s="675" customFormat="1" x14ac:dyDescent="0.2">
      <c r="A45" s="671" t="str">
        <f ca="1">IF(AUTOEVENTO="Manual",IF(EVENTOS!$F45&gt;0,"F",""),IF(AND(B45&gt;0,B45&lt;=MAX(CÁLCULO!$M$15:$M$231)),"F",""))</f>
        <v/>
      </c>
      <c r="B45" s="248">
        <f t="shared" ca="1" si="1"/>
        <v>30</v>
      </c>
      <c r="C45" s="673">
        <f ca="1">IF(AUTOEVENTO="Manual",IF($B45&gt;0,OFFSET(EVENTOS!$D$15,$B45-$B$15,0),0),IF(B45&lt;=MAX(CÁLCULO!$M$15:$M$231),VLOOKUP($B45,CÁLCULO!$M$15:$N$231,2,FALSE),0))</f>
        <v>0</v>
      </c>
      <c r="D45" s="555"/>
      <c r="E45" s="249"/>
      <c r="F45" s="675" t="str">
        <f t="shared" ca="1" si="2"/>
        <v/>
      </c>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row>
    <row r="46" spans="1:31" s="675" customFormat="1" x14ac:dyDescent="0.2">
      <c r="A46" s="671" t="str">
        <f ca="1">IF(AUTOEVENTO="Manual",IF(EVENTOS!$F46&gt;0,"F",""),IF(AND(B46&gt;0,B46&lt;=MAX(CÁLCULO!$M$15:$M$231)),"F",""))</f>
        <v/>
      </c>
      <c r="B46" s="248">
        <f t="shared" ca="1" si="1"/>
        <v>31</v>
      </c>
      <c r="C46" s="673">
        <f ca="1">IF(AUTOEVENTO="Manual",IF($B46&gt;0,OFFSET(EVENTOS!$D$15,$B46-$B$15,0),0),IF(B46&lt;=MAX(CÁLCULO!$M$15:$M$231),VLOOKUP($B46,CÁLCULO!$M$15:$N$231,2,FALSE),0))</f>
        <v>0</v>
      </c>
      <c r="D46" s="555"/>
      <c r="E46" s="249"/>
      <c r="F46" s="675" t="str">
        <f t="shared" ca="1" si="2"/>
        <v/>
      </c>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row>
    <row r="47" spans="1:31" s="675" customFormat="1" x14ac:dyDescent="0.2">
      <c r="A47" s="671" t="str">
        <f ca="1">IF(AUTOEVENTO="Manual",IF(EVENTOS!$F47&gt;0,"F",""),IF(AND(B47&gt;0,B47&lt;=MAX(CÁLCULO!$M$15:$M$231)),"F",""))</f>
        <v/>
      </c>
      <c r="B47" s="248">
        <f t="shared" ca="1" si="1"/>
        <v>32</v>
      </c>
      <c r="C47" s="673">
        <f ca="1">IF(AUTOEVENTO="Manual",IF($B47&gt;0,OFFSET(EVENTOS!$D$15,$B47-$B$15,0),0),IF(B47&lt;=MAX(CÁLCULO!$M$15:$M$231),VLOOKUP($B47,CÁLCULO!$M$15:$N$231,2,FALSE),0))</f>
        <v>0</v>
      </c>
      <c r="D47" s="555"/>
      <c r="E47" s="249"/>
      <c r="F47" s="675" t="str">
        <f t="shared" ca="1" si="2"/>
        <v/>
      </c>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row>
    <row r="48" spans="1:31" s="675" customFormat="1" x14ac:dyDescent="0.2">
      <c r="A48" s="671" t="str">
        <f ca="1">IF(AUTOEVENTO="Manual",IF(EVENTOS!$F48&gt;0,"F",""),IF(AND(B48&gt;0,B48&lt;=MAX(CÁLCULO!$M$15:$M$231)),"F",""))</f>
        <v/>
      </c>
      <c r="B48" s="248">
        <f t="shared" ca="1" si="1"/>
        <v>33</v>
      </c>
      <c r="C48" s="673">
        <f ca="1">IF(AUTOEVENTO="Manual",IF($B48&gt;0,OFFSET(EVENTOS!$D$15,$B48-$B$15,0),0),IF(B48&lt;=MAX(CÁLCULO!$M$15:$M$231),VLOOKUP($B48,CÁLCULO!$M$15:$N$231,2,FALSE),0))</f>
        <v>0</v>
      </c>
      <c r="D48" s="555"/>
      <c r="E48" s="249"/>
      <c r="F48" s="675" t="str">
        <f t="shared" ca="1" si="2"/>
        <v/>
      </c>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row>
    <row r="49" spans="1:31" s="675" customFormat="1" x14ac:dyDescent="0.2">
      <c r="A49" s="671" t="str">
        <f ca="1">IF(AUTOEVENTO="Manual",IF(EVENTOS!$F49&gt;0,"F",""),IF(AND(B49&gt;0,B49&lt;=MAX(CÁLCULO!$M$15:$M$231)),"F",""))</f>
        <v/>
      </c>
      <c r="B49" s="248">
        <f t="shared" ca="1" si="1"/>
        <v>34</v>
      </c>
      <c r="C49" s="673">
        <f ca="1">IF(AUTOEVENTO="Manual",IF($B49&gt;0,OFFSET(EVENTOS!$D$15,$B49-$B$15,0),0),IF(B49&lt;=MAX(CÁLCULO!$M$15:$M$231),VLOOKUP($B49,CÁLCULO!$M$15:$N$231,2,FALSE),0))</f>
        <v>0</v>
      </c>
      <c r="D49" s="555"/>
      <c r="E49" s="249"/>
      <c r="F49" s="675" t="str">
        <f t="shared" ca="1" si="2"/>
        <v/>
      </c>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row>
    <row r="50" spans="1:31" s="675" customFormat="1" x14ac:dyDescent="0.2">
      <c r="A50" s="671" t="str">
        <f ca="1">IF(AUTOEVENTO="Manual",IF(EVENTOS!$F50&gt;0,"F",""),IF(AND(B50&gt;0,B50&lt;=MAX(CÁLCULO!$M$15:$M$231)),"F",""))</f>
        <v/>
      </c>
      <c r="B50" s="248">
        <f t="shared" ca="1" si="1"/>
        <v>35</v>
      </c>
      <c r="C50" s="673">
        <f ca="1">IF(AUTOEVENTO="Manual",IF($B50&gt;0,OFFSET(EVENTOS!$D$15,$B50-$B$15,0),0),IF(B50&lt;=MAX(CÁLCULO!$M$15:$M$231),VLOOKUP($B50,CÁLCULO!$M$15:$N$231,2,FALSE),0))</f>
        <v>0</v>
      </c>
      <c r="D50" s="555"/>
      <c r="E50" s="249"/>
      <c r="F50" s="675" t="str">
        <f t="shared" ca="1" si="2"/>
        <v/>
      </c>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row>
    <row r="51" spans="1:31" s="675" customFormat="1" x14ac:dyDescent="0.2">
      <c r="A51" s="671" t="str">
        <f ca="1">IF(AUTOEVENTO="Manual",IF(EVENTOS!$F51&gt;0,"F",""),IF(AND(B51&gt;0,B51&lt;=MAX(CÁLCULO!$M$15:$M$231)),"F",""))</f>
        <v/>
      </c>
      <c r="B51" s="248">
        <f t="shared" ca="1" si="1"/>
        <v>36</v>
      </c>
      <c r="C51" s="673">
        <f ca="1">IF(AUTOEVENTO="Manual",IF($B51&gt;0,OFFSET(EVENTOS!$D$15,$B51-$B$15,0),0),IF(B51&lt;=MAX(CÁLCULO!$M$15:$M$231),VLOOKUP($B51,CÁLCULO!$M$15:$N$231,2,FALSE),0))</f>
        <v>0</v>
      </c>
      <c r="D51" s="555"/>
      <c r="E51" s="249"/>
      <c r="F51" s="675" t="str">
        <f t="shared" ca="1" si="2"/>
        <v/>
      </c>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row>
    <row r="52" spans="1:31" s="675" customFormat="1" x14ac:dyDescent="0.2">
      <c r="A52" s="671" t="str">
        <f ca="1">IF(AUTOEVENTO="Manual",IF(EVENTOS!$F52&gt;0,"F",""),IF(AND(B52&gt;0,B52&lt;=MAX(CÁLCULO!$M$15:$M$231)),"F",""))</f>
        <v/>
      </c>
      <c r="B52" s="248">
        <f t="shared" ca="1" si="1"/>
        <v>37</v>
      </c>
      <c r="C52" s="673">
        <f ca="1">IF(AUTOEVENTO="Manual",IF($B52&gt;0,OFFSET(EVENTOS!$D$15,$B52-$B$15,0),0),IF(B52&lt;=MAX(CÁLCULO!$M$15:$M$231),VLOOKUP($B52,CÁLCULO!$M$15:$N$231,2,FALSE),0))</f>
        <v>0</v>
      </c>
      <c r="D52" s="555"/>
      <c r="E52" s="249"/>
      <c r="F52" s="675" t="str">
        <f t="shared" ca="1" si="2"/>
        <v/>
      </c>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row>
    <row r="53" spans="1:31" s="675" customFormat="1" x14ac:dyDescent="0.2">
      <c r="A53" s="671" t="str">
        <f ca="1">IF(AUTOEVENTO="Manual",IF(EVENTOS!$F53&gt;0,"F",""),IF(AND(B53&gt;0,B53&lt;=MAX(CÁLCULO!$M$15:$M$231)),"F",""))</f>
        <v/>
      </c>
      <c r="B53" s="248">
        <f t="shared" ca="1" si="1"/>
        <v>38</v>
      </c>
      <c r="C53" s="673">
        <f ca="1">IF(AUTOEVENTO="Manual",IF($B53&gt;0,OFFSET(EVENTOS!$D$15,$B53-$B$15,0),0),IF(B53&lt;=MAX(CÁLCULO!$M$15:$M$231),VLOOKUP($B53,CÁLCULO!$M$15:$N$231,2,FALSE),0))</f>
        <v>0</v>
      </c>
      <c r="D53" s="555"/>
      <c r="E53" s="249"/>
      <c r="F53" s="675" t="str">
        <f t="shared" ca="1" si="2"/>
        <v/>
      </c>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row>
    <row r="54" spans="1:31" s="675" customFormat="1" x14ac:dyDescent="0.2">
      <c r="A54" s="671" t="str">
        <f ca="1">IF(AUTOEVENTO="Manual",IF(EVENTOS!$F54&gt;0,"F",""),IF(AND(B54&gt;0,B54&lt;=MAX(CÁLCULO!$M$15:$M$231)),"F",""))</f>
        <v/>
      </c>
      <c r="B54" s="248">
        <f t="shared" ca="1" si="1"/>
        <v>39</v>
      </c>
      <c r="C54" s="673">
        <f ca="1">IF(AUTOEVENTO="Manual",IF($B54&gt;0,OFFSET(EVENTOS!$D$15,$B54-$B$15,0),0),IF(B54&lt;=MAX(CÁLCULO!$M$15:$M$231),VLOOKUP($B54,CÁLCULO!$M$15:$N$231,2,FALSE),0))</f>
        <v>0</v>
      </c>
      <c r="D54" s="555"/>
      <c r="E54" s="249"/>
      <c r="F54" s="675" t="str">
        <f t="shared" ca="1" si="2"/>
        <v/>
      </c>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row>
    <row r="55" spans="1:31" s="675" customFormat="1" x14ac:dyDescent="0.2">
      <c r="A55" s="671" t="str">
        <f ca="1">IF(AUTOEVENTO="Manual",IF(EVENTOS!$F55&gt;0,"F",""),IF(AND(B55&gt;0,B55&lt;=MAX(CÁLCULO!$M$15:$M$231)),"F",""))</f>
        <v/>
      </c>
      <c r="B55" s="248">
        <f t="shared" ca="1" si="1"/>
        <v>40</v>
      </c>
      <c r="C55" s="673">
        <f ca="1">IF(AUTOEVENTO="Manual",IF($B55&gt;0,OFFSET(EVENTOS!$D$15,$B55-$B$15,0),0),IF(B55&lt;=MAX(CÁLCULO!$M$15:$M$231),VLOOKUP($B55,CÁLCULO!$M$15:$N$231,2,FALSE),0))</f>
        <v>0</v>
      </c>
      <c r="D55" s="555"/>
      <c r="E55" s="249"/>
      <c r="F55" s="675" t="str">
        <f t="shared" ca="1" si="2"/>
        <v/>
      </c>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row>
    <row r="56" spans="1:31" s="675" customFormat="1" x14ac:dyDescent="0.2">
      <c r="A56" s="671" t="str">
        <f ca="1">IF(AUTOEVENTO="Manual",IF(EVENTOS!$F56&gt;0,"F",""),IF(AND(B56&gt;0,B56&lt;=MAX(CÁLCULO!$M$15:$M$231)),"F",""))</f>
        <v/>
      </c>
      <c r="B56" s="248">
        <f t="shared" ca="1" si="1"/>
        <v>41</v>
      </c>
      <c r="C56" s="673">
        <f ca="1">IF(AUTOEVENTO="Manual",IF($B56&gt;0,OFFSET(EVENTOS!$D$15,$B56-$B$15,0),0),IF(B56&lt;=MAX(CÁLCULO!$M$15:$M$231),VLOOKUP($B56,CÁLCULO!$M$15:$N$231,2,FALSE),0))</f>
        <v>0</v>
      </c>
      <c r="D56" s="555"/>
      <c r="E56" s="249"/>
      <c r="F56" s="675" t="str">
        <f t="shared" ca="1" si="2"/>
        <v/>
      </c>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row>
    <row r="57" spans="1:31" s="675" customFormat="1" x14ac:dyDescent="0.2">
      <c r="A57" s="671" t="str">
        <f ca="1">IF(AUTOEVENTO="Manual",IF(EVENTOS!$F57&gt;0,"F",""),IF(AND(B57&gt;0,B57&lt;=MAX(CÁLCULO!$M$15:$M$231)),"F",""))</f>
        <v/>
      </c>
      <c r="B57" s="248">
        <f t="shared" ca="1" si="1"/>
        <v>42</v>
      </c>
      <c r="C57" s="673">
        <f ca="1">IF(AUTOEVENTO="Manual",IF($B57&gt;0,OFFSET(EVENTOS!$D$15,$B57-$B$15,0),0),IF(B57&lt;=MAX(CÁLCULO!$M$15:$M$231),VLOOKUP($B57,CÁLCULO!$M$15:$N$231,2,FALSE),0))</f>
        <v>0</v>
      </c>
      <c r="D57" s="555"/>
      <c r="E57" s="249"/>
      <c r="F57" s="675" t="str">
        <f t="shared" ca="1" si="2"/>
        <v/>
      </c>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row>
    <row r="58" spans="1:31" s="675" customFormat="1" x14ac:dyDescent="0.2">
      <c r="A58" s="671" t="str">
        <f ca="1">IF(AUTOEVENTO="Manual",IF(EVENTOS!$F58&gt;0,"F",""),IF(AND(B58&gt;0,B58&lt;=MAX(CÁLCULO!$M$15:$M$231)),"F",""))</f>
        <v/>
      </c>
      <c r="B58" s="248">
        <f t="shared" ca="1" si="1"/>
        <v>43</v>
      </c>
      <c r="C58" s="673">
        <f ca="1">IF(AUTOEVENTO="Manual",IF($B58&gt;0,OFFSET(EVENTOS!$D$15,$B58-$B$15,0),0),IF(B58&lt;=MAX(CÁLCULO!$M$15:$M$231),VLOOKUP($B58,CÁLCULO!$M$15:$N$231,2,FALSE),0))</f>
        <v>0</v>
      </c>
      <c r="D58" s="555"/>
      <c r="E58" s="249"/>
      <c r="F58" s="675" t="str">
        <f t="shared" ca="1" si="2"/>
        <v/>
      </c>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row>
    <row r="59" spans="1:31" s="675" customFormat="1" x14ac:dyDescent="0.2">
      <c r="A59" s="671" t="str">
        <f ca="1">IF(AUTOEVENTO="Manual",IF(EVENTOS!$F59&gt;0,"F",""),IF(AND(B59&gt;0,B59&lt;=MAX(CÁLCULO!$M$15:$M$231)),"F",""))</f>
        <v/>
      </c>
      <c r="B59" s="248">
        <f t="shared" ca="1" si="1"/>
        <v>44</v>
      </c>
      <c r="C59" s="673">
        <f ca="1">IF(AUTOEVENTO="Manual",IF($B59&gt;0,OFFSET(EVENTOS!$D$15,$B59-$B$15,0),0),IF(B59&lt;=MAX(CÁLCULO!$M$15:$M$231),VLOOKUP($B59,CÁLCULO!$M$15:$N$231,2,FALSE),0))</f>
        <v>0</v>
      </c>
      <c r="D59" s="555"/>
      <c r="E59" s="249"/>
      <c r="F59" s="675" t="str">
        <f t="shared" ca="1" si="2"/>
        <v/>
      </c>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row>
    <row r="60" spans="1:31" s="675" customFormat="1" x14ac:dyDescent="0.2">
      <c r="A60" s="671" t="str">
        <f ca="1">IF(AUTOEVENTO="Manual",IF(EVENTOS!$F60&gt;0,"F",""),IF(AND(B60&gt;0,B60&lt;=MAX(CÁLCULO!$M$15:$M$231)),"F",""))</f>
        <v/>
      </c>
      <c r="B60" s="248">
        <f t="shared" ca="1" si="1"/>
        <v>45</v>
      </c>
      <c r="C60" s="673">
        <f ca="1">IF(AUTOEVENTO="Manual",IF($B60&gt;0,OFFSET(EVENTOS!$D$15,$B60-$B$15,0),0),IF(B60&lt;=MAX(CÁLCULO!$M$15:$M$231),VLOOKUP($B60,CÁLCULO!$M$15:$N$231,2,FALSE),0))</f>
        <v>0</v>
      </c>
      <c r="D60" s="555"/>
      <c r="E60" s="249"/>
      <c r="F60" s="675" t="str">
        <f t="shared" ca="1" si="2"/>
        <v/>
      </c>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row>
    <row r="61" spans="1:31" s="675" customFormat="1" x14ac:dyDescent="0.2">
      <c r="A61" s="671" t="str">
        <f ca="1">IF(AUTOEVENTO="Manual",IF(EVENTOS!$F61&gt;0,"F",""),IF(AND(B61&gt;0,B61&lt;=MAX(CÁLCULO!$M$15:$M$231)),"F",""))</f>
        <v/>
      </c>
      <c r="B61" s="248">
        <f t="shared" ca="1" si="1"/>
        <v>46</v>
      </c>
      <c r="C61" s="673">
        <f ca="1">IF(AUTOEVENTO="Manual",IF($B61&gt;0,OFFSET(EVENTOS!$D$15,$B61-$B$15,0),0),IF(B61&lt;=MAX(CÁLCULO!$M$15:$M$231),VLOOKUP($B61,CÁLCULO!$M$15:$N$231,2,FALSE),0))</f>
        <v>0</v>
      </c>
      <c r="D61" s="555"/>
      <c r="E61" s="249"/>
      <c r="F61" s="675" t="str">
        <f t="shared" ca="1" si="2"/>
        <v/>
      </c>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row>
    <row r="62" spans="1:31" s="675" customFormat="1" x14ac:dyDescent="0.2">
      <c r="A62" s="671" t="str">
        <f ca="1">IF(AUTOEVENTO="Manual",IF(EVENTOS!$F62&gt;0,"F",""),IF(AND(B62&gt;0,B62&lt;=MAX(CÁLCULO!$M$15:$M$231)),"F",""))</f>
        <v/>
      </c>
      <c r="B62" s="248">
        <f t="shared" ca="1" si="1"/>
        <v>47</v>
      </c>
      <c r="C62" s="673">
        <f ca="1">IF(AUTOEVENTO="Manual",IF($B62&gt;0,OFFSET(EVENTOS!$D$15,$B62-$B$15,0),0),IF(B62&lt;=MAX(CÁLCULO!$M$15:$M$231),VLOOKUP($B62,CÁLCULO!$M$15:$N$231,2,FALSE),0))</f>
        <v>0</v>
      </c>
      <c r="D62" s="555"/>
      <c r="E62" s="249"/>
      <c r="F62" s="675" t="str">
        <f t="shared" ca="1" si="2"/>
        <v/>
      </c>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row>
    <row r="63" spans="1:31" s="675" customFormat="1" x14ac:dyDescent="0.2">
      <c r="A63" s="671" t="str">
        <f ca="1">IF(AUTOEVENTO="Manual",IF(EVENTOS!$F63&gt;0,"F",""),IF(AND(B63&gt;0,B63&lt;=MAX(CÁLCULO!$M$15:$M$231)),"F",""))</f>
        <v/>
      </c>
      <c r="B63" s="248">
        <f t="shared" ca="1" si="1"/>
        <v>48</v>
      </c>
      <c r="C63" s="673">
        <f ca="1">IF(AUTOEVENTO="Manual",IF($B63&gt;0,OFFSET(EVENTOS!$D$15,$B63-$B$15,0),0),IF(B63&lt;=MAX(CÁLCULO!$M$15:$M$231),VLOOKUP($B63,CÁLCULO!$M$15:$N$231,2,FALSE),0))</f>
        <v>0</v>
      </c>
      <c r="D63" s="555"/>
      <c r="E63" s="249"/>
      <c r="F63" s="675" t="str">
        <f t="shared" ca="1" si="2"/>
        <v/>
      </c>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row>
    <row r="64" spans="1:31" s="675" customFormat="1" x14ac:dyDescent="0.2">
      <c r="A64" s="671" t="str">
        <f ca="1">IF(AUTOEVENTO="Manual",IF(EVENTOS!$F64&gt;0,"F",""),IF(AND(B64&gt;0,B64&lt;=MAX(CÁLCULO!$M$15:$M$231)),"F",""))</f>
        <v/>
      </c>
      <c r="B64" s="248">
        <f t="shared" ca="1" si="1"/>
        <v>49</v>
      </c>
      <c r="C64" s="673">
        <f ca="1">IF(AUTOEVENTO="Manual",IF($B64&gt;0,OFFSET(EVENTOS!$D$15,$B64-$B$15,0),0),IF(B64&lt;=MAX(CÁLCULO!$M$15:$M$231),VLOOKUP($B64,CÁLCULO!$M$15:$N$231,2,FALSE),0))</f>
        <v>0</v>
      </c>
      <c r="D64" s="555"/>
      <c r="E64" s="249"/>
      <c r="F64" s="675" t="str">
        <f t="shared" ca="1" si="2"/>
        <v/>
      </c>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row>
    <row r="65" spans="1:31" ht="5.0999999999999996" customHeight="1" x14ac:dyDescent="0.2">
      <c r="A65" t="s">
        <v>537</v>
      </c>
      <c r="B65" s="639"/>
      <c r="C65" s="434"/>
      <c r="D65" s="556"/>
      <c r="E65" s="263"/>
      <c r="F65" s="263"/>
      <c r="G65" s="639"/>
      <c r="H65" s="640"/>
      <c r="I65" s="640"/>
      <c r="J65" s="640"/>
      <c r="K65" s="640"/>
      <c r="L65" s="640"/>
      <c r="M65" s="640"/>
      <c r="N65" s="640"/>
      <c r="O65" s="640"/>
      <c r="P65" s="640"/>
      <c r="Q65" s="640"/>
      <c r="R65" s="640"/>
      <c r="S65" s="640"/>
      <c r="T65" s="640"/>
      <c r="U65" s="640"/>
      <c r="V65" s="640"/>
      <c r="W65" s="640"/>
      <c r="X65" s="640"/>
      <c r="Y65" s="640"/>
      <c r="Z65" s="640"/>
      <c r="AA65" s="640"/>
      <c r="AB65" s="640"/>
      <c r="AC65" s="640"/>
      <c r="AD65" s="640"/>
      <c r="AE65" s="434"/>
    </row>
    <row r="66" spans="1:31" ht="6" customHeight="1" x14ac:dyDescent="0.2">
      <c r="A66" s="7" t="s">
        <v>537</v>
      </c>
    </row>
    <row r="67" spans="1:31" ht="15" x14ac:dyDescent="0.2">
      <c r="A67" s="7" t="s">
        <v>537</v>
      </c>
      <c r="C67" s="487" t="s">
        <v>780</v>
      </c>
      <c r="H67" s="802">
        <f>(ROW($G67)-ROW($G$67))/8*12+1</f>
        <v>1</v>
      </c>
      <c r="I67" s="802"/>
      <c r="J67" s="802">
        <f>H67+1</f>
        <v>2</v>
      </c>
      <c r="K67" s="802"/>
      <c r="L67" s="802">
        <f>J67+1</f>
        <v>3</v>
      </c>
      <c r="M67" s="802"/>
      <c r="N67" s="802">
        <f>L67+1</f>
        <v>4</v>
      </c>
      <c r="O67" s="802"/>
      <c r="P67" s="802">
        <f>N67+1</f>
        <v>5</v>
      </c>
      <c r="Q67" s="802"/>
      <c r="R67" s="802">
        <f>P67+1</f>
        <v>6</v>
      </c>
      <c r="S67" s="802"/>
      <c r="T67" s="802">
        <f>R67+1</f>
        <v>7</v>
      </c>
      <c r="U67" s="802"/>
      <c r="V67" s="802">
        <f>T67+1</f>
        <v>8</v>
      </c>
      <c r="W67" s="802"/>
      <c r="X67" s="802">
        <f>V67+1</f>
        <v>9</v>
      </c>
      <c r="Y67" s="802"/>
      <c r="Z67" s="802">
        <f>X67+1</f>
        <v>10</v>
      </c>
      <c r="AA67" s="802"/>
      <c r="AB67" s="802">
        <f>Z67+1</f>
        <v>11</v>
      </c>
      <c r="AC67" s="802"/>
      <c r="AD67" s="802">
        <f>AB67+1</f>
        <v>12</v>
      </c>
      <c r="AE67" s="802"/>
    </row>
    <row r="68" spans="1:31" ht="12.75" customHeight="1" x14ac:dyDescent="0.2">
      <c r="A68" s="7" t="s">
        <v>537</v>
      </c>
      <c r="C68" s="796" t="s">
        <v>781</v>
      </c>
      <c r="G68" s="552" t="s">
        <v>782</v>
      </c>
      <c r="H68" s="798" t="e">
        <f ca="1">OFFSET(CRONO!$T$102,0,CRONOPLE!H67)</f>
        <v>#DIV/0!</v>
      </c>
      <c r="I68" s="798"/>
      <c r="J68" s="798" t="e">
        <f ca="1">OFFSET(CRONO!$T$102,0,CRONOPLE!J67)</f>
        <v>#DIV/0!</v>
      </c>
      <c r="K68" s="798"/>
      <c r="L68" s="798" t="e">
        <f ca="1">OFFSET(CRONO!$T$102,0,CRONOPLE!L67)</f>
        <v>#DIV/0!</v>
      </c>
      <c r="M68" s="798"/>
      <c r="N68" s="798" t="e">
        <f ca="1">OFFSET(CRONO!$T$102,0,CRONOPLE!N67)</f>
        <v>#DIV/0!</v>
      </c>
      <c r="O68" s="798"/>
      <c r="P68" s="798" t="e">
        <f ca="1">OFFSET(CRONO!$T$102,0,CRONOPLE!P67)</f>
        <v>#DIV/0!</v>
      </c>
      <c r="Q68" s="798"/>
      <c r="R68" s="798" t="e">
        <f ca="1">OFFSET(CRONO!$T$102,0,CRONOPLE!R67)</f>
        <v>#DIV/0!</v>
      </c>
      <c r="S68" s="798"/>
      <c r="T68" s="798" t="e">
        <f ca="1">OFFSET(CRONO!$T$102,0,CRONOPLE!T67)</f>
        <v>#DIV/0!</v>
      </c>
      <c r="U68" s="798"/>
      <c r="V68" s="798" t="e">
        <f ca="1">OFFSET(CRONO!$T$102,0,CRONOPLE!V67)</f>
        <v>#DIV/0!</v>
      </c>
      <c r="W68" s="798"/>
      <c r="X68" s="798" t="e">
        <f ca="1">OFFSET(CRONO!$T$102,0,CRONOPLE!X67)</f>
        <v>#DIV/0!</v>
      </c>
      <c r="Y68" s="798"/>
      <c r="Z68" s="798" t="e">
        <f ca="1">OFFSET(CRONO!$T$102,0,CRONOPLE!Z67)</f>
        <v>#DIV/0!</v>
      </c>
      <c r="AA68" s="798"/>
      <c r="AB68" s="798" t="e">
        <f ca="1">OFFSET(CRONO!$T$102,0,CRONOPLE!AB67)</f>
        <v>#DIV/0!</v>
      </c>
      <c r="AC68" s="798"/>
      <c r="AD68" s="798" t="e">
        <f ca="1">OFFSET(CRONO!$T$102,0,CRONOPLE!AD67)</f>
        <v>#DIV/0!</v>
      </c>
      <c r="AE68" s="798"/>
    </row>
    <row r="69" spans="1:31" ht="12.75" customHeight="1" x14ac:dyDescent="0.2">
      <c r="A69" s="7" t="s">
        <v>537</v>
      </c>
      <c r="C69" s="797"/>
      <c r="G69" s="488" t="s">
        <v>783</v>
      </c>
      <c r="H69" s="799">
        <f ca="1">OFFSET(CRONO!$T$106,0,CRONOPLE!H67)</f>
        <v>0</v>
      </c>
      <c r="I69" s="799"/>
      <c r="J69" s="800">
        <f ca="1">OFFSET(CRONO!$T$106,0,CRONOPLE!J67)</f>
        <v>0</v>
      </c>
      <c r="K69" s="801"/>
      <c r="L69" s="800">
        <f ca="1">OFFSET(CRONO!$T$106,0,CRONOPLE!L67)</f>
        <v>0</v>
      </c>
      <c r="M69" s="801"/>
      <c r="N69" s="800">
        <f ca="1">OFFSET(CRONO!$T$106,0,CRONOPLE!N67)</f>
        <v>0</v>
      </c>
      <c r="O69" s="801"/>
      <c r="P69" s="800">
        <f ca="1">OFFSET(CRONO!$T$106,0,CRONOPLE!P67)</f>
        <v>0</v>
      </c>
      <c r="Q69" s="801"/>
      <c r="R69" s="800">
        <f ca="1">OFFSET(CRONO!$T$106,0,CRONOPLE!R67)</f>
        <v>0</v>
      </c>
      <c r="S69" s="801"/>
      <c r="T69" s="800">
        <f ca="1">OFFSET(CRONO!$T$106,0,CRONOPLE!T67)</f>
        <v>0</v>
      </c>
      <c r="U69" s="801"/>
      <c r="V69" s="800">
        <f ca="1">OFFSET(CRONO!$T$106,0,CRONOPLE!V67)</f>
        <v>0</v>
      </c>
      <c r="W69" s="801"/>
      <c r="X69" s="800">
        <f ca="1">OFFSET(CRONO!$T$106,0,CRONOPLE!X67)</f>
        <v>0</v>
      </c>
      <c r="Y69" s="801"/>
      <c r="Z69" s="800">
        <f ca="1">OFFSET(CRONO!$T$106,0,CRONOPLE!Z67)</f>
        <v>0</v>
      </c>
      <c r="AA69" s="801"/>
      <c r="AB69" s="800">
        <f ca="1">OFFSET(CRONO!$T$106,0,CRONOPLE!AB67)</f>
        <v>0</v>
      </c>
      <c r="AC69" s="801"/>
      <c r="AD69" s="800">
        <f ca="1">OFFSET(CRONO!$T$106,0,CRONOPLE!AD67)</f>
        <v>0</v>
      </c>
      <c r="AE69" s="801"/>
    </row>
    <row r="70" spans="1:31" ht="12.75" customHeight="1" x14ac:dyDescent="0.2">
      <c r="A70" s="7" t="s">
        <v>537</v>
      </c>
      <c r="C70" s="796" t="s">
        <v>784</v>
      </c>
      <c r="G70" s="552" t="s">
        <v>782</v>
      </c>
      <c r="H70" s="798" t="e">
        <f ca="1">OFFSET(CRONO!$T$107,0,CRONOPLE!H67)</f>
        <v>#DIV/0!</v>
      </c>
      <c r="I70" s="798"/>
      <c r="J70" s="790" t="e">
        <f ca="1">OFFSET(CRONO!$T$107,0,CRONOPLE!J67)</f>
        <v>#DIV/0!</v>
      </c>
      <c r="K70" s="791"/>
      <c r="L70" s="790" t="e">
        <f ca="1">OFFSET(CRONO!$T$107,0,CRONOPLE!L67)</f>
        <v>#DIV/0!</v>
      </c>
      <c r="M70" s="791"/>
      <c r="N70" s="790" t="e">
        <f ca="1">OFFSET(CRONO!$T$107,0,CRONOPLE!N67)</f>
        <v>#DIV/0!</v>
      </c>
      <c r="O70" s="791"/>
      <c r="P70" s="790" t="e">
        <f ca="1">OFFSET(CRONO!$T$107,0,CRONOPLE!P67)</f>
        <v>#DIV/0!</v>
      </c>
      <c r="Q70" s="791"/>
      <c r="R70" s="790" t="e">
        <f ca="1">OFFSET(CRONO!$T$107,0,CRONOPLE!R67)</f>
        <v>#DIV/0!</v>
      </c>
      <c r="S70" s="791"/>
      <c r="T70" s="790" t="e">
        <f ca="1">OFFSET(CRONO!$T$107,0,CRONOPLE!T67)</f>
        <v>#DIV/0!</v>
      </c>
      <c r="U70" s="791"/>
      <c r="V70" s="790" t="e">
        <f ca="1">OFFSET(CRONO!$T$107,0,CRONOPLE!V67)</f>
        <v>#DIV/0!</v>
      </c>
      <c r="W70" s="791"/>
      <c r="X70" s="790" t="e">
        <f ca="1">OFFSET(CRONO!$T$107,0,CRONOPLE!X67)</f>
        <v>#DIV/0!</v>
      </c>
      <c r="Y70" s="791"/>
      <c r="Z70" s="790" t="e">
        <f ca="1">OFFSET(CRONO!$T$107,0,CRONOPLE!Z67)</f>
        <v>#DIV/0!</v>
      </c>
      <c r="AA70" s="791"/>
      <c r="AB70" s="790" t="e">
        <f ca="1">OFFSET(CRONO!$T$107,0,CRONOPLE!AB67)</f>
        <v>#DIV/0!</v>
      </c>
      <c r="AC70" s="791"/>
      <c r="AD70" s="790" t="e">
        <f ca="1">OFFSET(CRONO!$T$107,0,CRONOPLE!AD67)</f>
        <v>#DIV/0!</v>
      </c>
      <c r="AE70" s="791"/>
    </row>
    <row r="71" spans="1:31" ht="12.75" customHeight="1" x14ac:dyDescent="0.2">
      <c r="A71" s="7" t="s">
        <v>537</v>
      </c>
      <c r="C71" s="810"/>
      <c r="G71" s="488" t="s">
        <v>783</v>
      </c>
      <c r="H71" s="805">
        <f ca="1">OFFSET(CRONO!$T$111,0,CRONOPLE!H67)</f>
        <v>0</v>
      </c>
      <c r="I71" s="805"/>
      <c r="J71" s="794">
        <f ca="1">OFFSET(CRONO!$T$111,0,CRONOPLE!J67)</f>
        <v>0</v>
      </c>
      <c r="K71" s="795"/>
      <c r="L71" s="794">
        <f ca="1">OFFSET(CRONO!$T$111,0,CRONOPLE!L67)</f>
        <v>0</v>
      </c>
      <c r="M71" s="795"/>
      <c r="N71" s="794">
        <f ca="1">OFFSET(CRONO!$T$111,0,CRONOPLE!N67)</f>
        <v>0</v>
      </c>
      <c r="O71" s="795"/>
      <c r="P71" s="794">
        <f ca="1">OFFSET(CRONO!$T$111,0,CRONOPLE!P67)</f>
        <v>0</v>
      </c>
      <c r="Q71" s="795"/>
      <c r="R71" s="794">
        <f ca="1">OFFSET(CRONO!$T$111,0,CRONOPLE!R67)</f>
        <v>0</v>
      </c>
      <c r="S71" s="795"/>
      <c r="T71" s="794">
        <f ca="1">OFFSET(CRONO!$T$111,0,CRONOPLE!T67)</f>
        <v>0</v>
      </c>
      <c r="U71" s="795"/>
      <c r="V71" s="794">
        <f ca="1">OFFSET(CRONO!$T$111,0,CRONOPLE!V67)</f>
        <v>0</v>
      </c>
      <c r="W71" s="795"/>
      <c r="X71" s="794">
        <f ca="1">OFFSET(CRONO!$T$111,0,CRONOPLE!X67)</f>
        <v>0</v>
      </c>
      <c r="Y71" s="795"/>
      <c r="Z71" s="794">
        <f ca="1">OFFSET(CRONO!$T$111,0,CRONOPLE!Z67)</f>
        <v>0</v>
      </c>
      <c r="AA71" s="795"/>
      <c r="AB71" s="794">
        <f ca="1">OFFSET(CRONO!$T$111,0,CRONOPLE!AB67)</f>
        <v>0</v>
      </c>
      <c r="AC71" s="795"/>
      <c r="AD71" s="794">
        <f ca="1">OFFSET(CRONO!$T$111,0,CRONOPLE!AD67)</f>
        <v>0</v>
      </c>
      <c r="AE71" s="795"/>
    </row>
    <row r="72" spans="1:31" ht="12.75" customHeight="1" x14ac:dyDescent="0.2">
      <c r="A72" s="7" t="s">
        <v>537</v>
      </c>
      <c r="C72" s="553" t="s">
        <v>785</v>
      </c>
      <c r="D72" s="551"/>
      <c r="G72" s="552" t="s">
        <v>782</v>
      </c>
      <c r="H72" s="798" t="str">
        <f ca="1">OFFSET(CRONO!$T$112,0,CRONOPLE!H67)</f>
        <v/>
      </c>
      <c r="I72" s="798"/>
      <c r="J72" s="792" t="str">
        <f ca="1">OFFSET(CRONO!$T$112,0,CRONOPLE!J67)</f>
        <v/>
      </c>
      <c r="K72" s="793"/>
      <c r="L72" s="792" t="str">
        <f ca="1">OFFSET(CRONO!$T$112,0,CRONOPLE!L67)</f>
        <v/>
      </c>
      <c r="M72" s="793"/>
      <c r="N72" s="792" t="str">
        <f ca="1">OFFSET(CRONO!$T$112,0,CRONOPLE!N67)</f>
        <v/>
      </c>
      <c r="O72" s="793"/>
      <c r="P72" s="792" t="str">
        <f ca="1">OFFSET(CRONO!$T$112,0,CRONOPLE!P67)</f>
        <v/>
      </c>
      <c r="Q72" s="793"/>
      <c r="R72" s="792" t="str">
        <f ca="1">OFFSET(CRONO!$T$112,0,CRONOPLE!R67)</f>
        <v/>
      </c>
      <c r="S72" s="793"/>
      <c r="T72" s="792" t="str">
        <f ca="1">OFFSET(CRONO!$T$112,0,CRONOPLE!T67)</f>
        <v/>
      </c>
      <c r="U72" s="793"/>
      <c r="V72" s="792" t="str">
        <f ca="1">OFFSET(CRONO!$T$112,0,CRONOPLE!V67)</f>
        <v/>
      </c>
      <c r="W72" s="793"/>
      <c r="X72" s="792" t="str">
        <f ca="1">OFFSET(CRONO!$T$112,0,CRONOPLE!X67)</f>
        <v/>
      </c>
      <c r="Y72" s="793"/>
      <c r="Z72" s="792" t="str">
        <f ca="1">OFFSET(CRONO!$T$112,0,CRONOPLE!Z67)</f>
        <v/>
      </c>
      <c r="AA72" s="793"/>
      <c r="AB72" s="792" t="str">
        <f ca="1">OFFSET(CRONO!$T$112,0,CRONOPLE!AB67)</f>
        <v/>
      </c>
      <c r="AC72" s="793"/>
      <c r="AD72" s="792" t="str">
        <f ca="1">OFFSET(CRONO!$T$112,0,CRONOPLE!AD67)</f>
        <v/>
      </c>
      <c r="AE72" s="793"/>
    </row>
    <row r="73" spans="1:31" ht="15" customHeight="1" x14ac:dyDescent="0.25">
      <c r="A73" s="7" t="s">
        <v>537</v>
      </c>
      <c r="C73" s="550"/>
      <c r="G73" s="584" t="str">
        <f ca="1">IF(COUNTIF(H73:AF73,"%Adm&gt;%Global")&gt;0,"Verificar proporcionalidade da Administração Local","")</f>
        <v/>
      </c>
      <c r="H73" s="536" t="str">
        <f ca="1">IF(H72="","",IF(ROUND(H72,4)&gt;ROUND(H70,4),"%Adm&gt;%Global",""))</f>
        <v/>
      </c>
      <c r="J73" s="536" t="str">
        <f t="shared" ref="J73" ca="1" si="3">IF(J72="","",IF(ROUND(J72,4)&gt;ROUND(J70,4),"%Adm&gt;%Global",""))</f>
        <v/>
      </c>
      <c r="L73" s="536" t="str">
        <f t="shared" ref="L73" ca="1" si="4">IF(L72="","",IF(ROUND(L72,4)&gt;ROUND(L70,4),"%Adm&gt;%Global",""))</f>
        <v/>
      </c>
      <c r="N73" s="536" t="str">
        <f t="shared" ref="N73" ca="1" si="5">IF(N72="","",IF(ROUND(N72,4)&gt;ROUND(N70,4),"%Adm&gt;%Global",""))</f>
        <v/>
      </c>
      <c r="P73" s="536" t="str">
        <f t="shared" ref="P73" ca="1" si="6">IF(P72="","",IF(ROUND(P72,4)&gt;ROUND(P70,4),"%Adm&gt;%Global",""))</f>
        <v/>
      </c>
      <c r="R73" s="536" t="str">
        <f t="shared" ref="R73" ca="1" si="7">IF(R72="","",IF(ROUND(R72,4)&gt;ROUND(R70,4),"%Adm&gt;%Global",""))</f>
        <v/>
      </c>
      <c r="T73" s="536" t="str">
        <f t="shared" ref="T73" ca="1" si="8">IF(T72="","",IF(ROUND(T72,4)&gt;ROUND(T70,4),"%Adm&gt;%Global",""))</f>
        <v/>
      </c>
      <c r="V73" s="536" t="str">
        <f t="shared" ref="V73" ca="1" si="9">IF(V72="","",IF(ROUND(V72,4)&gt;ROUND(V70,4),"%Adm&gt;%Global",""))</f>
        <v/>
      </c>
      <c r="X73" s="536" t="str">
        <f t="shared" ref="X73" ca="1" si="10">IF(X72="","",IF(ROUND(X72,4)&gt;ROUND(X70,4),"%Adm&gt;%Global",""))</f>
        <v/>
      </c>
      <c r="Z73" s="536" t="str">
        <f t="shared" ref="Z73" ca="1" si="11">IF(Z72="","",IF(ROUND(Z72,4)&gt;ROUND(Z70,4),"%Adm&gt;%Global",""))</f>
        <v/>
      </c>
      <c r="AB73" s="536" t="str">
        <f t="shared" ref="AB73" ca="1" si="12">IF(AB72="","",IF(ROUND(AB72,4)&gt;ROUND(AB70,4),"%Adm&gt;%Global",""))</f>
        <v/>
      </c>
      <c r="AD73" s="536" t="str">
        <f t="shared" ref="AD73" ca="1" si="13">IF(AD72="","",IF(ROUND(AD72,4)&gt;ROUND(AD70,4),"%Adm&gt;%Global",""))</f>
        <v/>
      </c>
    </row>
    <row r="74" spans="1:31" x14ac:dyDescent="0.2">
      <c r="A74" s="7" t="s">
        <v>537</v>
      </c>
    </row>
    <row r="75" spans="1:31" ht="15" x14ac:dyDescent="0.2">
      <c r="A75" s="7" t="s">
        <v>537</v>
      </c>
      <c r="B75" s="139" t="str">
        <f>Import.Município</f>
        <v>PASSOS/MG</v>
      </c>
      <c r="C75" s="139"/>
      <c r="E75" s="489"/>
      <c r="F75" s="489"/>
      <c r="G75" s="489"/>
      <c r="H75" s="489"/>
      <c r="I75" s="489"/>
      <c r="J75" s="489"/>
      <c r="K75" s="489"/>
      <c r="L75" s="489"/>
      <c r="V75" s="461"/>
      <c r="W75" s="418"/>
      <c r="X75" s="418"/>
      <c r="Y75" s="418"/>
      <c r="Z75" s="418"/>
      <c r="AA75" s="418"/>
      <c r="AB75" s="418"/>
      <c r="AC75" s="418"/>
      <c r="AD75" s="418"/>
      <c r="AE75" s="418"/>
    </row>
    <row r="76" spans="1:31" x14ac:dyDescent="0.2">
      <c r="A76" s="7" t="s">
        <v>537</v>
      </c>
      <c r="B76" s="9" t="s">
        <v>694</v>
      </c>
      <c r="F76" s="186"/>
      <c r="G76" s="186"/>
      <c r="H76" s="186"/>
      <c r="I76" s="186"/>
      <c r="J76" s="186"/>
      <c r="K76" s="186"/>
      <c r="L76" s="188"/>
      <c r="V76" s="182" t="s">
        <v>697</v>
      </c>
    </row>
    <row r="77" spans="1:31" x14ac:dyDescent="0.2">
      <c r="A77" s="7" t="s">
        <v>537</v>
      </c>
      <c r="F77" s="186"/>
      <c r="G77" s="186"/>
      <c r="H77" s="186"/>
      <c r="I77" s="186"/>
      <c r="J77" s="186"/>
      <c r="K77" s="186"/>
      <c r="L77" s="188"/>
      <c r="V77" s="399" t="str">
        <f t="array" aca="1" ref="V77:V79" ca="1">OFFSET(Import.RespOrçamento,0,-1) &amp; " " &amp; Import.RespOrçamento</f>
        <v>Nome: LUCAS REZENDE CARVALHO</v>
      </c>
    </row>
    <row r="78" spans="1:31" ht="16.5" x14ac:dyDescent="0.3">
      <c r="A78" s="7" t="s">
        <v>537</v>
      </c>
      <c r="B78" s="804">
        <f>DADOS!$C$25</f>
        <v>45945</v>
      </c>
      <c r="C78" s="804"/>
      <c r="F78" s="186"/>
      <c r="G78" s="186"/>
      <c r="H78" s="186"/>
      <c r="I78" s="186"/>
      <c r="J78" s="186"/>
      <c r="K78" s="186"/>
      <c r="L78" s="188"/>
      <c r="V78" s="399" t="str">
        <f ca="1"/>
        <v>CREA/CAU: 126.061/D</v>
      </c>
    </row>
    <row r="79" spans="1:31" x14ac:dyDescent="0.2">
      <c r="A79" s="7" t="s">
        <v>537</v>
      </c>
      <c r="B79" s="9" t="s">
        <v>695</v>
      </c>
      <c r="F79" s="186"/>
      <c r="G79" s="186"/>
      <c r="H79" s="186"/>
      <c r="I79" s="186"/>
      <c r="J79" s="186"/>
      <c r="K79" s="186"/>
      <c r="L79" s="188"/>
      <c r="V79" s="399" t="str">
        <f ca="1"/>
        <v>ART/RRT: MG20253685005</v>
      </c>
    </row>
  </sheetData>
  <sheetProtection algorithmName="SHA-512" hashValue="lcI/63JLm9MaDJcrm1TCNNgg0TSkapGCmWb1LQv6Tw4dNKEsslWm9w+L6TXd85ucfBtXyawzAox2Gkn3+w4Q2g==" saltValue="Qr8eNmfnHCKlauMM7bFCDg==" spinCount="100000" sheet="1" objects="1" scenarios="1" autoFilter="0"/>
  <autoFilter ref="A13:A79" xr:uid="{00000000-0001-0000-0800-000000000000}"/>
  <mergeCells count="86">
    <mergeCell ref="C70:C71"/>
    <mergeCell ref="H72:I72"/>
    <mergeCell ref="J72:K72"/>
    <mergeCell ref="X70:Y70"/>
    <mergeCell ref="AB71:AC71"/>
    <mergeCell ref="Z70:AA70"/>
    <mergeCell ref="AB70:AC70"/>
    <mergeCell ref="T70:U70"/>
    <mergeCell ref="V70:W70"/>
    <mergeCell ref="AB72:AC72"/>
    <mergeCell ref="AC2:AE2"/>
    <mergeCell ref="B4:D4"/>
    <mergeCell ref="G4:I4"/>
    <mergeCell ref="J4:L4"/>
    <mergeCell ref="B5:D5"/>
    <mergeCell ref="G5:I5"/>
    <mergeCell ref="J5:L5"/>
    <mergeCell ref="M5:AE5"/>
    <mergeCell ref="B78:C78"/>
    <mergeCell ref="V71:W71"/>
    <mergeCell ref="X71:Y71"/>
    <mergeCell ref="Z71:AA71"/>
    <mergeCell ref="H70:I70"/>
    <mergeCell ref="J70:K70"/>
    <mergeCell ref="L70:M70"/>
    <mergeCell ref="N70:O70"/>
    <mergeCell ref="H71:I71"/>
    <mergeCell ref="J71:K71"/>
    <mergeCell ref="N71:O71"/>
    <mergeCell ref="P71:Q71"/>
    <mergeCell ref="R71:S71"/>
    <mergeCell ref="T71:U71"/>
    <mergeCell ref="P70:Q70"/>
    <mergeCell ref="R70:S70"/>
    <mergeCell ref="B8:C8"/>
    <mergeCell ref="AB67:AC67"/>
    <mergeCell ref="N67:O67"/>
    <mergeCell ref="P67:Q67"/>
    <mergeCell ref="B12:B13"/>
    <mergeCell ref="C12:C13"/>
    <mergeCell ref="R67:S67"/>
    <mergeCell ref="H67:I67"/>
    <mergeCell ref="J67:K67"/>
    <mergeCell ref="L67:M67"/>
    <mergeCell ref="T67:U67"/>
    <mergeCell ref="V67:W67"/>
    <mergeCell ref="T69:U69"/>
    <mergeCell ref="V69:W69"/>
    <mergeCell ref="X69:Y69"/>
    <mergeCell ref="X67:Y67"/>
    <mergeCell ref="Z67:AA67"/>
    <mergeCell ref="T68:U68"/>
    <mergeCell ref="AD67:AE67"/>
    <mergeCell ref="X68:Y68"/>
    <mergeCell ref="Z68:AA68"/>
    <mergeCell ref="V68:W68"/>
    <mergeCell ref="AB69:AC69"/>
    <mergeCell ref="AB68:AC68"/>
    <mergeCell ref="AD68:AE68"/>
    <mergeCell ref="AD69:AE69"/>
    <mergeCell ref="Z69:AA69"/>
    <mergeCell ref="L68:M68"/>
    <mergeCell ref="N68:O68"/>
    <mergeCell ref="P69:Q69"/>
    <mergeCell ref="R69:S69"/>
    <mergeCell ref="P68:Q68"/>
    <mergeCell ref="R68:S68"/>
    <mergeCell ref="L69:M69"/>
    <mergeCell ref="N69:O69"/>
    <mergeCell ref="C68:C69"/>
    <mergeCell ref="H68:I68"/>
    <mergeCell ref="J68:K68"/>
    <mergeCell ref="H69:I69"/>
    <mergeCell ref="J69:K69"/>
    <mergeCell ref="AD70:AE70"/>
    <mergeCell ref="L72:M72"/>
    <mergeCell ref="N72:O72"/>
    <mergeCell ref="P72:Q72"/>
    <mergeCell ref="AD71:AE71"/>
    <mergeCell ref="L71:M71"/>
    <mergeCell ref="AD72:AE72"/>
    <mergeCell ref="R72:S72"/>
    <mergeCell ref="T72:U72"/>
    <mergeCell ref="V72:W72"/>
    <mergeCell ref="X72:Y72"/>
    <mergeCell ref="Z72:AA72"/>
  </mergeCells>
  <phoneticPr fontId="38" type="noConversion"/>
  <conditionalFormatting sqref="E1 G1:AE1 G16:AE64">
    <cfRule type="expression" dxfId="388" priority="626" stopIfTrue="1">
      <formula>IF(OR(E$12&gt;CÁLCULO.NúmeroDeFrentes,ACOMPANHAMENTO="BM"),TRUE,CRONOPLE.ValorDoEvento=0)</formula>
    </cfRule>
  </conditionalFormatting>
  <conditionalFormatting sqref="U4:Y4">
    <cfRule type="expression" dxfId="387" priority="516" stopIfTrue="1">
      <formula>QCI.ExisteManual</formula>
    </cfRule>
  </conditionalFormatting>
  <conditionalFormatting sqref="J67:AE67">
    <cfRule type="expression" dxfId="386" priority="515" stopIfTrue="1">
      <formula>OFFSET(J67,3,-2)=1</formula>
    </cfRule>
  </conditionalFormatting>
  <conditionalFormatting sqref="J68:AE68">
    <cfRule type="expression" dxfId="385" priority="510" stopIfTrue="1">
      <formula>OFFSET(J68,2,-2)=1</formula>
    </cfRule>
  </conditionalFormatting>
  <conditionalFormatting sqref="J69:AE69">
    <cfRule type="expression" dxfId="384" priority="509" stopIfTrue="1">
      <formula>OFFSET(J69,1,-2)=1</formula>
    </cfRule>
  </conditionalFormatting>
  <conditionalFormatting sqref="J70:AE70">
    <cfRule type="expression" dxfId="383" priority="508" stopIfTrue="1">
      <formula>OFFSET(J70,0,-2)=1</formula>
    </cfRule>
  </conditionalFormatting>
  <conditionalFormatting sqref="J71:AE71">
    <cfRule type="expression" dxfId="382" priority="507" stopIfTrue="1">
      <formula>OFFSET(J71,-1,-2)=1</formula>
    </cfRule>
  </conditionalFormatting>
  <conditionalFormatting sqref="B15:C15 E15 G15:AF15">
    <cfRule type="expression" dxfId="381" priority="331">
      <formula>$B$15=0</formula>
    </cfRule>
  </conditionalFormatting>
  <conditionalFormatting sqref="B8:C8">
    <cfRule type="expression" dxfId="380" priority="330">
      <formula>$B$7=""</formula>
    </cfRule>
  </conditionalFormatting>
  <conditionalFormatting sqref="J72:AE72">
    <cfRule type="expression" dxfId="379" priority="329">
      <formula>OFFSET(J72,-2,-2)=1</formula>
    </cfRule>
  </conditionalFormatting>
  <conditionalFormatting sqref="H72:AE72">
    <cfRule type="expression" dxfId="378" priority="328">
      <formula>ROUND(H72,4)&gt;ROUND(H70,4)</formula>
    </cfRule>
  </conditionalFormatting>
  <conditionalFormatting sqref="E16:E24">
    <cfRule type="expression" dxfId="377" priority="6" stopIfTrue="1">
      <formula>IF(OR(E$12&gt;CÁLCULO.NúmeroDeFrentes,ACOMPANHAMENTO="BM"),TRUE,CRONOPLE.ValorDoEvento=0)</formula>
    </cfRule>
  </conditionalFormatting>
  <conditionalFormatting sqref="E25:E33">
    <cfRule type="expression" dxfId="376" priority="5" stopIfTrue="1">
      <formula>IF(OR(E$12&gt;CÁLCULO.NúmeroDeFrentes,ACOMPANHAMENTO="BM"),TRUE,CRONOPLE.ValorDoEvento=0)</formula>
    </cfRule>
  </conditionalFormatting>
  <conditionalFormatting sqref="E34:E42">
    <cfRule type="expression" dxfId="375" priority="4" stopIfTrue="1">
      <formula>IF(OR(E$12&gt;CÁLCULO.NúmeroDeFrentes,ACOMPANHAMENTO="BM"),TRUE,CRONOPLE.ValorDoEvento=0)</formula>
    </cfRule>
  </conditionalFormatting>
  <conditionalFormatting sqref="E43:E51">
    <cfRule type="expression" dxfId="374" priority="3" stopIfTrue="1">
      <formula>IF(OR(E$12&gt;CÁLCULO.NúmeroDeFrentes,ACOMPANHAMENTO="BM"),TRUE,CRONOPLE.ValorDoEvento=0)</formula>
    </cfRule>
  </conditionalFormatting>
  <conditionalFormatting sqref="E52:E60">
    <cfRule type="expression" dxfId="373" priority="2" stopIfTrue="1">
      <formula>IF(OR(E$12&gt;CÁLCULO.NúmeroDeFrentes,ACOMPANHAMENTO="BM"),TRUE,CRONOPLE.ValorDoEvento=0)</formula>
    </cfRule>
  </conditionalFormatting>
  <conditionalFormatting sqref="E61:E64">
    <cfRule type="expression" dxfId="372"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ErrorMessage="1" errorTitle="Atenção" error="Selecione uma opção da lista." sqref="B8:C8" xr:uid="{F5F696FA-ECF3-46D7-85FD-9D51970D3D7F}">
      <formula1>$F$15:$F$65</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&amp;LPMv3.12&amp;R&amp;P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118"/>
  <sheetViews>
    <sheetView showGridLines="0" zoomScale="85" zoomScaleNormal="85"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7" hidden="1" customWidth="1"/>
    <col min="2" max="4" width="9.140625" style="186" hidden="1" customWidth="1"/>
    <col min="5" max="5" width="11" style="187" hidden="1" customWidth="1"/>
    <col min="6" max="6" width="19" style="186" hidden="1" customWidth="1"/>
    <col min="7" max="7" width="3.5703125" style="187" customWidth="1"/>
    <col min="8" max="8" width="12.5703125" style="186" customWidth="1"/>
    <col min="9" max="9" width="7.140625" style="187" customWidth="1"/>
    <col min="10" max="10" width="11.5703125" style="187" customWidth="1"/>
    <col min="11" max="11" width="12" style="187" customWidth="1"/>
    <col min="12" max="12" width="11" style="187" customWidth="1"/>
    <col min="13" max="18" width="9.140625" style="186" hidden="1" customWidth="1"/>
    <col min="19" max="19" width="11.42578125" style="188" customWidth="1"/>
    <col min="20" max="20" width="9.5703125" style="188" customWidth="1"/>
    <col min="21" max="32" width="11" style="187" customWidth="1"/>
    <col min="33" max="33" width="5.5703125" style="187" hidden="1" customWidth="1"/>
    <col min="34" max="16384" width="9.140625" style="187"/>
  </cols>
  <sheetData>
    <row r="1" spans="1:33" hidden="1" x14ac:dyDescent="0.2">
      <c r="A1" s="187" t="e">
        <f ca="1">IF($M1&gt;1,_xlfn.CONCAT($I1," ",$J1),"")</f>
        <v>#REF!</v>
      </c>
      <c r="B1" s="186" t="e">
        <f ca="1">OFFSET(B1,-3,0)+1</f>
        <v>#REF!</v>
      </c>
      <c r="C1" s="186" t="e">
        <f ca="1">IF($R1&lt;&gt;2,0,IF($S1=0,1,IF(F2&gt;0,OFFSET(QCI!$M$13,SUBSTITUTE(F2,".",""),0),OFFSET(ORÇAMENTO!$AA$15,CRONO!$F1,0))/$S1))</f>
        <v>#REF!</v>
      </c>
      <c r="D1" s="186" t="e">
        <f ca="1">IF($R1&lt;&gt;2,0,IF($S1=0,1,IF(F2&gt;0,OFFSET(QCI!$N$13,SUBSTITUTE(F2,".",""),0),OFFSET(ORÇAMENTO!$AB$15,CRONO!$F1,0))/$S1))</f>
        <v>#REF!</v>
      </c>
      <c r="E1" s="189" t="e" cm="1">
        <f t="array" aca="1" ref="E1" ca="1">IF(AND($R1=2,ACOMPANHAMENTO="BM"),ROUND(E2,4),E3/$S1)</f>
        <v>#REF!</v>
      </c>
      <c r="F1" s="186" t="e">
        <f ca="1">IF(B1&lt;=ORÇAMENTO.MáximoListaCrono,MATCH(B1,ORÇAMENTO.ListaCrono,0),NA())</f>
        <v>#REF!</v>
      </c>
      <c r="G1" s="186" t="e">
        <f ca="1">IF(AND($F2&lt;&gt;-1,$S1&gt;0),"F","")</f>
        <v>#REF!</v>
      </c>
      <c r="H1" s="190" t="e" cm="1">
        <f t="array" aca="1" ref="H1" ca="1">IF(OR(S1=0,S1=""),"Linha",IF(AND(OR(ACOMPANHAMENTO="PLE",$R1&lt;&gt;2),$F2=0),"Linha",ROUND(1-SUM(U1:AG1),4)))</f>
        <v>#REF!</v>
      </c>
      <c r="I1" s="191" t="e">
        <f ca="1">IF($F2=0,OFFSET(ORÇAMENTO!O$15,$F1,0),IF($F2&lt;&gt;-1,OFFSET(QCI!$D$13,$F2,0),""))</f>
        <v>#REF!</v>
      </c>
      <c r="J1" s="192" t="e">
        <f ca="1">IF($F2=0,OFFSET(ORÇAMENTO!R$15,$F1,0),IF($F2&lt;&gt;-1,OFFSET(QCI!$G$13,$F2,0),""))</f>
        <v>#REF!</v>
      </c>
      <c r="K1" s="192"/>
      <c r="L1" s="192"/>
      <c r="M1" s="193" t="e">
        <f ca="1">IF($F2=0,OFFSET(ORÇAMENTO!C$15,$F1,0),1)</f>
        <v>#REF!</v>
      </c>
      <c r="N1" s="194" t="e">
        <f ca="1">IF($F2=-1,0,IF(N$13&lt;=$M1,IF(ISERROR(MATCH(N$13,OFFSET($M1,1,0,ROW($M$101)-ROW($M1)-1),0)),ROW($M$101)-ROW($M1)-1,MATCH(N$13,OFFSET($M1,1,0,ROW($M$101)-ROW($M1)-1),0)-1),0))</f>
        <v>#REF!</v>
      </c>
      <c r="O1" s="194" t="e">
        <f ca="1">IF($F2=-1,0,IF(O$13&lt;=$M1,IF(ISERROR(MATCH(O$13,OFFSET($M1,1,0,ROW($M$101)-ROW($M1)-1),0)),ROW($M$101)-ROW($M1)-1,MATCH(O$13,OFFSET($M1,1,0,ROW($M$101)-ROW($M1)-1),0)-1),0))</f>
        <v>#REF!</v>
      </c>
      <c r="P1" s="194" t="e">
        <f ca="1">IF($F2=-1,0,IF(P$13&lt;=$M1,IF(ISERROR(MATCH(P$13,OFFSET($M1,1,0,ROW($M$101)-ROW($M1)-1),0)),ROW($M$101)-ROW($M1)-1,MATCH(P$13,OFFSET($M1,1,0,ROW($M$101)-ROW($M1)-1),0)-1),0))</f>
        <v>#REF!</v>
      </c>
      <c r="Q1" s="194" t="e">
        <f ca="1">IF($F2=-1,0,IF(Q$13&lt;=$M1,IF(ISERROR(MATCH(Q$13,OFFSET($M1,1,0,ROW($M$101)-ROW($M1)-1),0)),ROW($M$101)-ROW($M1)-1,MATCH(Q$13,OFFSET($M1,1,0,ROW($M$101)-ROW($M1)-1),0)-1),0))</f>
        <v>#REF!</v>
      </c>
      <c r="R1" s="194" t="e">
        <f ca="1">MIN(OFFSET(M1,0,1,,M1))</f>
        <v>#REF!</v>
      </c>
      <c r="S1" s="195" t="e">
        <f ca="1">IF($F2=0,OFFSET(ORÇAMENTO!X$15,$F1,0),IF($F2&lt;&gt;-1,OFFSET(QCI!$O$13,$F2,0),""))</f>
        <v>#REF!</v>
      </c>
      <c r="T1" s="196" t="s">
        <v>786</v>
      </c>
      <c r="U1" s="189" t="e" cm="1">
        <f t="array" aca="1" ref="U1" ca="1">IF(AND($R1=2,ACOMPANHAMENTO="BM"),ROUND(U2,4),U3/$S1)</f>
        <v>#REF!</v>
      </c>
      <c r="V1" s="189" t="e" cm="1">
        <f t="array" aca="1" ref="V1" ca="1">IF(AND($R1=2,ACOMPANHAMENTO="BM"),ROUND(V2,4),V3/$S1)</f>
        <v>#REF!</v>
      </c>
      <c r="W1" s="189" t="e" cm="1">
        <f t="array" aca="1" ref="W1" ca="1">IF(AND($R1=2,ACOMPANHAMENTO="BM"),ROUND(W2,4),W3/$S1)</f>
        <v>#REF!</v>
      </c>
      <c r="X1" s="189" t="e" cm="1">
        <f t="array" aca="1" ref="X1" ca="1">IF(AND($R1=2,ACOMPANHAMENTO="BM"),ROUND(X2,4),X3/$S1)</f>
        <v>#REF!</v>
      </c>
      <c r="Y1" s="189" t="e" cm="1">
        <f t="array" aca="1" ref="Y1" ca="1">IF(AND($R1=2,ACOMPANHAMENTO="BM"),ROUND(Y2,4),Y3/$S1)</f>
        <v>#REF!</v>
      </c>
      <c r="Z1" s="189" t="e" cm="1">
        <f t="array" aca="1" ref="Z1" ca="1">IF(AND($R1=2,ACOMPANHAMENTO="BM"),ROUND(Z2,4),Z3/$S1)</f>
        <v>#REF!</v>
      </c>
      <c r="AA1" s="189" t="e" cm="1">
        <f t="array" aca="1" ref="AA1" ca="1">IF(AND($R1=2,ACOMPANHAMENTO="BM"),ROUND(AA2,4),AA3/$S1)</f>
        <v>#REF!</v>
      </c>
      <c r="AB1" s="189" t="e" cm="1">
        <f t="array" aca="1" ref="AB1" ca="1">IF(AND($R1=2,ACOMPANHAMENTO="BM"),ROUND(AB2,4),AB3/$S1)</f>
        <v>#REF!</v>
      </c>
      <c r="AC1" s="189" t="e" cm="1">
        <f t="array" aca="1" ref="AC1" ca="1">IF(AND($R1=2,ACOMPANHAMENTO="BM"),ROUND(AC2,4),AC3/$S1)</f>
        <v>#REF!</v>
      </c>
      <c r="AD1" s="189" t="e" cm="1">
        <f t="array" aca="1" ref="AD1" ca="1">IF(AND($R1=2,ACOMPANHAMENTO="BM"),ROUND(AD2,4),AD3/$S1)</f>
        <v>#REF!</v>
      </c>
      <c r="AE1" s="189" t="e" cm="1">
        <f t="array" aca="1" ref="AE1" ca="1">IF(AND($R1=2,ACOMPANHAMENTO="BM"),ROUND(AE2,4),AE3/$S1)</f>
        <v>#REF!</v>
      </c>
      <c r="AF1" s="189" t="e" cm="1">
        <f t="array" aca="1" ref="AF1" ca="1">IF(AND($R1=2,ACOMPANHAMENTO="BM"),ROUND(AF2,4),AF3/$S1)</f>
        <v>#REF!</v>
      </c>
      <c r="AG1" s="535"/>
    </row>
    <row r="2" spans="1:33" ht="12.75" hidden="1" customHeight="1" x14ac:dyDescent="0.2">
      <c r="E2" s="588"/>
      <c r="F2" s="186" t="e">
        <f ca="1">IF(ISERROR(F1),IF(1+COUNTIF($M$13:OFFSET(M1,-1,0),1)&lt;=MAX(QCI!$D$13:$D$15),1+COUNTIF($M$13:OFFSET(M1,-1,0),1),-1),0)</f>
        <v>#REF!</v>
      </c>
      <c r="G2" s="186" t="e" cm="1">
        <f t="array" aca="1" ref="G2" ca="1">IF(ACOMPANHAMENTO="BM",OFFSET(G2,-1,0),"")</f>
        <v>#REF!</v>
      </c>
      <c r="H2" s="197" t="e" cm="1">
        <f t="array" aca="1" ref="H2" ca="1">IF(OR(S1=0,S1=""),"vazia",IF(AND(OR(ACOMPANHAMENTO="PLE",$R1&lt;&gt;2),$F2=0),"calculada","--&gt;"))</f>
        <v>#REF!</v>
      </c>
      <c r="I2" s="198"/>
      <c r="J2" s="199" t="e">
        <f ca="1">IF(AND(H1&lt;&gt;0,ISNUMBER(H1)),"PREENCHA ESTA LINHA --&gt;","")</f>
        <v>#REF!</v>
      </c>
      <c r="K2" s="199"/>
      <c r="L2" s="199"/>
      <c r="M2" s="200"/>
      <c r="N2" s="200"/>
      <c r="O2" s="200"/>
      <c r="P2" s="200"/>
      <c r="Q2" s="200"/>
      <c r="R2" s="200"/>
      <c r="S2" s="201"/>
      <c r="T2" s="202"/>
      <c r="U2" s="588"/>
      <c r="V2" s="588"/>
      <c r="W2" s="588"/>
      <c r="X2" s="588"/>
      <c r="Y2" s="588"/>
      <c r="Z2" s="588"/>
      <c r="AA2" s="588"/>
      <c r="AB2" s="588"/>
      <c r="AC2" s="588"/>
      <c r="AD2" s="588"/>
      <c r="AE2" s="588"/>
      <c r="AF2" s="588"/>
      <c r="AG2" s="535"/>
    </row>
    <row r="3" spans="1:33" ht="12.75" hidden="1" customHeight="1" x14ac:dyDescent="0.2">
      <c r="D3" s="534"/>
      <c r="E3" s="203" t="e" cm="1">
        <f t="array" aca="1" ref="E3" ca="1">IF($R1=2,
         IF(AND(ACOMPANHAMENTO="PLE",ISNUMBER($F1)),
                SUMIF((OFFSET(CÁLCULO!$AM$15:$AW$15,$F1,0,OFFSET(ORÇAMENTO!$D$15,CRONO!$F1,0))),CRONO!E$12,OFFSET(CÁLCULO!$AB$15:$AL$15,$F1,0,OFFSET(ORÇAMENTO!$D$15,CRONO!$F1,0)))
                +IF(AND($F3&lt;&gt;"",$F3&lt;&gt;0),
                        SUMIF(CÁLCULO!$AM$15:$AW$231,CRONO!E$12,CÁLCULO!$AB$15:$AL$231)/(ORÇAMENTO!$X$15-_xlfn.SINGLE(CÁLCULO.TotalAdmLocal))*CRONO!$F3,
                        0),
                 E2*$S1),
          SUMIF(OFFSET($S3,1,0,$R1-2),($M1+1)&amp;"$",OFFSET(E3,1,0,$R1-2)))</f>
        <v>#REF!</v>
      </c>
      <c r="F3" s="186" t="e">
        <f ca="1">IF(OR($R1&lt;&gt;2,AUTOEVENTO&lt;&gt;"manual",$F2&gt;0),"",
        IF(Import.TipoArredondamento="Tradicional",
              SUMIF(OFFSET(CÁLCULO!$M$15,CRONO!$F1,0,OFFSET(ORÇAMENTO!$D$15,CRONO!$F1,0)),1,OFFSET(ORÇAMENTO!$X$15,CRONO!$F1,0,OFFSET(ORÇAMENTO!$D$15,CRONO!$F1,0))),
              0))</f>
        <v>#REF!</v>
      </c>
      <c r="H3" s="204"/>
      <c r="S3" s="205" t="e">
        <f ca="1">M1&amp;"$"</f>
        <v>#REF!</v>
      </c>
      <c r="T3" s="206"/>
      <c r="U3" s="203" t="e" cm="1">
        <f t="array" aca="1" ref="U3" ca="1">IF($R1=2,
         IF(AND(ACOMPANHAMENTO="PLE",ISNUMBER($F1)),
                SUMIF((OFFSET(CÁLCULO!$AM$15:$AW$15,$F1,0,OFFSET(ORÇAMENTO!$D$15,CRONO!$F1,0))),CRONO!U$12,OFFSET(CÁLCULO!$AB$15:$AL$15,$F1,0,OFFSET(ORÇAMENTO!$D$15,CRONO!$F1,0)))
                +IF(AND($F3&lt;&gt;"",$F3&lt;&gt;0),
                        SUMIF(CÁLCULO!$AM$15:$AW$231,CRONO!U$12,CÁLCULO!$AB$15:$AL$231)/(ORÇAMENTO!$X$15-_xlfn.SINGLE(CÁLCULO.TotalAdmLocal))*CRONO!$F3,
                        0),
                 U2*$S1),
          SUMIF(OFFSET($S3,1,0,$R1-2),($M1+1)&amp;"$",OFFSET(U3,1,0,$R1-2)))</f>
        <v>#REF!</v>
      </c>
      <c r="V3" s="203" t="e" cm="1">
        <f t="array" aca="1" ref="V3" ca="1">IF($R1=2,
         IF(AND(ACOMPANHAMENTO="PLE",ISNUMBER($F1)),
                SUMIF((OFFSET(CÁLCULO!$AM$15:$AW$15,$F1,0,OFFSET(ORÇAMENTO!$D$15,CRONO!$F1,0))),CRONO!V$12,OFFSET(CÁLCULO!$AB$15:$AL$15,$F1,0,OFFSET(ORÇAMENTO!$D$15,CRONO!$F1,0)))
                +IF(AND($F3&lt;&gt;"",$F3&lt;&gt;0),
                        SUMIF(CÁLCULO!$AM$15:$AW$231,CRONO!V$12,CÁLCULO!$AB$15:$AL$231)/(ORÇAMENTO!$X$15-_xlfn.SINGLE(CÁLCULO.TotalAdmLocal))*CRONO!$F3,
                        0),
                 V2*$S1),
          SUMIF(OFFSET($S3,1,0,$R1-2),($M1+1)&amp;"$",OFFSET(V3,1,0,$R1-2)))</f>
        <v>#REF!</v>
      </c>
      <c r="W3" s="203" t="e" cm="1">
        <f t="array" aca="1" ref="W3" ca="1">IF($R1=2,
         IF(AND(ACOMPANHAMENTO="PLE",ISNUMBER($F1)),
                SUMIF((OFFSET(CÁLCULO!$AM$15:$AW$15,$F1,0,OFFSET(ORÇAMENTO!$D$15,CRONO!$F1,0))),CRONO!W$12,OFFSET(CÁLCULO!$AB$15:$AL$15,$F1,0,OFFSET(ORÇAMENTO!$D$15,CRONO!$F1,0)))
                +IF(AND($F3&lt;&gt;"",$F3&lt;&gt;0),
                        SUMIF(CÁLCULO!$AM$15:$AW$231,CRONO!W$12,CÁLCULO!$AB$15:$AL$231)/(ORÇAMENTO!$X$15-_xlfn.SINGLE(CÁLCULO.TotalAdmLocal))*CRONO!$F3,
                        0),
                 W2*$S1),
          SUMIF(OFFSET($S3,1,0,$R1-2),($M1+1)&amp;"$",OFFSET(W3,1,0,$R1-2)))</f>
        <v>#REF!</v>
      </c>
      <c r="X3" s="203" t="e" cm="1">
        <f t="array" aca="1" ref="X3" ca="1">IF($R1=2,
         IF(AND(ACOMPANHAMENTO="PLE",ISNUMBER($F1)),
                SUMIF((OFFSET(CÁLCULO!$AM$15:$AW$15,$F1,0,OFFSET(ORÇAMENTO!$D$15,CRONO!$F1,0))),CRONO!X$12,OFFSET(CÁLCULO!$AB$15:$AL$15,$F1,0,OFFSET(ORÇAMENTO!$D$15,CRONO!$F1,0)))
                +IF(AND($F3&lt;&gt;"",$F3&lt;&gt;0),
                        SUMIF(CÁLCULO!$AM$15:$AW$231,CRONO!X$12,CÁLCULO!$AB$15:$AL$231)/(ORÇAMENTO!$X$15-_xlfn.SINGLE(CÁLCULO.TotalAdmLocal))*CRONO!$F3,
                        0),
                 X2*$S1),
          SUMIF(OFFSET($S3,1,0,$R1-2),($M1+1)&amp;"$",OFFSET(X3,1,0,$R1-2)))</f>
        <v>#REF!</v>
      </c>
      <c r="Y3" s="203" t="e" cm="1">
        <f t="array" aca="1" ref="Y3" ca="1">IF($R1=2,
         IF(AND(ACOMPANHAMENTO="PLE",ISNUMBER($F1)),
                SUMIF((OFFSET(CÁLCULO!$AM$15:$AW$15,$F1,0,OFFSET(ORÇAMENTO!$D$15,CRONO!$F1,0))),CRONO!Y$12,OFFSET(CÁLCULO!$AB$15:$AL$15,$F1,0,OFFSET(ORÇAMENTO!$D$15,CRONO!$F1,0)))
                +IF(AND($F3&lt;&gt;"",$F3&lt;&gt;0),
                        SUMIF(CÁLCULO!$AM$15:$AW$231,CRONO!Y$12,CÁLCULO!$AB$15:$AL$231)/(ORÇAMENTO!$X$15-_xlfn.SINGLE(CÁLCULO.TotalAdmLocal))*CRONO!$F3,
                        0),
                 Y2*$S1),
          SUMIF(OFFSET($S3,1,0,$R1-2),($M1+1)&amp;"$",OFFSET(Y3,1,0,$R1-2)))</f>
        <v>#REF!</v>
      </c>
      <c r="Z3" s="203" t="e" cm="1">
        <f t="array" aca="1" ref="Z3" ca="1">IF($R1=2,
         IF(AND(ACOMPANHAMENTO="PLE",ISNUMBER($F1)),
                SUMIF((OFFSET(CÁLCULO!$AM$15:$AW$15,$F1,0,OFFSET(ORÇAMENTO!$D$15,CRONO!$F1,0))),CRONO!Z$12,OFFSET(CÁLCULO!$AB$15:$AL$15,$F1,0,OFFSET(ORÇAMENTO!$D$15,CRONO!$F1,0)))
                +IF(AND($F3&lt;&gt;"",$F3&lt;&gt;0),
                        SUMIF(CÁLCULO!$AM$15:$AW$231,CRONO!Z$12,CÁLCULO!$AB$15:$AL$231)/(ORÇAMENTO!$X$15-_xlfn.SINGLE(CÁLCULO.TotalAdmLocal))*CRONO!$F3,
                        0),
                 Z2*$S1),
          SUMIF(OFFSET($S3,1,0,$R1-2),($M1+1)&amp;"$",OFFSET(Z3,1,0,$R1-2)))</f>
        <v>#REF!</v>
      </c>
      <c r="AA3" s="203" t="e" cm="1">
        <f t="array" aca="1" ref="AA3" ca="1">IF($R1=2,
         IF(AND(ACOMPANHAMENTO="PLE",ISNUMBER($F1)),
                SUMIF((OFFSET(CÁLCULO!$AM$15:$AW$15,$F1,0,OFFSET(ORÇAMENTO!$D$15,CRONO!$F1,0))),CRONO!AA$12,OFFSET(CÁLCULO!$AB$15:$AL$15,$F1,0,OFFSET(ORÇAMENTO!$D$15,CRONO!$F1,0)))
                +IF(AND($F3&lt;&gt;"",$F3&lt;&gt;0),
                        SUMIF(CÁLCULO!$AM$15:$AW$231,CRONO!AA$12,CÁLCULO!$AB$15:$AL$231)/(ORÇAMENTO!$X$15-_xlfn.SINGLE(CÁLCULO.TotalAdmLocal))*CRONO!$F3,
                        0),
                 AA2*$S1),
          SUMIF(OFFSET($S3,1,0,$R1-2),($M1+1)&amp;"$",OFFSET(AA3,1,0,$R1-2)))</f>
        <v>#REF!</v>
      </c>
      <c r="AB3" s="203" t="e" cm="1">
        <f t="array" aca="1" ref="AB3" ca="1">IF($R1=2,
         IF(AND(ACOMPANHAMENTO="PLE",ISNUMBER($F1)),
                SUMIF((OFFSET(CÁLCULO!$AM$15:$AW$15,$F1,0,OFFSET(ORÇAMENTO!$D$15,CRONO!$F1,0))),CRONO!AB$12,OFFSET(CÁLCULO!$AB$15:$AL$15,$F1,0,OFFSET(ORÇAMENTO!$D$15,CRONO!$F1,0)))
                +IF(AND($F3&lt;&gt;"",$F3&lt;&gt;0),
                        SUMIF(CÁLCULO!$AM$15:$AW$231,CRONO!AB$12,CÁLCULO!$AB$15:$AL$231)/(ORÇAMENTO!$X$15-_xlfn.SINGLE(CÁLCULO.TotalAdmLocal))*CRONO!$F3,
                        0),
                 AB2*$S1),
          SUMIF(OFFSET($S3,1,0,$R1-2),($M1+1)&amp;"$",OFFSET(AB3,1,0,$R1-2)))</f>
        <v>#REF!</v>
      </c>
      <c r="AC3" s="203" t="e" cm="1">
        <f t="array" aca="1" ref="AC3" ca="1">IF($R1=2,
         IF(AND(ACOMPANHAMENTO="PLE",ISNUMBER($F1)),
                SUMIF((OFFSET(CÁLCULO!$AM$15:$AW$15,$F1,0,OFFSET(ORÇAMENTO!$D$15,CRONO!$F1,0))),CRONO!AC$12,OFFSET(CÁLCULO!$AB$15:$AL$15,$F1,0,OFFSET(ORÇAMENTO!$D$15,CRONO!$F1,0)))
                +IF(AND($F3&lt;&gt;"",$F3&lt;&gt;0),
                        SUMIF(CÁLCULO!$AM$15:$AW$231,CRONO!AC$12,CÁLCULO!$AB$15:$AL$231)/(ORÇAMENTO!$X$15-_xlfn.SINGLE(CÁLCULO.TotalAdmLocal))*CRONO!$F3,
                        0),
                 AC2*$S1),
          SUMIF(OFFSET($S3,1,0,$R1-2),($M1+1)&amp;"$",OFFSET(AC3,1,0,$R1-2)))</f>
        <v>#REF!</v>
      </c>
      <c r="AD3" s="203" t="e" cm="1">
        <f t="array" aca="1" ref="AD3" ca="1">IF($R1=2,
         IF(AND(ACOMPANHAMENTO="PLE",ISNUMBER($F1)),
                SUMIF((OFFSET(CÁLCULO!$AM$15:$AW$15,$F1,0,OFFSET(ORÇAMENTO!$D$15,CRONO!$F1,0))),CRONO!AD$12,OFFSET(CÁLCULO!$AB$15:$AL$15,$F1,0,OFFSET(ORÇAMENTO!$D$15,CRONO!$F1,0)))
                +IF(AND($F3&lt;&gt;"",$F3&lt;&gt;0),
                        SUMIF(CÁLCULO!$AM$15:$AW$231,CRONO!AD$12,CÁLCULO!$AB$15:$AL$231)/(ORÇAMENTO!$X$15-_xlfn.SINGLE(CÁLCULO.TotalAdmLocal))*CRONO!$F3,
                        0),
                 AD2*$S1),
          SUMIF(OFFSET($S3,1,0,$R1-2),($M1+1)&amp;"$",OFFSET(AD3,1,0,$R1-2)))</f>
        <v>#REF!</v>
      </c>
      <c r="AE3" s="203" t="e" cm="1">
        <f t="array" aca="1" ref="AE3" ca="1">IF($R1=2,
         IF(AND(ACOMPANHAMENTO="PLE",ISNUMBER($F1)),
                SUMIF((OFFSET(CÁLCULO!$AM$15:$AW$15,$F1,0,OFFSET(ORÇAMENTO!$D$15,CRONO!$F1,0))),CRONO!AE$12,OFFSET(CÁLCULO!$AB$15:$AL$15,$F1,0,OFFSET(ORÇAMENTO!$D$15,CRONO!$F1,0)))
                +IF(AND($F3&lt;&gt;"",$F3&lt;&gt;0),
                        SUMIF(CÁLCULO!$AM$15:$AW$231,CRONO!AE$12,CÁLCULO!$AB$15:$AL$231)/(ORÇAMENTO!$X$15-_xlfn.SINGLE(CÁLCULO.TotalAdmLocal))*CRONO!$F3,
                        0),
                 AE2*$S1),
          SUMIF(OFFSET($S3,1,0,$R1-2),($M1+1)&amp;"$",OFFSET(AE3,1,0,$R1-2)))</f>
        <v>#REF!</v>
      </c>
      <c r="AF3" s="203" t="e" cm="1">
        <f t="array" aca="1" ref="AF3" ca="1">IF($R1=2,
         IF(AND(ACOMPANHAMENTO="PLE",ISNUMBER($F1)),
                SUMIF((OFFSET(CÁLCULO!$AM$15:$AW$15,$F1,0,OFFSET(ORÇAMENTO!$D$15,CRONO!$F1,0))),CRONO!AF$12,OFFSET(CÁLCULO!$AB$15:$AL$15,$F1,0,OFFSET(ORÇAMENTO!$D$15,CRONO!$F1,0)))
                +IF(AND($F3&lt;&gt;"",$F3&lt;&gt;0),
                        SUMIF(CÁLCULO!$AM$15:$AW$231,CRONO!AF$12,CÁLCULO!$AB$15:$AL$231)/(ORÇAMENTO!$X$15-_xlfn.SINGLE(CÁLCULO.TotalAdmLocal))*CRONO!$F3,
                        0),
                 AF2*$S1),
          SUMIF(OFFSET($S3,1,0,$R1-2),($M1+1)&amp;"$",OFFSET(AF3,1,0,$R1-2)))</f>
        <v>#REF!</v>
      </c>
      <c r="AG3" s="535"/>
    </row>
    <row r="4" spans="1:33" ht="15" customHeight="1" x14ac:dyDescent="0.25">
      <c r="S4" s="207" t="str">
        <f>IF(TIPOORCAMENTO="licitado","CFF - CRONOGRAMA FÍSICO-FINANCEIRO LICITADO","CFF - CRONOGRAMA FÍSICO-FINANCEIRO")</f>
        <v>CFF - CRONOGRAMA FÍSICO-FINANCEIRO</v>
      </c>
      <c r="AE4" s="729" t="s">
        <v>645</v>
      </c>
      <c r="AF4" s="729"/>
    </row>
    <row r="5" spans="1:33" ht="15" x14ac:dyDescent="0.2">
      <c r="S5" s="83" t="str">
        <f>import.recurso</f>
        <v>FGTS</v>
      </c>
      <c r="AE5" s="730" t="s">
        <v>648</v>
      </c>
      <c r="AF5" s="730"/>
    </row>
    <row r="6" spans="1:33" ht="12.75" customHeight="1" x14ac:dyDescent="0.2"/>
    <row r="7" spans="1:33" ht="12.75" customHeight="1" x14ac:dyDescent="0.2">
      <c r="F7" s="208"/>
      <c r="H7" s="812" t="s">
        <v>787</v>
      </c>
      <c r="I7" s="209" t="s">
        <v>651</v>
      </c>
      <c r="J7" s="210"/>
      <c r="K7" s="211" t="s">
        <v>788</v>
      </c>
      <c r="L7" s="212" t="s">
        <v>789</v>
      </c>
      <c r="M7" s="187"/>
      <c r="N7" s="187"/>
      <c r="O7" s="187"/>
      <c r="T7" s="213"/>
      <c r="U7" s="209" t="s">
        <v>759</v>
      </c>
      <c r="Y7" s="210"/>
      <c r="Z7" s="209" t="str">
        <f>IF(TIPOORCAMENTO="Licitado","NOME DA EMPRESA","DESCRIÇÃO DO LOTE")</f>
        <v>DESCRIÇÃO DO LOTE</v>
      </c>
      <c r="AF7" s="214" t="str">
        <f>IF(TIPOORCAMENTO="Licitado","Nº CTEF","")</f>
        <v/>
      </c>
    </row>
    <row r="8" spans="1:33" x14ac:dyDescent="0.2">
      <c r="E8" s="186"/>
      <c r="F8" s="115"/>
      <c r="G8" s="757" t="s">
        <v>656</v>
      </c>
      <c r="H8" s="812"/>
      <c r="I8" s="811" t="str">
        <f>Import.CR</f>
        <v>0639.998-99</v>
      </c>
      <c r="J8" s="811"/>
      <c r="K8" s="215" t="str">
        <f>Import.TransfereGOV</f>
        <v>56000003291</v>
      </c>
      <c r="L8" s="821" t="str">
        <f>Import.Proponente</f>
        <v>PREFEITURA MUNICIPAL DE PASSOS/MG</v>
      </c>
      <c r="M8" s="821"/>
      <c r="N8" s="821"/>
      <c r="O8" s="821"/>
      <c r="P8" s="821"/>
      <c r="Q8" s="821"/>
      <c r="R8" s="821"/>
      <c r="S8" s="821"/>
      <c r="T8" s="821"/>
      <c r="U8" s="811" t="str">
        <f>Import.Apelido</f>
        <v>AMPLIAÇÃO DO SISTEMA DE ESGOTAMENTO SANITÁRIO</v>
      </c>
      <c r="V8" s="811"/>
      <c r="W8" s="811"/>
      <c r="X8" s="811"/>
      <c r="Y8" s="811"/>
      <c r="Z8" s="813" t="str">
        <f>IF(TIPOORCAMENTO="Licitado",Import.empresa,Import.DescLote)</f>
        <v>ELEVATÓRIA DE ESGOTO BRUTO ACLIMAÇÃO, LINHA DE RECALQUE E EMISSÁRIO DE ESGOTO</v>
      </c>
      <c r="AA8" s="813"/>
      <c r="AB8" s="813"/>
      <c r="AC8" s="813"/>
      <c r="AD8" s="813"/>
      <c r="AE8" s="813"/>
      <c r="AF8" s="204" t="str">
        <f>IF(TIPOORCAMENTO="Licitado",Import.CTEF,"")</f>
        <v/>
      </c>
    </row>
    <row r="9" spans="1:33" x14ac:dyDescent="0.2">
      <c r="F9" s="115"/>
      <c r="G9" s="757"/>
      <c r="H9" s="812"/>
    </row>
    <row r="10" spans="1:33" x14ac:dyDescent="0.2">
      <c r="F10" s="186" cm="1">
        <f t="array" aca="1" ref="F10" ca="1">CRONO.LinhasNecessarias</f>
        <v>33</v>
      </c>
      <c r="G10" s="757"/>
      <c r="H10" s="216">
        <v>2</v>
      </c>
      <c r="K10" s="822" t="str" cm="1">
        <f t="array" aca="1" ref="K10" ca="1">IF(MAX($B$13:$B$101)&lt;CRONO.LinhasNecessarias,"ERRO: NÚMERO DE LINHAS DO CRONOGRAMA INSUFICIENTE. CLIQUE EM ATUALIZAR LINHAS.",IF(AND(ACOMPANHAMENTO="PLE",ROUND(OFFSET($AG$111,0,-1),2)=0),"CRONOGRAMA DEVE SER PREENCHIDO POR EVENTOS",IF(ROUND(OFFSET($AG$111,0,-1),2)&lt;&gt;$R$102,"ERRO: CRONOGRAMA NÃO FECHA 100%","")))</f>
        <v>ERRO: NÚMERO DE LINHAS DO CRONOGRAMA INSUFICIENTE. CLIQUE EM ATUALIZAR LINHAS.</v>
      </c>
      <c r="L10" s="822"/>
      <c r="M10" s="822"/>
      <c r="N10" s="822"/>
      <c r="O10" s="822"/>
      <c r="P10" s="822"/>
      <c r="Q10" s="822"/>
      <c r="R10" s="822"/>
      <c r="S10" s="822"/>
      <c r="T10" s="822"/>
    </row>
    <row r="11" spans="1:33" ht="12.75" customHeight="1" x14ac:dyDescent="0.2">
      <c r="F11" s="186" t="e" cm="1">
        <f t="array" aca="1" ref="F11" ca="1">CRONO.ParcelaFinal</f>
        <v>#N/A</v>
      </c>
      <c r="G11" s="757"/>
      <c r="I11" s="217"/>
      <c r="J11" s="217"/>
      <c r="K11" s="822"/>
      <c r="L11" s="822"/>
      <c r="M11" s="822"/>
      <c r="N11" s="822"/>
      <c r="O11" s="822"/>
      <c r="P11" s="822"/>
      <c r="Q11" s="822"/>
      <c r="R11" s="822"/>
      <c r="S11" s="822"/>
      <c r="T11" s="822"/>
    </row>
    <row r="12" spans="1:33" ht="12.75" customHeight="1" x14ac:dyDescent="0.2">
      <c r="A12" s="187" t="s">
        <v>790</v>
      </c>
      <c r="E12" s="218">
        <f ca="1">OFFSET(E12,0,-1)+1</f>
        <v>1</v>
      </c>
      <c r="G12" s="107" t="s">
        <v>661</v>
      </c>
      <c r="H12" s="814" t="s">
        <v>791</v>
      </c>
      <c r="I12" s="815" t="s">
        <v>736</v>
      </c>
      <c r="J12" s="816" t="s">
        <v>118</v>
      </c>
      <c r="K12" s="219"/>
      <c r="L12" s="219"/>
      <c r="M12" s="220"/>
      <c r="N12" s="220"/>
      <c r="O12" s="220"/>
      <c r="P12" s="220"/>
      <c r="Q12" s="220"/>
      <c r="R12" s="220"/>
      <c r="S12" s="819" t="s">
        <v>792</v>
      </c>
      <c r="T12" s="820" t="s">
        <v>793</v>
      </c>
      <c r="U12" s="221">
        <v>1</v>
      </c>
      <c r="V12" s="218">
        <f ca="1">OFFSET(V12,0,-1)+1</f>
        <v>2</v>
      </c>
      <c r="W12" s="218">
        <f t="shared" ref="W12:AF12" ca="1" si="0">OFFSET(W12,0,-1)+1</f>
        <v>3</v>
      </c>
      <c r="X12" s="218">
        <f t="shared" ca="1" si="0"/>
        <v>4</v>
      </c>
      <c r="Y12" s="218">
        <f t="shared" ca="1" si="0"/>
        <v>5</v>
      </c>
      <c r="Z12" s="218">
        <f t="shared" ca="1" si="0"/>
        <v>6</v>
      </c>
      <c r="AA12" s="218">
        <f t="shared" ca="1" si="0"/>
        <v>7</v>
      </c>
      <c r="AB12" s="218">
        <f t="shared" ca="1" si="0"/>
        <v>8</v>
      </c>
      <c r="AC12" s="218">
        <f t="shared" ca="1" si="0"/>
        <v>9</v>
      </c>
      <c r="AD12" s="218">
        <f t="shared" ca="1" si="0"/>
        <v>10</v>
      </c>
      <c r="AE12" s="218">
        <f t="shared" ca="1" si="0"/>
        <v>11</v>
      </c>
      <c r="AF12" s="538">
        <f t="shared" ca="1" si="0"/>
        <v>12</v>
      </c>
      <c r="AG12" s="535"/>
    </row>
    <row r="13" spans="1:33" ht="24.95" customHeight="1" x14ac:dyDescent="0.2">
      <c r="B13" s="222" t="s">
        <v>794</v>
      </c>
      <c r="C13" s="222" t="s">
        <v>457</v>
      </c>
      <c r="D13" s="222" t="s">
        <v>795</v>
      </c>
      <c r="E13" s="223" t="e">
        <f ca="1">OFFSET(E13,0,-1)+41-DAY(OFFSET(E13,0,-1)+40)</f>
        <v>#VALUE!</v>
      </c>
      <c r="F13" s="222" t="s">
        <v>796</v>
      </c>
      <c r="H13" s="814"/>
      <c r="I13" s="815"/>
      <c r="J13" s="816"/>
      <c r="K13" s="224"/>
      <c r="L13" s="224"/>
      <c r="M13" s="225" t="s">
        <v>734</v>
      </c>
      <c r="N13" s="225">
        <v>1</v>
      </c>
      <c r="O13" s="225">
        <v>2</v>
      </c>
      <c r="P13" s="225">
        <v>3</v>
      </c>
      <c r="Q13" s="225">
        <v>4</v>
      </c>
      <c r="R13" s="226" t="s">
        <v>797</v>
      </c>
      <c r="S13" s="819"/>
      <c r="T13" s="820"/>
      <c r="U13" s="227">
        <v>45809</v>
      </c>
      <c r="V13" s="223">
        <f ca="1">OFFSET(V13,0,-1)+41-DAY(OFFSET(V13,0,-1)+40)</f>
        <v>45839</v>
      </c>
      <c r="W13" s="223">
        <f ca="1">OFFSET(W13,0,-1)+41-DAY(OFFSET(W13,0,-1)+40)</f>
        <v>45870</v>
      </c>
      <c r="X13" s="223">
        <f t="shared" ref="X13:AF13" ca="1" si="1">OFFSET(X13,0,-1)+41-DAY(OFFSET(X13,0,-1)+40)</f>
        <v>45901</v>
      </c>
      <c r="Y13" s="223">
        <f t="shared" ca="1" si="1"/>
        <v>45931</v>
      </c>
      <c r="Z13" s="223">
        <f t="shared" ca="1" si="1"/>
        <v>45962</v>
      </c>
      <c r="AA13" s="223">
        <f t="shared" ca="1" si="1"/>
        <v>45992</v>
      </c>
      <c r="AB13" s="223">
        <f t="shared" ca="1" si="1"/>
        <v>46023</v>
      </c>
      <c r="AC13" s="223">
        <f t="shared" ca="1" si="1"/>
        <v>46054</v>
      </c>
      <c r="AD13" s="223">
        <f t="shared" ca="1" si="1"/>
        <v>46082</v>
      </c>
      <c r="AE13" s="223">
        <f t="shared" ca="1" si="1"/>
        <v>46113</v>
      </c>
      <c r="AF13" s="539">
        <f t="shared" ca="1" si="1"/>
        <v>46143</v>
      </c>
      <c r="AG13" s="535"/>
    </row>
    <row r="14" spans="1:33" x14ac:dyDescent="0.2">
      <c r="A14" s="187" t="str">
        <f t="shared" ref="A14" ca="1" si="2">IF($M14&gt;1,_xlfn.CONCAT($I14," ",$J14),"")</f>
        <v/>
      </c>
      <c r="B14" s="186">
        <f t="shared" ref="B14" ca="1" si="3">OFFSET(B14,-3,0)+1</f>
        <v>1</v>
      </c>
      <c r="C14" s="186">
        <f ca="1">IF($R14&lt;&gt;2,0,IF($S14=0,1,IF(F15&gt;0,OFFSET(QCI!$M$13,SUBSTITUTE(F15,".",""),0),OFFSET(ORÇAMENTO!$AA$15,CRONO!$F14,0))/$S14))</f>
        <v>0</v>
      </c>
      <c r="D14" s="186">
        <f ca="1">IF($R14&lt;&gt;2,0,IF($S14=0,1,IF(F15&gt;0,OFFSET(QCI!$N$13,SUBSTITUTE(F15,".",""),0),OFFSET(ORÇAMENTO!$AB$15,CRONO!$F14,0))/$S14))</f>
        <v>0</v>
      </c>
      <c r="E14" s="189" t="e" cm="1">
        <f t="array" aca="1" ref="E14" ca="1">IF(AND($R14=2,ACOMPANHAMENTO="BM"),ROUND(E15,4),E16/$S14)</f>
        <v>#DIV/0!</v>
      </c>
      <c r="F14" s="186">
        <f ca="1">IF(B14&lt;=ORÇAMENTO.MáximoListaCrono,MATCH(B14,ORÇAMENTO.ListaCrono,0),NA())</f>
        <v>1</v>
      </c>
      <c r="G14" s="186" t="str">
        <f t="shared" ref="G14" ca="1" si="4">IF(AND($F15&lt;&gt;-1,$S14&gt;0),"F","")</f>
        <v/>
      </c>
      <c r="H14" s="190" t="str" cm="1">
        <f t="array" aca="1" ref="H14" ca="1">IF(OR(S14=0,S14=""),"Linha",IF(AND(OR(ACOMPANHAMENTO="PLE",$R14&lt;&gt;2),$F15=0),"Linha",ROUND(1-SUM(U14:AG14),4)))</f>
        <v>Linha</v>
      </c>
      <c r="I14" s="191" t="str">
        <f ca="1">IF($F15=0,OFFSET(ORÇAMENTO!O$15,$F14,0),IF($F15&lt;&gt;-1,OFFSET(QCI!$D$13,$F15,0),""))</f>
        <v>1.</v>
      </c>
      <c r="J14" s="192" t="str">
        <f ca="1">IF($F15=0,OFFSET(ORÇAMENTO!R$15,$F14,0),IF($F15&lt;&gt;-1,OFFSET(QCI!$G$13,$F15,0),""))</f>
        <v>ELEVATÓRIA DE ESGOTO BRUTO ACLIMAÇÃO, LINHA DE RECALQUE E EMISSÁRIO DE ESGOTO</v>
      </c>
      <c r="K14" s="192"/>
      <c r="L14" s="192"/>
      <c r="M14" s="193">
        <f ca="1">IF($F15=0,OFFSET(ORÇAMENTO!C$15,$F14,0),1)</f>
        <v>1</v>
      </c>
      <c r="N14" s="194">
        <f ca="1">IF($F15=-1,0,IF(N$13&lt;=$M14,IF(ISERROR(MATCH(N$13,OFFSET($M14,1,0,ROW($M$101)-ROW($M14)-1),0)),ROW($M$101)-ROW($M14)-1,MATCH(N$13,OFFSET($M14,1,0,ROW($M$101)-ROW($M14)-1),0)-1),0))</f>
        <v>86</v>
      </c>
      <c r="O14" s="194">
        <f ca="1">IF($F15=-1,0,IF(O$13&lt;=$M14,IF(ISERROR(MATCH(O$13,OFFSET($M14,1,0,ROW($M$101)-ROW($M14)-1),0)),ROW($M$101)-ROW($M14)-1,MATCH(O$13,OFFSET($M14,1,0,ROW($M$101)-ROW($M14)-1),0)-1),0))</f>
        <v>0</v>
      </c>
      <c r="P14" s="194">
        <f ca="1">IF($F15=-1,0,IF(P$13&lt;=$M14,IF(ISERROR(MATCH(P$13,OFFSET($M14,1,0,ROW($M$101)-ROW($M14)-1),0)),ROW($M$101)-ROW($M14)-1,MATCH(P$13,OFFSET($M14,1,0,ROW($M$101)-ROW($M14)-1),0)-1),0))</f>
        <v>0</v>
      </c>
      <c r="Q14" s="194">
        <f ca="1">IF($F15=-1,0,IF(Q$13&lt;=$M14,IF(ISERROR(MATCH(Q$13,OFFSET($M14,1,0,ROW($M$101)-ROW($M14)-1),0)),ROW($M$101)-ROW($M14)-1,MATCH(Q$13,OFFSET($M14,1,0,ROW($M$101)-ROW($M14)-1),0)-1),0))</f>
        <v>0</v>
      </c>
      <c r="R14" s="194">
        <f t="shared" ref="R14" ca="1" si="5">MIN(OFFSET(M14,0,1,,M14))</f>
        <v>86</v>
      </c>
      <c r="S14" s="195">
        <f ca="1">IF($F15=0,OFFSET(ORÇAMENTO!X$15,$F14,0),IF($F15&lt;&gt;-1,OFFSET(QCI!$O$13,$F15,0),""))</f>
        <v>0</v>
      </c>
      <c r="T14" s="196" t="s">
        <v>786</v>
      </c>
      <c r="U14" s="189" t="e" cm="1">
        <f t="array" aca="1" ref="U14" ca="1">IF(AND($R14=2,ACOMPANHAMENTO="BM"),ROUND(U15,4),U16/$S14)</f>
        <v>#DIV/0!</v>
      </c>
      <c r="V14" s="189" t="e" cm="1">
        <f t="array" aca="1" ref="V14" ca="1">IF(AND($R14=2,ACOMPANHAMENTO="BM"),ROUND(V15,4),V16/$S14)</f>
        <v>#DIV/0!</v>
      </c>
      <c r="W14" s="189" t="e" cm="1">
        <f t="array" aca="1" ref="W14" ca="1">IF(AND($R14=2,ACOMPANHAMENTO="BM"),ROUND(W15,4),W16/$S14)</f>
        <v>#DIV/0!</v>
      </c>
      <c r="X14" s="189" t="e" cm="1">
        <f t="array" aca="1" ref="X14" ca="1">IF(AND($R14=2,ACOMPANHAMENTO="BM"),ROUND(X15,4),X16/$S14)</f>
        <v>#DIV/0!</v>
      </c>
      <c r="Y14" s="189" t="e" cm="1">
        <f t="array" aca="1" ref="Y14" ca="1">IF(AND($R14=2,ACOMPANHAMENTO="BM"),ROUND(Y15,4),Y16/$S14)</f>
        <v>#DIV/0!</v>
      </c>
      <c r="Z14" s="189" t="e" cm="1">
        <f t="array" aca="1" ref="Z14" ca="1">IF(AND($R14=2,ACOMPANHAMENTO="BM"),ROUND(Z15,4),Z16/$S14)</f>
        <v>#DIV/0!</v>
      </c>
      <c r="AA14" s="189" t="e" cm="1">
        <f t="array" aca="1" ref="AA14" ca="1">IF(AND($R14=2,ACOMPANHAMENTO="BM"),ROUND(AA15,4),AA16/$S14)</f>
        <v>#DIV/0!</v>
      </c>
      <c r="AB14" s="189" t="e" cm="1">
        <f t="array" aca="1" ref="AB14" ca="1">IF(AND($R14=2,ACOMPANHAMENTO="BM"),ROUND(AB15,4),AB16/$S14)</f>
        <v>#DIV/0!</v>
      </c>
      <c r="AC14" s="189" t="e" cm="1">
        <f t="array" aca="1" ref="AC14" ca="1">IF(AND($R14=2,ACOMPANHAMENTO="BM"),ROUND(AC15,4),AC16/$S14)</f>
        <v>#DIV/0!</v>
      </c>
      <c r="AD14" s="189" t="e" cm="1">
        <f t="array" aca="1" ref="AD14" ca="1">IF(AND($R14=2,ACOMPANHAMENTO="BM"),ROUND(AD15,4),AD16/$S14)</f>
        <v>#DIV/0!</v>
      </c>
      <c r="AE14" s="189" t="e" cm="1">
        <f t="array" aca="1" ref="AE14" ca="1">IF(AND($R14=2,ACOMPANHAMENTO="BM"),ROUND(AE15,4),AE16/$S14)</f>
        <v>#DIV/0!</v>
      </c>
      <c r="AF14" s="189" t="e" cm="1">
        <f t="array" aca="1" ref="AF14" ca="1">IF(AND($R14=2,ACOMPANHAMENTO="BM"),ROUND(AF15,4),AF16/$S14)</f>
        <v>#DIV/0!</v>
      </c>
      <c r="AG14" s="535"/>
    </row>
    <row r="15" spans="1:33" ht="12.75" customHeight="1" x14ac:dyDescent="0.2">
      <c r="E15" s="588"/>
      <c r="F15" s="186">
        <f ca="1">IF(ISERROR(F14),IF(1+COUNTIF($M$13:OFFSET(M14,-1,0),1)&lt;=MAX(QCI!$D$13:$D$15),1+COUNTIF($M$13:OFFSET(M14,-1,0),1),-1),0)</f>
        <v>0</v>
      </c>
      <c r="G15" s="186" t="str" cm="1">
        <f t="array" aca="1" ref="G15" ca="1">IF(ACOMPANHAMENTO="BM",OFFSET(G15,-1,0),"")</f>
        <v/>
      </c>
      <c r="H15" s="197" t="str" cm="1">
        <f t="array" aca="1" ref="H15" ca="1">IF(OR(S14=0,S14=""),"vazia",IF(AND(OR(ACOMPANHAMENTO="PLE",$R14&lt;&gt;2),$F15=0),"calculada","--&gt;"))</f>
        <v>vazia</v>
      </c>
      <c r="I15" s="198"/>
      <c r="J15" s="199" t="str">
        <f t="shared" ref="J15" ca="1" si="6">IF(AND(H14&lt;&gt;0,ISNUMBER(H14)),"PREENCHA ESTA LINHA --&gt;","")</f>
        <v/>
      </c>
      <c r="K15" s="199"/>
      <c r="L15" s="199"/>
      <c r="M15" s="200"/>
      <c r="N15" s="200"/>
      <c r="O15" s="200"/>
      <c r="P15" s="200"/>
      <c r="Q15" s="200"/>
      <c r="R15" s="200"/>
      <c r="S15" s="201"/>
      <c r="T15" s="202"/>
      <c r="U15" s="588"/>
      <c r="V15" s="588"/>
      <c r="W15" s="588"/>
      <c r="X15" s="588"/>
      <c r="Y15" s="588"/>
      <c r="Z15" s="588"/>
      <c r="AA15" s="588"/>
      <c r="AB15" s="588"/>
      <c r="AC15" s="588"/>
      <c r="AD15" s="588"/>
      <c r="AE15" s="588"/>
      <c r="AF15" s="588"/>
      <c r="AG15" s="535"/>
    </row>
    <row r="16" spans="1:33" ht="12.75" hidden="1" customHeight="1" x14ac:dyDescent="0.2">
      <c r="D16" s="534"/>
      <c r="E16" s="203" cm="1">
        <f t="array" aca="1" ref="E16" ca="1">IF($R14=2,
         IF(AND(ACOMPANHAMENTO="PLE",ISNUMBER($F14)),
                SUMIF((OFFSET(CÁLCULO!$AM$15:$AW$15,$F14,0,OFFSET(ORÇAMENTO!$D$15,CRONO!$F14,0))),CRONO!E$12,OFFSET(CÁLCULO!$AB$15:$AL$15,$F14,0,OFFSET(ORÇAMENTO!$D$15,CRONO!$F14,0)))
                +IF(AND($F16&lt;&gt;"",$F16&lt;&gt;0),
                        SUMIF(CÁLCULO!$AM$15:$AW$231,CRONO!E$12,CÁLCULO!$AB$15:$AL$231)/(ORÇAMENTO!$X$15-_xlfn.SINGLE(CÁLCULO.TotalAdmLocal))*CRONO!$F16,
                        0),
                 E15*$S14),
          SUMIF(OFFSET($S16,1,0,$R14-2),($M14+1)&amp;"$",OFFSET(E16,1,0,$R14-2)))</f>
        <v>0</v>
      </c>
      <c r="F16" s="186" t="str">
        <f ca="1">IF(OR($R14&lt;&gt;2,AUTOEVENTO&lt;&gt;"manual",$F15&gt;0),"",
        IF(Import.TipoArredondamento="Tradicional",
              SUMIF(OFFSET(CÁLCULO!$M$15,CRONO!$F14,0,OFFSET(ORÇAMENTO!$D$15,CRONO!$F14,0)),1,OFFSET(ORÇAMENTO!$X$15,CRONO!$F14,0,OFFSET(ORÇAMENTO!$D$15,CRONO!$F14,0))),
              0))</f>
        <v/>
      </c>
      <c r="H16" s="672"/>
      <c r="S16" s="205" t="str">
        <f t="shared" ref="S16" ca="1" si="7">M14&amp;"$"</f>
        <v>1$</v>
      </c>
      <c r="T16" s="206"/>
      <c r="U16" s="203" cm="1">
        <f t="array" aca="1" ref="U16" ca="1">IF($R14=2,
         IF(AND(ACOMPANHAMENTO="PLE",ISNUMBER($F14)),
                SUMIF((OFFSET(CÁLCULO!$AM$15:$AW$15,$F14,0,OFFSET(ORÇAMENTO!$D$15,CRONO!$F14,0))),CRONO!U$12,OFFSET(CÁLCULO!$AB$15:$AL$15,$F14,0,OFFSET(ORÇAMENTO!$D$15,CRONO!$F14,0)))
                +IF(AND($F16&lt;&gt;"",$F16&lt;&gt;0),
                        SUMIF(CÁLCULO!$AM$15:$AW$231,CRONO!U$12,CÁLCULO!$AB$15:$AL$231)/(ORÇAMENTO!$X$15-_xlfn.SINGLE(CÁLCULO.TotalAdmLocal))*CRONO!$F16,
                        0),
                 U15*$S14),
          SUMIF(OFFSET($S16,1,0,$R14-2),($M14+1)&amp;"$",OFFSET(U16,1,0,$R14-2)))</f>
        <v>0</v>
      </c>
      <c r="V16" s="203" cm="1">
        <f t="array" aca="1" ref="V16" ca="1">IF($R14=2,
         IF(AND(ACOMPANHAMENTO="PLE",ISNUMBER($F14)),
                SUMIF((OFFSET(CÁLCULO!$AM$15:$AW$15,$F14,0,OFFSET(ORÇAMENTO!$D$15,CRONO!$F14,0))),CRONO!V$12,OFFSET(CÁLCULO!$AB$15:$AL$15,$F14,0,OFFSET(ORÇAMENTO!$D$15,CRONO!$F14,0)))
                +IF(AND($F16&lt;&gt;"",$F16&lt;&gt;0),
                        SUMIF(CÁLCULO!$AM$15:$AW$231,CRONO!V$12,CÁLCULO!$AB$15:$AL$231)/(ORÇAMENTO!$X$15-_xlfn.SINGLE(CÁLCULO.TotalAdmLocal))*CRONO!$F16,
                        0),
                 V15*$S14),
          SUMIF(OFFSET($S16,1,0,$R14-2),($M14+1)&amp;"$",OFFSET(V16,1,0,$R14-2)))</f>
        <v>0</v>
      </c>
      <c r="W16" s="203" cm="1">
        <f t="array" aca="1" ref="W16" ca="1">IF($R14=2,
         IF(AND(ACOMPANHAMENTO="PLE",ISNUMBER($F14)),
                SUMIF((OFFSET(CÁLCULO!$AM$15:$AW$15,$F14,0,OFFSET(ORÇAMENTO!$D$15,CRONO!$F14,0))),CRONO!W$12,OFFSET(CÁLCULO!$AB$15:$AL$15,$F14,0,OFFSET(ORÇAMENTO!$D$15,CRONO!$F14,0)))
                +IF(AND($F16&lt;&gt;"",$F16&lt;&gt;0),
                        SUMIF(CÁLCULO!$AM$15:$AW$231,CRONO!W$12,CÁLCULO!$AB$15:$AL$231)/(ORÇAMENTO!$X$15-_xlfn.SINGLE(CÁLCULO.TotalAdmLocal))*CRONO!$F16,
                        0),
                 W15*$S14),
          SUMIF(OFFSET($S16,1,0,$R14-2),($M14+1)&amp;"$",OFFSET(W16,1,0,$R14-2)))</f>
        <v>0</v>
      </c>
      <c r="X16" s="203" cm="1">
        <f t="array" aca="1" ref="X16" ca="1">IF($R14=2,
         IF(AND(ACOMPANHAMENTO="PLE",ISNUMBER($F14)),
                SUMIF((OFFSET(CÁLCULO!$AM$15:$AW$15,$F14,0,OFFSET(ORÇAMENTO!$D$15,CRONO!$F14,0))),CRONO!X$12,OFFSET(CÁLCULO!$AB$15:$AL$15,$F14,0,OFFSET(ORÇAMENTO!$D$15,CRONO!$F14,0)))
                +IF(AND($F16&lt;&gt;"",$F16&lt;&gt;0),
                        SUMIF(CÁLCULO!$AM$15:$AW$231,CRONO!X$12,CÁLCULO!$AB$15:$AL$231)/(ORÇAMENTO!$X$15-_xlfn.SINGLE(CÁLCULO.TotalAdmLocal))*CRONO!$F16,
                        0),
                 X15*$S14),
          SUMIF(OFFSET($S16,1,0,$R14-2),($M14+1)&amp;"$",OFFSET(X16,1,0,$R14-2)))</f>
        <v>0</v>
      </c>
      <c r="Y16" s="203" cm="1">
        <f t="array" aca="1" ref="Y16" ca="1">IF($R14=2,
         IF(AND(ACOMPANHAMENTO="PLE",ISNUMBER($F14)),
                SUMIF((OFFSET(CÁLCULO!$AM$15:$AW$15,$F14,0,OFFSET(ORÇAMENTO!$D$15,CRONO!$F14,0))),CRONO!Y$12,OFFSET(CÁLCULO!$AB$15:$AL$15,$F14,0,OFFSET(ORÇAMENTO!$D$15,CRONO!$F14,0)))
                +IF(AND($F16&lt;&gt;"",$F16&lt;&gt;0),
                        SUMIF(CÁLCULO!$AM$15:$AW$231,CRONO!Y$12,CÁLCULO!$AB$15:$AL$231)/(ORÇAMENTO!$X$15-_xlfn.SINGLE(CÁLCULO.TotalAdmLocal))*CRONO!$F16,
                        0),
                 Y15*$S14),
          SUMIF(OFFSET($S16,1,0,$R14-2),($M14+1)&amp;"$",OFFSET(Y16,1,0,$R14-2)))</f>
        <v>0</v>
      </c>
      <c r="Z16" s="203" cm="1">
        <f t="array" aca="1" ref="Z16" ca="1">IF($R14=2,
         IF(AND(ACOMPANHAMENTO="PLE",ISNUMBER($F14)),
                SUMIF((OFFSET(CÁLCULO!$AM$15:$AW$15,$F14,0,OFFSET(ORÇAMENTO!$D$15,CRONO!$F14,0))),CRONO!Z$12,OFFSET(CÁLCULO!$AB$15:$AL$15,$F14,0,OFFSET(ORÇAMENTO!$D$15,CRONO!$F14,0)))
                +IF(AND($F16&lt;&gt;"",$F16&lt;&gt;0),
                        SUMIF(CÁLCULO!$AM$15:$AW$231,CRONO!Z$12,CÁLCULO!$AB$15:$AL$231)/(ORÇAMENTO!$X$15-_xlfn.SINGLE(CÁLCULO.TotalAdmLocal))*CRONO!$F16,
                        0),
                 Z15*$S14),
          SUMIF(OFFSET($S16,1,0,$R14-2),($M14+1)&amp;"$",OFFSET(Z16,1,0,$R14-2)))</f>
        <v>0</v>
      </c>
      <c r="AA16" s="203" cm="1">
        <f t="array" aca="1" ref="AA16" ca="1">IF($R14=2,
         IF(AND(ACOMPANHAMENTO="PLE",ISNUMBER($F14)),
                SUMIF((OFFSET(CÁLCULO!$AM$15:$AW$15,$F14,0,OFFSET(ORÇAMENTO!$D$15,CRONO!$F14,0))),CRONO!AA$12,OFFSET(CÁLCULO!$AB$15:$AL$15,$F14,0,OFFSET(ORÇAMENTO!$D$15,CRONO!$F14,0)))
                +IF(AND($F16&lt;&gt;"",$F16&lt;&gt;0),
                        SUMIF(CÁLCULO!$AM$15:$AW$231,CRONO!AA$12,CÁLCULO!$AB$15:$AL$231)/(ORÇAMENTO!$X$15-_xlfn.SINGLE(CÁLCULO.TotalAdmLocal))*CRONO!$F16,
                        0),
                 AA15*$S14),
          SUMIF(OFFSET($S16,1,0,$R14-2),($M14+1)&amp;"$",OFFSET(AA16,1,0,$R14-2)))</f>
        <v>0</v>
      </c>
      <c r="AB16" s="203" cm="1">
        <f t="array" aca="1" ref="AB16" ca="1">IF($R14=2,
         IF(AND(ACOMPANHAMENTO="PLE",ISNUMBER($F14)),
                SUMIF((OFFSET(CÁLCULO!$AM$15:$AW$15,$F14,0,OFFSET(ORÇAMENTO!$D$15,CRONO!$F14,0))),CRONO!AB$12,OFFSET(CÁLCULO!$AB$15:$AL$15,$F14,0,OFFSET(ORÇAMENTO!$D$15,CRONO!$F14,0)))
                +IF(AND($F16&lt;&gt;"",$F16&lt;&gt;0),
                        SUMIF(CÁLCULO!$AM$15:$AW$231,CRONO!AB$12,CÁLCULO!$AB$15:$AL$231)/(ORÇAMENTO!$X$15-_xlfn.SINGLE(CÁLCULO.TotalAdmLocal))*CRONO!$F16,
                        0),
                 AB15*$S14),
          SUMIF(OFFSET($S16,1,0,$R14-2),($M14+1)&amp;"$",OFFSET(AB16,1,0,$R14-2)))</f>
        <v>0</v>
      </c>
      <c r="AC16" s="203" cm="1">
        <f t="array" aca="1" ref="AC16" ca="1">IF($R14=2,
         IF(AND(ACOMPANHAMENTO="PLE",ISNUMBER($F14)),
                SUMIF((OFFSET(CÁLCULO!$AM$15:$AW$15,$F14,0,OFFSET(ORÇAMENTO!$D$15,CRONO!$F14,0))),CRONO!AC$12,OFFSET(CÁLCULO!$AB$15:$AL$15,$F14,0,OFFSET(ORÇAMENTO!$D$15,CRONO!$F14,0)))
                +IF(AND($F16&lt;&gt;"",$F16&lt;&gt;0),
                        SUMIF(CÁLCULO!$AM$15:$AW$231,CRONO!AC$12,CÁLCULO!$AB$15:$AL$231)/(ORÇAMENTO!$X$15-_xlfn.SINGLE(CÁLCULO.TotalAdmLocal))*CRONO!$F16,
                        0),
                 AC15*$S14),
          SUMIF(OFFSET($S16,1,0,$R14-2),($M14+1)&amp;"$",OFFSET(AC16,1,0,$R14-2)))</f>
        <v>0</v>
      </c>
      <c r="AD16" s="203" cm="1">
        <f t="array" aca="1" ref="AD16" ca="1">IF($R14=2,
         IF(AND(ACOMPANHAMENTO="PLE",ISNUMBER($F14)),
                SUMIF((OFFSET(CÁLCULO!$AM$15:$AW$15,$F14,0,OFFSET(ORÇAMENTO!$D$15,CRONO!$F14,0))),CRONO!AD$12,OFFSET(CÁLCULO!$AB$15:$AL$15,$F14,0,OFFSET(ORÇAMENTO!$D$15,CRONO!$F14,0)))
                +IF(AND($F16&lt;&gt;"",$F16&lt;&gt;0),
                        SUMIF(CÁLCULO!$AM$15:$AW$231,CRONO!AD$12,CÁLCULO!$AB$15:$AL$231)/(ORÇAMENTO!$X$15-_xlfn.SINGLE(CÁLCULO.TotalAdmLocal))*CRONO!$F16,
                        0),
                 AD15*$S14),
          SUMIF(OFFSET($S16,1,0,$R14-2),($M14+1)&amp;"$",OFFSET(AD16,1,0,$R14-2)))</f>
        <v>0</v>
      </c>
      <c r="AE16" s="203" cm="1">
        <f t="array" aca="1" ref="AE16" ca="1">IF($R14=2,
         IF(AND(ACOMPANHAMENTO="PLE",ISNUMBER($F14)),
                SUMIF((OFFSET(CÁLCULO!$AM$15:$AW$15,$F14,0,OFFSET(ORÇAMENTO!$D$15,CRONO!$F14,0))),CRONO!AE$12,OFFSET(CÁLCULO!$AB$15:$AL$15,$F14,0,OFFSET(ORÇAMENTO!$D$15,CRONO!$F14,0)))
                +IF(AND($F16&lt;&gt;"",$F16&lt;&gt;0),
                        SUMIF(CÁLCULO!$AM$15:$AW$231,CRONO!AE$12,CÁLCULO!$AB$15:$AL$231)/(ORÇAMENTO!$X$15-_xlfn.SINGLE(CÁLCULO.TotalAdmLocal))*CRONO!$F16,
                        0),
                 AE15*$S14),
          SUMIF(OFFSET($S16,1,0,$R14-2),($M14+1)&amp;"$",OFFSET(AE16,1,0,$R14-2)))</f>
        <v>0</v>
      </c>
      <c r="AF16" s="203" cm="1">
        <f t="array" aca="1" ref="AF16" ca="1">IF($R14=2,
         IF(AND(ACOMPANHAMENTO="PLE",ISNUMBER($F14)),
                SUMIF((OFFSET(CÁLCULO!$AM$15:$AW$15,$F14,0,OFFSET(ORÇAMENTO!$D$15,CRONO!$F14,0))),CRONO!AF$12,OFFSET(CÁLCULO!$AB$15:$AL$15,$F14,0,OFFSET(ORÇAMENTO!$D$15,CRONO!$F14,0)))
                +IF(AND($F16&lt;&gt;"",$F16&lt;&gt;0),
                        SUMIF(CÁLCULO!$AM$15:$AW$231,CRONO!AF$12,CÁLCULO!$AB$15:$AL$231)/(ORÇAMENTO!$X$15-_xlfn.SINGLE(CÁLCULO.TotalAdmLocal))*CRONO!$F16,
                        0),
                 AF15*$S14),
          SUMIF(OFFSET($S16,1,0,$R14-2),($M14+1)&amp;"$",OFFSET(AF16,1,0,$R14-2)))</f>
        <v>0</v>
      </c>
      <c r="AG16" s="535"/>
    </row>
    <row r="17" spans="1:33" x14ac:dyDescent="0.2">
      <c r="A17" s="187" t="str">
        <f t="shared" ref="A17" ca="1" si="8">IF($M17&gt;1,_xlfn.CONCAT($I17," ",$J17),"")</f>
        <v>1.1. ADMINISTRAÇÃO LOCAL - CANTEIRO DE OBRAS</v>
      </c>
      <c r="B17" s="186">
        <f t="shared" ref="B17" ca="1" si="9">OFFSET(B17,-3,0)+1</f>
        <v>2</v>
      </c>
      <c r="C17" s="186">
        <f ca="1">IF($R17&lt;&gt;2,0,IF($S17=0,1,IF(F18&gt;0,OFFSET(QCI!$M$13,SUBSTITUTE(F18,".",""),0),OFFSET(ORÇAMENTO!$AA$15,CRONO!$F17,0))/$S17))</f>
        <v>1</v>
      </c>
      <c r="D17" s="186">
        <f ca="1">IF($R17&lt;&gt;2,0,IF($S17=0,1,IF(F18&gt;0,OFFSET(QCI!$N$13,SUBSTITUTE(F18,".",""),0),OFFSET(ORÇAMENTO!$AB$15,CRONO!$F17,0))/$S17))</f>
        <v>1</v>
      </c>
      <c r="E17" s="189" cm="1">
        <f t="array" aca="1" ref="E17" ca="1">IF(AND($R17=2,ACOMPANHAMENTO="BM"),ROUND(E18,4),E19/$S17)</f>
        <v>0</v>
      </c>
      <c r="F17" s="186">
        <f ca="1">IF(B17&lt;=ORÇAMENTO.MáximoListaCrono,MATCH(B17,ORÇAMENTO.ListaCrono,0),NA())</f>
        <v>2</v>
      </c>
      <c r="G17" s="186" t="str">
        <f t="shared" ref="G17" ca="1" si="10">IF(AND($F18&lt;&gt;-1,$S17&gt;0),"F","")</f>
        <v/>
      </c>
      <c r="H17" s="190" t="str" cm="1">
        <f t="array" aca="1" ref="H17" ca="1">IF(OR(S17=0,S17=""),"Linha",IF(AND(OR(ACOMPANHAMENTO="PLE",$R17&lt;&gt;2),$F18=0),"Linha",ROUND(1-SUM(U17:AG17),4)))</f>
        <v>Linha</v>
      </c>
      <c r="I17" s="191" t="str">
        <f ca="1">IF($F18=0,OFFSET(ORÇAMENTO!O$15,$F17,0),IF($F18&lt;&gt;-1,OFFSET(QCI!$D$13,$F18,0),""))</f>
        <v>1.1.</v>
      </c>
      <c r="J17" s="192" t="str">
        <f ca="1">IF($F18=0,OFFSET(ORÇAMENTO!R$15,$F17,0),IF($F18&lt;&gt;-1,OFFSET(QCI!$G$13,$F18,0),""))</f>
        <v>ADMINISTRAÇÃO LOCAL - CANTEIRO DE OBRAS</v>
      </c>
      <c r="K17" s="192"/>
      <c r="L17" s="192"/>
      <c r="M17" s="193">
        <f ca="1">IF($F18=0,OFFSET(ORÇAMENTO!C$15,$F17,0),1)</f>
        <v>2</v>
      </c>
      <c r="N17" s="194">
        <f ca="1">IF($F18=-1,0,IF(N$13&lt;=$M17,IF(ISERROR(MATCH(N$13,OFFSET($M17,1,0,ROW($M$101)-ROW($M17)-1),0)),ROW($M$101)-ROW($M17)-1,MATCH(N$13,OFFSET($M17,1,0,ROW($M$101)-ROW($M17)-1),0)-1),0))</f>
        <v>83</v>
      </c>
      <c r="O17" s="194">
        <f ca="1">IF($F18=-1,0,IF(O$13&lt;=$M17,IF(ISERROR(MATCH(O$13,OFFSET($M17,1,0,ROW($M$101)-ROW($M17)-1),0)),ROW($M$101)-ROW($M17)-1,MATCH(O$13,OFFSET($M17,1,0,ROW($M$101)-ROW($M17)-1),0)-1),0))</f>
        <v>2</v>
      </c>
      <c r="P17" s="194">
        <f ca="1">IF($F18=-1,0,IF(P$13&lt;=$M17,IF(ISERROR(MATCH(P$13,OFFSET($M17,1,0,ROW($M$101)-ROW($M17)-1),0)),ROW($M$101)-ROW($M17)-1,MATCH(P$13,OFFSET($M17,1,0,ROW($M$101)-ROW($M17)-1),0)-1),0))</f>
        <v>0</v>
      </c>
      <c r="Q17" s="194">
        <f ca="1">IF($F18=-1,0,IF(Q$13&lt;=$M17,IF(ISERROR(MATCH(Q$13,OFFSET($M17,1,0,ROW($M$101)-ROW($M17)-1),0)),ROW($M$101)-ROW($M17)-1,MATCH(Q$13,OFFSET($M17,1,0,ROW($M$101)-ROW($M17)-1),0)-1),0))</f>
        <v>0</v>
      </c>
      <c r="R17" s="194">
        <f t="shared" ref="R17" ca="1" si="11">MIN(OFFSET(M17,0,1,,M17))</f>
        <v>2</v>
      </c>
      <c r="S17" s="195">
        <f ca="1">IF($F18=0,OFFSET(ORÇAMENTO!X$15,$F17,0),IF($F18&lt;&gt;-1,OFFSET(QCI!$O$13,$F18,0),""))</f>
        <v>0</v>
      </c>
      <c r="T17" s="196" t="s">
        <v>786</v>
      </c>
      <c r="U17" s="189" cm="1">
        <f t="array" aca="1" ref="U17" ca="1">IF(AND($R17=2,ACOMPANHAMENTO="BM"),ROUND(U18,4),U19/$S17)</f>
        <v>0.2</v>
      </c>
      <c r="V17" s="189" cm="1">
        <f t="array" aca="1" ref="V17" ca="1">IF(AND($R17=2,ACOMPANHAMENTO="BM"),ROUND(V18,4),V19/$S17)</f>
        <v>0.1</v>
      </c>
      <c r="W17" s="189" cm="1">
        <f t="array" aca="1" ref="W17" ca="1">IF(AND($R17=2,ACOMPANHAMENTO="BM"),ROUND(W18,4),W19/$S17)</f>
        <v>0.1</v>
      </c>
      <c r="X17" s="189" cm="1">
        <f t="array" aca="1" ref="X17" ca="1">IF(AND($R17=2,ACOMPANHAMENTO="BM"),ROUND(X18,4),X19/$S17)</f>
        <v>0.1</v>
      </c>
      <c r="Y17" s="189" cm="1">
        <f t="array" aca="1" ref="Y17" ca="1">IF(AND($R17=2,ACOMPANHAMENTO="BM"),ROUND(Y18,4),Y19/$S17)</f>
        <v>0.1</v>
      </c>
      <c r="Z17" s="189" cm="1">
        <f t="array" aca="1" ref="Z17" ca="1">IF(AND($R17=2,ACOMPANHAMENTO="BM"),ROUND(Z18,4),Z19/$S17)</f>
        <v>0.1</v>
      </c>
      <c r="AA17" s="189" cm="1">
        <f t="array" aca="1" ref="AA17" ca="1">IF(AND($R17=2,ACOMPANHAMENTO="BM"),ROUND(AA18,4),AA19/$S17)</f>
        <v>0.1</v>
      </c>
      <c r="AB17" s="189" cm="1">
        <f t="array" aca="1" ref="AB17" ca="1">IF(AND($R17=2,ACOMPANHAMENTO="BM"),ROUND(AB18,4),AB19/$S17)</f>
        <v>0.2</v>
      </c>
      <c r="AC17" s="189" cm="1">
        <f t="array" aca="1" ref="AC17" ca="1">IF(AND($R17=2,ACOMPANHAMENTO="BM"),ROUND(AC18,4),AC19/$S17)</f>
        <v>0</v>
      </c>
      <c r="AD17" s="189" cm="1">
        <f t="array" aca="1" ref="AD17" ca="1">IF(AND($R17=2,ACOMPANHAMENTO="BM"),ROUND(AD18,4),AD19/$S17)</f>
        <v>0</v>
      </c>
      <c r="AE17" s="189" cm="1">
        <f t="array" aca="1" ref="AE17" ca="1">IF(AND($R17=2,ACOMPANHAMENTO="BM"),ROUND(AE18,4),AE19/$S17)</f>
        <v>0</v>
      </c>
      <c r="AF17" s="189" cm="1">
        <f t="array" aca="1" ref="AF17" ca="1">IF(AND($R17=2,ACOMPANHAMENTO="BM"),ROUND(AF18,4),AF19/$S17)</f>
        <v>0</v>
      </c>
      <c r="AG17" s="535"/>
    </row>
    <row r="18" spans="1:33" ht="12.75" customHeight="1" x14ac:dyDescent="0.2">
      <c r="E18" s="588"/>
      <c r="F18" s="186">
        <f ca="1">IF(ISERROR(F17),IF(1+COUNTIF($M$13:OFFSET(M17,-1,0),1)&lt;=MAX(QCI!$D$13:$D$15),1+COUNTIF($M$13:OFFSET(M17,-1,0),1),-1),0)</f>
        <v>0</v>
      </c>
      <c r="G18" s="186" t="str" cm="1">
        <f t="array" aca="1" ref="G18" ca="1">IF(ACOMPANHAMENTO="BM",OFFSET(G18,-1,0),"")</f>
        <v/>
      </c>
      <c r="H18" s="197" t="str" cm="1">
        <f t="array" aca="1" ref="H18" ca="1">IF(OR(S17=0,S17=""),"vazia",IF(AND(OR(ACOMPANHAMENTO="PLE",$R17&lt;&gt;2),$F18=0),"calculada","--&gt;"))</f>
        <v>vazia</v>
      </c>
      <c r="I18" s="198"/>
      <c r="J18" s="199" t="str">
        <f t="shared" ref="J18" ca="1" si="12">IF(AND(H17&lt;&gt;0,ISNUMBER(H17)),"PREENCHA ESTA LINHA --&gt;","")</f>
        <v/>
      </c>
      <c r="K18" s="199"/>
      <c r="L18" s="199"/>
      <c r="M18" s="200"/>
      <c r="N18" s="200"/>
      <c r="O18" s="200"/>
      <c r="P18" s="200"/>
      <c r="Q18" s="200"/>
      <c r="R18" s="200"/>
      <c r="S18" s="201"/>
      <c r="T18" s="202"/>
      <c r="U18" s="588">
        <v>0.2</v>
      </c>
      <c r="V18" s="588">
        <v>0.1</v>
      </c>
      <c r="W18" s="588">
        <v>0.1</v>
      </c>
      <c r="X18" s="588">
        <v>0.1</v>
      </c>
      <c r="Y18" s="588">
        <v>0.1</v>
      </c>
      <c r="Z18" s="588">
        <v>0.1</v>
      </c>
      <c r="AA18" s="588">
        <v>0.1</v>
      </c>
      <c r="AB18" s="588">
        <v>0.2</v>
      </c>
      <c r="AC18" s="588"/>
      <c r="AD18" s="588"/>
      <c r="AE18" s="588"/>
      <c r="AF18" s="588"/>
      <c r="AG18" s="535"/>
    </row>
    <row r="19" spans="1:33" ht="12.75" hidden="1" customHeight="1" x14ac:dyDescent="0.2">
      <c r="D19" s="534"/>
      <c r="E19" s="203" cm="1">
        <f t="array" aca="1" ref="E19" ca="1">IF($R17=2,
         IF(AND(ACOMPANHAMENTO="PLE",ISNUMBER($F17)),
                SUMIF((OFFSET(CÁLCULO!$AM$15:$AW$15,$F17,0,OFFSET(ORÇAMENTO!$D$15,CRONO!$F17,0))),CRONO!E$12,OFFSET(CÁLCULO!$AB$15:$AL$15,$F17,0,OFFSET(ORÇAMENTO!$D$15,CRONO!$F17,0)))
                +IF(AND($F19&lt;&gt;"",$F19&lt;&gt;0),
                        SUMIF(CÁLCULO!$AM$15:$AW$231,CRONO!E$12,CÁLCULO!$AB$15:$AL$231)/(ORÇAMENTO!$X$15-_xlfn.SINGLE(CÁLCULO.TotalAdmLocal))*CRONO!$F19,
                        0),
                 E18*$S17),
          SUMIF(OFFSET($S19,1,0,$R17-2),($M17+1)&amp;"$",OFFSET(E19,1,0,$R17-2)))</f>
        <v>0</v>
      </c>
      <c r="F19" s="186" t="str">
        <f ca="1">IF(OR($R17&lt;&gt;2,AUTOEVENTO&lt;&gt;"manual",$F18&gt;0),"",
        IF(Import.TipoArredondamento="Tradicional",
              SUMIF(OFFSET(CÁLCULO!$M$15,CRONO!$F17,0,OFFSET(ORÇAMENTO!$D$15,CRONO!$F17,0)),1,OFFSET(ORÇAMENTO!$X$15,CRONO!$F17,0,OFFSET(ORÇAMENTO!$D$15,CRONO!$F17,0))),
              0))</f>
        <v/>
      </c>
      <c r="H19" s="672"/>
      <c r="S19" s="205" t="str">
        <f t="shared" ref="S19" ca="1" si="13">M17&amp;"$"</f>
        <v>2$</v>
      </c>
      <c r="T19" s="206"/>
      <c r="U19" s="203" cm="1">
        <f t="array" aca="1" ref="U19" ca="1">IF($R17=2,
         IF(AND(ACOMPANHAMENTO="PLE",ISNUMBER($F17)),
                SUMIF((OFFSET(CÁLCULO!$AM$15:$AW$15,$F17,0,OFFSET(ORÇAMENTO!$D$15,CRONO!$F17,0))),CRONO!U$12,OFFSET(CÁLCULO!$AB$15:$AL$15,$F17,0,OFFSET(ORÇAMENTO!$D$15,CRONO!$F17,0)))
                +IF(AND($F19&lt;&gt;"",$F19&lt;&gt;0),
                        SUMIF(CÁLCULO!$AM$15:$AW$231,CRONO!U$12,CÁLCULO!$AB$15:$AL$231)/(ORÇAMENTO!$X$15-_xlfn.SINGLE(CÁLCULO.TotalAdmLocal))*CRONO!$F19,
                        0),
                 U18*$S17),
          SUMIF(OFFSET($S19,1,0,$R17-2),($M17+1)&amp;"$",OFFSET(U19,1,0,$R17-2)))</f>
        <v>0</v>
      </c>
      <c r="V19" s="203" cm="1">
        <f t="array" aca="1" ref="V19" ca="1">IF($R17=2,
         IF(AND(ACOMPANHAMENTO="PLE",ISNUMBER($F17)),
                SUMIF((OFFSET(CÁLCULO!$AM$15:$AW$15,$F17,0,OFFSET(ORÇAMENTO!$D$15,CRONO!$F17,0))),CRONO!V$12,OFFSET(CÁLCULO!$AB$15:$AL$15,$F17,0,OFFSET(ORÇAMENTO!$D$15,CRONO!$F17,0)))
                +IF(AND($F19&lt;&gt;"",$F19&lt;&gt;0),
                        SUMIF(CÁLCULO!$AM$15:$AW$231,CRONO!V$12,CÁLCULO!$AB$15:$AL$231)/(ORÇAMENTO!$X$15-_xlfn.SINGLE(CÁLCULO.TotalAdmLocal))*CRONO!$F19,
                        0),
                 V18*$S17),
          SUMIF(OFFSET($S19,1,0,$R17-2),($M17+1)&amp;"$",OFFSET(V19,1,0,$R17-2)))</f>
        <v>0</v>
      </c>
      <c r="W19" s="203" cm="1">
        <f t="array" aca="1" ref="W19" ca="1">IF($R17=2,
         IF(AND(ACOMPANHAMENTO="PLE",ISNUMBER($F17)),
                SUMIF((OFFSET(CÁLCULO!$AM$15:$AW$15,$F17,0,OFFSET(ORÇAMENTO!$D$15,CRONO!$F17,0))),CRONO!W$12,OFFSET(CÁLCULO!$AB$15:$AL$15,$F17,0,OFFSET(ORÇAMENTO!$D$15,CRONO!$F17,0)))
                +IF(AND($F19&lt;&gt;"",$F19&lt;&gt;0),
                        SUMIF(CÁLCULO!$AM$15:$AW$231,CRONO!W$12,CÁLCULO!$AB$15:$AL$231)/(ORÇAMENTO!$X$15-_xlfn.SINGLE(CÁLCULO.TotalAdmLocal))*CRONO!$F19,
                        0),
                 W18*$S17),
          SUMIF(OFFSET($S19,1,0,$R17-2),($M17+1)&amp;"$",OFFSET(W19,1,0,$R17-2)))</f>
        <v>0</v>
      </c>
      <c r="X19" s="203" cm="1">
        <f t="array" aca="1" ref="X19" ca="1">IF($R17=2,
         IF(AND(ACOMPANHAMENTO="PLE",ISNUMBER($F17)),
                SUMIF((OFFSET(CÁLCULO!$AM$15:$AW$15,$F17,0,OFFSET(ORÇAMENTO!$D$15,CRONO!$F17,0))),CRONO!X$12,OFFSET(CÁLCULO!$AB$15:$AL$15,$F17,0,OFFSET(ORÇAMENTO!$D$15,CRONO!$F17,0)))
                +IF(AND($F19&lt;&gt;"",$F19&lt;&gt;0),
                        SUMIF(CÁLCULO!$AM$15:$AW$231,CRONO!X$12,CÁLCULO!$AB$15:$AL$231)/(ORÇAMENTO!$X$15-_xlfn.SINGLE(CÁLCULO.TotalAdmLocal))*CRONO!$F19,
                        0),
                 X18*$S17),
          SUMIF(OFFSET($S19,1,0,$R17-2),($M17+1)&amp;"$",OFFSET(X19,1,0,$R17-2)))</f>
        <v>0</v>
      </c>
      <c r="Y19" s="203" cm="1">
        <f t="array" aca="1" ref="Y19" ca="1">IF($R17=2,
         IF(AND(ACOMPANHAMENTO="PLE",ISNUMBER($F17)),
                SUMIF((OFFSET(CÁLCULO!$AM$15:$AW$15,$F17,0,OFFSET(ORÇAMENTO!$D$15,CRONO!$F17,0))),CRONO!Y$12,OFFSET(CÁLCULO!$AB$15:$AL$15,$F17,0,OFFSET(ORÇAMENTO!$D$15,CRONO!$F17,0)))
                +IF(AND($F19&lt;&gt;"",$F19&lt;&gt;0),
                        SUMIF(CÁLCULO!$AM$15:$AW$231,CRONO!Y$12,CÁLCULO!$AB$15:$AL$231)/(ORÇAMENTO!$X$15-_xlfn.SINGLE(CÁLCULO.TotalAdmLocal))*CRONO!$F19,
                        0),
                 Y18*$S17),
          SUMIF(OFFSET($S19,1,0,$R17-2),($M17+1)&amp;"$",OFFSET(Y19,1,0,$R17-2)))</f>
        <v>0</v>
      </c>
      <c r="Z19" s="203" cm="1">
        <f t="array" aca="1" ref="Z19" ca="1">IF($R17=2,
         IF(AND(ACOMPANHAMENTO="PLE",ISNUMBER($F17)),
                SUMIF((OFFSET(CÁLCULO!$AM$15:$AW$15,$F17,0,OFFSET(ORÇAMENTO!$D$15,CRONO!$F17,0))),CRONO!Z$12,OFFSET(CÁLCULO!$AB$15:$AL$15,$F17,0,OFFSET(ORÇAMENTO!$D$15,CRONO!$F17,0)))
                +IF(AND($F19&lt;&gt;"",$F19&lt;&gt;0),
                        SUMIF(CÁLCULO!$AM$15:$AW$231,CRONO!Z$12,CÁLCULO!$AB$15:$AL$231)/(ORÇAMENTO!$X$15-_xlfn.SINGLE(CÁLCULO.TotalAdmLocal))*CRONO!$F19,
                        0),
                 Z18*$S17),
          SUMIF(OFFSET($S19,1,0,$R17-2),($M17+1)&amp;"$",OFFSET(Z19,1,0,$R17-2)))</f>
        <v>0</v>
      </c>
      <c r="AA19" s="203" cm="1">
        <f t="array" aca="1" ref="AA19" ca="1">IF($R17=2,
         IF(AND(ACOMPANHAMENTO="PLE",ISNUMBER($F17)),
                SUMIF((OFFSET(CÁLCULO!$AM$15:$AW$15,$F17,0,OFFSET(ORÇAMENTO!$D$15,CRONO!$F17,0))),CRONO!AA$12,OFFSET(CÁLCULO!$AB$15:$AL$15,$F17,0,OFFSET(ORÇAMENTO!$D$15,CRONO!$F17,0)))
                +IF(AND($F19&lt;&gt;"",$F19&lt;&gt;0),
                        SUMIF(CÁLCULO!$AM$15:$AW$231,CRONO!AA$12,CÁLCULO!$AB$15:$AL$231)/(ORÇAMENTO!$X$15-_xlfn.SINGLE(CÁLCULO.TotalAdmLocal))*CRONO!$F19,
                        0),
                 AA18*$S17),
          SUMIF(OFFSET($S19,1,0,$R17-2),($M17+1)&amp;"$",OFFSET(AA19,1,0,$R17-2)))</f>
        <v>0</v>
      </c>
      <c r="AB19" s="203" cm="1">
        <f t="array" aca="1" ref="AB19" ca="1">IF($R17=2,
         IF(AND(ACOMPANHAMENTO="PLE",ISNUMBER($F17)),
                SUMIF((OFFSET(CÁLCULO!$AM$15:$AW$15,$F17,0,OFFSET(ORÇAMENTO!$D$15,CRONO!$F17,0))),CRONO!AB$12,OFFSET(CÁLCULO!$AB$15:$AL$15,$F17,0,OFFSET(ORÇAMENTO!$D$15,CRONO!$F17,0)))
                +IF(AND($F19&lt;&gt;"",$F19&lt;&gt;0),
                        SUMIF(CÁLCULO!$AM$15:$AW$231,CRONO!AB$12,CÁLCULO!$AB$15:$AL$231)/(ORÇAMENTO!$X$15-_xlfn.SINGLE(CÁLCULO.TotalAdmLocal))*CRONO!$F19,
                        0),
                 AB18*$S17),
          SUMIF(OFFSET($S19,1,0,$R17-2),($M17+1)&amp;"$",OFFSET(AB19,1,0,$R17-2)))</f>
        <v>0</v>
      </c>
      <c r="AC19" s="203" cm="1">
        <f t="array" aca="1" ref="AC19" ca="1">IF($R17=2,
         IF(AND(ACOMPANHAMENTO="PLE",ISNUMBER($F17)),
                SUMIF((OFFSET(CÁLCULO!$AM$15:$AW$15,$F17,0,OFFSET(ORÇAMENTO!$D$15,CRONO!$F17,0))),CRONO!AC$12,OFFSET(CÁLCULO!$AB$15:$AL$15,$F17,0,OFFSET(ORÇAMENTO!$D$15,CRONO!$F17,0)))
                +IF(AND($F19&lt;&gt;"",$F19&lt;&gt;0),
                        SUMIF(CÁLCULO!$AM$15:$AW$231,CRONO!AC$12,CÁLCULO!$AB$15:$AL$231)/(ORÇAMENTO!$X$15-_xlfn.SINGLE(CÁLCULO.TotalAdmLocal))*CRONO!$F19,
                        0),
                 AC18*$S17),
          SUMIF(OFFSET($S19,1,0,$R17-2),($M17+1)&amp;"$",OFFSET(AC19,1,0,$R17-2)))</f>
        <v>0</v>
      </c>
      <c r="AD19" s="203" cm="1">
        <f t="array" aca="1" ref="AD19" ca="1">IF($R17=2,
         IF(AND(ACOMPANHAMENTO="PLE",ISNUMBER($F17)),
                SUMIF((OFFSET(CÁLCULO!$AM$15:$AW$15,$F17,0,OFFSET(ORÇAMENTO!$D$15,CRONO!$F17,0))),CRONO!AD$12,OFFSET(CÁLCULO!$AB$15:$AL$15,$F17,0,OFFSET(ORÇAMENTO!$D$15,CRONO!$F17,0)))
                +IF(AND($F19&lt;&gt;"",$F19&lt;&gt;0),
                        SUMIF(CÁLCULO!$AM$15:$AW$231,CRONO!AD$12,CÁLCULO!$AB$15:$AL$231)/(ORÇAMENTO!$X$15-_xlfn.SINGLE(CÁLCULO.TotalAdmLocal))*CRONO!$F19,
                        0),
                 AD18*$S17),
          SUMIF(OFFSET($S19,1,0,$R17-2),($M17+1)&amp;"$",OFFSET(AD19,1,0,$R17-2)))</f>
        <v>0</v>
      </c>
      <c r="AE19" s="203" cm="1">
        <f t="array" aca="1" ref="AE19" ca="1">IF($R17=2,
         IF(AND(ACOMPANHAMENTO="PLE",ISNUMBER($F17)),
                SUMIF((OFFSET(CÁLCULO!$AM$15:$AW$15,$F17,0,OFFSET(ORÇAMENTO!$D$15,CRONO!$F17,0))),CRONO!AE$12,OFFSET(CÁLCULO!$AB$15:$AL$15,$F17,0,OFFSET(ORÇAMENTO!$D$15,CRONO!$F17,0)))
                +IF(AND($F19&lt;&gt;"",$F19&lt;&gt;0),
                        SUMIF(CÁLCULO!$AM$15:$AW$231,CRONO!AE$12,CÁLCULO!$AB$15:$AL$231)/(ORÇAMENTO!$X$15-_xlfn.SINGLE(CÁLCULO.TotalAdmLocal))*CRONO!$F19,
                        0),
                 AE18*$S17),
          SUMIF(OFFSET($S19,1,0,$R17-2),($M17+1)&amp;"$",OFFSET(AE19,1,0,$R17-2)))</f>
        <v>0</v>
      </c>
      <c r="AF19" s="203" cm="1">
        <f t="array" aca="1" ref="AF19" ca="1">IF($R17=2,
         IF(AND(ACOMPANHAMENTO="PLE",ISNUMBER($F17)),
                SUMIF((OFFSET(CÁLCULO!$AM$15:$AW$15,$F17,0,OFFSET(ORÇAMENTO!$D$15,CRONO!$F17,0))),CRONO!AF$12,OFFSET(CÁLCULO!$AB$15:$AL$15,$F17,0,OFFSET(ORÇAMENTO!$D$15,CRONO!$F17,0)))
                +IF(AND($F19&lt;&gt;"",$F19&lt;&gt;0),
                        SUMIF(CÁLCULO!$AM$15:$AW$231,CRONO!AF$12,CÁLCULO!$AB$15:$AL$231)/(ORÇAMENTO!$X$15-_xlfn.SINGLE(CÁLCULO.TotalAdmLocal))*CRONO!$F19,
                        0),
                 AF18*$S17),
          SUMIF(OFFSET($S19,1,0,$R17-2),($M17+1)&amp;"$",OFFSET(AF19,1,0,$R17-2)))</f>
        <v>0</v>
      </c>
      <c r="AG19" s="535"/>
    </row>
    <row r="20" spans="1:33" x14ac:dyDescent="0.2">
      <c r="A20" s="187" t="str">
        <f t="shared" ref="A20" ca="1" si="14">IF($M20&gt;1,_xlfn.CONCAT($I20," ",$J20),"")</f>
        <v>1.2. LINHA DE RECALQUE</v>
      </c>
      <c r="B20" s="186">
        <f t="shared" ref="B20" ca="1" si="15">OFFSET(B20,-3,0)+1</f>
        <v>3</v>
      </c>
      <c r="C20" s="186">
        <f ca="1">IF($R20&lt;&gt;2,0,IF($S20=0,1,IF(F21&gt;0,OFFSET(QCI!$M$13,SUBSTITUTE(F21,".",""),0),OFFSET(ORÇAMENTO!$AA$15,CRONO!$F20,0))/$S20))</f>
        <v>1</v>
      </c>
      <c r="D20" s="186">
        <f ca="1">IF($R20&lt;&gt;2,0,IF($S20=0,1,IF(F21&gt;0,OFFSET(QCI!$N$13,SUBSTITUTE(F21,".",""),0),OFFSET(ORÇAMENTO!$AB$15,CRONO!$F20,0))/$S20))</f>
        <v>1</v>
      </c>
      <c r="E20" s="189" cm="1">
        <f t="array" aca="1" ref="E20" ca="1">IF(AND($R20=2,ACOMPANHAMENTO="BM"),ROUND(E21,4),E22/$S20)</f>
        <v>0</v>
      </c>
      <c r="F20" s="186">
        <f ca="1">IF(B20&lt;=ORÇAMENTO.MáximoListaCrono,MATCH(B20,ORÇAMENTO.ListaCrono,0),NA())</f>
        <v>7</v>
      </c>
      <c r="G20" s="186" t="str">
        <f t="shared" ref="G20" ca="1" si="16">IF(AND($F21&lt;&gt;-1,$S20&gt;0),"F","")</f>
        <v/>
      </c>
      <c r="H20" s="190" t="str" cm="1">
        <f t="array" aca="1" ref="H20" ca="1">IF(OR(S20=0,S20=""),"Linha",IF(AND(OR(ACOMPANHAMENTO="PLE",$R20&lt;&gt;2),$F21=0),"Linha",ROUND(1-SUM(U20:AG20),4)))</f>
        <v>Linha</v>
      </c>
      <c r="I20" s="191" t="str">
        <f ca="1">IF($F21=0,OFFSET(ORÇAMENTO!O$15,$F20,0),IF($F21&lt;&gt;-1,OFFSET(QCI!$D$13,$F21,0),""))</f>
        <v>1.2.</v>
      </c>
      <c r="J20" s="192" t="str">
        <f ca="1">IF($F21=0,OFFSET(ORÇAMENTO!R$15,$F20,0),IF($F21&lt;&gt;-1,OFFSET(QCI!$G$13,$F21,0),""))</f>
        <v>LINHA DE RECALQUE</v>
      </c>
      <c r="K20" s="192"/>
      <c r="L20" s="192"/>
      <c r="M20" s="193">
        <f ca="1">IF($F21=0,OFFSET(ORÇAMENTO!C$15,$F20,0),1)</f>
        <v>2</v>
      </c>
      <c r="N20" s="194">
        <f ca="1">IF($F21=-1,0,IF(N$13&lt;=$M20,IF(ISERROR(MATCH(N$13,OFFSET($M20,1,0,ROW($M$101)-ROW($M20)-1),0)),ROW($M$101)-ROW($M20)-1,MATCH(N$13,OFFSET($M20,1,0,ROW($M$101)-ROW($M20)-1),0)-1),0))</f>
        <v>80</v>
      </c>
      <c r="O20" s="194">
        <f ca="1">IF($F21=-1,0,IF(O$13&lt;=$M20,IF(ISERROR(MATCH(O$13,OFFSET($M20,1,0,ROW($M$101)-ROW($M20)-1),0)),ROW($M$101)-ROW($M20)-1,MATCH(O$13,OFFSET($M20,1,0,ROW($M$101)-ROW($M20)-1),0)-1),0))</f>
        <v>2</v>
      </c>
      <c r="P20" s="194">
        <f ca="1">IF($F21=-1,0,IF(P$13&lt;=$M20,IF(ISERROR(MATCH(P$13,OFFSET($M20,1,0,ROW($M$101)-ROW($M20)-1),0)),ROW($M$101)-ROW($M20)-1,MATCH(P$13,OFFSET($M20,1,0,ROW($M$101)-ROW($M20)-1),0)-1),0))</f>
        <v>0</v>
      </c>
      <c r="Q20" s="194">
        <f ca="1">IF($F21=-1,0,IF(Q$13&lt;=$M20,IF(ISERROR(MATCH(Q$13,OFFSET($M20,1,0,ROW($M$101)-ROW($M20)-1),0)),ROW($M$101)-ROW($M20)-1,MATCH(Q$13,OFFSET($M20,1,0,ROW($M$101)-ROW($M20)-1),0)-1),0))</f>
        <v>0</v>
      </c>
      <c r="R20" s="194">
        <f t="shared" ref="R20" ca="1" si="17">MIN(OFFSET(M20,0,1,,M20))</f>
        <v>2</v>
      </c>
      <c r="S20" s="195">
        <f ca="1">IF($F21=0,OFFSET(ORÇAMENTO!X$15,$F20,0),IF($F21&lt;&gt;-1,OFFSET(QCI!$O$13,$F21,0),""))</f>
        <v>0</v>
      </c>
      <c r="T20" s="196" t="s">
        <v>786</v>
      </c>
      <c r="U20" s="189" cm="1">
        <f t="array" aca="1" ref="U20" ca="1">IF(AND($R20=2,ACOMPANHAMENTO="BM"),ROUND(U21,4),U22/$S20)</f>
        <v>0</v>
      </c>
      <c r="V20" s="189" cm="1">
        <f t="array" aca="1" ref="V20" ca="1">IF(AND($R20=2,ACOMPANHAMENTO="BM"),ROUND(V21,4),V22/$S20)</f>
        <v>0</v>
      </c>
      <c r="W20" s="189" cm="1">
        <f t="array" aca="1" ref="W20" ca="1">IF(AND($R20=2,ACOMPANHAMENTO="BM"),ROUND(W21,4),W22/$S20)</f>
        <v>0</v>
      </c>
      <c r="X20" s="189" cm="1">
        <f t="array" aca="1" ref="X20" ca="1">IF(AND($R20=2,ACOMPANHAMENTO="BM"),ROUND(X21,4),X22/$S20)</f>
        <v>0</v>
      </c>
      <c r="Y20" s="189" cm="1">
        <f t="array" aca="1" ref="Y20" ca="1">IF(AND($R20=2,ACOMPANHAMENTO="BM"),ROUND(Y21,4),Y22/$S20)</f>
        <v>0</v>
      </c>
      <c r="Z20" s="189" cm="1">
        <f t="array" aca="1" ref="Z20" ca="1">IF(AND($R20=2,ACOMPANHAMENTO="BM"),ROUND(Z21,4),Z22/$S20)</f>
        <v>0</v>
      </c>
      <c r="AA20" s="189" cm="1">
        <f t="array" aca="1" ref="AA20" ca="1">IF(AND($R20=2,ACOMPANHAMENTO="BM"),ROUND(AA21,4),AA22/$S20)</f>
        <v>0</v>
      </c>
      <c r="AB20" s="189" cm="1">
        <f t="array" aca="1" ref="AB20" ca="1">IF(AND($R20=2,ACOMPANHAMENTO="BM"),ROUND(AB21,4),AB22/$S20)</f>
        <v>0</v>
      </c>
      <c r="AC20" s="189" cm="1">
        <f t="array" aca="1" ref="AC20" ca="1">IF(AND($R20=2,ACOMPANHAMENTO="BM"),ROUND(AC21,4),AC22/$S20)</f>
        <v>0</v>
      </c>
      <c r="AD20" s="189" cm="1">
        <f t="array" aca="1" ref="AD20" ca="1">IF(AND($R20=2,ACOMPANHAMENTO="BM"),ROUND(AD21,4),AD22/$S20)</f>
        <v>0</v>
      </c>
      <c r="AE20" s="189" cm="1">
        <f t="array" aca="1" ref="AE20" ca="1">IF(AND($R20=2,ACOMPANHAMENTO="BM"),ROUND(AE21,4),AE22/$S20)</f>
        <v>0</v>
      </c>
      <c r="AF20" s="189" cm="1">
        <f t="array" aca="1" ref="AF20" ca="1">IF(AND($R20=2,ACOMPANHAMENTO="BM"),ROUND(AF21,4),AF22/$S20)</f>
        <v>0</v>
      </c>
      <c r="AG20" s="535"/>
    </row>
    <row r="21" spans="1:33" ht="12.75" customHeight="1" x14ac:dyDescent="0.2">
      <c r="E21" s="588"/>
      <c r="F21" s="186">
        <f ca="1">IF(ISERROR(F20),IF(1+COUNTIF($M$13:OFFSET(M20,-1,0),1)&lt;=MAX(QCI!$D$13:$D$15),1+COUNTIF($M$13:OFFSET(M20,-1,0),1),-1),0)</f>
        <v>0</v>
      </c>
      <c r="G21" s="186" t="str" cm="1">
        <f t="array" aca="1" ref="G21" ca="1">IF(ACOMPANHAMENTO="BM",OFFSET(G21,-1,0),"")</f>
        <v/>
      </c>
      <c r="H21" s="197" t="str" cm="1">
        <f t="array" aca="1" ref="H21" ca="1">IF(OR(S20=0,S20=""),"vazia",IF(AND(OR(ACOMPANHAMENTO="PLE",$R20&lt;&gt;2),$F21=0),"calculada","--&gt;"))</f>
        <v>vazia</v>
      </c>
      <c r="I21" s="198"/>
      <c r="J21" s="199" t="str">
        <f t="shared" ref="J21" ca="1" si="18">IF(AND(H20&lt;&gt;0,ISNUMBER(H20)),"PREENCHA ESTA LINHA --&gt;","")</f>
        <v/>
      </c>
      <c r="K21" s="199"/>
      <c r="L21" s="199"/>
      <c r="M21" s="200"/>
      <c r="N21" s="200"/>
      <c r="O21" s="200"/>
      <c r="P21" s="200"/>
      <c r="Q21" s="200"/>
      <c r="R21" s="200"/>
      <c r="S21" s="201"/>
      <c r="T21" s="202"/>
      <c r="U21" s="588"/>
      <c r="V21" s="588"/>
      <c r="W21" s="588"/>
      <c r="X21" s="588"/>
      <c r="Y21" s="588"/>
      <c r="Z21" s="588"/>
      <c r="AA21" s="588"/>
      <c r="AB21" s="588"/>
      <c r="AC21" s="588"/>
      <c r="AD21" s="588"/>
      <c r="AE21" s="588"/>
      <c r="AF21" s="588"/>
      <c r="AG21" s="535"/>
    </row>
    <row r="22" spans="1:33" ht="12.75" hidden="1" customHeight="1" x14ac:dyDescent="0.2">
      <c r="D22" s="534"/>
      <c r="E22" s="203" cm="1">
        <f t="array" aca="1" ref="E22" ca="1">IF($R20=2,
         IF(AND(ACOMPANHAMENTO="PLE",ISNUMBER($F20)),
                SUMIF((OFFSET(CÁLCULO!$AM$15:$AW$15,$F20,0,OFFSET(ORÇAMENTO!$D$15,CRONO!$F20,0))),CRONO!E$12,OFFSET(CÁLCULO!$AB$15:$AL$15,$F20,0,OFFSET(ORÇAMENTO!$D$15,CRONO!$F20,0)))
                +IF(AND($F22&lt;&gt;"",$F22&lt;&gt;0),
                        SUMIF(CÁLCULO!$AM$15:$AW$231,CRONO!E$12,CÁLCULO!$AB$15:$AL$231)/(ORÇAMENTO!$X$15-_xlfn.SINGLE(CÁLCULO.TotalAdmLocal))*CRONO!$F22,
                        0),
                 E21*$S20),
          SUMIF(OFFSET($S22,1,0,$R20-2),($M20+1)&amp;"$",OFFSET(E22,1,0,$R20-2)))</f>
        <v>0</v>
      </c>
      <c r="F22" s="186" t="str">
        <f ca="1">IF(OR($R20&lt;&gt;2,AUTOEVENTO&lt;&gt;"manual",$F21&gt;0),"",
        IF(Import.TipoArredondamento="Tradicional",
              SUMIF(OFFSET(CÁLCULO!$M$15,CRONO!$F20,0,OFFSET(ORÇAMENTO!$D$15,CRONO!$F20,0)),1,OFFSET(ORÇAMENTO!$X$15,CRONO!$F20,0,OFFSET(ORÇAMENTO!$D$15,CRONO!$F20,0))),
              0))</f>
        <v/>
      </c>
      <c r="H22" s="672"/>
      <c r="S22" s="205" t="str">
        <f t="shared" ref="S22" ca="1" si="19">M20&amp;"$"</f>
        <v>2$</v>
      </c>
      <c r="T22" s="206"/>
      <c r="U22" s="203" cm="1">
        <f t="array" aca="1" ref="U22" ca="1">IF($R20=2,
         IF(AND(ACOMPANHAMENTO="PLE",ISNUMBER($F20)),
                SUMIF((OFFSET(CÁLCULO!$AM$15:$AW$15,$F20,0,OFFSET(ORÇAMENTO!$D$15,CRONO!$F20,0))),CRONO!U$12,OFFSET(CÁLCULO!$AB$15:$AL$15,$F20,0,OFFSET(ORÇAMENTO!$D$15,CRONO!$F20,0)))
                +IF(AND($F22&lt;&gt;"",$F22&lt;&gt;0),
                        SUMIF(CÁLCULO!$AM$15:$AW$231,CRONO!U$12,CÁLCULO!$AB$15:$AL$231)/(ORÇAMENTO!$X$15-_xlfn.SINGLE(CÁLCULO.TotalAdmLocal))*CRONO!$F22,
                        0),
                 U21*$S20),
          SUMIF(OFFSET($S22,1,0,$R20-2),($M20+1)&amp;"$",OFFSET(U22,1,0,$R20-2)))</f>
        <v>0</v>
      </c>
      <c r="V22" s="203" cm="1">
        <f t="array" aca="1" ref="V22" ca="1">IF($R20=2,
         IF(AND(ACOMPANHAMENTO="PLE",ISNUMBER($F20)),
                SUMIF((OFFSET(CÁLCULO!$AM$15:$AW$15,$F20,0,OFFSET(ORÇAMENTO!$D$15,CRONO!$F20,0))),CRONO!V$12,OFFSET(CÁLCULO!$AB$15:$AL$15,$F20,0,OFFSET(ORÇAMENTO!$D$15,CRONO!$F20,0)))
                +IF(AND($F22&lt;&gt;"",$F22&lt;&gt;0),
                        SUMIF(CÁLCULO!$AM$15:$AW$231,CRONO!V$12,CÁLCULO!$AB$15:$AL$231)/(ORÇAMENTO!$X$15-_xlfn.SINGLE(CÁLCULO.TotalAdmLocal))*CRONO!$F22,
                        0),
                 V21*$S20),
          SUMIF(OFFSET($S22,1,0,$R20-2),($M20+1)&amp;"$",OFFSET(V22,1,0,$R20-2)))</f>
        <v>0</v>
      </c>
      <c r="W22" s="203" cm="1">
        <f t="array" aca="1" ref="W22" ca="1">IF($R20=2,
         IF(AND(ACOMPANHAMENTO="PLE",ISNUMBER($F20)),
                SUMIF((OFFSET(CÁLCULO!$AM$15:$AW$15,$F20,0,OFFSET(ORÇAMENTO!$D$15,CRONO!$F20,0))),CRONO!W$12,OFFSET(CÁLCULO!$AB$15:$AL$15,$F20,0,OFFSET(ORÇAMENTO!$D$15,CRONO!$F20,0)))
                +IF(AND($F22&lt;&gt;"",$F22&lt;&gt;0),
                        SUMIF(CÁLCULO!$AM$15:$AW$231,CRONO!W$12,CÁLCULO!$AB$15:$AL$231)/(ORÇAMENTO!$X$15-_xlfn.SINGLE(CÁLCULO.TotalAdmLocal))*CRONO!$F22,
                        0),
                 W21*$S20),
          SUMIF(OFFSET($S22,1,0,$R20-2),($M20+1)&amp;"$",OFFSET(W22,1,0,$R20-2)))</f>
        <v>0</v>
      </c>
      <c r="X22" s="203" cm="1">
        <f t="array" aca="1" ref="X22" ca="1">IF($R20=2,
         IF(AND(ACOMPANHAMENTO="PLE",ISNUMBER($F20)),
                SUMIF((OFFSET(CÁLCULO!$AM$15:$AW$15,$F20,0,OFFSET(ORÇAMENTO!$D$15,CRONO!$F20,0))),CRONO!X$12,OFFSET(CÁLCULO!$AB$15:$AL$15,$F20,0,OFFSET(ORÇAMENTO!$D$15,CRONO!$F20,0)))
                +IF(AND($F22&lt;&gt;"",$F22&lt;&gt;0),
                        SUMIF(CÁLCULO!$AM$15:$AW$231,CRONO!X$12,CÁLCULO!$AB$15:$AL$231)/(ORÇAMENTO!$X$15-_xlfn.SINGLE(CÁLCULO.TotalAdmLocal))*CRONO!$F22,
                        0),
                 X21*$S20),
          SUMIF(OFFSET($S22,1,0,$R20-2),($M20+1)&amp;"$",OFFSET(X22,1,0,$R20-2)))</f>
        <v>0</v>
      </c>
      <c r="Y22" s="203" cm="1">
        <f t="array" aca="1" ref="Y22" ca="1">IF($R20=2,
         IF(AND(ACOMPANHAMENTO="PLE",ISNUMBER($F20)),
                SUMIF((OFFSET(CÁLCULO!$AM$15:$AW$15,$F20,0,OFFSET(ORÇAMENTO!$D$15,CRONO!$F20,0))),CRONO!Y$12,OFFSET(CÁLCULO!$AB$15:$AL$15,$F20,0,OFFSET(ORÇAMENTO!$D$15,CRONO!$F20,0)))
                +IF(AND($F22&lt;&gt;"",$F22&lt;&gt;0),
                        SUMIF(CÁLCULO!$AM$15:$AW$231,CRONO!Y$12,CÁLCULO!$AB$15:$AL$231)/(ORÇAMENTO!$X$15-_xlfn.SINGLE(CÁLCULO.TotalAdmLocal))*CRONO!$F22,
                        0),
                 Y21*$S20),
          SUMIF(OFFSET($S22,1,0,$R20-2),($M20+1)&amp;"$",OFFSET(Y22,1,0,$R20-2)))</f>
        <v>0</v>
      </c>
      <c r="Z22" s="203" cm="1">
        <f t="array" aca="1" ref="Z22" ca="1">IF($R20=2,
         IF(AND(ACOMPANHAMENTO="PLE",ISNUMBER($F20)),
                SUMIF((OFFSET(CÁLCULO!$AM$15:$AW$15,$F20,0,OFFSET(ORÇAMENTO!$D$15,CRONO!$F20,0))),CRONO!Z$12,OFFSET(CÁLCULO!$AB$15:$AL$15,$F20,0,OFFSET(ORÇAMENTO!$D$15,CRONO!$F20,0)))
                +IF(AND($F22&lt;&gt;"",$F22&lt;&gt;0),
                        SUMIF(CÁLCULO!$AM$15:$AW$231,CRONO!Z$12,CÁLCULO!$AB$15:$AL$231)/(ORÇAMENTO!$X$15-_xlfn.SINGLE(CÁLCULO.TotalAdmLocal))*CRONO!$F22,
                        0),
                 Z21*$S20),
          SUMIF(OFFSET($S22,1,0,$R20-2),($M20+1)&amp;"$",OFFSET(Z22,1,0,$R20-2)))</f>
        <v>0</v>
      </c>
      <c r="AA22" s="203" cm="1">
        <f t="array" aca="1" ref="AA22" ca="1">IF($R20=2,
         IF(AND(ACOMPANHAMENTO="PLE",ISNUMBER($F20)),
                SUMIF((OFFSET(CÁLCULO!$AM$15:$AW$15,$F20,0,OFFSET(ORÇAMENTO!$D$15,CRONO!$F20,0))),CRONO!AA$12,OFFSET(CÁLCULO!$AB$15:$AL$15,$F20,0,OFFSET(ORÇAMENTO!$D$15,CRONO!$F20,0)))
                +IF(AND($F22&lt;&gt;"",$F22&lt;&gt;0),
                        SUMIF(CÁLCULO!$AM$15:$AW$231,CRONO!AA$12,CÁLCULO!$AB$15:$AL$231)/(ORÇAMENTO!$X$15-_xlfn.SINGLE(CÁLCULO.TotalAdmLocal))*CRONO!$F22,
                        0),
                 AA21*$S20),
          SUMIF(OFFSET($S22,1,0,$R20-2),($M20+1)&amp;"$",OFFSET(AA22,1,0,$R20-2)))</f>
        <v>0</v>
      </c>
      <c r="AB22" s="203" cm="1">
        <f t="array" aca="1" ref="AB22" ca="1">IF($R20=2,
         IF(AND(ACOMPANHAMENTO="PLE",ISNUMBER($F20)),
                SUMIF((OFFSET(CÁLCULO!$AM$15:$AW$15,$F20,0,OFFSET(ORÇAMENTO!$D$15,CRONO!$F20,0))),CRONO!AB$12,OFFSET(CÁLCULO!$AB$15:$AL$15,$F20,0,OFFSET(ORÇAMENTO!$D$15,CRONO!$F20,0)))
                +IF(AND($F22&lt;&gt;"",$F22&lt;&gt;0),
                        SUMIF(CÁLCULO!$AM$15:$AW$231,CRONO!AB$12,CÁLCULO!$AB$15:$AL$231)/(ORÇAMENTO!$X$15-_xlfn.SINGLE(CÁLCULO.TotalAdmLocal))*CRONO!$F22,
                        0),
                 AB21*$S20),
          SUMIF(OFFSET($S22,1,0,$R20-2),($M20+1)&amp;"$",OFFSET(AB22,1,0,$R20-2)))</f>
        <v>0</v>
      </c>
      <c r="AC22" s="203" cm="1">
        <f t="array" aca="1" ref="AC22" ca="1">IF($R20=2,
         IF(AND(ACOMPANHAMENTO="PLE",ISNUMBER($F20)),
                SUMIF((OFFSET(CÁLCULO!$AM$15:$AW$15,$F20,0,OFFSET(ORÇAMENTO!$D$15,CRONO!$F20,0))),CRONO!AC$12,OFFSET(CÁLCULO!$AB$15:$AL$15,$F20,0,OFFSET(ORÇAMENTO!$D$15,CRONO!$F20,0)))
                +IF(AND($F22&lt;&gt;"",$F22&lt;&gt;0),
                        SUMIF(CÁLCULO!$AM$15:$AW$231,CRONO!AC$12,CÁLCULO!$AB$15:$AL$231)/(ORÇAMENTO!$X$15-_xlfn.SINGLE(CÁLCULO.TotalAdmLocal))*CRONO!$F22,
                        0),
                 AC21*$S20),
          SUMIF(OFFSET($S22,1,0,$R20-2),($M20+1)&amp;"$",OFFSET(AC22,1,0,$R20-2)))</f>
        <v>0</v>
      </c>
      <c r="AD22" s="203" cm="1">
        <f t="array" aca="1" ref="AD22" ca="1">IF($R20=2,
         IF(AND(ACOMPANHAMENTO="PLE",ISNUMBER($F20)),
                SUMIF((OFFSET(CÁLCULO!$AM$15:$AW$15,$F20,0,OFFSET(ORÇAMENTO!$D$15,CRONO!$F20,0))),CRONO!AD$12,OFFSET(CÁLCULO!$AB$15:$AL$15,$F20,0,OFFSET(ORÇAMENTO!$D$15,CRONO!$F20,0)))
                +IF(AND($F22&lt;&gt;"",$F22&lt;&gt;0),
                        SUMIF(CÁLCULO!$AM$15:$AW$231,CRONO!AD$12,CÁLCULO!$AB$15:$AL$231)/(ORÇAMENTO!$X$15-_xlfn.SINGLE(CÁLCULO.TotalAdmLocal))*CRONO!$F22,
                        0),
                 AD21*$S20),
          SUMIF(OFFSET($S22,1,0,$R20-2),($M20+1)&amp;"$",OFFSET(AD22,1,0,$R20-2)))</f>
        <v>0</v>
      </c>
      <c r="AE22" s="203" cm="1">
        <f t="array" aca="1" ref="AE22" ca="1">IF($R20=2,
         IF(AND(ACOMPANHAMENTO="PLE",ISNUMBER($F20)),
                SUMIF((OFFSET(CÁLCULO!$AM$15:$AW$15,$F20,0,OFFSET(ORÇAMENTO!$D$15,CRONO!$F20,0))),CRONO!AE$12,OFFSET(CÁLCULO!$AB$15:$AL$15,$F20,0,OFFSET(ORÇAMENTO!$D$15,CRONO!$F20,0)))
                +IF(AND($F22&lt;&gt;"",$F22&lt;&gt;0),
                        SUMIF(CÁLCULO!$AM$15:$AW$231,CRONO!AE$12,CÁLCULO!$AB$15:$AL$231)/(ORÇAMENTO!$X$15-_xlfn.SINGLE(CÁLCULO.TotalAdmLocal))*CRONO!$F22,
                        0),
                 AE21*$S20),
          SUMIF(OFFSET($S22,1,0,$R20-2),($M20+1)&amp;"$",OFFSET(AE22,1,0,$R20-2)))</f>
        <v>0</v>
      </c>
      <c r="AF22" s="203" cm="1">
        <f t="array" aca="1" ref="AF22" ca="1">IF($R20=2,
         IF(AND(ACOMPANHAMENTO="PLE",ISNUMBER($F20)),
                SUMIF((OFFSET(CÁLCULO!$AM$15:$AW$15,$F20,0,OFFSET(ORÇAMENTO!$D$15,CRONO!$F20,0))),CRONO!AF$12,OFFSET(CÁLCULO!$AB$15:$AL$15,$F20,0,OFFSET(ORÇAMENTO!$D$15,CRONO!$F20,0)))
                +IF(AND($F22&lt;&gt;"",$F22&lt;&gt;0),
                        SUMIF(CÁLCULO!$AM$15:$AW$231,CRONO!AF$12,CÁLCULO!$AB$15:$AL$231)/(ORÇAMENTO!$X$15-_xlfn.SINGLE(CÁLCULO.TotalAdmLocal))*CRONO!$F22,
                        0),
                 AF21*$S20),
          SUMIF(OFFSET($S22,1,0,$R20-2),($M20+1)&amp;"$",OFFSET(AF22,1,0,$R20-2)))</f>
        <v>0</v>
      </c>
      <c r="AG22" s="535"/>
    </row>
    <row r="23" spans="1:33" x14ac:dyDescent="0.2">
      <c r="A23" s="187" t="str">
        <f t="shared" ref="A23" ca="1" si="20">IF($M23&gt;1,_xlfn.CONCAT($I23," ",$J23),"")</f>
        <v>1.3. ASSENTAMENTO LINHA DE RECALQUE</v>
      </c>
      <c r="B23" s="186">
        <f t="shared" ref="B23" ca="1" si="21">OFFSET(B23,-3,0)+1</f>
        <v>4</v>
      </c>
      <c r="C23" s="186">
        <f ca="1">IF($R23&lt;&gt;2,0,IF($S23=0,1,IF(F24&gt;0,OFFSET(QCI!$M$13,SUBSTITUTE(F24,".",""),0),OFFSET(ORÇAMENTO!$AA$15,CRONO!$F23,0))/$S23))</f>
        <v>1</v>
      </c>
      <c r="D23" s="186">
        <f ca="1">IF($R23&lt;&gt;2,0,IF($S23=0,1,IF(F24&gt;0,OFFSET(QCI!$N$13,SUBSTITUTE(F24,".",""),0),OFFSET(ORÇAMENTO!$AB$15,CRONO!$F23,0))/$S23))</f>
        <v>1</v>
      </c>
      <c r="E23" s="189" cm="1">
        <f t="array" aca="1" ref="E23" ca="1">IF(AND($R23=2,ACOMPANHAMENTO="BM"),ROUND(E24,4),E25/$S23)</f>
        <v>0</v>
      </c>
      <c r="F23" s="186">
        <f ca="1">IF(B23&lt;=ORÇAMENTO.MáximoListaCrono,MATCH(B23,ORÇAMENTO.ListaCrono,0),NA())</f>
        <v>8</v>
      </c>
      <c r="G23" s="186" t="str">
        <f t="shared" ref="G23" ca="1" si="22">IF(AND($F24&lt;&gt;-1,$S23&gt;0),"F","")</f>
        <v/>
      </c>
      <c r="H23" s="190" t="str" cm="1">
        <f t="array" aca="1" ref="H23" ca="1">IF(OR(S23=0,S23=""),"Linha",IF(AND(OR(ACOMPANHAMENTO="PLE",$R23&lt;&gt;2),$F24=0),"Linha",ROUND(1-SUM(U23:AG23),4)))</f>
        <v>Linha</v>
      </c>
      <c r="I23" s="191" t="str">
        <f ca="1">IF($F24=0,OFFSET(ORÇAMENTO!O$15,$F23,0),IF($F24&lt;&gt;-1,OFFSET(QCI!$D$13,$F24,0),""))</f>
        <v>1.3.</v>
      </c>
      <c r="J23" s="192" t="str">
        <f ca="1">IF($F24=0,OFFSET(ORÇAMENTO!R$15,$F23,0),IF($F24&lt;&gt;-1,OFFSET(QCI!$G$13,$F24,0),""))</f>
        <v>ASSENTAMENTO LINHA DE RECALQUE</v>
      </c>
      <c r="K23" s="192"/>
      <c r="L23" s="192"/>
      <c r="M23" s="193">
        <f ca="1">IF($F24=0,OFFSET(ORÇAMENTO!C$15,$F23,0),1)</f>
        <v>2</v>
      </c>
      <c r="N23" s="194">
        <f ca="1">IF($F24=-1,0,IF(N$13&lt;=$M23,IF(ISERROR(MATCH(N$13,OFFSET($M23,1,0,ROW($M$101)-ROW($M23)-1),0)),ROW($M$101)-ROW($M23)-1,MATCH(N$13,OFFSET($M23,1,0,ROW($M$101)-ROW($M23)-1),0)-1),0))</f>
        <v>77</v>
      </c>
      <c r="O23" s="194">
        <f ca="1">IF($F24=-1,0,IF(O$13&lt;=$M23,IF(ISERROR(MATCH(O$13,OFFSET($M23,1,0,ROW($M$101)-ROW($M23)-1),0)),ROW($M$101)-ROW($M23)-1,MATCH(O$13,OFFSET($M23,1,0,ROW($M$101)-ROW($M23)-1),0)-1),0))</f>
        <v>2</v>
      </c>
      <c r="P23" s="194">
        <f ca="1">IF($F24=-1,0,IF(P$13&lt;=$M23,IF(ISERROR(MATCH(P$13,OFFSET($M23,1,0,ROW($M$101)-ROW($M23)-1),0)),ROW($M$101)-ROW($M23)-1,MATCH(P$13,OFFSET($M23,1,0,ROW($M$101)-ROW($M23)-1),0)-1),0))</f>
        <v>0</v>
      </c>
      <c r="Q23" s="194">
        <f ca="1">IF($F24=-1,0,IF(Q$13&lt;=$M23,IF(ISERROR(MATCH(Q$13,OFFSET($M23,1,0,ROW($M$101)-ROW($M23)-1),0)),ROW($M$101)-ROW($M23)-1,MATCH(Q$13,OFFSET($M23,1,0,ROW($M$101)-ROW($M23)-1),0)-1),0))</f>
        <v>0</v>
      </c>
      <c r="R23" s="194">
        <f t="shared" ref="R23" ca="1" si="23">MIN(OFFSET(M23,0,1,,M23))</f>
        <v>2</v>
      </c>
      <c r="S23" s="195">
        <f ca="1">IF($F24=0,OFFSET(ORÇAMENTO!X$15,$F23,0),IF($F24&lt;&gt;-1,OFFSET(QCI!$O$13,$F24,0),""))</f>
        <v>0</v>
      </c>
      <c r="T23" s="196" t="s">
        <v>786</v>
      </c>
      <c r="U23" s="189" cm="1">
        <f t="array" aca="1" ref="U23" ca="1">IF(AND($R23=2,ACOMPANHAMENTO="BM"),ROUND(U24,4),U25/$S23)</f>
        <v>0.34</v>
      </c>
      <c r="V23" s="189" cm="1">
        <f t="array" aca="1" ref="V23" ca="1">IF(AND($R23=2,ACOMPANHAMENTO="BM"),ROUND(V24,4),V25/$S23)</f>
        <v>0.33</v>
      </c>
      <c r="W23" s="189" cm="1">
        <f t="array" aca="1" ref="W23" ca="1">IF(AND($R23=2,ACOMPANHAMENTO="BM"),ROUND(W24,4),W25/$S23)</f>
        <v>0.33</v>
      </c>
      <c r="X23" s="189" cm="1">
        <f t="array" aca="1" ref="X23" ca="1">IF(AND($R23=2,ACOMPANHAMENTO="BM"),ROUND(X24,4),X25/$S23)</f>
        <v>0</v>
      </c>
      <c r="Y23" s="189" cm="1">
        <f t="array" aca="1" ref="Y23" ca="1">IF(AND($R23=2,ACOMPANHAMENTO="BM"),ROUND(Y24,4),Y25/$S23)</f>
        <v>0</v>
      </c>
      <c r="Z23" s="189" cm="1">
        <f t="array" aca="1" ref="Z23" ca="1">IF(AND($R23=2,ACOMPANHAMENTO="BM"),ROUND(Z24,4),Z25/$S23)</f>
        <v>0</v>
      </c>
      <c r="AA23" s="189" cm="1">
        <f t="array" aca="1" ref="AA23" ca="1">IF(AND($R23=2,ACOMPANHAMENTO="BM"),ROUND(AA24,4),AA25/$S23)</f>
        <v>0</v>
      </c>
      <c r="AB23" s="189" cm="1">
        <f t="array" aca="1" ref="AB23" ca="1">IF(AND($R23=2,ACOMPANHAMENTO="BM"),ROUND(AB24,4),AB25/$S23)</f>
        <v>0</v>
      </c>
      <c r="AC23" s="189" cm="1">
        <f t="array" aca="1" ref="AC23" ca="1">IF(AND($R23=2,ACOMPANHAMENTO="BM"),ROUND(AC24,4),AC25/$S23)</f>
        <v>0</v>
      </c>
      <c r="AD23" s="189" cm="1">
        <f t="array" aca="1" ref="AD23" ca="1">IF(AND($R23=2,ACOMPANHAMENTO="BM"),ROUND(AD24,4),AD25/$S23)</f>
        <v>0</v>
      </c>
      <c r="AE23" s="189" cm="1">
        <f t="array" aca="1" ref="AE23" ca="1">IF(AND($R23=2,ACOMPANHAMENTO="BM"),ROUND(AE24,4),AE25/$S23)</f>
        <v>0</v>
      </c>
      <c r="AF23" s="189" cm="1">
        <f t="array" aca="1" ref="AF23" ca="1">IF(AND($R23=2,ACOMPANHAMENTO="BM"),ROUND(AF24,4),AF25/$S23)</f>
        <v>0</v>
      </c>
      <c r="AG23" s="535"/>
    </row>
    <row r="24" spans="1:33" ht="12.75" customHeight="1" x14ac:dyDescent="0.2">
      <c r="E24" s="588"/>
      <c r="F24" s="186">
        <f ca="1">IF(ISERROR(F23),IF(1+COUNTIF($M$13:OFFSET(M23,-1,0),1)&lt;=MAX(QCI!$D$13:$D$15),1+COUNTIF($M$13:OFFSET(M23,-1,0),1),-1),0)</f>
        <v>0</v>
      </c>
      <c r="G24" s="186" t="str" cm="1">
        <f t="array" aca="1" ref="G24" ca="1">IF(ACOMPANHAMENTO="BM",OFFSET(G24,-1,0),"")</f>
        <v/>
      </c>
      <c r="H24" s="197" t="str" cm="1">
        <f t="array" aca="1" ref="H24" ca="1">IF(OR(S23=0,S23=""),"vazia",IF(AND(OR(ACOMPANHAMENTO="PLE",$R23&lt;&gt;2),$F24=0),"calculada","--&gt;"))</f>
        <v>vazia</v>
      </c>
      <c r="I24" s="198"/>
      <c r="J24" s="199" t="str">
        <f t="shared" ref="J24" ca="1" si="24">IF(AND(H23&lt;&gt;0,ISNUMBER(H23)),"PREENCHA ESTA LINHA --&gt;","")</f>
        <v/>
      </c>
      <c r="K24" s="199"/>
      <c r="L24" s="199"/>
      <c r="M24" s="200"/>
      <c r="N24" s="200"/>
      <c r="O24" s="200"/>
      <c r="P24" s="200"/>
      <c r="Q24" s="200"/>
      <c r="R24" s="200"/>
      <c r="S24" s="201"/>
      <c r="T24" s="202"/>
      <c r="U24" s="588">
        <v>0.34</v>
      </c>
      <c r="V24" s="588">
        <v>0.33</v>
      </c>
      <c r="W24" s="588">
        <v>0.33</v>
      </c>
      <c r="X24" s="588"/>
      <c r="Y24" s="588"/>
      <c r="Z24" s="588"/>
      <c r="AA24" s="588"/>
      <c r="AB24" s="588"/>
      <c r="AC24" s="588"/>
      <c r="AD24" s="588"/>
      <c r="AE24" s="588"/>
      <c r="AF24" s="588"/>
      <c r="AG24" s="535"/>
    </row>
    <row r="25" spans="1:33" ht="12.75" hidden="1" customHeight="1" x14ac:dyDescent="0.2">
      <c r="D25" s="534"/>
      <c r="E25" s="203" cm="1">
        <f t="array" aca="1" ref="E25" ca="1">IF($R23=2,
         IF(AND(ACOMPANHAMENTO="PLE",ISNUMBER($F23)),
                SUMIF((OFFSET(CÁLCULO!$AM$15:$AW$15,$F23,0,OFFSET(ORÇAMENTO!$D$15,CRONO!$F23,0))),CRONO!E$12,OFFSET(CÁLCULO!$AB$15:$AL$15,$F23,0,OFFSET(ORÇAMENTO!$D$15,CRONO!$F23,0)))
                +IF(AND($F25&lt;&gt;"",$F25&lt;&gt;0),
                        SUMIF(CÁLCULO!$AM$15:$AW$231,CRONO!E$12,CÁLCULO!$AB$15:$AL$231)/(ORÇAMENTO!$X$15-_xlfn.SINGLE(CÁLCULO.TotalAdmLocal))*CRONO!$F25,
                        0),
                 E24*$S23),
          SUMIF(OFFSET($S25,1,0,$R23-2),($M23+1)&amp;"$",OFFSET(E25,1,0,$R23-2)))</f>
        <v>0</v>
      </c>
      <c r="F25" s="186" t="str">
        <f ca="1">IF(OR($R23&lt;&gt;2,AUTOEVENTO&lt;&gt;"manual",$F24&gt;0),"",
        IF(Import.TipoArredondamento="Tradicional",
              SUMIF(OFFSET(CÁLCULO!$M$15,CRONO!$F23,0,OFFSET(ORÇAMENTO!$D$15,CRONO!$F23,0)),1,OFFSET(ORÇAMENTO!$X$15,CRONO!$F23,0,OFFSET(ORÇAMENTO!$D$15,CRONO!$F23,0))),
              0))</f>
        <v/>
      </c>
      <c r="H25" s="672"/>
      <c r="S25" s="205" t="str">
        <f t="shared" ref="S25" ca="1" si="25">M23&amp;"$"</f>
        <v>2$</v>
      </c>
      <c r="T25" s="206"/>
      <c r="U25" s="203" cm="1">
        <f t="array" aca="1" ref="U25" ca="1">IF($R23=2,
         IF(AND(ACOMPANHAMENTO="PLE",ISNUMBER($F23)),
                SUMIF((OFFSET(CÁLCULO!$AM$15:$AW$15,$F23,0,OFFSET(ORÇAMENTO!$D$15,CRONO!$F23,0))),CRONO!U$12,OFFSET(CÁLCULO!$AB$15:$AL$15,$F23,0,OFFSET(ORÇAMENTO!$D$15,CRONO!$F23,0)))
                +IF(AND($F25&lt;&gt;"",$F25&lt;&gt;0),
                        SUMIF(CÁLCULO!$AM$15:$AW$231,CRONO!U$12,CÁLCULO!$AB$15:$AL$231)/(ORÇAMENTO!$X$15-_xlfn.SINGLE(CÁLCULO.TotalAdmLocal))*CRONO!$F25,
                        0),
                 U24*$S23),
          SUMIF(OFFSET($S25,1,0,$R23-2),($M23+1)&amp;"$",OFFSET(U25,1,0,$R23-2)))</f>
        <v>0</v>
      </c>
      <c r="V25" s="203" cm="1">
        <f t="array" aca="1" ref="V25" ca="1">IF($R23=2,
         IF(AND(ACOMPANHAMENTO="PLE",ISNUMBER($F23)),
                SUMIF((OFFSET(CÁLCULO!$AM$15:$AW$15,$F23,0,OFFSET(ORÇAMENTO!$D$15,CRONO!$F23,0))),CRONO!V$12,OFFSET(CÁLCULO!$AB$15:$AL$15,$F23,0,OFFSET(ORÇAMENTO!$D$15,CRONO!$F23,0)))
                +IF(AND($F25&lt;&gt;"",$F25&lt;&gt;0),
                        SUMIF(CÁLCULO!$AM$15:$AW$231,CRONO!V$12,CÁLCULO!$AB$15:$AL$231)/(ORÇAMENTO!$X$15-_xlfn.SINGLE(CÁLCULO.TotalAdmLocal))*CRONO!$F25,
                        0),
                 V24*$S23),
          SUMIF(OFFSET($S25,1,0,$R23-2),($M23+1)&amp;"$",OFFSET(V25,1,0,$R23-2)))</f>
        <v>0</v>
      </c>
      <c r="W25" s="203" cm="1">
        <f t="array" aca="1" ref="W25" ca="1">IF($R23=2,
         IF(AND(ACOMPANHAMENTO="PLE",ISNUMBER($F23)),
                SUMIF((OFFSET(CÁLCULO!$AM$15:$AW$15,$F23,0,OFFSET(ORÇAMENTO!$D$15,CRONO!$F23,0))),CRONO!W$12,OFFSET(CÁLCULO!$AB$15:$AL$15,$F23,0,OFFSET(ORÇAMENTO!$D$15,CRONO!$F23,0)))
                +IF(AND($F25&lt;&gt;"",$F25&lt;&gt;0),
                        SUMIF(CÁLCULO!$AM$15:$AW$231,CRONO!W$12,CÁLCULO!$AB$15:$AL$231)/(ORÇAMENTO!$X$15-_xlfn.SINGLE(CÁLCULO.TotalAdmLocal))*CRONO!$F25,
                        0),
                 W24*$S23),
          SUMIF(OFFSET($S25,1,0,$R23-2),($M23+1)&amp;"$",OFFSET(W25,1,0,$R23-2)))</f>
        <v>0</v>
      </c>
      <c r="X25" s="203" cm="1">
        <f t="array" aca="1" ref="X25" ca="1">IF($R23=2,
         IF(AND(ACOMPANHAMENTO="PLE",ISNUMBER($F23)),
                SUMIF((OFFSET(CÁLCULO!$AM$15:$AW$15,$F23,0,OFFSET(ORÇAMENTO!$D$15,CRONO!$F23,0))),CRONO!X$12,OFFSET(CÁLCULO!$AB$15:$AL$15,$F23,0,OFFSET(ORÇAMENTO!$D$15,CRONO!$F23,0)))
                +IF(AND($F25&lt;&gt;"",$F25&lt;&gt;0),
                        SUMIF(CÁLCULO!$AM$15:$AW$231,CRONO!X$12,CÁLCULO!$AB$15:$AL$231)/(ORÇAMENTO!$X$15-_xlfn.SINGLE(CÁLCULO.TotalAdmLocal))*CRONO!$F25,
                        0),
                 X24*$S23),
          SUMIF(OFFSET($S25,1,0,$R23-2),($M23+1)&amp;"$",OFFSET(X25,1,0,$R23-2)))</f>
        <v>0</v>
      </c>
      <c r="Y25" s="203" cm="1">
        <f t="array" aca="1" ref="Y25" ca="1">IF($R23=2,
         IF(AND(ACOMPANHAMENTO="PLE",ISNUMBER($F23)),
                SUMIF((OFFSET(CÁLCULO!$AM$15:$AW$15,$F23,0,OFFSET(ORÇAMENTO!$D$15,CRONO!$F23,0))),CRONO!Y$12,OFFSET(CÁLCULO!$AB$15:$AL$15,$F23,0,OFFSET(ORÇAMENTO!$D$15,CRONO!$F23,0)))
                +IF(AND($F25&lt;&gt;"",$F25&lt;&gt;0),
                        SUMIF(CÁLCULO!$AM$15:$AW$231,CRONO!Y$12,CÁLCULO!$AB$15:$AL$231)/(ORÇAMENTO!$X$15-_xlfn.SINGLE(CÁLCULO.TotalAdmLocal))*CRONO!$F25,
                        0),
                 Y24*$S23),
          SUMIF(OFFSET($S25,1,0,$R23-2),($M23+1)&amp;"$",OFFSET(Y25,1,0,$R23-2)))</f>
        <v>0</v>
      </c>
      <c r="Z25" s="203" cm="1">
        <f t="array" aca="1" ref="Z25" ca="1">IF($R23=2,
         IF(AND(ACOMPANHAMENTO="PLE",ISNUMBER($F23)),
                SUMIF((OFFSET(CÁLCULO!$AM$15:$AW$15,$F23,0,OFFSET(ORÇAMENTO!$D$15,CRONO!$F23,0))),CRONO!Z$12,OFFSET(CÁLCULO!$AB$15:$AL$15,$F23,0,OFFSET(ORÇAMENTO!$D$15,CRONO!$F23,0)))
                +IF(AND($F25&lt;&gt;"",$F25&lt;&gt;0),
                        SUMIF(CÁLCULO!$AM$15:$AW$231,CRONO!Z$12,CÁLCULO!$AB$15:$AL$231)/(ORÇAMENTO!$X$15-_xlfn.SINGLE(CÁLCULO.TotalAdmLocal))*CRONO!$F25,
                        0),
                 Z24*$S23),
          SUMIF(OFFSET($S25,1,0,$R23-2),($M23+1)&amp;"$",OFFSET(Z25,1,0,$R23-2)))</f>
        <v>0</v>
      </c>
      <c r="AA25" s="203" cm="1">
        <f t="array" aca="1" ref="AA25" ca="1">IF($R23=2,
         IF(AND(ACOMPANHAMENTO="PLE",ISNUMBER($F23)),
                SUMIF((OFFSET(CÁLCULO!$AM$15:$AW$15,$F23,0,OFFSET(ORÇAMENTO!$D$15,CRONO!$F23,0))),CRONO!AA$12,OFFSET(CÁLCULO!$AB$15:$AL$15,$F23,0,OFFSET(ORÇAMENTO!$D$15,CRONO!$F23,0)))
                +IF(AND($F25&lt;&gt;"",$F25&lt;&gt;0),
                        SUMIF(CÁLCULO!$AM$15:$AW$231,CRONO!AA$12,CÁLCULO!$AB$15:$AL$231)/(ORÇAMENTO!$X$15-_xlfn.SINGLE(CÁLCULO.TotalAdmLocal))*CRONO!$F25,
                        0),
                 AA24*$S23),
          SUMIF(OFFSET($S25,1,0,$R23-2),($M23+1)&amp;"$",OFFSET(AA25,1,0,$R23-2)))</f>
        <v>0</v>
      </c>
      <c r="AB25" s="203" cm="1">
        <f t="array" aca="1" ref="AB25" ca="1">IF($R23=2,
         IF(AND(ACOMPANHAMENTO="PLE",ISNUMBER($F23)),
                SUMIF((OFFSET(CÁLCULO!$AM$15:$AW$15,$F23,0,OFFSET(ORÇAMENTO!$D$15,CRONO!$F23,0))),CRONO!AB$12,OFFSET(CÁLCULO!$AB$15:$AL$15,$F23,0,OFFSET(ORÇAMENTO!$D$15,CRONO!$F23,0)))
                +IF(AND($F25&lt;&gt;"",$F25&lt;&gt;0),
                        SUMIF(CÁLCULO!$AM$15:$AW$231,CRONO!AB$12,CÁLCULO!$AB$15:$AL$231)/(ORÇAMENTO!$X$15-_xlfn.SINGLE(CÁLCULO.TotalAdmLocal))*CRONO!$F25,
                        0),
                 AB24*$S23),
          SUMIF(OFFSET($S25,1,0,$R23-2),($M23+1)&amp;"$",OFFSET(AB25,1,0,$R23-2)))</f>
        <v>0</v>
      </c>
      <c r="AC25" s="203" cm="1">
        <f t="array" aca="1" ref="AC25" ca="1">IF($R23=2,
         IF(AND(ACOMPANHAMENTO="PLE",ISNUMBER($F23)),
                SUMIF((OFFSET(CÁLCULO!$AM$15:$AW$15,$F23,0,OFFSET(ORÇAMENTO!$D$15,CRONO!$F23,0))),CRONO!AC$12,OFFSET(CÁLCULO!$AB$15:$AL$15,$F23,0,OFFSET(ORÇAMENTO!$D$15,CRONO!$F23,0)))
                +IF(AND($F25&lt;&gt;"",$F25&lt;&gt;0),
                        SUMIF(CÁLCULO!$AM$15:$AW$231,CRONO!AC$12,CÁLCULO!$AB$15:$AL$231)/(ORÇAMENTO!$X$15-_xlfn.SINGLE(CÁLCULO.TotalAdmLocal))*CRONO!$F25,
                        0),
                 AC24*$S23),
          SUMIF(OFFSET($S25,1,0,$R23-2),($M23+1)&amp;"$",OFFSET(AC25,1,0,$R23-2)))</f>
        <v>0</v>
      </c>
      <c r="AD25" s="203" cm="1">
        <f t="array" aca="1" ref="AD25" ca="1">IF($R23=2,
         IF(AND(ACOMPANHAMENTO="PLE",ISNUMBER($F23)),
                SUMIF((OFFSET(CÁLCULO!$AM$15:$AW$15,$F23,0,OFFSET(ORÇAMENTO!$D$15,CRONO!$F23,0))),CRONO!AD$12,OFFSET(CÁLCULO!$AB$15:$AL$15,$F23,0,OFFSET(ORÇAMENTO!$D$15,CRONO!$F23,0)))
                +IF(AND($F25&lt;&gt;"",$F25&lt;&gt;0),
                        SUMIF(CÁLCULO!$AM$15:$AW$231,CRONO!AD$12,CÁLCULO!$AB$15:$AL$231)/(ORÇAMENTO!$X$15-_xlfn.SINGLE(CÁLCULO.TotalAdmLocal))*CRONO!$F25,
                        0),
                 AD24*$S23),
          SUMIF(OFFSET($S25,1,0,$R23-2),($M23+1)&amp;"$",OFFSET(AD25,1,0,$R23-2)))</f>
        <v>0</v>
      </c>
      <c r="AE25" s="203" cm="1">
        <f t="array" aca="1" ref="AE25" ca="1">IF($R23=2,
         IF(AND(ACOMPANHAMENTO="PLE",ISNUMBER($F23)),
                SUMIF((OFFSET(CÁLCULO!$AM$15:$AW$15,$F23,0,OFFSET(ORÇAMENTO!$D$15,CRONO!$F23,0))),CRONO!AE$12,OFFSET(CÁLCULO!$AB$15:$AL$15,$F23,0,OFFSET(ORÇAMENTO!$D$15,CRONO!$F23,0)))
                +IF(AND($F25&lt;&gt;"",$F25&lt;&gt;0),
                        SUMIF(CÁLCULO!$AM$15:$AW$231,CRONO!AE$12,CÁLCULO!$AB$15:$AL$231)/(ORÇAMENTO!$X$15-_xlfn.SINGLE(CÁLCULO.TotalAdmLocal))*CRONO!$F25,
                        0),
                 AE24*$S23),
          SUMIF(OFFSET($S25,1,0,$R23-2),($M23+1)&amp;"$",OFFSET(AE25,1,0,$R23-2)))</f>
        <v>0</v>
      </c>
      <c r="AF25" s="203" cm="1">
        <f t="array" aca="1" ref="AF25" ca="1">IF($R23=2,
         IF(AND(ACOMPANHAMENTO="PLE",ISNUMBER($F23)),
                SUMIF((OFFSET(CÁLCULO!$AM$15:$AW$15,$F23,0,OFFSET(ORÇAMENTO!$D$15,CRONO!$F23,0))),CRONO!AF$12,OFFSET(CÁLCULO!$AB$15:$AL$15,$F23,0,OFFSET(ORÇAMENTO!$D$15,CRONO!$F23,0)))
                +IF(AND($F25&lt;&gt;"",$F25&lt;&gt;0),
                        SUMIF(CÁLCULO!$AM$15:$AW$231,CRONO!AF$12,CÁLCULO!$AB$15:$AL$231)/(ORÇAMENTO!$X$15-_xlfn.SINGLE(CÁLCULO.TotalAdmLocal))*CRONO!$F25,
                        0),
                 AF24*$S23),
          SUMIF(OFFSET($S25,1,0,$R23-2),($M23+1)&amp;"$",OFFSET(AF25,1,0,$R23-2)))</f>
        <v>0</v>
      </c>
      <c r="AG25" s="535"/>
    </row>
    <row r="26" spans="1:33" x14ac:dyDescent="0.2">
      <c r="A26" s="187" t="str">
        <f t="shared" ref="A26" ca="1" si="26">IF($M26&gt;1,_xlfn.CONCAT($I26," ",$J26),"")</f>
        <v>1.4. BLOCOS DE ANCORAGEM</v>
      </c>
      <c r="B26" s="186">
        <f t="shared" ref="B26" ca="1" si="27">OFFSET(B26,-3,0)+1</f>
        <v>5</v>
      </c>
      <c r="C26" s="186">
        <f ca="1">IF($R26&lt;&gt;2,0,IF($S26=0,1,IF(F27&gt;0,OFFSET(QCI!$M$13,SUBSTITUTE(F27,".",""),0),OFFSET(ORÇAMENTO!$AA$15,CRONO!$F26,0))/$S26))</f>
        <v>1</v>
      </c>
      <c r="D26" s="186">
        <f ca="1">IF($R26&lt;&gt;2,0,IF($S26=0,1,IF(F27&gt;0,OFFSET(QCI!$N$13,SUBSTITUTE(F27,".",""),0),OFFSET(ORÇAMENTO!$AB$15,CRONO!$F26,0))/$S26))</f>
        <v>1</v>
      </c>
      <c r="E26" s="189" cm="1">
        <f t="array" aca="1" ref="E26" ca="1">IF(AND($R26=2,ACOMPANHAMENTO="BM"),ROUND(E27,4),E28/$S26)</f>
        <v>0</v>
      </c>
      <c r="F26" s="186">
        <f ca="1">IF(B26&lt;=ORÇAMENTO.MáximoListaCrono,MATCH(B26,ORÇAMENTO.ListaCrono,0),NA())</f>
        <v>23</v>
      </c>
      <c r="G26" s="186" t="str">
        <f t="shared" ref="G26" ca="1" si="28">IF(AND($F27&lt;&gt;-1,$S26&gt;0),"F","")</f>
        <v/>
      </c>
      <c r="H26" s="190" t="str" cm="1">
        <f t="array" aca="1" ref="H26" ca="1">IF(OR(S26=0,S26=""),"Linha",IF(AND(OR(ACOMPANHAMENTO="PLE",$R26&lt;&gt;2),$F27=0),"Linha",ROUND(1-SUM(U26:AG26),4)))</f>
        <v>Linha</v>
      </c>
      <c r="I26" s="191" t="str">
        <f ca="1">IF($F27=0,OFFSET(ORÇAMENTO!O$15,$F26,0),IF($F27&lt;&gt;-1,OFFSET(QCI!$D$13,$F27,0),""))</f>
        <v>1.4.</v>
      </c>
      <c r="J26" s="192" t="str">
        <f ca="1">IF($F27=0,OFFSET(ORÇAMENTO!R$15,$F26,0),IF($F27&lt;&gt;-1,OFFSET(QCI!$G$13,$F27,0),""))</f>
        <v>BLOCOS DE ANCORAGEM</v>
      </c>
      <c r="K26" s="192"/>
      <c r="L26" s="192"/>
      <c r="M26" s="193">
        <f ca="1">IF($F27=0,OFFSET(ORÇAMENTO!C$15,$F26,0),1)</f>
        <v>2</v>
      </c>
      <c r="N26" s="194">
        <f ca="1">IF($F27=-1,0,IF(N$13&lt;=$M26,IF(ISERROR(MATCH(N$13,OFFSET($M26,1,0,ROW($M$101)-ROW($M26)-1),0)),ROW($M$101)-ROW($M26)-1,MATCH(N$13,OFFSET($M26,1,0,ROW($M$101)-ROW($M26)-1),0)-1),0))</f>
        <v>74</v>
      </c>
      <c r="O26" s="194">
        <f ca="1">IF($F27=-1,0,IF(O$13&lt;=$M26,IF(ISERROR(MATCH(O$13,OFFSET($M26,1,0,ROW($M$101)-ROW($M26)-1),0)),ROW($M$101)-ROW($M26)-1,MATCH(O$13,OFFSET($M26,1,0,ROW($M$101)-ROW($M26)-1),0)-1),0))</f>
        <v>2</v>
      </c>
      <c r="P26" s="194">
        <f ca="1">IF($F27=-1,0,IF(P$13&lt;=$M26,IF(ISERROR(MATCH(P$13,OFFSET($M26,1,0,ROW($M$101)-ROW($M26)-1),0)),ROW($M$101)-ROW($M26)-1,MATCH(P$13,OFFSET($M26,1,0,ROW($M$101)-ROW($M26)-1),0)-1),0))</f>
        <v>0</v>
      </c>
      <c r="Q26" s="194">
        <f ca="1">IF($F27=-1,0,IF(Q$13&lt;=$M26,IF(ISERROR(MATCH(Q$13,OFFSET($M26,1,0,ROW($M$101)-ROW($M26)-1),0)),ROW($M$101)-ROW($M26)-1,MATCH(Q$13,OFFSET($M26,1,0,ROW($M$101)-ROW($M26)-1),0)-1),0))</f>
        <v>0</v>
      </c>
      <c r="R26" s="194">
        <f t="shared" ref="R26" ca="1" si="29">MIN(OFFSET(M26,0,1,,M26))</f>
        <v>2</v>
      </c>
      <c r="S26" s="195">
        <f ca="1">IF($F27=0,OFFSET(ORÇAMENTO!X$15,$F26,0),IF($F27&lt;&gt;-1,OFFSET(QCI!$O$13,$F27,0),""))</f>
        <v>0</v>
      </c>
      <c r="T26" s="196" t="s">
        <v>786</v>
      </c>
      <c r="U26" s="189" cm="1">
        <f t="array" aca="1" ref="U26" ca="1">IF(AND($R26=2,ACOMPANHAMENTO="BM"),ROUND(U27,4),U28/$S26)</f>
        <v>0.3</v>
      </c>
      <c r="V26" s="189" cm="1">
        <f t="array" aca="1" ref="V26" ca="1">IF(AND($R26=2,ACOMPANHAMENTO="BM"),ROUND(V27,4),V28/$S26)</f>
        <v>0.3</v>
      </c>
      <c r="W26" s="189" cm="1">
        <f t="array" aca="1" ref="W26" ca="1">IF(AND($R26=2,ACOMPANHAMENTO="BM"),ROUND(W27,4),W28/$S26)</f>
        <v>0.4</v>
      </c>
      <c r="X26" s="189" cm="1">
        <f t="array" aca="1" ref="X26" ca="1">IF(AND($R26=2,ACOMPANHAMENTO="BM"),ROUND(X27,4),X28/$S26)</f>
        <v>0</v>
      </c>
      <c r="Y26" s="189" cm="1">
        <f t="array" aca="1" ref="Y26" ca="1">IF(AND($R26=2,ACOMPANHAMENTO="BM"),ROUND(Y27,4),Y28/$S26)</f>
        <v>0</v>
      </c>
      <c r="Z26" s="189" cm="1">
        <f t="array" aca="1" ref="Z26" ca="1">IF(AND($R26=2,ACOMPANHAMENTO="BM"),ROUND(Z27,4),Z28/$S26)</f>
        <v>0</v>
      </c>
      <c r="AA26" s="189" cm="1">
        <f t="array" aca="1" ref="AA26" ca="1">IF(AND($R26=2,ACOMPANHAMENTO="BM"),ROUND(AA27,4),AA28/$S26)</f>
        <v>0</v>
      </c>
      <c r="AB26" s="189" cm="1">
        <f t="array" aca="1" ref="AB26" ca="1">IF(AND($R26=2,ACOMPANHAMENTO="BM"),ROUND(AB27,4),AB28/$S26)</f>
        <v>0</v>
      </c>
      <c r="AC26" s="189" cm="1">
        <f t="array" aca="1" ref="AC26" ca="1">IF(AND($R26=2,ACOMPANHAMENTO="BM"),ROUND(AC27,4),AC28/$S26)</f>
        <v>0</v>
      </c>
      <c r="AD26" s="189" cm="1">
        <f t="array" aca="1" ref="AD26" ca="1">IF(AND($R26=2,ACOMPANHAMENTO="BM"),ROUND(AD27,4),AD28/$S26)</f>
        <v>0</v>
      </c>
      <c r="AE26" s="189" cm="1">
        <f t="array" aca="1" ref="AE26" ca="1">IF(AND($R26=2,ACOMPANHAMENTO="BM"),ROUND(AE27,4),AE28/$S26)</f>
        <v>0</v>
      </c>
      <c r="AF26" s="189" cm="1">
        <f t="array" aca="1" ref="AF26" ca="1">IF(AND($R26=2,ACOMPANHAMENTO="BM"),ROUND(AF27,4),AF28/$S26)</f>
        <v>0</v>
      </c>
      <c r="AG26" s="535"/>
    </row>
    <row r="27" spans="1:33" ht="12.75" customHeight="1" x14ac:dyDescent="0.2">
      <c r="E27" s="588"/>
      <c r="F27" s="186">
        <f ca="1">IF(ISERROR(F26),IF(1+COUNTIF($M$13:OFFSET(M26,-1,0),1)&lt;=MAX(QCI!$D$13:$D$15),1+COUNTIF($M$13:OFFSET(M26,-1,0),1),-1),0)</f>
        <v>0</v>
      </c>
      <c r="G27" s="186" t="str" cm="1">
        <f t="array" aca="1" ref="G27" ca="1">IF(ACOMPANHAMENTO="BM",OFFSET(G27,-1,0),"")</f>
        <v/>
      </c>
      <c r="H27" s="197" t="str" cm="1">
        <f t="array" aca="1" ref="H27" ca="1">IF(OR(S26=0,S26=""),"vazia",IF(AND(OR(ACOMPANHAMENTO="PLE",$R26&lt;&gt;2),$F27=0),"calculada","--&gt;"))</f>
        <v>vazia</v>
      </c>
      <c r="I27" s="198"/>
      <c r="J27" s="199" t="str">
        <f t="shared" ref="J27" ca="1" si="30">IF(AND(H26&lt;&gt;0,ISNUMBER(H26)),"PREENCHA ESTA LINHA --&gt;","")</f>
        <v/>
      </c>
      <c r="K27" s="199"/>
      <c r="L27" s="199"/>
      <c r="M27" s="200"/>
      <c r="N27" s="200"/>
      <c r="O27" s="200"/>
      <c r="P27" s="200"/>
      <c r="Q27" s="200"/>
      <c r="R27" s="200"/>
      <c r="S27" s="201"/>
      <c r="T27" s="202"/>
      <c r="U27" s="588">
        <v>0.3</v>
      </c>
      <c r="V27" s="588">
        <v>0.3</v>
      </c>
      <c r="W27" s="588">
        <v>0.4</v>
      </c>
      <c r="X27" s="588"/>
      <c r="Y27" s="588"/>
      <c r="Z27" s="588"/>
      <c r="AA27" s="588"/>
      <c r="AB27" s="588"/>
      <c r="AC27" s="588"/>
      <c r="AD27" s="588"/>
      <c r="AE27" s="588"/>
      <c r="AF27" s="588"/>
      <c r="AG27" s="535"/>
    </row>
    <row r="28" spans="1:33" ht="12.75" hidden="1" customHeight="1" x14ac:dyDescent="0.2">
      <c r="D28" s="534"/>
      <c r="E28" s="203" cm="1">
        <f t="array" aca="1" ref="E28" ca="1">IF($R26=2,
         IF(AND(ACOMPANHAMENTO="PLE",ISNUMBER($F26)),
                SUMIF((OFFSET(CÁLCULO!$AM$15:$AW$15,$F26,0,OFFSET(ORÇAMENTO!$D$15,CRONO!$F26,0))),CRONO!E$12,OFFSET(CÁLCULO!$AB$15:$AL$15,$F26,0,OFFSET(ORÇAMENTO!$D$15,CRONO!$F26,0)))
                +IF(AND($F28&lt;&gt;"",$F28&lt;&gt;0),
                        SUMIF(CÁLCULO!$AM$15:$AW$231,CRONO!E$12,CÁLCULO!$AB$15:$AL$231)/(ORÇAMENTO!$X$15-_xlfn.SINGLE(CÁLCULO.TotalAdmLocal))*CRONO!$F28,
                        0),
                 E27*$S26),
          SUMIF(OFFSET($S28,1,0,$R26-2),($M26+1)&amp;"$",OFFSET(E28,1,0,$R26-2)))</f>
        <v>0</v>
      </c>
      <c r="F28" s="186" t="str">
        <f ca="1">IF(OR($R26&lt;&gt;2,AUTOEVENTO&lt;&gt;"manual",$F27&gt;0),"",
        IF(Import.TipoArredondamento="Tradicional",
              SUMIF(OFFSET(CÁLCULO!$M$15,CRONO!$F26,0,OFFSET(ORÇAMENTO!$D$15,CRONO!$F26,0)),1,OFFSET(ORÇAMENTO!$X$15,CRONO!$F26,0,OFFSET(ORÇAMENTO!$D$15,CRONO!$F26,0))),
              0))</f>
        <v/>
      </c>
      <c r="H28" s="672"/>
      <c r="S28" s="205" t="str">
        <f t="shared" ref="S28" ca="1" si="31">M26&amp;"$"</f>
        <v>2$</v>
      </c>
      <c r="T28" s="206"/>
      <c r="U28" s="203" cm="1">
        <f t="array" aca="1" ref="U28" ca="1">IF($R26=2,
         IF(AND(ACOMPANHAMENTO="PLE",ISNUMBER($F26)),
                SUMIF((OFFSET(CÁLCULO!$AM$15:$AW$15,$F26,0,OFFSET(ORÇAMENTO!$D$15,CRONO!$F26,0))),CRONO!U$12,OFFSET(CÁLCULO!$AB$15:$AL$15,$F26,0,OFFSET(ORÇAMENTO!$D$15,CRONO!$F26,0)))
                +IF(AND($F28&lt;&gt;"",$F28&lt;&gt;0),
                        SUMIF(CÁLCULO!$AM$15:$AW$231,CRONO!U$12,CÁLCULO!$AB$15:$AL$231)/(ORÇAMENTO!$X$15-_xlfn.SINGLE(CÁLCULO.TotalAdmLocal))*CRONO!$F28,
                        0),
                 U27*$S26),
          SUMIF(OFFSET($S28,1,0,$R26-2),($M26+1)&amp;"$",OFFSET(U28,1,0,$R26-2)))</f>
        <v>0</v>
      </c>
      <c r="V28" s="203" cm="1">
        <f t="array" aca="1" ref="V28" ca="1">IF($R26=2,
         IF(AND(ACOMPANHAMENTO="PLE",ISNUMBER($F26)),
                SUMIF((OFFSET(CÁLCULO!$AM$15:$AW$15,$F26,0,OFFSET(ORÇAMENTO!$D$15,CRONO!$F26,0))),CRONO!V$12,OFFSET(CÁLCULO!$AB$15:$AL$15,$F26,0,OFFSET(ORÇAMENTO!$D$15,CRONO!$F26,0)))
                +IF(AND($F28&lt;&gt;"",$F28&lt;&gt;0),
                        SUMIF(CÁLCULO!$AM$15:$AW$231,CRONO!V$12,CÁLCULO!$AB$15:$AL$231)/(ORÇAMENTO!$X$15-_xlfn.SINGLE(CÁLCULO.TotalAdmLocal))*CRONO!$F28,
                        0),
                 V27*$S26),
          SUMIF(OFFSET($S28,1,0,$R26-2),($M26+1)&amp;"$",OFFSET(V28,1,0,$R26-2)))</f>
        <v>0</v>
      </c>
      <c r="W28" s="203" cm="1">
        <f t="array" aca="1" ref="W28" ca="1">IF($R26=2,
         IF(AND(ACOMPANHAMENTO="PLE",ISNUMBER($F26)),
                SUMIF((OFFSET(CÁLCULO!$AM$15:$AW$15,$F26,0,OFFSET(ORÇAMENTO!$D$15,CRONO!$F26,0))),CRONO!W$12,OFFSET(CÁLCULO!$AB$15:$AL$15,$F26,0,OFFSET(ORÇAMENTO!$D$15,CRONO!$F26,0)))
                +IF(AND($F28&lt;&gt;"",$F28&lt;&gt;0),
                        SUMIF(CÁLCULO!$AM$15:$AW$231,CRONO!W$12,CÁLCULO!$AB$15:$AL$231)/(ORÇAMENTO!$X$15-_xlfn.SINGLE(CÁLCULO.TotalAdmLocal))*CRONO!$F28,
                        0),
                 W27*$S26),
          SUMIF(OFFSET($S28,1,0,$R26-2),($M26+1)&amp;"$",OFFSET(W28,1,0,$R26-2)))</f>
        <v>0</v>
      </c>
      <c r="X28" s="203" cm="1">
        <f t="array" aca="1" ref="X28" ca="1">IF($R26=2,
         IF(AND(ACOMPANHAMENTO="PLE",ISNUMBER($F26)),
                SUMIF((OFFSET(CÁLCULO!$AM$15:$AW$15,$F26,0,OFFSET(ORÇAMENTO!$D$15,CRONO!$F26,0))),CRONO!X$12,OFFSET(CÁLCULO!$AB$15:$AL$15,$F26,0,OFFSET(ORÇAMENTO!$D$15,CRONO!$F26,0)))
                +IF(AND($F28&lt;&gt;"",$F28&lt;&gt;0),
                        SUMIF(CÁLCULO!$AM$15:$AW$231,CRONO!X$12,CÁLCULO!$AB$15:$AL$231)/(ORÇAMENTO!$X$15-_xlfn.SINGLE(CÁLCULO.TotalAdmLocal))*CRONO!$F28,
                        0),
                 X27*$S26),
          SUMIF(OFFSET($S28,1,0,$R26-2),($M26+1)&amp;"$",OFFSET(X28,1,0,$R26-2)))</f>
        <v>0</v>
      </c>
      <c r="Y28" s="203" cm="1">
        <f t="array" aca="1" ref="Y28" ca="1">IF($R26=2,
         IF(AND(ACOMPANHAMENTO="PLE",ISNUMBER($F26)),
                SUMIF((OFFSET(CÁLCULO!$AM$15:$AW$15,$F26,0,OFFSET(ORÇAMENTO!$D$15,CRONO!$F26,0))),CRONO!Y$12,OFFSET(CÁLCULO!$AB$15:$AL$15,$F26,0,OFFSET(ORÇAMENTO!$D$15,CRONO!$F26,0)))
                +IF(AND($F28&lt;&gt;"",$F28&lt;&gt;0),
                        SUMIF(CÁLCULO!$AM$15:$AW$231,CRONO!Y$12,CÁLCULO!$AB$15:$AL$231)/(ORÇAMENTO!$X$15-_xlfn.SINGLE(CÁLCULO.TotalAdmLocal))*CRONO!$F28,
                        0),
                 Y27*$S26),
          SUMIF(OFFSET($S28,1,0,$R26-2),($M26+1)&amp;"$",OFFSET(Y28,1,0,$R26-2)))</f>
        <v>0</v>
      </c>
      <c r="Z28" s="203" cm="1">
        <f t="array" aca="1" ref="Z28" ca="1">IF($R26=2,
         IF(AND(ACOMPANHAMENTO="PLE",ISNUMBER($F26)),
                SUMIF((OFFSET(CÁLCULO!$AM$15:$AW$15,$F26,0,OFFSET(ORÇAMENTO!$D$15,CRONO!$F26,0))),CRONO!Z$12,OFFSET(CÁLCULO!$AB$15:$AL$15,$F26,0,OFFSET(ORÇAMENTO!$D$15,CRONO!$F26,0)))
                +IF(AND($F28&lt;&gt;"",$F28&lt;&gt;0),
                        SUMIF(CÁLCULO!$AM$15:$AW$231,CRONO!Z$12,CÁLCULO!$AB$15:$AL$231)/(ORÇAMENTO!$X$15-_xlfn.SINGLE(CÁLCULO.TotalAdmLocal))*CRONO!$F28,
                        0),
                 Z27*$S26),
          SUMIF(OFFSET($S28,1,0,$R26-2),($M26+1)&amp;"$",OFFSET(Z28,1,0,$R26-2)))</f>
        <v>0</v>
      </c>
      <c r="AA28" s="203" cm="1">
        <f t="array" aca="1" ref="AA28" ca="1">IF($R26=2,
         IF(AND(ACOMPANHAMENTO="PLE",ISNUMBER($F26)),
                SUMIF((OFFSET(CÁLCULO!$AM$15:$AW$15,$F26,0,OFFSET(ORÇAMENTO!$D$15,CRONO!$F26,0))),CRONO!AA$12,OFFSET(CÁLCULO!$AB$15:$AL$15,$F26,0,OFFSET(ORÇAMENTO!$D$15,CRONO!$F26,0)))
                +IF(AND($F28&lt;&gt;"",$F28&lt;&gt;0),
                        SUMIF(CÁLCULO!$AM$15:$AW$231,CRONO!AA$12,CÁLCULO!$AB$15:$AL$231)/(ORÇAMENTO!$X$15-_xlfn.SINGLE(CÁLCULO.TotalAdmLocal))*CRONO!$F28,
                        0),
                 AA27*$S26),
          SUMIF(OFFSET($S28,1,0,$R26-2),($M26+1)&amp;"$",OFFSET(AA28,1,0,$R26-2)))</f>
        <v>0</v>
      </c>
      <c r="AB28" s="203" cm="1">
        <f t="array" aca="1" ref="AB28" ca="1">IF($R26=2,
         IF(AND(ACOMPANHAMENTO="PLE",ISNUMBER($F26)),
                SUMIF((OFFSET(CÁLCULO!$AM$15:$AW$15,$F26,0,OFFSET(ORÇAMENTO!$D$15,CRONO!$F26,0))),CRONO!AB$12,OFFSET(CÁLCULO!$AB$15:$AL$15,$F26,0,OFFSET(ORÇAMENTO!$D$15,CRONO!$F26,0)))
                +IF(AND($F28&lt;&gt;"",$F28&lt;&gt;0),
                        SUMIF(CÁLCULO!$AM$15:$AW$231,CRONO!AB$12,CÁLCULO!$AB$15:$AL$231)/(ORÇAMENTO!$X$15-_xlfn.SINGLE(CÁLCULO.TotalAdmLocal))*CRONO!$F28,
                        0),
                 AB27*$S26),
          SUMIF(OFFSET($S28,1,0,$R26-2),($M26+1)&amp;"$",OFFSET(AB28,1,0,$R26-2)))</f>
        <v>0</v>
      </c>
      <c r="AC28" s="203" cm="1">
        <f t="array" aca="1" ref="AC28" ca="1">IF($R26=2,
         IF(AND(ACOMPANHAMENTO="PLE",ISNUMBER($F26)),
                SUMIF((OFFSET(CÁLCULO!$AM$15:$AW$15,$F26,0,OFFSET(ORÇAMENTO!$D$15,CRONO!$F26,0))),CRONO!AC$12,OFFSET(CÁLCULO!$AB$15:$AL$15,$F26,0,OFFSET(ORÇAMENTO!$D$15,CRONO!$F26,0)))
                +IF(AND($F28&lt;&gt;"",$F28&lt;&gt;0),
                        SUMIF(CÁLCULO!$AM$15:$AW$231,CRONO!AC$12,CÁLCULO!$AB$15:$AL$231)/(ORÇAMENTO!$X$15-_xlfn.SINGLE(CÁLCULO.TotalAdmLocal))*CRONO!$F28,
                        0),
                 AC27*$S26),
          SUMIF(OFFSET($S28,1,0,$R26-2),($M26+1)&amp;"$",OFFSET(AC28,1,0,$R26-2)))</f>
        <v>0</v>
      </c>
      <c r="AD28" s="203" cm="1">
        <f t="array" aca="1" ref="AD28" ca="1">IF($R26=2,
         IF(AND(ACOMPANHAMENTO="PLE",ISNUMBER($F26)),
                SUMIF((OFFSET(CÁLCULO!$AM$15:$AW$15,$F26,0,OFFSET(ORÇAMENTO!$D$15,CRONO!$F26,0))),CRONO!AD$12,OFFSET(CÁLCULO!$AB$15:$AL$15,$F26,0,OFFSET(ORÇAMENTO!$D$15,CRONO!$F26,0)))
                +IF(AND($F28&lt;&gt;"",$F28&lt;&gt;0),
                        SUMIF(CÁLCULO!$AM$15:$AW$231,CRONO!AD$12,CÁLCULO!$AB$15:$AL$231)/(ORÇAMENTO!$X$15-_xlfn.SINGLE(CÁLCULO.TotalAdmLocal))*CRONO!$F28,
                        0),
                 AD27*$S26),
          SUMIF(OFFSET($S28,1,0,$R26-2),($M26+1)&amp;"$",OFFSET(AD28,1,0,$R26-2)))</f>
        <v>0</v>
      </c>
      <c r="AE28" s="203" cm="1">
        <f t="array" aca="1" ref="AE28" ca="1">IF($R26=2,
         IF(AND(ACOMPANHAMENTO="PLE",ISNUMBER($F26)),
                SUMIF((OFFSET(CÁLCULO!$AM$15:$AW$15,$F26,0,OFFSET(ORÇAMENTO!$D$15,CRONO!$F26,0))),CRONO!AE$12,OFFSET(CÁLCULO!$AB$15:$AL$15,$F26,0,OFFSET(ORÇAMENTO!$D$15,CRONO!$F26,0)))
                +IF(AND($F28&lt;&gt;"",$F28&lt;&gt;0),
                        SUMIF(CÁLCULO!$AM$15:$AW$231,CRONO!AE$12,CÁLCULO!$AB$15:$AL$231)/(ORÇAMENTO!$X$15-_xlfn.SINGLE(CÁLCULO.TotalAdmLocal))*CRONO!$F28,
                        0),
                 AE27*$S26),
          SUMIF(OFFSET($S28,1,0,$R26-2),($M26+1)&amp;"$",OFFSET(AE28,1,0,$R26-2)))</f>
        <v>0</v>
      </c>
      <c r="AF28" s="203" cm="1">
        <f t="array" aca="1" ref="AF28" ca="1">IF($R26=2,
         IF(AND(ACOMPANHAMENTO="PLE",ISNUMBER($F26)),
                SUMIF((OFFSET(CÁLCULO!$AM$15:$AW$15,$F26,0,OFFSET(ORÇAMENTO!$D$15,CRONO!$F26,0))),CRONO!AF$12,OFFSET(CÁLCULO!$AB$15:$AL$15,$F26,0,OFFSET(ORÇAMENTO!$D$15,CRONO!$F26,0)))
                +IF(AND($F28&lt;&gt;"",$F28&lt;&gt;0),
                        SUMIF(CÁLCULO!$AM$15:$AW$231,CRONO!AF$12,CÁLCULO!$AB$15:$AL$231)/(ORÇAMENTO!$X$15-_xlfn.SINGLE(CÁLCULO.TotalAdmLocal))*CRONO!$F28,
                        0),
                 AF27*$S26),
          SUMIF(OFFSET($S28,1,0,$R26-2),($M26+1)&amp;"$",OFFSET(AF28,1,0,$R26-2)))</f>
        <v>0</v>
      </c>
      <c r="AG28" s="535"/>
    </row>
    <row r="29" spans="1:33" x14ac:dyDescent="0.2">
      <c r="A29" s="187" t="str">
        <f t="shared" ref="A29" ca="1" si="32">IF($M29&gt;1,_xlfn.CONCAT($I29," ",$J29),"")</f>
        <v>1.5. TRAVESSIA RODOVIA MG-050</v>
      </c>
      <c r="B29" s="186">
        <f t="shared" ref="B29" ca="1" si="33">OFFSET(B29,-3,0)+1</f>
        <v>6</v>
      </c>
      <c r="C29" s="186">
        <f ca="1">IF($R29&lt;&gt;2,0,IF($S29=0,1,IF(F30&gt;0,OFFSET(QCI!$M$13,SUBSTITUTE(F30,".",""),0),OFFSET(ORÇAMENTO!$AA$15,CRONO!$F29,0))/$S29))</f>
        <v>1</v>
      </c>
      <c r="D29" s="186">
        <f ca="1">IF($R29&lt;&gt;2,0,IF($S29=0,1,IF(F30&gt;0,OFFSET(QCI!$N$13,SUBSTITUTE(F30,".",""),0),OFFSET(ORÇAMENTO!$AB$15,CRONO!$F29,0))/$S29))</f>
        <v>1</v>
      </c>
      <c r="E29" s="189" cm="1">
        <f t="array" aca="1" ref="E29" ca="1">IF(AND($R29=2,ACOMPANHAMENTO="BM"),ROUND(E30,4),E31/$S29)</f>
        <v>0</v>
      </c>
      <c r="F29" s="186">
        <f ca="1">IF(B29&lt;=ORÇAMENTO.MáximoListaCrono,MATCH(B29,ORÇAMENTO.ListaCrono,0),NA())</f>
        <v>43</v>
      </c>
      <c r="G29" s="186" t="str">
        <f t="shared" ref="G29" ca="1" si="34">IF(AND($F30&lt;&gt;-1,$S29&gt;0),"F","")</f>
        <v/>
      </c>
      <c r="H29" s="190" t="str" cm="1">
        <f t="array" aca="1" ref="H29" ca="1">IF(OR(S29=0,S29=""),"Linha",IF(AND(OR(ACOMPANHAMENTO="PLE",$R29&lt;&gt;2),$F30=0),"Linha",ROUND(1-SUM(U29:AG29),4)))</f>
        <v>Linha</v>
      </c>
      <c r="I29" s="191" t="str">
        <f ca="1">IF($F30=0,OFFSET(ORÇAMENTO!O$15,$F29,0),IF($F30&lt;&gt;-1,OFFSET(QCI!$D$13,$F30,0),""))</f>
        <v>1.5.</v>
      </c>
      <c r="J29" s="192" t="str">
        <f ca="1">IF($F30=0,OFFSET(ORÇAMENTO!R$15,$F29,0),IF($F30&lt;&gt;-1,OFFSET(QCI!$G$13,$F30,0),""))</f>
        <v>TRAVESSIA RODOVIA MG-050</v>
      </c>
      <c r="K29" s="192"/>
      <c r="L29" s="192"/>
      <c r="M29" s="193">
        <f ca="1">IF($F30=0,OFFSET(ORÇAMENTO!C$15,$F29,0),1)</f>
        <v>2</v>
      </c>
      <c r="N29" s="194">
        <f ca="1">IF($F30=-1,0,IF(N$13&lt;=$M29,IF(ISERROR(MATCH(N$13,OFFSET($M29,1,0,ROW($M$101)-ROW($M29)-1),0)),ROW($M$101)-ROW($M29)-1,MATCH(N$13,OFFSET($M29,1,0,ROW($M$101)-ROW($M29)-1),0)-1),0))</f>
        <v>71</v>
      </c>
      <c r="O29" s="194">
        <f ca="1">IF($F30=-1,0,IF(O$13&lt;=$M29,IF(ISERROR(MATCH(O$13,OFFSET($M29,1,0,ROW($M$101)-ROW($M29)-1),0)),ROW($M$101)-ROW($M29)-1,MATCH(O$13,OFFSET($M29,1,0,ROW($M$101)-ROW($M29)-1),0)-1),0))</f>
        <v>2</v>
      </c>
      <c r="P29" s="194">
        <f ca="1">IF($F30=-1,0,IF(P$13&lt;=$M29,IF(ISERROR(MATCH(P$13,OFFSET($M29,1,0,ROW($M$101)-ROW($M29)-1),0)),ROW($M$101)-ROW($M29)-1,MATCH(P$13,OFFSET($M29,1,0,ROW($M$101)-ROW($M29)-1),0)-1),0))</f>
        <v>0</v>
      </c>
      <c r="Q29" s="194">
        <f ca="1">IF($F30=-1,0,IF(Q$13&lt;=$M29,IF(ISERROR(MATCH(Q$13,OFFSET($M29,1,0,ROW($M$101)-ROW($M29)-1),0)),ROW($M$101)-ROW($M29)-1,MATCH(Q$13,OFFSET($M29,1,0,ROW($M$101)-ROW($M29)-1),0)-1),0))</f>
        <v>0</v>
      </c>
      <c r="R29" s="194">
        <f t="shared" ref="R29" ca="1" si="35">MIN(OFFSET(M29,0,1,,M29))</f>
        <v>2</v>
      </c>
      <c r="S29" s="195">
        <f ca="1">IF($F30=0,OFFSET(ORÇAMENTO!X$15,$F29,0),IF($F30&lt;&gt;-1,OFFSET(QCI!$O$13,$F30,0),""))</f>
        <v>0</v>
      </c>
      <c r="T29" s="196" t="s">
        <v>786</v>
      </c>
      <c r="U29" s="189" cm="1">
        <f t="array" aca="1" ref="U29" ca="1">IF(AND($R29=2,ACOMPANHAMENTO="BM"),ROUND(U30,4),U31/$S29)</f>
        <v>0</v>
      </c>
      <c r="V29" s="189" cm="1">
        <f t="array" aca="1" ref="V29" ca="1">IF(AND($R29=2,ACOMPANHAMENTO="BM"),ROUND(V30,4),V31/$S29)</f>
        <v>0</v>
      </c>
      <c r="W29" s="189" cm="1">
        <f t="array" aca="1" ref="W29" ca="1">IF(AND($R29=2,ACOMPANHAMENTO="BM"),ROUND(W30,4),W31/$S29)</f>
        <v>0.75</v>
      </c>
      <c r="X29" s="189" cm="1">
        <f t="array" aca="1" ref="X29" ca="1">IF(AND($R29=2,ACOMPANHAMENTO="BM"),ROUND(X30,4),X31/$S29)</f>
        <v>0.25</v>
      </c>
      <c r="Y29" s="189" cm="1">
        <f t="array" aca="1" ref="Y29" ca="1">IF(AND($R29=2,ACOMPANHAMENTO="BM"),ROUND(Y30,4),Y31/$S29)</f>
        <v>0</v>
      </c>
      <c r="Z29" s="189" cm="1">
        <f t="array" aca="1" ref="Z29" ca="1">IF(AND($R29=2,ACOMPANHAMENTO="BM"),ROUND(Z30,4),Z31/$S29)</f>
        <v>0</v>
      </c>
      <c r="AA29" s="189" cm="1">
        <f t="array" aca="1" ref="AA29" ca="1">IF(AND($R29=2,ACOMPANHAMENTO="BM"),ROUND(AA30,4),AA31/$S29)</f>
        <v>0</v>
      </c>
      <c r="AB29" s="189" cm="1">
        <f t="array" aca="1" ref="AB29" ca="1">IF(AND($R29=2,ACOMPANHAMENTO="BM"),ROUND(AB30,4),AB31/$S29)</f>
        <v>0</v>
      </c>
      <c r="AC29" s="189" cm="1">
        <f t="array" aca="1" ref="AC29" ca="1">IF(AND($R29=2,ACOMPANHAMENTO="BM"),ROUND(AC30,4),AC31/$S29)</f>
        <v>0</v>
      </c>
      <c r="AD29" s="189" cm="1">
        <f t="array" aca="1" ref="AD29" ca="1">IF(AND($R29=2,ACOMPANHAMENTO="BM"),ROUND(AD30,4),AD31/$S29)</f>
        <v>0</v>
      </c>
      <c r="AE29" s="189" cm="1">
        <f t="array" aca="1" ref="AE29" ca="1">IF(AND($R29=2,ACOMPANHAMENTO="BM"),ROUND(AE30,4),AE31/$S29)</f>
        <v>0</v>
      </c>
      <c r="AF29" s="189" cm="1">
        <f t="array" aca="1" ref="AF29" ca="1">IF(AND($R29=2,ACOMPANHAMENTO="BM"),ROUND(AF30,4),AF31/$S29)</f>
        <v>0</v>
      </c>
      <c r="AG29" s="535"/>
    </row>
    <row r="30" spans="1:33" ht="12.75" customHeight="1" x14ac:dyDescent="0.2">
      <c r="E30" s="588"/>
      <c r="F30" s="186">
        <f ca="1">IF(ISERROR(F29),IF(1+COUNTIF($M$13:OFFSET(M29,-1,0),1)&lt;=MAX(QCI!$D$13:$D$15),1+COUNTIF($M$13:OFFSET(M29,-1,0),1),-1),0)</f>
        <v>0</v>
      </c>
      <c r="G30" s="186" t="str" cm="1">
        <f t="array" aca="1" ref="G30" ca="1">IF(ACOMPANHAMENTO="BM",OFFSET(G30,-1,0),"")</f>
        <v/>
      </c>
      <c r="H30" s="197" t="str" cm="1">
        <f t="array" aca="1" ref="H30" ca="1">IF(OR(S29=0,S29=""),"vazia",IF(AND(OR(ACOMPANHAMENTO="PLE",$R29&lt;&gt;2),$F30=0),"calculada","--&gt;"))</f>
        <v>vazia</v>
      </c>
      <c r="I30" s="198"/>
      <c r="J30" s="199" t="str">
        <f t="shared" ref="J30" ca="1" si="36">IF(AND(H29&lt;&gt;0,ISNUMBER(H29)),"PREENCHA ESTA LINHA --&gt;","")</f>
        <v/>
      </c>
      <c r="K30" s="199"/>
      <c r="L30" s="199"/>
      <c r="M30" s="200"/>
      <c r="N30" s="200"/>
      <c r="O30" s="200"/>
      <c r="P30" s="200"/>
      <c r="Q30" s="200"/>
      <c r="R30" s="200"/>
      <c r="S30" s="201"/>
      <c r="T30" s="202"/>
      <c r="U30" s="588"/>
      <c r="V30" s="588"/>
      <c r="W30" s="588">
        <v>0.75</v>
      </c>
      <c r="X30" s="588">
        <v>0.25</v>
      </c>
      <c r="Y30" s="588"/>
      <c r="Z30" s="588"/>
      <c r="AA30" s="588"/>
      <c r="AB30" s="588"/>
      <c r="AC30" s="588"/>
      <c r="AD30" s="588"/>
      <c r="AE30" s="588"/>
      <c r="AF30" s="588"/>
      <c r="AG30" s="535"/>
    </row>
    <row r="31" spans="1:33" ht="12.75" hidden="1" customHeight="1" x14ac:dyDescent="0.2">
      <c r="D31" s="534"/>
      <c r="E31" s="203" cm="1">
        <f t="array" aca="1" ref="E31" ca="1">IF($R29=2,
         IF(AND(ACOMPANHAMENTO="PLE",ISNUMBER($F29)),
                SUMIF((OFFSET(CÁLCULO!$AM$15:$AW$15,$F29,0,OFFSET(ORÇAMENTO!$D$15,CRONO!$F29,0))),CRONO!E$12,OFFSET(CÁLCULO!$AB$15:$AL$15,$F29,0,OFFSET(ORÇAMENTO!$D$15,CRONO!$F29,0)))
                +IF(AND($F31&lt;&gt;"",$F31&lt;&gt;0),
                        SUMIF(CÁLCULO!$AM$15:$AW$231,CRONO!E$12,CÁLCULO!$AB$15:$AL$231)/(ORÇAMENTO!$X$15-_xlfn.SINGLE(CÁLCULO.TotalAdmLocal))*CRONO!$F31,
                        0),
                 E30*$S29),
          SUMIF(OFFSET($S31,1,0,$R29-2),($M29+1)&amp;"$",OFFSET(E31,1,0,$R29-2)))</f>
        <v>0</v>
      </c>
      <c r="F31" s="186" t="str">
        <f ca="1">IF(OR($R29&lt;&gt;2,AUTOEVENTO&lt;&gt;"manual",$F30&gt;0),"",
        IF(Import.TipoArredondamento="Tradicional",
              SUMIF(OFFSET(CÁLCULO!$M$15,CRONO!$F29,0,OFFSET(ORÇAMENTO!$D$15,CRONO!$F29,0)),1,OFFSET(ORÇAMENTO!$X$15,CRONO!$F29,0,OFFSET(ORÇAMENTO!$D$15,CRONO!$F29,0))),
              0))</f>
        <v/>
      </c>
      <c r="H31" s="672"/>
      <c r="S31" s="205" t="str">
        <f t="shared" ref="S31" ca="1" si="37">M29&amp;"$"</f>
        <v>2$</v>
      </c>
      <c r="T31" s="206"/>
      <c r="U31" s="203" cm="1">
        <f t="array" aca="1" ref="U31" ca="1">IF($R29=2,
         IF(AND(ACOMPANHAMENTO="PLE",ISNUMBER($F29)),
                SUMIF((OFFSET(CÁLCULO!$AM$15:$AW$15,$F29,0,OFFSET(ORÇAMENTO!$D$15,CRONO!$F29,0))),CRONO!U$12,OFFSET(CÁLCULO!$AB$15:$AL$15,$F29,0,OFFSET(ORÇAMENTO!$D$15,CRONO!$F29,0)))
                +IF(AND($F31&lt;&gt;"",$F31&lt;&gt;0),
                        SUMIF(CÁLCULO!$AM$15:$AW$231,CRONO!U$12,CÁLCULO!$AB$15:$AL$231)/(ORÇAMENTO!$X$15-_xlfn.SINGLE(CÁLCULO.TotalAdmLocal))*CRONO!$F31,
                        0),
                 U30*$S29),
          SUMIF(OFFSET($S31,1,0,$R29-2),($M29+1)&amp;"$",OFFSET(U31,1,0,$R29-2)))</f>
        <v>0</v>
      </c>
      <c r="V31" s="203" cm="1">
        <f t="array" aca="1" ref="V31" ca="1">IF($R29=2,
         IF(AND(ACOMPANHAMENTO="PLE",ISNUMBER($F29)),
                SUMIF((OFFSET(CÁLCULO!$AM$15:$AW$15,$F29,0,OFFSET(ORÇAMENTO!$D$15,CRONO!$F29,0))),CRONO!V$12,OFFSET(CÁLCULO!$AB$15:$AL$15,$F29,0,OFFSET(ORÇAMENTO!$D$15,CRONO!$F29,0)))
                +IF(AND($F31&lt;&gt;"",$F31&lt;&gt;0),
                        SUMIF(CÁLCULO!$AM$15:$AW$231,CRONO!V$12,CÁLCULO!$AB$15:$AL$231)/(ORÇAMENTO!$X$15-_xlfn.SINGLE(CÁLCULO.TotalAdmLocal))*CRONO!$F31,
                        0),
                 V30*$S29),
          SUMIF(OFFSET($S31,1,0,$R29-2),($M29+1)&amp;"$",OFFSET(V31,1,0,$R29-2)))</f>
        <v>0</v>
      </c>
      <c r="W31" s="203" cm="1">
        <f t="array" aca="1" ref="W31" ca="1">IF($R29=2,
         IF(AND(ACOMPANHAMENTO="PLE",ISNUMBER($F29)),
                SUMIF((OFFSET(CÁLCULO!$AM$15:$AW$15,$F29,0,OFFSET(ORÇAMENTO!$D$15,CRONO!$F29,0))),CRONO!W$12,OFFSET(CÁLCULO!$AB$15:$AL$15,$F29,0,OFFSET(ORÇAMENTO!$D$15,CRONO!$F29,0)))
                +IF(AND($F31&lt;&gt;"",$F31&lt;&gt;0),
                        SUMIF(CÁLCULO!$AM$15:$AW$231,CRONO!W$12,CÁLCULO!$AB$15:$AL$231)/(ORÇAMENTO!$X$15-_xlfn.SINGLE(CÁLCULO.TotalAdmLocal))*CRONO!$F31,
                        0),
                 W30*$S29),
          SUMIF(OFFSET($S31,1,0,$R29-2),($M29+1)&amp;"$",OFFSET(W31,1,0,$R29-2)))</f>
        <v>0</v>
      </c>
      <c r="X31" s="203" cm="1">
        <f t="array" aca="1" ref="X31" ca="1">IF($R29=2,
         IF(AND(ACOMPANHAMENTO="PLE",ISNUMBER($F29)),
                SUMIF((OFFSET(CÁLCULO!$AM$15:$AW$15,$F29,0,OFFSET(ORÇAMENTO!$D$15,CRONO!$F29,0))),CRONO!X$12,OFFSET(CÁLCULO!$AB$15:$AL$15,$F29,0,OFFSET(ORÇAMENTO!$D$15,CRONO!$F29,0)))
                +IF(AND($F31&lt;&gt;"",$F31&lt;&gt;0),
                        SUMIF(CÁLCULO!$AM$15:$AW$231,CRONO!X$12,CÁLCULO!$AB$15:$AL$231)/(ORÇAMENTO!$X$15-_xlfn.SINGLE(CÁLCULO.TotalAdmLocal))*CRONO!$F31,
                        0),
                 X30*$S29),
          SUMIF(OFFSET($S31,1,0,$R29-2),($M29+1)&amp;"$",OFFSET(X31,1,0,$R29-2)))</f>
        <v>0</v>
      </c>
      <c r="Y31" s="203" cm="1">
        <f t="array" aca="1" ref="Y31" ca="1">IF($R29=2,
         IF(AND(ACOMPANHAMENTO="PLE",ISNUMBER($F29)),
                SUMIF((OFFSET(CÁLCULO!$AM$15:$AW$15,$F29,0,OFFSET(ORÇAMENTO!$D$15,CRONO!$F29,0))),CRONO!Y$12,OFFSET(CÁLCULO!$AB$15:$AL$15,$F29,0,OFFSET(ORÇAMENTO!$D$15,CRONO!$F29,0)))
                +IF(AND($F31&lt;&gt;"",$F31&lt;&gt;0),
                        SUMIF(CÁLCULO!$AM$15:$AW$231,CRONO!Y$12,CÁLCULO!$AB$15:$AL$231)/(ORÇAMENTO!$X$15-_xlfn.SINGLE(CÁLCULO.TotalAdmLocal))*CRONO!$F31,
                        0),
                 Y30*$S29),
          SUMIF(OFFSET($S31,1,0,$R29-2),($M29+1)&amp;"$",OFFSET(Y31,1,0,$R29-2)))</f>
        <v>0</v>
      </c>
      <c r="Z31" s="203" cm="1">
        <f t="array" aca="1" ref="Z31" ca="1">IF($R29=2,
         IF(AND(ACOMPANHAMENTO="PLE",ISNUMBER($F29)),
                SUMIF((OFFSET(CÁLCULO!$AM$15:$AW$15,$F29,0,OFFSET(ORÇAMENTO!$D$15,CRONO!$F29,0))),CRONO!Z$12,OFFSET(CÁLCULO!$AB$15:$AL$15,$F29,0,OFFSET(ORÇAMENTO!$D$15,CRONO!$F29,0)))
                +IF(AND($F31&lt;&gt;"",$F31&lt;&gt;0),
                        SUMIF(CÁLCULO!$AM$15:$AW$231,CRONO!Z$12,CÁLCULO!$AB$15:$AL$231)/(ORÇAMENTO!$X$15-_xlfn.SINGLE(CÁLCULO.TotalAdmLocal))*CRONO!$F31,
                        0),
                 Z30*$S29),
          SUMIF(OFFSET($S31,1,0,$R29-2),($M29+1)&amp;"$",OFFSET(Z31,1,0,$R29-2)))</f>
        <v>0</v>
      </c>
      <c r="AA31" s="203" cm="1">
        <f t="array" aca="1" ref="AA31" ca="1">IF($R29=2,
         IF(AND(ACOMPANHAMENTO="PLE",ISNUMBER($F29)),
                SUMIF((OFFSET(CÁLCULO!$AM$15:$AW$15,$F29,0,OFFSET(ORÇAMENTO!$D$15,CRONO!$F29,0))),CRONO!AA$12,OFFSET(CÁLCULO!$AB$15:$AL$15,$F29,0,OFFSET(ORÇAMENTO!$D$15,CRONO!$F29,0)))
                +IF(AND($F31&lt;&gt;"",$F31&lt;&gt;0),
                        SUMIF(CÁLCULO!$AM$15:$AW$231,CRONO!AA$12,CÁLCULO!$AB$15:$AL$231)/(ORÇAMENTO!$X$15-_xlfn.SINGLE(CÁLCULO.TotalAdmLocal))*CRONO!$F31,
                        0),
                 AA30*$S29),
          SUMIF(OFFSET($S31,1,0,$R29-2),($M29+1)&amp;"$",OFFSET(AA31,1,0,$R29-2)))</f>
        <v>0</v>
      </c>
      <c r="AB31" s="203" cm="1">
        <f t="array" aca="1" ref="AB31" ca="1">IF($R29=2,
         IF(AND(ACOMPANHAMENTO="PLE",ISNUMBER($F29)),
                SUMIF((OFFSET(CÁLCULO!$AM$15:$AW$15,$F29,0,OFFSET(ORÇAMENTO!$D$15,CRONO!$F29,0))),CRONO!AB$12,OFFSET(CÁLCULO!$AB$15:$AL$15,$F29,0,OFFSET(ORÇAMENTO!$D$15,CRONO!$F29,0)))
                +IF(AND($F31&lt;&gt;"",$F31&lt;&gt;0),
                        SUMIF(CÁLCULO!$AM$15:$AW$231,CRONO!AB$12,CÁLCULO!$AB$15:$AL$231)/(ORÇAMENTO!$X$15-_xlfn.SINGLE(CÁLCULO.TotalAdmLocal))*CRONO!$F31,
                        0),
                 AB30*$S29),
          SUMIF(OFFSET($S31,1,0,$R29-2),($M29+1)&amp;"$",OFFSET(AB31,1,0,$R29-2)))</f>
        <v>0</v>
      </c>
      <c r="AC31" s="203" cm="1">
        <f t="array" aca="1" ref="AC31" ca="1">IF($R29=2,
         IF(AND(ACOMPANHAMENTO="PLE",ISNUMBER($F29)),
                SUMIF((OFFSET(CÁLCULO!$AM$15:$AW$15,$F29,0,OFFSET(ORÇAMENTO!$D$15,CRONO!$F29,0))),CRONO!AC$12,OFFSET(CÁLCULO!$AB$15:$AL$15,$F29,0,OFFSET(ORÇAMENTO!$D$15,CRONO!$F29,0)))
                +IF(AND($F31&lt;&gt;"",$F31&lt;&gt;0),
                        SUMIF(CÁLCULO!$AM$15:$AW$231,CRONO!AC$12,CÁLCULO!$AB$15:$AL$231)/(ORÇAMENTO!$X$15-_xlfn.SINGLE(CÁLCULO.TotalAdmLocal))*CRONO!$F31,
                        0),
                 AC30*$S29),
          SUMIF(OFFSET($S31,1,0,$R29-2),($M29+1)&amp;"$",OFFSET(AC31,1,0,$R29-2)))</f>
        <v>0</v>
      </c>
      <c r="AD31" s="203" cm="1">
        <f t="array" aca="1" ref="AD31" ca="1">IF($R29=2,
         IF(AND(ACOMPANHAMENTO="PLE",ISNUMBER($F29)),
                SUMIF((OFFSET(CÁLCULO!$AM$15:$AW$15,$F29,0,OFFSET(ORÇAMENTO!$D$15,CRONO!$F29,0))),CRONO!AD$12,OFFSET(CÁLCULO!$AB$15:$AL$15,$F29,0,OFFSET(ORÇAMENTO!$D$15,CRONO!$F29,0)))
                +IF(AND($F31&lt;&gt;"",$F31&lt;&gt;0),
                        SUMIF(CÁLCULO!$AM$15:$AW$231,CRONO!AD$12,CÁLCULO!$AB$15:$AL$231)/(ORÇAMENTO!$X$15-_xlfn.SINGLE(CÁLCULO.TotalAdmLocal))*CRONO!$F31,
                        0),
                 AD30*$S29),
          SUMIF(OFFSET($S31,1,0,$R29-2),($M29+1)&amp;"$",OFFSET(AD31,1,0,$R29-2)))</f>
        <v>0</v>
      </c>
      <c r="AE31" s="203" cm="1">
        <f t="array" aca="1" ref="AE31" ca="1">IF($R29=2,
         IF(AND(ACOMPANHAMENTO="PLE",ISNUMBER($F29)),
                SUMIF((OFFSET(CÁLCULO!$AM$15:$AW$15,$F29,0,OFFSET(ORÇAMENTO!$D$15,CRONO!$F29,0))),CRONO!AE$12,OFFSET(CÁLCULO!$AB$15:$AL$15,$F29,0,OFFSET(ORÇAMENTO!$D$15,CRONO!$F29,0)))
                +IF(AND($F31&lt;&gt;"",$F31&lt;&gt;0),
                        SUMIF(CÁLCULO!$AM$15:$AW$231,CRONO!AE$12,CÁLCULO!$AB$15:$AL$231)/(ORÇAMENTO!$X$15-_xlfn.SINGLE(CÁLCULO.TotalAdmLocal))*CRONO!$F31,
                        0),
                 AE30*$S29),
          SUMIF(OFFSET($S31,1,0,$R29-2),($M29+1)&amp;"$",OFFSET(AE31,1,0,$R29-2)))</f>
        <v>0</v>
      </c>
      <c r="AF31" s="203" cm="1">
        <f t="array" aca="1" ref="AF31" ca="1">IF($R29=2,
         IF(AND(ACOMPANHAMENTO="PLE",ISNUMBER($F29)),
                SUMIF((OFFSET(CÁLCULO!$AM$15:$AW$15,$F29,0,OFFSET(ORÇAMENTO!$D$15,CRONO!$F29,0))),CRONO!AF$12,OFFSET(CÁLCULO!$AB$15:$AL$15,$F29,0,OFFSET(ORÇAMENTO!$D$15,CRONO!$F29,0)))
                +IF(AND($F31&lt;&gt;"",$F31&lt;&gt;0),
                        SUMIF(CÁLCULO!$AM$15:$AW$231,CRONO!AF$12,CÁLCULO!$AB$15:$AL$231)/(ORÇAMENTO!$X$15-_xlfn.SINGLE(CÁLCULO.TotalAdmLocal))*CRONO!$F31,
                        0),
                 AF30*$S29),
          SUMIF(OFFSET($S31,1,0,$R29-2),($M29+1)&amp;"$",OFFSET(AF31,1,0,$R29-2)))</f>
        <v>0</v>
      </c>
      <c r="AG31" s="535"/>
    </row>
    <row r="32" spans="1:33" x14ac:dyDescent="0.2">
      <c r="A32" s="187" t="str">
        <f t="shared" ref="A32" ca="1" si="38">IF($M32&gt;1,_xlfn.CONCAT($I32," ",$J32),"")</f>
        <v>1.6. POÇO DE VISITA PARA PROTEÇÃO VENTOSAS E DESCARGAS</v>
      </c>
      <c r="B32" s="186">
        <f t="shared" ref="B32" ca="1" si="39">OFFSET(B32,-3,0)+1</f>
        <v>7</v>
      </c>
      <c r="C32" s="186">
        <f ca="1">IF($R32&lt;&gt;2,0,IF($S32=0,1,IF(F33&gt;0,OFFSET(QCI!$M$13,SUBSTITUTE(F33,".",""),0),OFFSET(ORÇAMENTO!$AA$15,CRONO!$F32,0))/$S32))</f>
        <v>1</v>
      </c>
      <c r="D32" s="186">
        <f ca="1">IF($R32&lt;&gt;2,0,IF($S32=0,1,IF(F33&gt;0,OFFSET(QCI!$N$13,SUBSTITUTE(F33,".",""),0),OFFSET(ORÇAMENTO!$AB$15,CRONO!$F32,0))/$S32))</f>
        <v>1</v>
      </c>
      <c r="E32" s="189" cm="1">
        <f t="array" aca="1" ref="E32" ca="1">IF(AND($R32=2,ACOMPANHAMENTO="BM"),ROUND(E33,4),E34/$S32)</f>
        <v>0</v>
      </c>
      <c r="F32" s="186">
        <f ca="1">IF(B32&lt;=ORÇAMENTO.MáximoListaCrono,MATCH(B32,ORÇAMENTO.ListaCrono,0),NA())</f>
        <v>49</v>
      </c>
      <c r="G32" s="186" t="str">
        <f t="shared" ref="G32" ca="1" si="40">IF(AND($F33&lt;&gt;-1,$S32&gt;0),"F","")</f>
        <v/>
      </c>
      <c r="H32" s="190" t="str" cm="1">
        <f t="array" aca="1" ref="H32" ca="1">IF(OR(S32=0,S32=""),"Linha",IF(AND(OR(ACOMPANHAMENTO="PLE",$R32&lt;&gt;2),$F33=0),"Linha",ROUND(1-SUM(U32:AG32),4)))</f>
        <v>Linha</v>
      </c>
      <c r="I32" s="191" t="str">
        <f ca="1">IF($F33=0,OFFSET(ORÇAMENTO!O$15,$F32,0),IF($F33&lt;&gt;-1,OFFSET(QCI!$D$13,$F33,0),""))</f>
        <v>1.6.</v>
      </c>
      <c r="J32" s="192" t="str">
        <f ca="1">IF($F33=0,OFFSET(ORÇAMENTO!R$15,$F32,0),IF($F33&lt;&gt;-1,OFFSET(QCI!$G$13,$F33,0),""))</f>
        <v>POÇO DE VISITA PARA PROTEÇÃO VENTOSAS E DESCARGAS</v>
      </c>
      <c r="K32" s="192"/>
      <c r="L32" s="192"/>
      <c r="M32" s="193">
        <f ca="1">IF($F33=0,OFFSET(ORÇAMENTO!C$15,$F32,0),1)</f>
        <v>2</v>
      </c>
      <c r="N32" s="194">
        <f ca="1">IF($F33=-1,0,IF(N$13&lt;=$M32,IF(ISERROR(MATCH(N$13,OFFSET($M32,1,0,ROW($M$101)-ROW($M32)-1),0)),ROW($M$101)-ROW($M32)-1,MATCH(N$13,OFFSET($M32,1,0,ROW($M$101)-ROW($M32)-1),0)-1),0))</f>
        <v>68</v>
      </c>
      <c r="O32" s="194">
        <f ca="1">IF($F33=-1,0,IF(O$13&lt;=$M32,IF(ISERROR(MATCH(O$13,OFFSET($M32,1,0,ROW($M$101)-ROW($M32)-1),0)),ROW($M$101)-ROW($M32)-1,MATCH(O$13,OFFSET($M32,1,0,ROW($M$101)-ROW($M32)-1),0)-1),0))</f>
        <v>2</v>
      </c>
      <c r="P32" s="194">
        <f ca="1">IF($F33=-1,0,IF(P$13&lt;=$M32,IF(ISERROR(MATCH(P$13,OFFSET($M32,1,0,ROW($M$101)-ROW($M32)-1),0)),ROW($M$101)-ROW($M32)-1,MATCH(P$13,OFFSET($M32,1,0,ROW($M$101)-ROW($M32)-1),0)-1),0))</f>
        <v>0</v>
      </c>
      <c r="Q32" s="194">
        <f ca="1">IF($F33=-1,0,IF(Q$13&lt;=$M32,IF(ISERROR(MATCH(Q$13,OFFSET($M32,1,0,ROW($M$101)-ROW($M32)-1),0)),ROW($M$101)-ROW($M32)-1,MATCH(Q$13,OFFSET($M32,1,0,ROW($M$101)-ROW($M32)-1),0)-1),0))</f>
        <v>0</v>
      </c>
      <c r="R32" s="194">
        <f t="shared" ref="R32" ca="1" si="41">MIN(OFFSET(M32,0,1,,M32))</f>
        <v>2</v>
      </c>
      <c r="S32" s="195">
        <f ca="1">IF($F33=0,OFFSET(ORÇAMENTO!X$15,$F32,0),IF($F33&lt;&gt;-1,OFFSET(QCI!$O$13,$F33,0),""))</f>
        <v>0</v>
      </c>
      <c r="T32" s="196" t="s">
        <v>786</v>
      </c>
      <c r="U32" s="189" cm="1">
        <f t="array" aca="1" ref="U32" ca="1">IF(AND($R32=2,ACOMPANHAMENTO="BM"),ROUND(U33,4),U34/$S32)</f>
        <v>0.3</v>
      </c>
      <c r="V32" s="189" cm="1">
        <f t="array" aca="1" ref="V32" ca="1">IF(AND($R32=2,ACOMPANHAMENTO="BM"),ROUND(V33,4),V34/$S32)</f>
        <v>0.4</v>
      </c>
      <c r="W32" s="189" cm="1">
        <f t="array" aca="1" ref="W32" ca="1">IF(AND($R32=2,ACOMPANHAMENTO="BM"),ROUND(W33,4),W34/$S32)</f>
        <v>0.3</v>
      </c>
      <c r="X32" s="189" cm="1">
        <f t="array" aca="1" ref="X32" ca="1">IF(AND($R32=2,ACOMPANHAMENTO="BM"),ROUND(X33,4),X34/$S32)</f>
        <v>0</v>
      </c>
      <c r="Y32" s="189" cm="1">
        <f t="array" aca="1" ref="Y32" ca="1">IF(AND($R32=2,ACOMPANHAMENTO="BM"),ROUND(Y33,4),Y34/$S32)</f>
        <v>0</v>
      </c>
      <c r="Z32" s="189" cm="1">
        <f t="array" aca="1" ref="Z32" ca="1">IF(AND($R32=2,ACOMPANHAMENTO="BM"),ROUND(Z33,4),Z34/$S32)</f>
        <v>0</v>
      </c>
      <c r="AA32" s="189" cm="1">
        <f t="array" aca="1" ref="AA32" ca="1">IF(AND($R32=2,ACOMPANHAMENTO="BM"),ROUND(AA33,4),AA34/$S32)</f>
        <v>0</v>
      </c>
      <c r="AB32" s="189" cm="1">
        <f t="array" aca="1" ref="AB32" ca="1">IF(AND($R32=2,ACOMPANHAMENTO="BM"),ROUND(AB33,4),AB34/$S32)</f>
        <v>0</v>
      </c>
      <c r="AC32" s="189" cm="1">
        <f t="array" aca="1" ref="AC32" ca="1">IF(AND($R32=2,ACOMPANHAMENTO="BM"),ROUND(AC33,4),AC34/$S32)</f>
        <v>0</v>
      </c>
      <c r="AD32" s="189" cm="1">
        <f t="array" aca="1" ref="AD32" ca="1">IF(AND($R32=2,ACOMPANHAMENTO="BM"),ROUND(AD33,4),AD34/$S32)</f>
        <v>0</v>
      </c>
      <c r="AE32" s="189" cm="1">
        <f t="array" aca="1" ref="AE32" ca="1">IF(AND($R32=2,ACOMPANHAMENTO="BM"),ROUND(AE33,4),AE34/$S32)</f>
        <v>0</v>
      </c>
      <c r="AF32" s="189" cm="1">
        <f t="array" aca="1" ref="AF32" ca="1">IF(AND($R32=2,ACOMPANHAMENTO="BM"),ROUND(AF33,4),AF34/$S32)</f>
        <v>0</v>
      </c>
      <c r="AG32" s="535"/>
    </row>
    <row r="33" spans="1:33" ht="12.75" customHeight="1" x14ac:dyDescent="0.2">
      <c r="E33" s="588"/>
      <c r="F33" s="186">
        <f ca="1">IF(ISERROR(F32),IF(1+COUNTIF($M$13:OFFSET(M32,-1,0),1)&lt;=MAX(QCI!$D$13:$D$15),1+COUNTIF($M$13:OFFSET(M32,-1,0),1),-1),0)</f>
        <v>0</v>
      </c>
      <c r="G33" s="186" t="str" cm="1">
        <f t="array" aca="1" ref="G33" ca="1">IF(ACOMPANHAMENTO="BM",OFFSET(G33,-1,0),"")</f>
        <v/>
      </c>
      <c r="H33" s="197" t="str" cm="1">
        <f t="array" aca="1" ref="H33" ca="1">IF(OR(S32=0,S32=""),"vazia",IF(AND(OR(ACOMPANHAMENTO="PLE",$R32&lt;&gt;2),$F33=0),"calculada","--&gt;"))</f>
        <v>vazia</v>
      </c>
      <c r="I33" s="198"/>
      <c r="J33" s="199" t="str">
        <f t="shared" ref="J33" ca="1" si="42">IF(AND(H32&lt;&gt;0,ISNUMBER(H32)),"PREENCHA ESTA LINHA --&gt;","")</f>
        <v/>
      </c>
      <c r="K33" s="199"/>
      <c r="L33" s="199"/>
      <c r="M33" s="200"/>
      <c r="N33" s="200"/>
      <c r="O33" s="200"/>
      <c r="P33" s="200"/>
      <c r="Q33" s="200"/>
      <c r="R33" s="200"/>
      <c r="S33" s="201"/>
      <c r="T33" s="202"/>
      <c r="U33" s="588">
        <v>0.3</v>
      </c>
      <c r="V33" s="588">
        <v>0.4</v>
      </c>
      <c r="W33" s="588">
        <v>0.3</v>
      </c>
      <c r="X33" s="588"/>
      <c r="Y33" s="588"/>
      <c r="Z33" s="588"/>
      <c r="AA33" s="588"/>
      <c r="AB33" s="588"/>
      <c r="AC33" s="588"/>
      <c r="AD33" s="588"/>
      <c r="AE33" s="588"/>
      <c r="AF33" s="588"/>
      <c r="AG33" s="535"/>
    </row>
    <row r="34" spans="1:33" ht="12.75" hidden="1" customHeight="1" x14ac:dyDescent="0.2">
      <c r="D34" s="534"/>
      <c r="E34" s="203" cm="1">
        <f t="array" aca="1" ref="E34" ca="1">IF($R32=2,
         IF(AND(ACOMPANHAMENTO="PLE",ISNUMBER($F32)),
                SUMIF((OFFSET(CÁLCULO!$AM$15:$AW$15,$F32,0,OFFSET(ORÇAMENTO!$D$15,CRONO!$F32,0))),CRONO!E$12,OFFSET(CÁLCULO!$AB$15:$AL$15,$F32,0,OFFSET(ORÇAMENTO!$D$15,CRONO!$F32,0)))
                +IF(AND($F34&lt;&gt;"",$F34&lt;&gt;0),
                        SUMIF(CÁLCULO!$AM$15:$AW$231,CRONO!E$12,CÁLCULO!$AB$15:$AL$231)/(ORÇAMENTO!$X$15-_xlfn.SINGLE(CÁLCULO.TotalAdmLocal))*CRONO!$F34,
                        0),
                 E33*$S32),
          SUMIF(OFFSET($S34,1,0,$R32-2),($M32+1)&amp;"$",OFFSET(E34,1,0,$R32-2)))</f>
        <v>0</v>
      </c>
      <c r="F34" s="186" t="str">
        <f ca="1">IF(OR($R32&lt;&gt;2,AUTOEVENTO&lt;&gt;"manual",$F33&gt;0),"",
        IF(Import.TipoArredondamento="Tradicional",
              SUMIF(OFFSET(CÁLCULO!$M$15,CRONO!$F32,0,OFFSET(ORÇAMENTO!$D$15,CRONO!$F32,0)),1,OFFSET(ORÇAMENTO!$X$15,CRONO!$F32,0,OFFSET(ORÇAMENTO!$D$15,CRONO!$F32,0))),
              0))</f>
        <v/>
      </c>
      <c r="H34" s="672"/>
      <c r="S34" s="205" t="str">
        <f t="shared" ref="S34" ca="1" si="43">M32&amp;"$"</f>
        <v>2$</v>
      </c>
      <c r="T34" s="206"/>
      <c r="U34" s="203" cm="1">
        <f t="array" aca="1" ref="U34" ca="1">IF($R32=2,
         IF(AND(ACOMPANHAMENTO="PLE",ISNUMBER($F32)),
                SUMIF((OFFSET(CÁLCULO!$AM$15:$AW$15,$F32,0,OFFSET(ORÇAMENTO!$D$15,CRONO!$F32,0))),CRONO!U$12,OFFSET(CÁLCULO!$AB$15:$AL$15,$F32,0,OFFSET(ORÇAMENTO!$D$15,CRONO!$F32,0)))
                +IF(AND($F34&lt;&gt;"",$F34&lt;&gt;0),
                        SUMIF(CÁLCULO!$AM$15:$AW$231,CRONO!U$12,CÁLCULO!$AB$15:$AL$231)/(ORÇAMENTO!$X$15-_xlfn.SINGLE(CÁLCULO.TotalAdmLocal))*CRONO!$F34,
                        0),
                 U33*$S32),
          SUMIF(OFFSET($S34,1,0,$R32-2),($M32+1)&amp;"$",OFFSET(U34,1,0,$R32-2)))</f>
        <v>0</v>
      </c>
      <c r="V34" s="203" cm="1">
        <f t="array" aca="1" ref="V34" ca="1">IF($R32=2,
         IF(AND(ACOMPANHAMENTO="PLE",ISNUMBER($F32)),
                SUMIF((OFFSET(CÁLCULO!$AM$15:$AW$15,$F32,0,OFFSET(ORÇAMENTO!$D$15,CRONO!$F32,0))),CRONO!V$12,OFFSET(CÁLCULO!$AB$15:$AL$15,$F32,0,OFFSET(ORÇAMENTO!$D$15,CRONO!$F32,0)))
                +IF(AND($F34&lt;&gt;"",$F34&lt;&gt;0),
                        SUMIF(CÁLCULO!$AM$15:$AW$231,CRONO!V$12,CÁLCULO!$AB$15:$AL$231)/(ORÇAMENTO!$X$15-_xlfn.SINGLE(CÁLCULO.TotalAdmLocal))*CRONO!$F34,
                        0),
                 V33*$S32),
          SUMIF(OFFSET($S34,1,0,$R32-2),($M32+1)&amp;"$",OFFSET(V34,1,0,$R32-2)))</f>
        <v>0</v>
      </c>
      <c r="W34" s="203" cm="1">
        <f t="array" aca="1" ref="W34" ca="1">IF($R32=2,
         IF(AND(ACOMPANHAMENTO="PLE",ISNUMBER($F32)),
                SUMIF((OFFSET(CÁLCULO!$AM$15:$AW$15,$F32,0,OFFSET(ORÇAMENTO!$D$15,CRONO!$F32,0))),CRONO!W$12,OFFSET(CÁLCULO!$AB$15:$AL$15,$F32,0,OFFSET(ORÇAMENTO!$D$15,CRONO!$F32,0)))
                +IF(AND($F34&lt;&gt;"",$F34&lt;&gt;0),
                        SUMIF(CÁLCULO!$AM$15:$AW$231,CRONO!W$12,CÁLCULO!$AB$15:$AL$231)/(ORÇAMENTO!$X$15-_xlfn.SINGLE(CÁLCULO.TotalAdmLocal))*CRONO!$F34,
                        0),
                 W33*$S32),
          SUMIF(OFFSET($S34,1,0,$R32-2),($M32+1)&amp;"$",OFFSET(W34,1,0,$R32-2)))</f>
        <v>0</v>
      </c>
      <c r="X34" s="203" cm="1">
        <f t="array" aca="1" ref="X34" ca="1">IF($R32=2,
         IF(AND(ACOMPANHAMENTO="PLE",ISNUMBER($F32)),
                SUMIF((OFFSET(CÁLCULO!$AM$15:$AW$15,$F32,0,OFFSET(ORÇAMENTO!$D$15,CRONO!$F32,0))),CRONO!X$12,OFFSET(CÁLCULO!$AB$15:$AL$15,$F32,0,OFFSET(ORÇAMENTO!$D$15,CRONO!$F32,0)))
                +IF(AND($F34&lt;&gt;"",$F34&lt;&gt;0),
                        SUMIF(CÁLCULO!$AM$15:$AW$231,CRONO!X$12,CÁLCULO!$AB$15:$AL$231)/(ORÇAMENTO!$X$15-_xlfn.SINGLE(CÁLCULO.TotalAdmLocal))*CRONO!$F34,
                        0),
                 X33*$S32),
          SUMIF(OFFSET($S34,1,0,$R32-2),($M32+1)&amp;"$",OFFSET(X34,1,0,$R32-2)))</f>
        <v>0</v>
      </c>
      <c r="Y34" s="203" cm="1">
        <f t="array" aca="1" ref="Y34" ca="1">IF($R32=2,
         IF(AND(ACOMPANHAMENTO="PLE",ISNUMBER($F32)),
                SUMIF((OFFSET(CÁLCULO!$AM$15:$AW$15,$F32,0,OFFSET(ORÇAMENTO!$D$15,CRONO!$F32,0))),CRONO!Y$12,OFFSET(CÁLCULO!$AB$15:$AL$15,$F32,0,OFFSET(ORÇAMENTO!$D$15,CRONO!$F32,0)))
                +IF(AND($F34&lt;&gt;"",$F34&lt;&gt;0),
                        SUMIF(CÁLCULO!$AM$15:$AW$231,CRONO!Y$12,CÁLCULO!$AB$15:$AL$231)/(ORÇAMENTO!$X$15-_xlfn.SINGLE(CÁLCULO.TotalAdmLocal))*CRONO!$F34,
                        0),
                 Y33*$S32),
          SUMIF(OFFSET($S34,1,0,$R32-2),($M32+1)&amp;"$",OFFSET(Y34,1,0,$R32-2)))</f>
        <v>0</v>
      </c>
      <c r="Z34" s="203" cm="1">
        <f t="array" aca="1" ref="Z34" ca="1">IF($R32=2,
         IF(AND(ACOMPANHAMENTO="PLE",ISNUMBER($F32)),
                SUMIF((OFFSET(CÁLCULO!$AM$15:$AW$15,$F32,0,OFFSET(ORÇAMENTO!$D$15,CRONO!$F32,0))),CRONO!Z$12,OFFSET(CÁLCULO!$AB$15:$AL$15,$F32,0,OFFSET(ORÇAMENTO!$D$15,CRONO!$F32,0)))
                +IF(AND($F34&lt;&gt;"",$F34&lt;&gt;0),
                        SUMIF(CÁLCULO!$AM$15:$AW$231,CRONO!Z$12,CÁLCULO!$AB$15:$AL$231)/(ORÇAMENTO!$X$15-_xlfn.SINGLE(CÁLCULO.TotalAdmLocal))*CRONO!$F34,
                        0),
                 Z33*$S32),
          SUMIF(OFFSET($S34,1,0,$R32-2),($M32+1)&amp;"$",OFFSET(Z34,1,0,$R32-2)))</f>
        <v>0</v>
      </c>
      <c r="AA34" s="203" cm="1">
        <f t="array" aca="1" ref="AA34" ca="1">IF($R32=2,
         IF(AND(ACOMPANHAMENTO="PLE",ISNUMBER($F32)),
                SUMIF((OFFSET(CÁLCULO!$AM$15:$AW$15,$F32,0,OFFSET(ORÇAMENTO!$D$15,CRONO!$F32,0))),CRONO!AA$12,OFFSET(CÁLCULO!$AB$15:$AL$15,$F32,0,OFFSET(ORÇAMENTO!$D$15,CRONO!$F32,0)))
                +IF(AND($F34&lt;&gt;"",$F34&lt;&gt;0),
                        SUMIF(CÁLCULO!$AM$15:$AW$231,CRONO!AA$12,CÁLCULO!$AB$15:$AL$231)/(ORÇAMENTO!$X$15-_xlfn.SINGLE(CÁLCULO.TotalAdmLocal))*CRONO!$F34,
                        0),
                 AA33*$S32),
          SUMIF(OFFSET($S34,1,0,$R32-2),($M32+1)&amp;"$",OFFSET(AA34,1,0,$R32-2)))</f>
        <v>0</v>
      </c>
      <c r="AB34" s="203" cm="1">
        <f t="array" aca="1" ref="AB34" ca="1">IF($R32=2,
         IF(AND(ACOMPANHAMENTO="PLE",ISNUMBER($F32)),
                SUMIF((OFFSET(CÁLCULO!$AM$15:$AW$15,$F32,0,OFFSET(ORÇAMENTO!$D$15,CRONO!$F32,0))),CRONO!AB$12,OFFSET(CÁLCULO!$AB$15:$AL$15,$F32,0,OFFSET(ORÇAMENTO!$D$15,CRONO!$F32,0)))
                +IF(AND($F34&lt;&gt;"",$F34&lt;&gt;0),
                        SUMIF(CÁLCULO!$AM$15:$AW$231,CRONO!AB$12,CÁLCULO!$AB$15:$AL$231)/(ORÇAMENTO!$X$15-_xlfn.SINGLE(CÁLCULO.TotalAdmLocal))*CRONO!$F34,
                        0),
                 AB33*$S32),
          SUMIF(OFFSET($S34,1,0,$R32-2),($M32+1)&amp;"$",OFFSET(AB34,1,0,$R32-2)))</f>
        <v>0</v>
      </c>
      <c r="AC34" s="203" cm="1">
        <f t="array" aca="1" ref="AC34" ca="1">IF($R32=2,
         IF(AND(ACOMPANHAMENTO="PLE",ISNUMBER($F32)),
                SUMIF((OFFSET(CÁLCULO!$AM$15:$AW$15,$F32,0,OFFSET(ORÇAMENTO!$D$15,CRONO!$F32,0))),CRONO!AC$12,OFFSET(CÁLCULO!$AB$15:$AL$15,$F32,0,OFFSET(ORÇAMENTO!$D$15,CRONO!$F32,0)))
                +IF(AND($F34&lt;&gt;"",$F34&lt;&gt;0),
                        SUMIF(CÁLCULO!$AM$15:$AW$231,CRONO!AC$12,CÁLCULO!$AB$15:$AL$231)/(ORÇAMENTO!$X$15-_xlfn.SINGLE(CÁLCULO.TotalAdmLocal))*CRONO!$F34,
                        0),
                 AC33*$S32),
          SUMIF(OFFSET($S34,1,0,$R32-2),($M32+1)&amp;"$",OFFSET(AC34,1,0,$R32-2)))</f>
        <v>0</v>
      </c>
      <c r="AD34" s="203" cm="1">
        <f t="array" aca="1" ref="AD34" ca="1">IF($R32=2,
         IF(AND(ACOMPANHAMENTO="PLE",ISNUMBER($F32)),
                SUMIF((OFFSET(CÁLCULO!$AM$15:$AW$15,$F32,0,OFFSET(ORÇAMENTO!$D$15,CRONO!$F32,0))),CRONO!AD$12,OFFSET(CÁLCULO!$AB$15:$AL$15,$F32,0,OFFSET(ORÇAMENTO!$D$15,CRONO!$F32,0)))
                +IF(AND($F34&lt;&gt;"",$F34&lt;&gt;0),
                        SUMIF(CÁLCULO!$AM$15:$AW$231,CRONO!AD$12,CÁLCULO!$AB$15:$AL$231)/(ORÇAMENTO!$X$15-_xlfn.SINGLE(CÁLCULO.TotalAdmLocal))*CRONO!$F34,
                        0),
                 AD33*$S32),
          SUMIF(OFFSET($S34,1,0,$R32-2),($M32+1)&amp;"$",OFFSET(AD34,1,0,$R32-2)))</f>
        <v>0</v>
      </c>
      <c r="AE34" s="203" cm="1">
        <f t="array" aca="1" ref="AE34" ca="1">IF($R32=2,
         IF(AND(ACOMPANHAMENTO="PLE",ISNUMBER($F32)),
                SUMIF((OFFSET(CÁLCULO!$AM$15:$AW$15,$F32,0,OFFSET(ORÇAMENTO!$D$15,CRONO!$F32,0))),CRONO!AE$12,OFFSET(CÁLCULO!$AB$15:$AL$15,$F32,0,OFFSET(ORÇAMENTO!$D$15,CRONO!$F32,0)))
                +IF(AND($F34&lt;&gt;"",$F34&lt;&gt;0),
                        SUMIF(CÁLCULO!$AM$15:$AW$231,CRONO!AE$12,CÁLCULO!$AB$15:$AL$231)/(ORÇAMENTO!$X$15-_xlfn.SINGLE(CÁLCULO.TotalAdmLocal))*CRONO!$F34,
                        0),
                 AE33*$S32),
          SUMIF(OFFSET($S34,1,0,$R32-2),($M32+1)&amp;"$",OFFSET(AE34,1,0,$R32-2)))</f>
        <v>0</v>
      </c>
      <c r="AF34" s="203" cm="1">
        <f t="array" aca="1" ref="AF34" ca="1">IF($R32=2,
         IF(AND(ACOMPANHAMENTO="PLE",ISNUMBER($F32)),
                SUMIF((OFFSET(CÁLCULO!$AM$15:$AW$15,$F32,0,OFFSET(ORÇAMENTO!$D$15,CRONO!$F32,0))),CRONO!AF$12,OFFSET(CÁLCULO!$AB$15:$AL$15,$F32,0,OFFSET(ORÇAMENTO!$D$15,CRONO!$F32,0)))
                +IF(AND($F34&lt;&gt;"",$F34&lt;&gt;0),
                        SUMIF(CÁLCULO!$AM$15:$AW$231,CRONO!AF$12,CÁLCULO!$AB$15:$AL$231)/(ORÇAMENTO!$X$15-_xlfn.SINGLE(CÁLCULO.TotalAdmLocal))*CRONO!$F34,
                        0),
                 AF33*$S32),
          SUMIF(OFFSET($S34,1,0,$R32-2),($M32+1)&amp;"$",OFFSET(AF34,1,0,$R32-2)))</f>
        <v>0</v>
      </c>
      <c r="AG34" s="535"/>
    </row>
    <row r="35" spans="1:33" x14ac:dyDescent="0.2">
      <c r="A35" s="187" t="str">
        <f t="shared" ref="A35" ca="1" si="44">IF($M35&gt;1,_xlfn.CONCAT($I35," ",$J35),"")</f>
        <v>1.7. BY-PASS</v>
      </c>
      <c r="B35" s="186">
        <f t="shared" ref="B35" ca="1" si="45">OFFSET(B35,-3,0)+1</f>
        <v>8</v>
      </c>
      <c r="C35" s="186">
        <f ca="1">IF($R35&lt;&gt;2,0,IF($S35=0,1,IF(F36&gt;0,OFFSET(QCI!$M$13,SUBSTITUTE(F36,".",""),0),OFFSET(ORÇAMENTO!$AA$15,CRONO!$F35,0))/$S35))</f>
        <v>1</v>
      </c>
      <c r="D35" s="186">
        <f ca="1">IF($R35&lt;&gt;2,0,IF($S35=0,1,IF(F36&gt;0,OFFSET(QCI!$N$13,SUBSTITUTE(F36,".",""),0),OFFSET(ORÇAMENTO!$AB$15,CRONO!$F35,0))/$S35))</f>
        <v>1</v>
      </c>
      <c r="E35" s="189" cm="1">
        <f t="array" aca="1" ref="E35" ca="1">IF(AND($R35=2,ACOMPANHAMENTO="BM"),ROUND(E36,4),E37/$S35)</f>
        <v>0</v>
      </c>
      <c r="F35" s="186">
        <f ca="1">IF(B35&lt;=ORÇAMENTO.MáximoListaCrono,MATCH(B35,ORÇAMENTO.ListaCrono,0),NA())</f>
        <v>55</v>
      </c>
      <c r="G35" s="186" t="str">
        <f t="shared" ref="G35" ca="1" si="46">IF(AND($F36&lt;&gt;-1,$S35&gt;0),"F","")</f>
        <v/>
      </c>
      <c r="H35" s="190" t="str" cm="1">
        <f t="array" aca="1" ref="H35" ca="1">IF(OR(S35=0,S35=""),"Linha",IF(AND(OR(ACOMPANHAMENTO="PLE",$R35&lt;&gt;2),$F36=0),"Linha",ROUND(1-SUM(U35:AG35),4)))</f>
        <v>Linha</v>
      </c>
      <c r="I35" s="191" t="str">
        <f ca="1">IF($F36=0,OFFSET(ORÇAMENTO!O$15,$F35,0),IF($F36&lt;&gt;-1,OFFSET(QCI!$D$13,$F36,0),""))</f>
        <v>1.7.</v>
      </c>
      <c r="J35" s="192" t="str">
        <f ca="1">IF($F36=0,OFFSET(ORÇAMENTO!R$15,$F35,0),IF($F36&lt;&gt;-1,OFFSET(QCI!$G$13,$F36,0),""))</f>
        <v>BY-PASS</v>
      </c>
      <c r="K35" s="192"/>
      <c r="L35" s="192"/>
      <c r="M35" s="193">
        <f ca="1">IF($F36=0,OFFSET(ORÇAMENTO!C$15,$F35,0),1)</f>
        <v>2</v>
      </c>
      <c r="N35" s="194">
        <f ca="1">IF($F36=-1,0,IF(N$13&lt;=$M35,IF(ISERROR(MATCH(N$13,OFFSET($M35,1,0,ROW($M$101)-ROW($M35)-1),0)),ROW($M$101)-ROW($M35)-1,MATCH(N$13,OFFSET($M35,1,0,ROW($M$101)-ROW($M35)-1),0)-1),0))</f>
        <v>65</v>
      </c>
      <c r="O35" s="194">
        <f ca="1">IF($F36=-1,0,IF(O$13&lt;=$M35,IF(ISERROR(MATCH(O$13,OFFSET($M35,1,0,ROW($M$101)-ROW($M35)-1),0)),ROW($M$101)-ROW($M35)-1,MATCH(O$13,OFFSET($M35,1,0,ROW($M$101)-ROW($M35)-1),0)-1),0))</f>
        <v>2</v>
      </c>
      <c r="P35" s="194">
        <f ca="1">IF($F36=-1,0,IF(P$13&lt;=$M35,IF(ISERROR(MATCH(P$13,OFFSET($M35,1,0,ROW($M$101)-ROW($M35)-1),0)),ROW($M$101)-ROW($M35)-1,MATCH(P$13,OFFSET($M35,1,0,ROW($M$101)-ROW($M35)-1),0)-1),0))</f>
        <v>0</v>
      </c>
      <c r="Q35" s="194">
        <f ca="1">IF($F36=-1,0,IF(Q$13&lt;=$M35,IF(ISERROR(MATCH(Q$13,OFFSET($M35,1,0,ROW($M$101)-ROW($M35)-1),0)),ROW($M$101)-ROW($M35)-1,MATCH(Q$13,OFFSET($M35,1,0,ROW($M$101)-ROW($M35)-1),0)-1),0))</f>
        <v>0</v>
      </c>
      <c r="R35" s="194">
        <f t="shared" ref="R35" ca="1" si="47">MIN(OFFSET(M35,0,1,,M35))</f>
        <v>2</v>
      </c>
      <c r="S35" s="195">
        <f ca="1">IF($F36=0,OFFSET(ORÇAMENTO!X$15,$F35,0),IF($F36&lt;&gt;-1,OFFSET(QCI!$O$13,$F36,0),""))</f>
        <v>0</v>
      </c>
      <c r="T35" s="196" t="s">
        <v>786</v>
      </c>
      <c r="U35" s="189" cm="1">
        <f t="array" aca="1" ref="U35" ca="1">IF(AND($R35=2,ACOMPANHAMENTO="BM"),ROUND(U36,4),U37/$S35)</f>
        <v>0</v>
      </c>
      <c r="V35" s="189" cm="1">
        <f t="array" aca="1" ref="V35" ca="1">IF(AND($R35=2,ACOMPANHAMENTO="BM"),ROUND(V36,4),V37/$S35)</f>
        <v>0.2</v>
      </c>
      <c r="W35" s="189" cm="1">
        <f t="array" aca="1" ref="W35" ca="1">IF(AND($R35=2,ACOMPANHAMENTO="BM"),ROUND(W36,4),W37/$S35)</f>
        <v>0.4</v>
      </c>
      <c r="X35" s="189" cm="1">
        <f t="array" aca="1" ref="X35" ca="1">IF(AND($R35=2,ACOMPANHAMENTO="BM"),ROUND(X36,4),X37/$S35)</f>
        <v>0.4</v>
      </c>
      <c r="Y35" s="189" cm="1">
        <f t="array" aca="1" ref="Y35" ca="1">IF(AND($R35=2,ACOMPANHAMENTO="BM"),ROUND(Y36,4),Y37/$S35)</f>
        <v>0</v>
      </c>
      <c r="Z35" s="189" cm="1">
        <f t="array" aca="1" ref="Z35" ca="1">IF(AND($R35=2,ACOMPANHAMENTO="BM"),ROUND(Z36,4),Z37/$S35)</f>
        <v>0</v>
      </c>
      <c r="AA35" s="189" cm="1">
        <f t="array" aca="1" ref="AA35" ca="1">IF(AND($R35=2,ACOMPANHAMENTO="BM"),ROUND(AA36,4),AA37/$S35)</f>
        <v>0</v>
      </c>
      <c r="AB35" s="189" cm="1">
        <f t="array" aca="1" ref="AB35" ca="1">IF(AND($R35=2,ACOMPANHAMENTO="BM"),ROUND(AB36,4),AB37/$S35)</f>
        <v>0</v>
      </c>
      <c r="AC35" s="189" cm="1">
        <f t="array" aca="1" ref="AC35" ca="1">IF(AND($R35=2,ACOMPANHAMENTO="BM"),ROUND(AC36,4),AC37/$S35)</f>
        <v>0</v>
      </c>
      <c r="AD35" s="189" cm="1">
        <f t="array" aca="1" ref="AD35" ca="1">IF(AND($R35=2,ACOMPANHAMENTO="BM"),ROUND(AD36,4),AD37/$S35)</f>
        <v>0</v>
      </c>
      <c r="AE35" s="189" cm="1">
        <f t="array" aca="1" ref="AE35" ca="1">IF(AND($R35=2,ACOMPANHAMENTO="BM"),ROUND(AE36,4),AE37/$S35)</f>
        <v>0</v>
      </c>
      <c r="AF35" s="189" cm="1">
        <f t="array" aca="1" ref="AF35" ca="1">IF(AND($R35=2,ACOMPANHAMENTO="BM"),ROUND(AF36,4),AF37/$S35)</f>
        <v>0</v>
      </c>
      <c r="AG35" s="535"/>
    </row>
    <row r="36" spans="1:33" ht="12.75" customHeight="1" x14ac:dyDescent="0.2">
      <c r="E36" s="588"/>
      <c r="F36" s="186">
        <f ca="1">IF(ISERROR(F35),IF(1+COUNTIF($M$13:OFFSET(M35,-1,0),1)&lt;=MAX(QCI!$D$13:$D$15),1+COUNTIF($M$13:OFFSET(M35,-1,0),1),-1),0)</f>
        <v>0</v>
      </c>
      <c r="G36" s="186" t="str" cm="1">
        <f t="array" aca="1" ref="G36" ca="1">IF(ACOMPANHAMENTO="BM",OFFSET(G36,-1,0),"")</f>
        <v/>
      </c>
      <c r="H36" s="197" t="str" cm="1">
        <f t="array" aca="1" ref="H36" ca="1">IF(OR(S35=0,S35=""),"vazia",IF(AND(OR(ACOMPANHAMENTO="PLE",$R35&lt;&gt;2),$F36=0),"calculada","--&gt;"))</f>
        <v>vazia</v>
      </c>
      <c r="I36" s="198"/>
      <c r="J36" s="199" t="str">
        <f t="shared" ref="J36" ca="1" si="48">IF(AND(H35&lt;&gt;0,ISNUMBER(H35)),"PREENCHA ESTA LINHA --&gt;","")</f>
        <v/>
      </c>
      <c r="K36" s="199"/>
      <c r="L36" s="199"/>
      <c r="M36" s="200"/>
      <c r="N36" s="200"/>
      <c r="O36" s="200"/>
      <c r="P36" s="200"/>
      <c r="Q36" s="200"/>
      <c r="R36" s="200"/>
      <c r="S36" s="201"/>
      <c r="T36" s="202"/>
      <c r="U36" s="588"/>
      <c r="V36" s="588">
        <v>0.2</v>
      </c>
      <c r="W36" s="588">
        <v>0.4</v>
      </c>
      <c r="X36" s="588">
        <v>0.4</v>
      </c>
      <c r="Y36" s="588"/>
      <c r="Z36" s="588"/>
      <c r="AA36" s="588"/>
      <c r="AB36" s="588"/>
      <c r="AC36" s="588"/>
      <c r="AD36" s="588"/>
      <c r="AE36" s="588"/>
      <c r="AF36" s="588"/>
      <c r="AG36" s="535"/>
    </row>
    <row r="37" spans="1:33" ht="12.75" hidden="1" customHeight="1" x14ac:dyDescent="0.2">
      <c r="D37" s="534"/>
      <c r="E37" s="203" cm="1">
        <f t="array" aca="1" ref="E37" ca="1">IF($R35=2,
         IF(AND(ACOMPANHAMENTO="PLE",ISNUMBER($F35)),
                SUMIF((OFFSET(CÁLCULO!$AM$15:$AW$15,$F35,0,OFFSET(ORÇAMENTO!$D$15,CRONO!$F35,0))),CRONO!E$12,OFFSET(CÁLCULO!$AB$15:$AL$15,$F35,0,OFFSET(ORÇAMENTO!$D$15,CRONO!$F35,0)))
                +IF(AND($F37&lt;&gt;"",$F37&lt;&gt;0),
                        SUMIF(CÁLCULO!$AM$15:$AW$231,CRONO!E$12,CÁLCULO!$AB$15:$AL$231)/(ORÇAMENTO!$X$15-_xlfn.SINGLE(CÁLCULO.TotalAdmLocal))*CRONO!$F37,
                        0),
                 E36*$S35),
          SUMIF(OFFSET($S37,1,0,$R35-2),($M35+1)&amp;"$",OFFSET(E37,1,0,$R35-2)))</f>
        <v>0</v>
      </c>
      <c r="F37" s="186" t="str">
        <f ca="1">IF(OR($R35&lt;&gt;2,AUTOEVENTO&lt;&gt;"manual",$F36&gt;0),"",
        IF(Import.TipoArredondamento="Tradicional",
              SUMIF(OFFSET(CÁLCULO!$M$15,CRONO!$F35,0,OFFSET(ORÇAMENTO!$D$15,CRONO!$F35,0)),1,OFFSET(ORÇAMENTO!$X$15,CRONO!$F35,0,OFFSET(ORÇAMENTO!$D$15,CRONO!$F35,0))),
              0))</f>
        <v/>
      </c>
      <c r="H37" s="672"/>
      <c r="S37" s="205" t="str">
        <f t="shared" ref="S37" ca="1" si="49">M35&amp;"$"</f>
        <v>2$</v>
      </c>
      <c r="T37" s="206"/>
      <c r="U37" s="203" cm="1">
        <f t="array" aca="1" ref="U37" ca="1">IF($R35=2,
         IF(AND(ACOMPANHAMENTO="PLE",ISNUMBER($F35)),
                SUMIF((OFFSET(CÁLCULO!$AM$15:$AW$15,$F35,0,OFFSET(ORÇAMENTO!$D$15,CRONO!$F35,0))),CRONO!U$12,OFFSET(CÁLCULO!$AB$15:$AL$15,$F35,0,OFFSET(ORÇAMENTO!$D$15,CRONO!$F35,0)))
                +IF(AND($F37&lt;&gt;"",$F37&lt;&gt;0),
                        SUMIF(CÁLCULO!$AM$15:$AW$231,CRONO!U$12,CÁLCULO!$AB$15:$AL$231)/(ORÇAMENTO!$X$15-_xlfn.SINGLE(CÁLCULO.TotalAdmLocal))*CRONO!$F37,
                        0),
                 U36*$S35),
          SUMIF(OFFSET($S37,1,0,$R35-2),($M35+1)&amp;"$",OFFSET(U37,1,0,$R35-2)))</f>
        <v>0</v>
      </c>
      <c r="V37" s="203" cm="1">
        <f t="array" aca="1" ref="V37" ca="1">IF($R35=2,
         IF(AND(ACOMPANHAMENTO="PLE",ISNUMBER($F35)),
                SUMIF((OFFSET(CÁLCULO!$AM$15:$AW$15,$F35,0,OFFSET(ORÇAMENTO!$D$15,CRONO!$F35,0))),CRONO!V$12,OFFSET(CÁLCULO!$AB$15:$AL$15,$F35,0,OFFSET(ORÇAMENTO!$D$15,CRONO!$F35,0)))
                +IF(AND($F37&lt;&gt;"",$F37&lt;&gt;0),
                        SUMIF(CÁLCULO!$AM$15:$AW$231,CRONO!V$12,CÁLCULO!$AB$15:$AL$231)/(ORÇAMENTO!$X$15-_xlfn.SINGLE(CÁLCULO.TotalAdmLocal))*CRONO!$F37,
                        0),
                 V36*$S35),
          SUMIF(OFFSET($S37,1,0,$R35-2),($M35+1)&amp;"$",OFFSET(V37,1,0,$R35-2)))</f>
        <v>0</v>
      </c>
      <c r="W37" s="203" cm="1">
        <f t="array" aca="1" ref="W37" ca="1">IF($R35=2,
         IF(AND(ACOMPANHAMENTO="PLE",ISNUMBER($F35)),
                SUMIF((OFFSET(CÁLCULO!$AM$15:$AW$15,$F35,0,OFFSET(ORÇAMENTO!$D$15,CRONO!$F35,0))),CRONO!W$12,OFFSET(CÁLCULO!$AB$15:$AL$15,$F35,0,OFFSET(ORÇAMENTO!$D$15,CRONO!$F35,0)))
                +IF(AND($F37&lt;&gt;"",$F37&lt;&gt;0),
                        SUMIF(CÁLCULO!$AM$15:$AW$231,CRONO!W$12,CÁLCULO!$AB$15:$AL$231)/(ORÇAMENTO!$X$15-_xlfn.SINGLE(CÁLCULO.TotalAdmLocal))*CRONO!$F37,
                        0),
                 W36*$S35),
          SUMIF(OFFSET($S37,1,0,$R35-2),($M35+1)&amp;"$",OFFSET(W37,1,0,$R35-2)))</f>
        <v>0</v>
      </c>
      <c r="X37" s="203" cm="1">
        <f t="array" aca="1" ref="X37" ca="1">IF($R35=2,
         IF(AND(ACOMPANHAMENTO="PLE",ISNUMBER($F35)),
                SUMIF((OFFSET(CÁLCULO!$AM$15:$AW$15,$F35,0,OFFSET(ORÇAMENTO!$D$15,CRONO!$F35,0))),CRONO!X$12,OFFSET(CÁLCULO!$AB$15:$AL$15,$F35,0,OFFSET(ORÇAMENTO!$D$15,CRONO!$F35,0)))
                +IF(AND($F37&lt;&gt;"",$F37&lt;&gt;0),
                        SUMIF(CÁLCULO!$AM$15:$AW$231,CRONO!X$12,CÁLCULO!$AB$15:$AL$231)/(ORÇAMENTO!$X$15-_xlfn.SINGLE(CÁLCULO.TotalAdmLocal))*CRONO!$F37,
                        0),
                 X36*$S35),
          SUMIF(OFFSET($S37,1,0,$R35-2),($M35+1)&amp;"$",OFFSET(X37,1,0,$R35-2)))</f>
        <v>0</v>
      </c>
      <c r="Y37" s="203" cm="1">
        <f t="array" aca="1" ref="Y37" ca="1">IF($R35=2,
         IF(AND(ACOMPANHAMENTO="PLE",ISNUMBER($F35)),
                SUMIF((OFFSET(CÁLCULO!$AM$15:$AW$15,$F35,0,OFFSET(ORÇAMENTO!$D$15,CRONO!$F35,0))),CRONO!Y$12,OFFSET(CÁLCULO!$AB$15:$AL$15,$F35,0,OFFSET(ORÇAMENTO!$D$15,CRONO!$F35,0)))
                +IF(AND($F37&lt;&gt;"",$F37&lt;&gt;0),
                        SUMIF(CÁLCULO!$AM$15:$AW$231,CRONO!Y$12,CÁLCULO!$AB$15:$AL$231)/(ORÇAMENTO!$X$15-_xlfn.SINGLE(CÁLCULO.TotalAdmLocal))*CRONO!$F37,
                        0),
                 Y36*$S35),
          SUMIF(OFFSET($S37,1,0,$R35-2),($M35+1)&amp;"$",OFFSET(Y37,1,0,$R35-2)))</f>
        <v>0</v>
      </c>
      <c r="Z37" s="203" cm="1">
        <f t="array" aca="1" ref="Z37" ca="1">IF($R35=2,
         IF(AND(ACOMPANHAMENTO="PLE",ISNUMBER($F35)),
                SUMIF((OFFSET(CÁLCULO!$AM$15:$AW$15,$F35,0,OFFSET(ORÇAMENTO!$D$15,CRONO!$F35,0))),CRONO!Z$12,OFFSET(CÁLCULO!$AB$15:$AL$15,$F35,0,OFFSET(ORÇAMENTO!$D$15,CRONO!$F35,0)))
                +IF(AND($F37&lt;&gt;"",$F37&lt;&gt;0),
                        SUMIF(CÁLCULO!$AM$15:$AW$231,CRONO!Z$12,CÁLCULO!$AB$15:$AL$231)/(ORÇAMENTO!$X$15-_xlfn.SINGLE(CÁLCULO.TotalAdmLocal))*CRONO!$F37,
                        0),
                 Z36*$S35),
          SUMIF(OFFSET($S37,1,0,$R35-2),($M35+1)&amp;"$",OFFSET(Z37,1,0,$R35-2)))</f>
        <v>0</v>
      </c>
      <c r="AA37" s="203" cm="1">
        <f t="array" aca="1" ref="AA37" ca="1">IF($R35=2,
         IF(AND(ACOMPANHAMENTO="PLE",ISNUMBER($F35)),
                SUMIF((OFFSET(CÁLCULO!$AM$15:$AW$15,$F35,0,OFFSET(ORÇAMENTO!$D$15,CRONO!$F35,0))),CRONO!AA$12,OFFSET(CÁLCULO!$AB$15:$AL$15,$F35,0,OFFSET(ORÇAMENTO!$D$15,CRONO!$F35,0)))
                +IF(AND($F37&lt;&gt;"",$F37&lt;&gt;0),
                        SUMIF(CÁLCULO!$AM$15:$AW$231,CRONO!AA$12,CÁLCULO!$AB$15:$AL$231)/(ORÇAMENTO!$X$15-_xlfn.SINGLE(CÁLCULO.TotalAdmLocal))*CRONO!$F37,
                        0),
                 AA36*$S35),
          SUMIF(OFFSET($S37,1,0,$R35-2),($M35+1)&amp;"$",OFFSET(AA37,1,0,$R35-2)))</f>
        <v>0</v>
      </c>
      <c r="AB37" s="203" cm="1">
        <f t="array" aca="1" ref="AB37" ca="1">IF($R35=2,
         IF(AND(ACOMPANHAMENTO="PLE",ISNUMBER($F35)),
                SUMIF((OFFSET(CÁLCULO!$AM$15:$AW$15,$F35,0,OFFSET(ORÇAMENTO!$D$15,CRONO!$F35,0))),CRONO!AB$12,OFFSET(CÁLCULO!$AB$15:$AL$15,$F35,0,OFFSET(ORÇAMENTO!$D$15,CRONO!$F35,0)))
                +IF(AND($F37&lt;&gt;"",$F37&lt;&gt;0),
                        SUMIF(CÁLCULO!$AM$15:$AW$231,CRONO!AB$12,CÁLCULO!$AB$15:$AL$231)/(ORÇAMENTO!$X$15-_xlfn.SINGLE(CÁLCULO.TotalAdmLocal))*CRONO!$F37,
                        0),
                 AB36*$S35),
          SUMIF(OFFSET($S37,1,0,$R35-2),($M35+1)&amp;"$",OFFSET(AB37,1,0,$R35-2)))</f>
        <v>0</v>
      </c>
      <c r="AC37" s="203" cm="1">
        <f t="array" aca="1" ref="AC37" ca="1">IF($R35=2,
         IF(AND(ACOMPANHAMENTO="PLE",ISNUMBER($F35)),
                SUMIF((OFFSET(CÁLCULO!$AM$15:$AW$15,$F35,0,OFFSET(ORÇAMENTO!$D$15,CRONO!$F35,0))),CRONO!AC$12,OFFSET(CÁLCULO!$AB$15:$AL$15,$F35,0,OFFSET(ORÇAMENTO!$D$15,CRONO!$F35,0)))
                +IF(AND($F37&lt;&gt;"",$F37&lt;&gt;0),
                        SUMIF(CÁLCULO!$AM$15:$AW$231,CRONO!AC$12,CÁLCULO!$AB$15:$AL$231)/(ORÇAMENTO!$X$15-_xlfn.SINGLE(CÁLCULO.TotalAdmLocal))*CRONO!$F37,
                        0),
                 AC36*$S35),
          SUMIF(OFFSET($S37,1,0,$R35-2),($M35+1)&amp;"$",OFFSET(AC37,1,0,$R35-2)))</f>
        <v>0</v>
      </c>
      <c r="AD37" s="203" cm="1">
        <f t="array" aca="1" ref="AD37" ca="1">IF($R35=2,
         IF(AND(ACOMPANHAMENTO="PLE",ISNUMBER($F35)),
                SUMIF((OFFSET(CÁLCULO!$AM$15:$AW$15,$F35,0,OFFSET(ORÇAMENTO!$D$15,CRONO!$F35,0))),CRONO!AD$12,OFFSET(CÁLCULO!$AB$15:$AL$15,$F35,0,OFFSET(ORÇAMENTO!$D$15,CRONO!$F35,0)))
                +IF(AND($F37&lt;&gt;"",$F37&lt;&gt;0),
                        SUMIF(CÁLCULO!$AM$15:$AW$231,CRONO!AD$12,CÁLCULO!$AB$15:$AL$231)/(ORÇAMENTO!$X$15-_xlfn.SINGLE(CÁLCULO.TotalAdmLocal))*CRONO!$F37,
                        0),
                 AD36*$S35),
          SUMIF(OFFSET($S37,1,0,$R35-2),($M35+1)&amp;"$",OFFSET(AD37,1,0,$R35-2)))</f>
        <v>0</v>
      </c>
      <c r="AE37" s="203" cm="1">
        <f t="array" aca="1" ref="AE37" ca="1">IF($R35=2,
         IF(AND(ACOMPANHAMENTO="PLE",ISNUMBER($F35)),
                SUMIF((OFFSET(CÁLCULO!$AM$15:$AW$15,$F35,0,OFFSET(ORÇAMENTO!$D$15,CRONO!$F35,0))),CRONO!AE$12,OFFSET(CÁLCULO!$AB$15:$AL$15,$F35,0,OFFSET(ORÇAMENTO!$D$15,CRONO!$F35,0)))
                +IF(AND($F37&lt;&gt;"",$F37&lt;&gt;0),
                        SUMIF(CÁLCULO!$AM$15:$AW$231,CRONO!AE$12,CÁLCULO!$AB$15:$AL$231)/(ORÇAMENTO!$X$15-_xlfn.SINGLE(CÁLCULO.TotalAdmLocal))*CRONO!$F37,
                        0),
                 AE36*$S35),
          SUMIF(OFFSET($S37,1,0,$R35-2),($M35+1)&amp;"$",OFFSET(AE37,1,0,$R35-2)))</f>
        <v>0</v>
      </c>
      <c r="AF37" s="203" cm="1">
        <f t="array" aca="1" ref="AF37" ca="1">IF($R35=2,
         IF(AND(ACOMPANHAMENTO="PLE",ISNUMBER($F35)),
                SUMIF((OFFSET(CÁLCULO!$AM$15:$AW$15,$F35,0,OFFSET(ORÇAMENTO!$D$15,CRONO!$F35,0))),CRONO!AF$12,OFFSET(CÁLCULO!$AB$15:$AL$15,$F35,0,OFFSET(ORÇAMENTO!$D$15,CRONO!$F35,0)))
                +IF(AND($F37&lt;&gt;"",$F37&lt;&gt;0),
                        SUMIF(CÁLCULO!$AM$15:$AW$231,CRONO!AF$12,CÁLCULO!$AB$15:$AL$231)/(ORÇAMENTO!$X$15-_xlfn.SINGLE(CÁLCULO.TotalAdmLocal))*CRONO!$F37,
                        0),
                 AF36*$S35),
          SUMIF(OFFSET($S37,1,0,$R35-2),($M35+1)&amp;"$",OFFSET(AF37,1,0,$R35-2)))</f>
        <v>0</v>
      </c>
      <c r="AG37" s="535"/>
    </row>
    <row r="38" spans="1:33" x14ac:dyDescent="0.2">
      <c r="A38" s="187" t="str">
        <f t="shared" ref="A38" ca="1" si="50">IF($M38&gt;1,_xlfn.CONCAT($I38," ",$J38),"")</f>
        <v>1.8. LINHA DE RECALQUE INCLUI TRAVESSIA - MATERIAIS</v>
      </c>
      <c r="B38" s="186">
        <f t="shared" ref="B38" ca="1" si="51">OFFSET(B38,-3,0)+1</f>
        <v>9</v>
      </c>
      <c r="C38" s="186">
        <f ca="1">IF($R38&lt;&gt;2,0,IF($S38=0,1,IF(F39&gt;0,OFFSET(QCI!$M$13,SUBSTITUTE(F39,".",""),0),OFFSET(ORÇAMENTO!$AA$15,CRONO!$F38,0))/$S38))</f>
        <v>1</v>
      </c>
      <c r="D38" s="186">
        <f ca="1">IF($R38&lt;&gt;2,0,IF($S38=0,1,IF(F39&gt;0,OFFSET(QCI!$N$13,SUBSTITUTE(F39,".",""),0),OFFSET(ORÇAMENTO!$AB$15,CRONO!$F38,0))/$S38))</f>
        <v>1</v>
      </c>
      <c r="E38" s="189" cm="1">
        <f t="array" aca="1" ref="E38" ca="1">IF(AND($R38=2,ACOMPANHAMENTO="BM"),ROUND(E39,4),E40/$S38)</f>
        <v>0</v>
      </c>
      <c r="F38" s="186">
        <f ca="1">IF(B38&lt;=ORÇAMENTO.MáximoListaCrono,MATCH(B38,ORÇAMENTO.ListaCrono,0),NA())</f>
        <v>59</v>
      </c>
      <c r="G38" s="186" t="str">
        <f t="shared" ref="G38" ca="1" si="52">IF(AND($F39&lt;&gt;-1,$S38&gt;0),"F","")</f>
        <v/>
      </c>
      <c r="H38" s="190" t="str" cm="1">
        <f t="array" aca="1" ref="H38" ca="1">IF(OR(S38=0,S38=""),"Linha",IF(AND(OR(ACOMPANHAMENTO="PLE",$R38&lt;&gt;2),$F39=0),"Linha",ROUND(1-SUM(U38:AG38),4)))</f>
        <v>Linha</v>
      </c>
      <c r="I38" s="191" t="str">
        <f ca="1">IF($F39=0,OFFSET(ORÇAMENTO!O$15,$F38,0),IF($F39&lt;&gt;-1,OFFSET(QCI!$D$13,$F39,0),""))</f>
        <v>1.8.</v>
      </c>
      <c r="J38" s="192" t="str">
        <f ca="1">IF($F39=0,OFFSET(ORÇAMENTO!R$15,$F38,0),IF($F39&lt;&gt;-1,OFFSET(QCI!$G$13,$F39,0),""))</f>
        <v>LINHA DE RECALQUE INCLUI TRAVESSIA - MATERIAIS</v>
      </c>
      <c r="K38" s="192"/>
      <c r="L38" s="192"/>
      <c r="M38" s="193">
        <f ca="1">IF($F39=0,OFFSET(ORÇAMENTO!C$15,$F38,0),1)</f>
        <v>2</v>
      </c>
      <c r="N38" s="194">
        <f ca="1">IF($F39=-1,0,IF(N$13&lt;=$M38,IF(ISERROR(MATCH(N$13,OFFSET($M38,1,0,ROW($M$101)-ROW($M38)-1),0)),ROW($M$101)-ROW($M38)-1,MATCH(N$13,OFFSET($M38,1,0,ROW($M$101)-ROW($M38)-1),0)-1),0))</f>
        <v>62</v>
      </c>
      <c r="O38" s="194">
        <f ca="1">IF($F39=-1,0,IF(O$13&lt;=$M38,IF(ISERROR(MATCH(O$13,OFFSET($M38,1,0,ROW($M$101)-ROW($M38)-1),0)),ROW($M$101)-ROW($M38)-1,MATCH(O$13,OFFSET($M38,1,0,ROW($M$101)-ROW($M38)-1),0)-1),0))</f>
        <v>2</v>
      </c>
      <c r="P38" s="194">
        <f ca="1">IF($F39=-1,0,IF(P$13&lt;=$M38,IF(ISERROR(MATCH(P$13,OFFSET($M38,1,0,ROW($M$101)-ROW($M38)-1),0)),ROW($M$101)-ROW($M38)-1,MATCH(P$13,OFFSET($M38,1,0,ROW($M$101)-ROW($M38)-1),0)-1),0))</f>
        <v>0</v>
      </c>
      <c r="Q38" s="194">
        <f ca="1">IF($F39=-1,0,IF(Q$13&lt;=$M38,IF(ISERROR(MATCH(Q$13,OFFSET($M38,1,0,ROW($M$101)-ROW($M38)-1),0)),ROW($M$101)-ROW($M38)-1,MATCH(Q$13,OFFSET($M38,1,0,ROW($M$101)-ROW($M38)-1),0)-1),0))</f>
        <v>0</v>
      </c>
      <c r="R38" s="194">
        <f t="shared" ref="R38" ca="1" si="53">MIN(OFFSET(M38,0,1,,M38))</f>
        <v>2</v>
      </c>
      <c r="S38" s="195">
        <f ca="1">IF($F39=0,OFFSET(ORÇAMENTO!X$15,$F38,0),IF($F39&lt;&gt;-1,OFFSET(QCI!$O$13,$F39,0),""))</f>
        <v>0</v>
      </c>
      <c r="T38" s="196" t="s">
        <v>786</v>
      </c>
      <c r="U38" s="189" cm="1">
        <f t="array" aca="1" ref="U38" ca="1">IF(AND($R38=2,ACOMPANHAMENTO="BM"),ROUND(U39,4),U40/$S38)</f>
        <v>0.4</v>
      </c>
      <c r="V38" s="189" cm="1">
        <f t="array" aca="1" ref="V38" ca="1">IF(AND($R38=2,ACOMPANHAMENTO="BM"),ROUND(V39,4),V40/$S38)</f>
        <v>0.3</v>
      </c>
      <c r="W38" s="189" cm="1">
        <f t="array" aca="1" ref="W38" ca="1">IF(AND($R38=2,ACOMPANHAMENTO="BM"),ROUND(W39,4),W40/$S38)</f>
        <v>0.3</v>
      </c>
      <c r="X38" s="189" cm="1">
        <f t="array" aca="1" ref="X38" ca="1">IF(AND($R38=2,ACOMPANHAMENTO="BM"),ROUND(X39,4),X40/$S38)</f>
        <v>0</v>
      </c>
      <c r="Y38" s="189" cm="1">
        <f t="array" aca="1" ref="Y38" ca="1">IF(AND($R38=2,ACOMPANHAMENTO="BM"),ROUND(Y39,4),Y40/$S38)</f>
        <v>0</v>
      </c>
      <c r="Z38" s="189" cm="1">
        <f t="array" aca="1" ref="Z38" ca="1">IF(AND($R38=2,ACOMPANHAMENTO="BM"),ROUND(Z39,4),Z40/$S38)</f>
        <v>0</v>
      </c>
      <c r="AA38" s="189" cm="1">
        <f t="array" aca="1" ref="AA38" ca="1">IF(AND($R38=2,ACOMPANHAMENTO="BM"),ROUND(AA39,4),AA40/$S38)</f>
        <v>0</v>
      </c>
      <c r="AB38" s="189" cm="1">
        <f t="array" aca="1" ref="AB38" ca="1">IF(AND($R38=2,ACOMPANHAMENTO="BM"),ROUND(AB39,4),AB40/$S38)</f>
        <v>0</v>
      </c>
      <c r="AC38" s="189" cm="1">
        <f t="array" aca="1" ref="AC38" ca="1">IF(AND($R38=2,ACOMPANHAMENTO="BM"),ROUND(AC39,4),AC40/$S38)</f>
        <v>0</v>
      </c>
      <c r="AD38" s="189" cm="1">
        <f t="array" aca="1" ref="AD38" ca="1">IF(AND($R38=2,ACOMPANHAMENTO="BM"),ROUND(AD39,4),AD40/$S38)</f>
        <v>0</v>
      </c>
      <c r="AE38" s="189" cm="1">
        <f t="array" aca="1" ref="AE38" ca="1">IF(AND($R38=2,ACOMPANHAMENTO="BM"),ROUND(AE39,4),AE40/$S38)</f>
        <v>0</v>
      </c>
      <c r="AF38" s="189" cm="1">
        <f t="array" aca="1" ref="AF38" ca="1">IF(AND($R38=2,ACOMPANHAMENTO="BM"),ROUND(AF39,4),AF40/$S38)</f>
        <v>0</v>
      </c>
      <c r="AG38" s="535"/>
    </row>
    <row r="39" spans="1:33" ht="12.75" customHeight="1" x14ac:dyDescent="0.2">
      <c r="E39" s="588"/>
      <c r="F39" s="186">
        <f ca="1">IF(ISERROR(F38),IF(1+COUNTIF($M$13:OFFSET(M38,-1,0),1)&lt;=MAX(QCI!$D$13:$D$15),1+COUNTIF($M$13:OFFSET(M38,-1,0),1),-1),0)</f>
        <v>0</v>
      </c>
      <c r="G39" s="186" t="str" cm="1">
        <f t="array" aca="1" ref="G39" ca="1">IF(ACOMPANHAMENTO="BM",OFFSET(G39,-1,0),"")</f>
        <v/>
      </c>
      <c r="H39" s="197" t="str" cm="1">
        <f t="array" aca="1" ref="H39" ca="1">IF(OR(S38=0,S38=""),"vazia",IF(AND(OR(ACOMPANHAMENTO="PLE",$R38&lt;&gt;2),$F39=0),"calculada","--&gt;"))</f>
        <v>vazia</v>
      </c>
      <c r="I39" s="198"/>
      <c r="J39" s="199" t="str">
        <f t="shared" ref="J39" ca="1" si="54">IF(AND(H38&lt;&gt;0,ISNUMBER(H38)),"PREENCHA ESTA LINHA --&gt;","")</f>
        <v/>
      </c>
      <c r="K39" s="199"/>
      <c r="L39" s="199"/>
      <c r="M39" s="200"/>
      <c r="N39" s="200"/>
      <c r="O39" s="200"/>
      <c r="P39" s="200"/>
      <c r="Q39" s="200"/>
      <c r="R39" s="200"/>
      <c r="S39" s="201"/>
      <c r="T39" s="202"/>
      <c r="U39" s="588">
        <v>0.4</v>
      </c>
      <c r="V39" s="588">
        <v>0.3</v>
      </c>
      <c r="W39" s="588">
        <v>0.3</v>
      </c>
      <c r="X39" s="588"/>
      <c r="Y39" s="588"/>
      <c r="Z39" s="588"/>
      <c r="AA39" s="588"/>
      <c r="AB39" s="588"/>
      <c r="AC39" s="588"/>
      <c r="AD39" s="588"/>
      <c r="AE39" s="588"/>
      <c r="AF39" s="588"/>
      <c r="AG39" s="535"/>
    </row>
    <row r="40" spans="1:33" ht="12.75" hidden="1" customHeight="1" x14ac:dyDescent="0.2">
      <c r="D40" s="534"/>
      <c r="E40" s="203" cm="1">
        <f t="array" aca="1" ref="E40" ca="1">IF($R38=2,
         IF(AND(ACOMPANHAMENTO="PLE",ISNUMBER($F38)),
                SUMIF((OFFSET(CÁLCULO!$AM$15:$AW$15,$F38,0,OFFSET(ORÇAMENTO!$D$15,CRONO!$F38,0))),CRONO!E$12,OFFSET(CÁLCULO!$AB$15:$AL$15,$F38,0,OFFSET(ORÇAMENTO!$D$15,CRONO!$F38,0)))
                +IF(AND($F40&lt;&gt;"",$F40&lt;&gt;0),
                        SUMIF(CÁLCULO!$AM$15:$AW$231,CRONO!E$12,CÁLCULO!$AB$15:$AL$231)/(ORÇAMENTO!$X$15-_xlfn.SINGLE(CÁLCULO.TotalAdmLocal))*CRONO!$F40,
                        0),
                 E39*$S38),
          SUMIF(OFFSET($S40,1,0,$R38-2),($M38+1)&amp;"$",OFFSET(E40,1,0,$R38-2)))</f>
        <v>0</v>
      </c>
      <c r="F40" s="186" t="str">
        <f ca="1">IF(OR($R38&lt;&gt;2,AUTOEVENTO&lt;&gt;"manual",$F39&gt;0),"",
        IF(Import.TipoArredondamento="Tradicional",
              SUMIF(OFFSET(CÁLCULO!$M$15,CRONO!$F38,0,OFFSET(ORÇAMENTO!$D$15,CRONO!$F38,0)),1,OFFSET(ORÇAMENTO!$X$15,CRONO!$F38,0,OFFSET(ORÇAMENTO!$D$15,CRONO!$F38,0))),
              0))</f>
        <v/>
      </c>
      <c r="H40" s="672"/>
      <c r="S40" s="205" t="str">
        <f t="shared" ref="S40" ca="1" si="55">M38&amp;"$"</f>
        <v>2$</v>
      </c>
      <c r="T40" s="206"/>
      <c r="U40" s="203" cm="1">
        <f t="array" aca="1" ref="U40" ca="1">IF($R38=2,
         IF(AND(ACOMPANHAMENTO="PLE",ISNUMBER($F38)),
                SUMIF((OFFSET(CÁLCULO!$AM$15:$AW$15,$F38,0,OFFSET(ORÇAMENTO!$D$15,CRONO!$F38,0))),CRONO!U$12,OFFSET(CÁLCULO!$AB$15:$AL$15,$F38,0,OFFSET(ORÇAMENTO!$D$15,CRONO!$F38,0)))
                +IF(AND($F40&lt;&gt;"",$F40&lt;&gt;0),
                        SUMIF(CÁLCULO!$AM$15:$AW$231,CRONO!U$12,CÁLCULO!$AB$15:$AL$231)/(ORÇAMENTO!$X$15-_xlfn.SINGLE(CÁLCULO.TotalAdmLocal))*CRONO!$F40,
                        0),
                 U39*$S38),
          SUMIF(OFFSET($S40,1,0,$R38-2),($M38+1)&amp;"$",OFFSET(U40,1,0,$R38-2)))</f>
        <v>0</v>
      </c>
      <c r="V40" s="203" cm="1">
        <f t="array" aca="1" ref="V40" ca="1">IF($R38=2,
         IF(AND(ACOMPANHAMENTO="PLE",ISNUMBER($F38)),
                SUMIF((OFFSET(CÁLCULO!$AM$15:$AW$15,$F38,0,OFFSET(ORÇAMENTO!$D$15,CRONO!$F38,0))),CRONO!V$12,OFFSET(CÁLCULO!$AB$15:$AL$15,$F38,0,OFFSET(ORÇAMENTO!$D$15,CRONO!$F38,0)))
                +IF(AND($F40&lt;&gt;"",$F40&lt;&gt;0),
                        SUMIF(CÁLCULO!$AM$15:$AW$231,CRONO!V$12,CÁLCULO!$AB$15:$AL$231)/(ORÇAMENTO!$X$15-_xlfn.SINGLE(CÁLCULO.TotalAdmLocal))*CRONO!$F40,
                        0),
                 V39*$S38),
          SUMIF(OFFSET($S40,1,0,$R38-2),($M38+1)&amp;"$",OFFSET(V40,1,0,$R38-2)))</f>
        <v>0</v>
      </c>
      <c r="W40" s="203" cm="1">
        <f t="array" aca="1" ref="W40" ca="1">IF($R38=2,
         IF(AND(ACOMPANHAMENTO="PLE",ISNUMBER($F38)),
                SUMIF((OFFSET(CÁLCULO!$AM$15:$AW$15,$F38,0,OFFSET(ORÇAMENTO!$D$15,CRONO!$F38,0))),CRONO!W$12,OFFSET(CÁLCULO!$AB$15:$AL$15,$F38,0,OFFSET(ORÇAMENTO!$D$15,CRONO!$F38,0)))
                +IF(AND($F40&lt;&gt;"",$F40&lt;&gt;0),
                        SUMIF(CÁLCULO!$AM$15:$AW$231,CRONO!W$12,CÁLCULO!$AB$15:$AL$231)/(ORÇAMENTO!$X$15-_xlfn.SINGLE(CÁLCULO.TotalAdmLocal))*CRONO!$F40,
                        0),
                 W39*$S38),
          SUMIF(OFFSET($S40,1,0,$R38-2),($M38+1)&amp;"$",OFFSET(W40,1,0,$R38-2)))</f>
        <v>0</v>
      </c>
      <c r="X40" s="203" cm="1">
        <f t="array" aca="1" ref="X40" ca="1">IF($R38=2,
         IF(AND(ACOMPANHAMENTO="PLE",ISNUMBER($F38)),
                SUMIF((OFFSET(CÁLCULO!$AM$15:$AW$15,$F38,0,OFFSET(ORÇAMENTO!$D$15,CRONO!$F38,0))),CRONO!X$12,OFFSET(CÁLCULO!$AB$15:$AL$15,$F38,0,OFFSET(ORÇAMENTO!$D$15,CRONO!$F38,0)))
                +IF(AND($F40&lt;&gt;"",$F40&lt;&gt;0),
                        SUMIF(CÁLCULO!$AM$15:$AW$231,CRONO!X$12,CÁLCULO!$AB$15:$AL$231)/(ORÇAMENTO!$X$15-_xlfn.SINGLE(CÁLCULO.TotalAdmLocal))*CRONO!$F40,
                        0),
                 X39*$S38),
          SUMIF(OFFSET($S40,1,0,$R38-2),($M38+1)&amp;"$",OFFSET(X40,1,0,$R38-2)))</f>
        <v>0</v>
      </c>
      <c r="Y40" s="203" cm="1">
        <f t="array" aca="1" ref="Y40" ca="1">IF($R38=2,
         IF(AND(ACOMPANHAMENTO="PLE",ISNUMBER($F38)),
                SUMIF((OFFSET(CÁLCULO!$AM$15:$AW$15,$F38,0,OFFSET(ORÇAMENTO!$D$15,CRONO!$F38,0))),CRONO!Y$12,OFFSET(CÁLCULO!$AB$15:$AL$15,$F38,0,OFFSET(ORÇAMENTO!$D$15,CRONO!$F38,0)))
                +IF(AND($F40&lt;&gt;"",$F40&lt;&gt;0),
                        SUMIF(CÁLCULO!$AM$15:$AW$231,CRONO!Y$12,CÁLCULO!$AB$15:$AL$231)/(ORÇAMENTO!$X$15-_xlfn.SINGLE(CÁLCULO.TotalAdmLocal))*CRONO!$F40,
                        0),
                 Y39*$S38),
          SUMIF(OFFSET($S40,1,0,$R38-2),($M38+1)&amp;"$",OFFSET(Y40,1,0,$R38-2)))</f>
        <v>0</v>
      </c>
      <c r="Z40" s="203" cm="1">
        <f t="array" aca="1" ref="Z40" ca="1">IF($R38=2,
         IF(AND(ACOMPANHAMENTO="PLE",ISNUMBER($F38)),
                SUMIF((OFFSET(CÁLCULO!$AM$15:$AW$15,$F38,0,OFFSET(ORÇAMENTO!$D$15,CRONO!$F38,0))),CRONO!Z$12,OFFSET(CÁLCULO!$AB$15:$AL$15,$F38,0,OFFSET(ORÇAMENTO!$D$15,CRONO!$F38,0)))
                +IF(AND($F40&lt;&gt;"",$F40&lt;&gt;0),
                        SUMIF(CÁLCULO!$AM$15:$AW$231,CRONO!Z$12,CÁLCULO!$AB$15:$AL$231)/(ORÇAMENTO!$X$15-_xlfn.SINGLE(CÁLCULO.TotalAdmLocal))*CRONO!$F40,
                        0),
                 Z39*$S38),
          SUMIF(OFFSET($S40,1,0,$R38-2),($M38+1)&amp;"$",OFFSET(Z40,1,0,$R38-2)))</f>
        <v>0</v>
      </c>
      <c r="AA40" s="203" cm="1">
        <f t="array" aca="1" ref="AA40" ca="1">IF($R38=2,
         IF(AND(ACOMPANHAMENTO="PLE",ISNUMBER($F38)),
                SUMIF((OFFSET(CÁLCULO!$AM$15:$AW$15,$F38,0,OFFSET(ORÇAMENTO!$D$15,CRONO!$F38,0))),CRONO!AA$12,OFFSET(CÁLCULO!$AB$15:$AL$15,$F38,0,OFFSET(ORÇAMENTO!$D$15,CRONO!$F38,0)))
                +IF(AND($F40&lt;&gt;"",$F40&lt;&gt;0),
                        SUMIF(CÁLCULO!$AM$15:$AW$231,CRONO!AA$12,CÁLCULO!$AB$15:$AL$231)/(ORÇAMENTO!$X$15-_xlfn.SINGLE(CÁLCULO.TotalAdmLocal))*CRONO!$F40,
                        0),
                 AA39*$S38),
          SUMIF(OFFSET($S40,1,0,$R38-2),($M38+1)&amp;"$",OFFSET(AA40,1,0,$R38-2)))</f>
        <v>0</v>
      </c>
      <c r="AB40" s="203" cm="1">
        <f t="array" aca="1" ref="AB40" ca="1">IF($R38=2,
         IF(AND(ACOMPANHAMENTO="PLE",ISNUMBER($F38)),
                SUMIF((OFFSET(CÁLCULO!$AM$15:$AW$15,$F38,0,OFFSET(ORÇAMENTO!$D$15,CRONO!$F38,0))),CRONO!AB$12,OFFSET(CÁLCULO!$AB$15:$AL$15,$F38,0,OFFSET(ORÇAMENTO!$D$15,CRONO!$F38,0)))
                +IF(AND($F40&lt;&gt;"",$F40&lt;&gt;0),
                        SUMIF(CÁLCULO!$AM$15:$AW$231,CRONO!AB$12,CÁLCULO!$AB$15:$AL$231)/(ORÇAMENTO!$X$15-_xlfn.SINGLE(CÁLCULO.TotalAdmLocal))*CRONO!$F40,
                        0),
                 AB39*$S38),
          SUMIF(OFFSET($S40,1,0,$R38-2),($M38+1)&amp;"$",OFFSET(AB40,1,0,$R38-2)))</f>
        <v>0</v>
      </c>
      <c r="AC40" s="203" cm="1">
        <f t="array" aca="1" ref="AC40" ca="1">IF($R38=2,
         IF(AND(ACOMPANHAMENTO="PLE",ISNUMBER($F38)),
                SUMIF((OFFSET(CÁLCULO!$AM$15:$AW$15,$F38,0,OFFSET(ORÇAMENTO!$D$15,CRONO!$F38,0))),CRONO!AC$12,OFFSET(CÁLCULO!$AB$15:$AL$15,$F38,0,OFFSET(ORÇAMENTO!$D$15,CRONO!$F38,0)))
                +IF(AND($F40&lt;&gt;"",$F40&lt;&gt;0),
                        SUMIF(CÁLCULO!$AM$15:$AW$231,CRONO!AC$12,CÁLCULO!$AB$15:$AL$231)/(ORÇAMENTO!$X$15-_xlfn.SINGLE(CÁLCULO.TotalAdmLocal))*CRONO!$F40,
                        0),
                 AC39*$S38),
          SUMIF(OFFSET($S40,1,0,$R38-2),($M38+1)&amp;"$",OFFSET(AC40,1,0,$R38-2)))</f>
        <v>0</v>
      </c>
      <c r="AD40" s="203" cm="1">
        <f t="array" aca="1" ref="AD40" ca="1">IF($R38=2,
         IF(AND(ACOMPANHAMENTO="PLE",ISNUMBER($F38)),
                SUMIF((OFFSET(CÁLCULO!$AM$15:$AW$15,$F38,0,OFFSET(ORÇAMENTO!$D$15,CRONO!$F38,0))),CRONO!AD$12,OFFSET(CÁLCULO!$AB$15:$AL$15,$F38,0,OFFSET(ORÇAMENTO!$D$15,CRONO!$F38,0)))
                +IF(AND($F40&lt;&gt;"",$F40&lt;&gt;0),
                        SUMIF(CÁLCULO!$AM$15:$AW$231,CRONO!AD$12,CÁLCULO!$AB$15:$AL$231)/(ORÇAMENTO!$X$15-_xlfn.SINGLE(CÁLCULO.TotalAdmLocal))*CRONO!$F40,
                        0),
                 AD39*$S38),
          SUMIF(OFFSET($S40,1,0,$R38-2),($M38+1)&amp;"$",OFFSET(AD40,1,0,$R38-2)))</f>
        <v>0</v>
      </c>
      <c r="AE40" s="203" cm="1">
        <f t="array" aca="1" ref="AE40" ca="1">IF($R38=2,
         IF(AND(ACOMPANHAMENTO="PLE",ISNUMBER($F38)),
                SUMIF((OFFSET(CÁLCULO!$AM$15:$AW$15,$F38,0,OFFSET(ORÇAMENTO!$D$15,CRONO!$F38,0))),CRONO!AE$12,OFFSET(CÁLCULO!$AB$15:$AL$15,$F38,0,OFFSET(ORÇAMENTO!$D$15,CRONO!$F38,0)))
                +IF(AND($F40&lt;&gt;"",$F40&lt;&gt;0),
                        SUMIF(CÁLCULO!$AM$15:$AW$231,CRONO!AE$12,CÁLCULO!$AB$15:$AL$231)/(ORÇAMENTO!$X$15-_xlfn.SINGLE(CÁLCULO.TotalAdmLocal))*CRONO!$F40,
                        0),
                 AE39*$S38),
          SUMIF(OFFSET($S40,1,0,$R38-2),($M38+1)&amp;"$",OFFSET(AE40,1,0,$R38-2)))</f>
        <v>0</v>
      </c>
      <c r="AF40" s="203" cm="1">
        <f t="array" aca="1" ref="AF40" ca="1">IF($R38=2,
         IF(AND(ACOMPANHAMENTO="PLE",ISNUMBER($F38)),
                SUMIF((OFFSET(CÁLCULO!$AM$15:$AW$15,$F38,0,OFFSET(ORÇAMENTO!$D$15,CRONO!$F38,0))),CRONO!AF$12,OFFSET(CÁLCULO!$AB$15:$AL$15,$F38,0,OFFSET(ORÇAMENTO!$D$15,CRONO!$F38,0)))
                +IF(AND($F40&lt;&gt;"",$F40&lt;&gt;0),
                        SUMIF(CÁLCULO!$AM$15:$AW$231,CRONO!AF$12,CÁLCULO!$AB$15:$AL$231)/(ORÇAMENTO!$X$15-_xlfn.SINGLE(CÁLCULO.TotalAdmLocal))*CRONO!$F40,
                        0),
                 AF39*$S38),
          SUMIF(OFFSET($S40,1,0,$R38-2),($M38+1)&amp;"$",OFFSET(AF40,1,0,$R38-2)))</f>
        <v>0</v>
      </c>
      <c r="AG40" s="535"/>
    </row>
    <row r="41" spans="1:33" x14ac:dyDescent="0.2">
      <c r="A41" s="187" t="str">
        <f t="shared" ref="A41" ca="1" si="56">IF($M41&gt;1,_xlfn.CONCAT($I41," ",$J41),"")</f>
        <v xml:space="preserve">1.9. TRAVESSIA RODOVIA MG-050 - MATERIAIS </v>
      </c>
      <c r="B41" s="186">
        <f t="shared" ref="B41" ca="1" si="57">OFFSET(B41,-3,0)+1</f>
        <v>10</v>
      </c>
      <c r="C41" s="186">
        <f ca="1">IF($R41&lt;&gt;2,0,IF($S41=0,1,IF(F42&gt;0,OFFSET(QCI!$M$13,SUBSTITUTE(F42,".",""),0),OFFSET(ORÇAMENTO!$AA$15,CRONO!$F41,0))/$S41))</f>
        <v>1</v>
      </c>
      <c r="D41" s="186">
        <f ca="1">IF($R41&lt;&gt;2,0,IF($S41=0,1,IF(F42&gt;0,OFFSET(QCI!$N$13,SUBSTITUTE(F42,".",""),0),OFFSET(ORÇAMENTO!$AB$15,CRONO!$F41,0))/$S41))</f>
        <v>1</v>
      </c>
      <c r="E41" s="189" cm="1">
        <f t="array" aca="1" ref="E41" ca="1">IF(AND($R41=2,ACOMPANHAMENTO="BM"),ROUND(E42,4),E43/$S41)</f>
        <v>0</v>
      </c>
      <c r="F41" s="186">
        <f ca="1">IF(B41&lt;=ORÇAMENTO.MáximoListaCrono,MATCH(B41,ORÇAMENTO.ListaCrono,0),NA())</f>
        <v>77</v>
      </c>
      <c r="G41" s="186" t="str">
        <f t="shared" ref="G41" ca="1" si="58">IF(AND($F42&lt;&gt;-1,$S41&gt;0),"F","")</f>
        <v/>
      </c>
      <c r="H41" s="190" t="str" cm="1">
        <f t="array" aca="1" ref="H41" ca="1">IF(OR(S41=0,S41=""),"Linha",IF(AND(OR(ACOMPANHAMENTO="PLE",$R41&lt;&gt;2),$F42=0),"Linha",ROUND(1-SUM(U41:AG41),4)))</f>
        <v>Linha</v>
      </c>
      <c r="I41" s="191" t="str">
        <f ca="1">IF($F42=0,OFFSET(ORÇAMENTO!O$15,$F41,0),IF($F42&lt;&gt;-1,OFFSET(QCI!$D$13,$F42,0),""))</f>
        <v>1.9.</v>
      </c>
      <c r="J41" s="192" t="str">
        <f ca="1">IF($F42=0,OFFSET(ORÇAMENTO!R$15,$F41,0),IF($F42&lt;&gt;-1,OFFSET(QCI!$G$13,$F42,0),""))</f>
        <v xml:space="preserve">TRAVESSIA RODOVIA MG-050 - MATERIAIS </v>
      </c>
      <c r="K41" s="192"/>
      <c r="L41" s="192"/>
      <c r="M41" s="193">
        <f ca="1">IF($F42=0,OFFSET(ORÇAMENTO!C$15,$F41,0),1)</f>
        <v>2</v>
      </c>
      <c r="N41" s="194">
        <f ca="1">IF($F42=-1,0,IF(N$13&lt;=$M41,IF(ISERROR(MATCH(N$13,OFFSET($M41,1,0,ROW($M$101)-ROW($M41)-1),0)),ROW($M$101)-ROW($M41)-1,MATCH(N$13,OFFSET($M41,1,0,ROW($M$101)-ROW($M41)-1),0)-1),0))</f>
        <v>59</v>
      </c>
      <c r="O41" s="194">
        <f ca="1">IF($F42=-1,0,IF(O$13&lt;=$M41,IF(ISERROR(MATCH(O$13,OFFSET($M41,1,0,ROW($M$101)-ROW($M41)-1),0)),ROW($M$101)-ROW($M41)-1,MATCH(O$13,OFFSET($M41,1,0,ROW($M$101)-ROW($M41)-1),0)-1),0))</f>
        <v>2</v>
      </c>
      <c r="P41" s="194">
        <f ca="1">IF($F42=-1,0,IF(P$13&lt;=$M41,IF(ISERROR(MATCH(P$13,OFFSET($M41,1,0,ROW($M$101)-ROW($M41)-1),0)),ROW($M$101)-ROW($M41)-1,MATCH(P$13,OFFSET($M41,1,0,ROW($M$101)-ROW($M41)-1),0)-1),0))</f>
        <v>0</v>
      </c>
      <c r="Q41" s="194">
        <f ca="1">IF($F42=-1,0,IF(Q$13&lt;=$M41,IF(ISERROR(MATCH(Q$13,OFFSET($M41,1,0,ROW($M$101)-ROW($M41)-1),0)),ROW($M$101)-ROW($M41)-1,MATCH(Q$13,OFFSET($M41,1,0,ROW($M$101)-ROW($M41)-1),0)-1),0))</f>
        <v>0</v>
      </c>
      <c r="R41" s="194">
        <f t="shared" ref="R41" ca="1" si="59">MIN(OFFSET(M41,0,1,,M41))</f>
        <v>2</v>
      </c>
      <c r="S41" s="195">
        <f ca="1">IF($F42=0,OFFSET(ORÇAMENTO!X$15,$F41,0),IF($F42&lt;&gt;-1,OFFSET(QCI!$O$13,$F42,0),""))</f>
        <v>0</v>
      </c>
      <c r="T41" s="196" t="s">
        <v>786</v>
      </c>
      <c r="U41" s="189" cm="1">
        <f t="array" aca="1" ref="U41" ca="1">IF(AND($R41=2,ACOMPANHAMENTO="BM"),ROUND(U42,4),U43/$S41)</f>
        <v>0</v>
      </c>
      <c r="V41" s="189" cm="1">
        <f t="array" aca="1" ref="V41" ca="1">IF(AND($R41=2,ACOMPANHAMENTO="BM"),ROUND(V42,4),V43/$S41)</f>
        <v>0.25</v>
      </c>
      <c r="W41" s="189" cm="1">
        <f t="array" aca="1" ref="W41" ca="1">IF(AND($R41=2,ACOMPANHAMENTO="BM"),ROUND(W42,4),W43/$S41)</f>
        <v>0.25</v>
      </c>
      <c r="X41" s="189" cm="1">
        <f t="array" aca="1" ref="X41" ca="1">IF(AND($R41=2,ACOMPANHAMENTO="BM"),ROUND(X42,4),X43/$S41)</f>
        <v>0.5</v>
      </c>
      <c r="Y41" s="189" cm="1">
        <f t="array" aca="1" ref="Y41" ca="1">IF(AND($R41=2,ACOMPANHAMENTO="BM"),ROUND(Y42,4),Y43/$S41)</f>
        <v>0</v>
      </c>
      <c r="Z41" s="189" cm="1">
        <f t="array" aca="1" ref="Z41" ca="1">IF(AND($R41=2,ACOMPANHAMENTO="BM"),ROUND(Z42,4),Z43/$S41)</f>
        <v>0</v>
      </c>
      <c r="AA41" s="189" cm="1">
        <f t="array" aca="1" ref="AA41" ca="1">IF(AND($R41=2,ACOMPANHAMENTO="BM"),ROUND(AA42,4),AA43/$S41)</f>
        <v>0</v>
      </c>
      <c r="AB41" s="189" cm="1">
        <f t="array" aca="1" ref="AB41" ca="1">IF(AND($R41=2,ACOMPANHAMENTO="BM"),ROUND(AB42,4),AB43/$S41)</f>
        <v>0</v>
      </c>
      <c r="AC41" s="189" cm="1">
        <f t="array" aca="1" ref="AC41" ca="1">IF(AND($R41=2,ACOMPANHAMENTO="BM"),ROUND(AC42,4),AC43/$S41)</f>
        <v>0</v>
      </c>
      <c r="AD41" s="189" cm="1">
        <f t="array" aca="1" ref="AD41" ca="1">IF(AND($R41=2,ACOMPANHAMENTO="BM"),ROUND(AD42,4),AD43/$S41)</f>
        <v>0</v>
      </c>
      <c r="AE41" s="189" cm="1">
        <f t="array" aca="1" ref="AE41" ca="1">IF(AND($R41=2,ACOMPANHAMENTO="BM"),ROUND(AE42,4),AE43/$S41)</f>
        <v>0</v>
      </c>
      <c r="AF41" s="189" cm="1">
        <f t="array" aca="1" ref="AF41" ca="1">IF(AND($R41=2,ACOMPANHAMENTO="BM"),ROUND(AF42,4),AF43/$S41)</f>
        <v>0</v>
      </c>
      <c r="AG41" s="535"/>
    </row>
    <row r="42" spans="1:33" ht="12.75" customHeight="1" x14ac:dyDescent="0.2">
      <c r="E42" s="588"/>
      <c r="F42" s="186">
        <f ca="1">IF(ISERROR(F41),IF(1+COUNTIF($M$13:OFFSET(M41,-1,0),1)&lt;=MAX(QCI!$D$13:$D$15),1+COUNTIF($M$13:OFFSET(M41,-1,0),1),-1),0)</f>
        <v>0</v>
      </c>
      <c r="G42" s="186" t="str" cm="1">
        <f t="array" aca="1" ref="G42" ca="1">IF(ACOMPANHAMENTO="BM",OFFSET(G42,-1,0),"")</f>
        <v/>
      </c>
      <c r="H42" s="197" t="str" cm="1">
        <f t="array" aca="1" ref="H42" ca="1">IF(OR(S41=0,S41=""),"vazia",IF(AND(OR(ACOMPANHAMENTO="PLE",$R41&lt;&gt;2),$F42=0),"calculada","--&gt;"))</f>
        <v>vazia</v>
      </c>
      <c r="I42" s="198"/>
      <c r="J42" s="199" t="str">
        <f t="shared" ref="J42" ca="1" si="60">IF(AND(H41&lt;&gt;0,ISNUMBER(H41)),"PREENCHA ESTA LINHA --&gt;","")</f>
        <v/>
      </c>
      <c r="K42" s="199"/>
      <c r="L42" s="199"/>
      <c r="M42" s="200"/>
      <c r="N42" s="200"/>
      <c r="O42" s="200"/>
      <c r="P42" s="200"/>
      <c r="Q42" s="200"/>
      <c r="R42" s="200"/>
      <c r="S42" s="201"/>
      <c r="T42" s="202"/>
      <c r="U42" s="588"/>
      <c r="V42" s="588">
        <v>0.25</v>
      </c>
      <c r="W42" s="588">
        <v>0.25</v>
      </c>
      <c r="X42" s="588">
        <v>0.5</v>
      </c>
      <c r="Y42" s="588"/>
      <c r="Z42" s="588"/>
      <c r="AA42" s="588"/>
      <c r="AB42" s="588"/>
      <c r="AC42" s="588"/>
      <c r="AD42" s="588"/>
      <c r="AE42" s="588"/>
      <c r="AF42" s="588"/>
      <c r="AG42" s="535"/>
    </row>
    <row r="43" spans="1:33" ht="12.75" hidden="1" customHeight="1" x14ac:dyDescent="0.2">
      <c r="D43" s="534"/>
      <c r="E43" s="203" cm="1">
        <f t="array" aca="1" ref="E43" ca="1">IF($R41=2,
         IF(AND(ACOMPANHAMENTO="PLE",ISNUMBER($F41)),
                SUMIF((OFFSET(CÁLCULO!$AM$15:$AW$15,$F41,0,OFFSET(ORÇAMENTO!$D$15,CRONO!$F41,0))),CRONO!E$12,OFFSET(CÁLCULO!$AB$15:$AL$15,$F41,0,OFFSET(ORÇAMENTO!$D$15,CRONO!$F41,0)))
                +IF(AND($F43&lt;&gt;"",$F43&lt;&gt;0),
                        SUMIF(CÁLCULO!$AM$15:$AW$231,CRONO!E$12,CÁLCULO!$AB$15:$AL$231)/(ORÇAMENTO!$X$15-_xlfn.SINGLE(CÁLCULO.TotalAdmLocal))*CRONO!$F43,
                        0),
                 E42*$S41),
          SUMIF(OFFSET($S43,1,0,$R41-2),($M41+1)&amp;"$",OFFSET(E43,1,0,$R41-2)))</f>
        <v>0</v>
      </c>
      <c r="F43" s="186" t="str">
        <f ca="1">IF(OR($R41&lt;&gt;2,AUTOEVENTO&lt;&gt;"manual",$F42&gt;0),"",
        IF(Import.TipoArredondamento="Tradicional",
              SUMIF(OFFSET(CÁLCULO!$M$15,CRONO!$F41,0,OFFSET(ORÇAMENTO!$D$15,CRONO!$F41,0)),1,OFFSET(ORÇAMENTO!$X$15,CRONO!$F41,0,OFFSET(ORÇAMENTO!$D$15,CRONO!$F41,0))),
              0))</f>
        <v/>
      </c>
      <c r="H43" s="672"/>
      <c r="S43" s="205" t="str">
        <f t="shared" ref="S43" ca="1" si="61">M41&amp;"$"</f>
        <v>2$</v>
      </c>
      <c r="T43" s="206"/>
      <c r="U43" s="203" cm="1">
        <f t="array" aca="1" ref="U43" ca="1">IF($R41=2,
         IF(AND(ACOMPANHAMENTO="PLE",ISNUMBER($F41)),
                SUMIF((OFFSET(CÁLCULO!$AM$15:$AW$15,$F41,0,OFFSET(ORÇAMENTO!$D$15,CRONO!$F41,0))),CRONO!U$12,OFFSET(CÁLCULO!$AB$15:$AL$15,$F41,0,OFFSET(ORÇAMENTO!$D$15,CRONO!$F41,0)))
                +IF(AND($F43&lt;&gt;"",$F43&lt;&gt;0),
                        SUMIF(CÁLCULO!$AM$15:$AW$231,CRONO!U$12,CÁLCULO!$AB$15:$AL$231)/(ORÇAMENTO!$X$15-_xlfn.SINGLE(CÁLCULO.TotalAdmLocal))*CRONO!$F43,
                        0),
                 U42*$S41),
          SUMIF(OFFSET($S43,1,0,$R41-2),($M41+1)&amp;"$",OFFSET(U43,1,0,$R41-2)))</f>
        <v>0</v>
      </c>
      <c r="V43" s="203" cm="1">
        <f t="array" aca="1" ref="V43" ca="1">IF($R41=2,
         IF(AND(ACOMPANHAMENTO="PLE",ISNUMBER($F41)),
                SUMIF((OFFSET(CÁLCULO!$AM$15:$AW$15,$F41,0,OFFSET(ORÇAMENTO!$D$15,CRONO!$F41,0))),CRONO!V$12,OFFSET(CÁLCULO!$AB$15:$AL$15,$F41,0,OFFSET(ORÇAMENTO!$D$15,CRONO!$F41,0)))
                +IF(AND($F43&lt;&gt;"",$F43&lt;&gt;0),
                        SUMIF(CÁLCULO!$AM$15:$AW$231,CRONO!V$12,CÁLCULO!$AB$15:$AL$231)/(ORÇAMENTO!$X$15-_xlfn.SINGLE(CÁLCULO.TotalAdmLocal))*CRONO!$F43,
                        0),
                 V42*$S41),
          SUMIF(OFFSET($S43,1,0,$R41-2),($M41+1)&amp;"$",OFFSET(V43,1,0,$R41-2)))</f>
        <v>0</v>
      </c>
      <c r="W43" s="203" cm="1">
        <f t="array" aca="1" ref="W43" ca="1">IF($R41=2,
         IF(AND(ACOMPANHAMENTO="PLE",ISNUMBER($F41)),
                SUMIF((OFFSET(CÁLCULO!$AM$15:$AW$15,$F41,0,OFFSET(ORÇAMENTO!$D$15,CRONO!$F41,0))),CRONO!W$12,OFFSET(CÁLCULO!$AB$15:$AL$15,$F41,0,OFFSET(ORÇAMENTO!$D$15,CRONO!$F41,0)))
                +IF(AND($F43&lt;&gt;"",$F43&lt;&gt;0),
                        SUMIF(CÁLCULO!$AM$15:$AW$231,CRONO!W$12,CÁLCULO!$AB$15:$AL$231)/(ORÇAMENTO!$X$15-_xlfn.SINGLE(CÁLCULO.TotalAdmLocal))*CRONO!$F43,
                        0),
                 W42*$S41),
          SUMIF(OFFSET($S43,1,0,$R41-2),($M41+1)&amp;"$",OFFSET(W43,1,0,$R41-2)))</f>
        <v>0</v>
      </c>
      <c r="X43" s="203" cm="1">
        <f t="array" aca="1" ref="X43" ca="1">IF($R41=2,
         IF(AND(ACOMPANHAMENTO="PLE",ISNUMBER($F41)),
                SUMIF((OFFSET(CÁLCULO!$AM$15:$AW$15,$F41,0,OFFSET(ORÇAMENTO!$D$15,CRONO!$F41,0))),CRONO!X$12,OFFSET(CÁLCULO!$AB$15:$AL$15,$F41,0,OFFSET(ORÇAMENTO!$D$15,CRONO!$F41,0)))
                +IF(AND($F43&lt;&gt;"",$F43&lt;&gt;0),
                        SUMIF(CÁLCULO!$AM$15:$AW$231,CRONO!X$12,CÁLCULO!$AB$15:$AL$231)/(ORÇAMENTO!$X$15-_xlfn.SINGLE(CÁLCULO.TotalAdmLocal))*CRONO!$F43,
                        0),
                 X42*$S41),
          SUMIF(OFFSET($S43,1,0,$R41-2),($M41+1)&amp;"$",OFFSET(X43,1,0,$R41-2)))</f>
        <v>0</v>
      </c>
      <c r="Y43" s="203" cm="1">
        <f t="array" aca="1" ref="Y43" ca="1">IF($R41=2,
         IF(AND(ACOMPANHAMENTO="PLE",ISNUMBER($F41)),
                SUMIF((OFFSET(CÁLCULO!$AM$15:$AW$15,$F41,0,OFFSET(ORÇAMENTO!$D$15,CRONO!$F41,0))),CRONO!Y$12,OFFSET(CÁLCULO!$AB$15:$AL$15,$F41,0,OFFSET(ORÇAMENTO!$D$15,CRONO!$F41,0)))
                +IF(AND($F43&lt;&gt;"",$F43&lt;&gt;0),
                        SUMIF(CÁLCULO!$AM$15:$AW$231,CRONO!Y$12,CÁLCULO!$AB$15:$AL$231)/(ORÇAMENTO!$X$15-_xlfn.SINGLE(CÁLCULO.TotalAdmLocal))*CRONO!$F43,
                        0),
                 Y42*$S41),
          SUMIF(OFFSET($S43,1,0,$R41-2),($M41+1)&amp;"$",OFFSET(Y43,1,0,$R41-2)))</f>
        <v>0</v>
      </c>
      <c r="Z43" s="203" cm="1">
        <f t="array" aca="1" ref="Z43" ca="1">IF($R41=2,
         IF(AND(ACOMPANHAMENTO="PLE",ISNUMBER($F41)),
                SUMIF((OFFSET(CÁLCULO!$AM$15:$AW$15,$F41,0,OFFSET(ORÇAMENTO!$D$15,CRONO!$F41,0))),CRONO!Z$12,OFFSET(CÁLCULO!$AB$15:$AL$15,$F41,0,OFFSET(ORÇAMENTO!$D$15,CRONO!$F41,0)))
                +IF(AND($F43&lt;&gt;"",$F43&lt;&gt;0),
                        SUMIF(CÁLCULO!$AM$15:$AW$231,CRONO!Z$12,CÁLCULO!$AB$15:$AL$231)/(ORÇAMENTO!$X$15-_xlfn.SINGLE(CÁLCULO.TotalAdmLocal))*CRONO!$F43,
                        0),
                 Z42*$S41),
          SUMIF(OFFSET($S43,1,0,$R41-2),($M41+1)&amp;"$",OFFSET(Z43,1,0,$R41-2)))</f>
        <v>0</v>
      </c>
      <c r="AA43" s="203" cm="1">
        <f t="array" aca="1" ref="AA43" ca="1">IF($R41=2,
         IF(AND(ACOMPANHAMENTO="PLE",ISNUMBER($F41)),
                SUMIF((OFFSET(CÁLCULO!$AM$15:$AW$15,$F41,0,OFFSET(ORÇAMENTO!$D$15,CRONO!$F41,0))),CRONO!AA$12,OFFSET(CÁLCULO!$AB$15:$AL$15,$F41,0,OFFSET(ORÇAMENTO!$D$15,CRONO!$F41,0)))
                +IF(AND($F43&lt;&gt;"",$F43&lt;&gt;0),
                        SUMIF(CÁLCULO!$AM$15:$AW$231,CRONO!AA$12,CÁLCULO!$AB$15:$AL$231)/(ORÇAMENTO!$X$15-_xlfn.SINGLE(CÁLCULO.TotalAdmLocal))*CRONO!$F43,
                        0),
                 AA42*$S41),
          SUMIF(OFFSET($S43,1,0,$R41-2),($M41+1)&amp;"$",OFFSET(AA43,1,0,$R41-2)))</f>
        <v>0</v>
      </c>
      <c r="AB43" s="203" cm="1">
        <f t="array" aca="1" ref="AB43" ca="1">IF($R41=2,
         IF(AND(ACOMPANHAMENTO="PLE",ISNUMBER($F41)),
                SUMIF((OFFSET(CÁLCULO!$AM$15:$AW$15,$F41,0,OFFSET(ORÇAMENTO!$D$15,CRONO!$F41,0))),CRONO!AB$12,OFFSET(CÁLCULO!$AB$15:$AL$15,$F41,0,OFFSET(ORÇAMENTO!$D$15,CRONO!$F41,0)))
                +IF(AND($F43&lt;&gt;"",$F43&lt;&gt;0),
                        SUMIF(CÁLCULO!$AM$15:$AW$231,CRONO!AB$12,CÁLCULO!$AB$15:$AL$231)/(ORÇAMENTO!$X$15-_xlfn.SINGLE(CÁLCULO.TotalAdmLocal))*CRONO!$F43,
                        0),
                 AB42*$S41),
          SUMIF(OFFSET($S43,1,0,$R41-2),($M41+1)&amp;"$",OFFSET(AB43,1,0,$R41-2)))</f>
        <v>0</v>
      </c>
      <c r="AC43" s="203" cm="1">
        <f t="array" aca="1" ref="AC43" ca="1">IF($R41=2,
         IF(AND(ACOMPANHAMENTO="PLE",ISNUMBER($F41)),
                SUMIF((OFFSET(CÁLCULO!$AM$15:$AW$15,$F41,0,OFFSET(ORÇAMENTO!$D$15,CRONO!$F41,0))),CRONO!AC$12,OFFSET(CÁLCULO!$AB$15:$AL$15,$F41,0,OFFSET(ORÇAMENTO!$D$15,CRONO!$F41,0)))
                +IF(AND($F43&lt;&gt;"",$F43&lt;&gt;0),
                        SUMIF(CÁLCULO!$AM$15:$AW$231,CRONO!AC$12,CÁLCULO!$AB$15:$AL$231)/(ORÇAMENTO!$X$15-_xlfn.SINGLE(CÁLCULO.TotalAdmLocal))*CRONO!$F43,
                        0),
                 AC42*$S41),
          SUMIF(OFFSET($S43,1,0,$R41-2),($M41+1)&amp;"$",OFFSET(AC43,1,0,$R41-2)))</f>
        <v>0</v>
      </c>
      <c r="AD43" s="203" cm="1">
        <f t="array" aca="1" ref="AD43" ca="1">IF($R41=2,
         IF(AND(ACOMPANHAMENTO="PLE",ISNUMBER($F41)),
                SUMIF((OFFSET(CÁLCULO!$AM$15:$AW$15,$F41,0,OFFSET(ORÇAMENTO!$D$15,CRONO!$F41,0))),CRONO!AD$12,OFFSET(CÁLCULO!$AB$15:$AL$15,$F41,0,OFFSET(ORÇAMENTO!$D$15,CRONO!$F41,0)))
                +IF(AND($F43&lt;&gt;"",$F43&lt;&gt;0),
                        SUMIF(CÁLCULO!$AM$15:$AW$231,CRONO!AD$12,CÁLCULO!$AB$15:$AL$231)/(ORÇAMENTO!$X$15-_xlfn.SINGLE(CÁLCULO.TotalAdmLocal))*CRONO!$F43,
                        0),
                 AD42*$S41),
          SUMIF(OFFSET($S43,1,0,$R41-2),($M41+1)&amp;"$",OFFSET(AD43,1,0,$R41-2)))</f>
        <v>0</v>
      </c>
      <c r="AE43" s="203" cm="1">
        <f t="array" aca="1" ref="AE43" ca="1">IF($R41=2,
         IF(AND(ACOMPANHAMENTO="PLE",ISNUMBER($F41)),
                SUMIF((OFFSET(CÁLCULO!$AM$15:$AW$15,$F41,0,OFFSET(ORÇAMENTO!$D$15,CRONO!$F41,0))),CRONO!AE$12,OFFSET(CÁLCULO!$AB$15:$AL$15,$F41,0,OFFSET(ORÇAMENTO!$D$15,CRONO!$F41,0)))
                +IF(AND($F43&lt;&gt;"",$F43&lt;&gt;0),
                        SUMIF(CÁLCULO!$AM$15:$AW$231,CRONO!AE$12,CÁLCULO!$AB$15:$AL$231)/(ORÇAMENTO!$X$15-_xlfn.SINGLE(CÁLCULO.TotalAdmLocal))*CRONO!$F43,
                        0),
                 AE42*$S41),
          SUMIF(OFFSET($S43,1,0,$R41-2),($M41+1)&amp;"$",OFFSET(AE43,1,0,$R41-2)))</f>
        <v>0</v>
      </c>
      <c r="AF43" s="203" cm="1">
        <f t="array" aca="1" ref="AF43" ca="1">IF($R41=2,
         IF(AND(ACOMPANHAMENTO="PLE",ISNUMBER($F41)),
                SUMIF((OFFSET(CÁLCULO!$AM$15:$AW$15,$F41,0,OFFSET(ORÇAMENTO!$D$15,CRONO!$F41,0))),CRONO!AF$12,OFFSET(CÁLCULO!$AB$15:$AL$15,$F41,0,OFFSET(ORÇAMENTO!$D$15,CRONO!$F41,0)))
                +IF(AND($F43&lt;&gt;"",$F43&lt;&gt;0),
                        SUMIF(CÁLCULO!$AM$15:$AW$231,CRONO!AF$12,CÁLCULO!$AB$15:$AL$231)/(ORÇAMENTO!$X$15-_xlfn.SINGLE(CÁLCULO.TotalAdmLocal))*CRONO!$F43,
                        0),
                 AF42*$S41),
          SUMIF(OFFSET($S43,1,0,$R41-2),($M41+1)&amp;"$",OFFSET(AF43,1,0,$R41-2)))</f>
        <v>0</v>
      </c>
      <c r="AG43" s="535"/>
    </row>
    <row r="44" spans="1:33" x14ac:dyDescent="0.2">
      <c r="A44" s="187" t="str">
        <f t="shared" ref="A44" ca="1" si="62">IF($M44&gt;1,_xlfn.CONCAT($I44," ",$J44),"")</f>
        <v>1.10. BY-PASS - MATERIAIS</v>
      </c>
      <c r="B44" s="186">
        <f t="shared" ref="B44" ca="1" si="63">OFFSET(B44,-3,0)+1</f>
        <v>11</v>
      </c>
      <c r="C44" s="186">
        <f ca="1">IF($R44&lt;&gt;2,0,IF($S44=0,1,IF(F45&gt;0,OFFSET(QCI!$M$13,SUBSTITUTE(F45,".",""),0),OFFSET(ORÇAMENTO!$AA$15,CRONO!$F44,0))/$S44))</f>
        <v>1</v>
      </c>
      <c r="D44" s="186">
        <f ca="1">IF($R44&lt;&gt;2,0,IF($S44=0,1,IF(F45&gt;0,OFFSET(QCI!$N$13,SUBSTITUTE(F45,".",""),0),OFFSET(ORÇAMENTO!$AB$15,CRONO!$F44,0))/$S44))</f>
        <v>1</v>
      </c>
      <c r="E44" s="189" cm="1">
        <f t="array" aca="1" ref="E44" ca="1">IF(AND($R44=2,ACOMPANHAMENTO="BM"),ROUND(E45,4),E46/$S44)</f>
        <v>0</v>
      </c>
      <c r="F44" s="186">
        <f ca="1">IF(B44&lt;=ORÇAMENTO.MáximoListaCrono,MATCH(B44,ORÇAMENTO.ListaCrono,0),NA())</f>
        <v>80</v>
      </c>
      <c r="G44" s="186" t="str">
        <f t="shared" ref="G44" ca="1" si="64">IF(AND($F45&lt;&gt;-1,$S44&gt;0),"F","")</f>
        <v/>
      </c>
      <c r="H44" s="190" t="str" cm="1">
        <f t="array" aca="1" ref="H44" ca="1">IF(OR(S44=0,S44=""),"Linha",IF(AND(OR(ACOMPANHAMENTO="PLE",$R44&lt;&gt;2),$F45=0),"Linha",ROUND(1-SUM(U44:AG44),4)))</f>
        <v>Linha</v>
      </c>
      <c r="I44" s="191" t="str">
        <f ca="1">IF($F45=0,OFFSET(ORÇAMENTO!O$15,$F44,0),IF($F45&lt;&gt;-1,OFFSET(QCI!$D$13,$F45,0),""))</f>
        <v>1.10.</v>
      </c>
      <c r="J44" s="192" t="str">
        <f ca="1">IF($F45=0,OFFSET(ORÇAMENTO!R$15,$F44,0),IF($F45&lt;&gt;-1,OFFSET(QCI!$G$13,$F45,0),""))</f>
        <v>BY-PASS - MATERIAIS</v>
      </c>
      <c r="K44" s="192"/>
      <c r="L44" s="192"/>
      <c r="M44" s="193">
        <f ca="1">IF($F45=0,OFFSET(ORÇAMENTO!C$15,$F44,0),1)</f>
        <v>2</v>
      </c>
      <c r="N44" s="194">
        <f ca="1">IF($F45=-1,0,IF(N$13&lt;=$M44,IF(ISERROR(MATCH(N$13,OFFSET($M44,1,0,ROW($M$101)-ROW($M44)-1),0)),ROW($M$101)-ROW($M44)-1,MATCH(N$13,OFFSET($M44,1,0,ROW($M$101)-ROW($M44)-1),0)-1),0))</f>
        <v>56</v>
      </c>
      <c r="O44" s="194">
        <f ca="1">IF($F45=-1,0,IF(O$13&lt;=$M44,IF(ISERROR(MATCH(O$13,OFFSET($M44,1,0,ROW($M$101)-ROW($M44)-1),0)),ROW($M$101)-ROW($M44)-1,MATCH(O$13,OFFSET($M44,1,0,ROW($M$101)-ROW($M44)-1),0)-1),0))</f>
        <v>2</v>
      </c>
      <c r="P44" s="194">
        <f ca="1">IF($F45=-1,0,IF(P$13&lt;=$M44,IF(ISERROR(MATCH(P$13,OFFSET($M44,1,0,ROW($M$101)-ROW($M44)-1),0)),ROW($M$101)-ROW($M44)-1,MATCH(P$13,OFFSET($M44,1,0,ROW($M$101)-ROW($M44)-1),0)-1),0))</f>
        <v>0</v>
      </c>
      <c r="Q44" s="194">
        <f ca="1">IF($F45=-1,0,IF(Q$13&lt;=$M44,IF(ISERROR(MATCH(Q$13,OFFSET($M44,1,0,ROW($M$101)-ROW($M44)-1),0)),ROW($M$101)-ROW($M44)-1,MATCH(Q$13,OFFSET($M44,1,0,ROW($M$101)-ROW($M44)-1),0)-1),0))</f>
        <v>0</v>
      </c>
      <c r="R44" s="194">
        <f t="shared" ref="R44" ca="1" si="65">MIN(OFFSET(M44,0,1,,M44))</f>
        <v>2</v>
      </c>
      <c r="S44" s="195">
        <f ca="1">IF($F45=0,OFFSET(ORÇAMENTO!X$15,$F44,0),IF($F45&lt;&gt;-1,OFFSET(QCI!$O$13,$F45,0),""))</f>
        <v>0</v>
      </c>
      <c r="T44" s="196" t="s">
        <v>786</v>
      </c>
      <c r="U44" s="189" cm="1">
        <f t="array" aca="1" ref="U44" ca="1">IF(AND($R44=2,ACOMPANHAMENTO="BM"),ROUND(U45,4),U46/$S44)</f>
        <v>0</v>
      </c>
      <c r="V44" s="189" cm="1">
        <f t="array" aca="1" ref="V44" ca="1">IF(AND($R44=2,ACOMPANHAMENTO="BM"),ROUND(V45,4),V46/$S44)</f>
        <v>0</v>
      </c>
      <c r="W44" s="189" cm="1">
        <f t="array" aca="1" ref="W44" ca="1">IF(AND($R44=2,ACOMPANHAMENTO="BM"),ROUND(W45,4),W46/$S44)</f>
        <v>0.25</v>
      </c>
      <c r="X44" s="189" cm="1">
        <f t="array" aca="1" ref="X44" ca="1">IF(AND($R44=2,ACOMPANHAMENTO="BM"),ROUND(X45,4),X46/$S44)</f>
        <v>0.75</v>
      </c>
      <c r="Y44" s="189" cm="1">
        <f t="array" aca="1" ref="Y44" ca="1">IF(AND($R44=2,ACOMPANHAMENTO="BM"),ROUND(Y45,4),Y46/$S44)</f>
        <v>0</v>
      </c>
      <c r="Z44" s="189" cm="1">
        <f t="array" aca="1" ref="Z44" ca="1">IF(AND($R44=2,ACOMPANHAMENTO="BM"),ROUND(Z45,4),Z46/$S44)</f>
        <v>0</v>
      </c>
      <c r="AA44" s="189" cm="1">
        <f t="array" aca="1" ref="AA44" ca="1">IF(AND($R44=2,ACOMPANHAMENTO="BM"),ROUND(AA45,4),AA46/$S44)</f>
        <v>0</v>
      </c>
      <c r="AB44" s="189" cm="1">
        <f t="array" aca="1" ref="AB44" ca="1">IF(AND($R44=2,ACOMPANHAMENTO="BM"),ROUND(AB45,4),AB46/$S44)</f>
        <v>0</v>
      </c>
      <c r="AC44" s="189" cm="1">
        <f t="array" aca="1" ref="AC44" ca="1">IF(AND($R44=2,ACOMPANHAMENTO="BM"),ROUND(AC45,4),AC46/$S44)</f>
        <v>0</v>
      </c>
      <c r="AD44" s="189" cm="1">
        <f t="array" aca="1" ref="AD44" ca="1">IF(AND($R44=2,ACOMPANHAMENTO="BM"),ROUND(AD45,4),AD46/$S44)</f>
        <v>0</v>
      </c>
      <c r="AE44" s="189" cm="1">
        <f t="array" aca="1" ref="AE44" ca="1">IF(AND($R44=2,ACOMPANHAMENTO="BM"),ROUND(AE45,4),AE46/$S44)</f>
        <v>0</v>
      </c>
      <c r="AF44" s="189" cm="1">
        <f t="array" aca="1" ref="AF44" ca="1">IF(AND($R44=2,ACOMPANHAMENTO="BM"),ROUND(AF45,4),AF46/$S44)</f>
        <v>0</v>
      </c>
      <c r="AG44" s="535"/>
    </row>
    <row r="45" spans="1:33" ht="12.75" customHeight="1" x14ac:dyDescent="0.2">
      <c r="E45" s="588"/>
      <c r="F45" s="186">
        <f ca="1">IF(ISERROR(F44),IF(1+COUNTIF($M$13:OFFSET(M44,-1,0),1)&lt;=MAX(QCI!$D$13:$D$15),1+COUNTIF($M$13:OFFSET(M44,-1,0),1),-1),0)</f>
        <v>0</v>
      </c>
      <c r="G45" s="186" t="str" cm="1">
        <f t="array" aca="1" ref="G45" ca="1">IF(ACOMPANHAMENTO="BM",OFFSET(G45,-1,0),"")</f>
        <v/>
      </c>
      <c r="H45" s="197" t="str" cm="1">
        <f t="array" aca="1" ref="H45" ca="1">IF(OR(S44=0,S44=""),"vazia",IF(AND(OR(ACOMPANHAMENTO="PLE",$R44&lt;&gt;2),$F45=0),"calculada","--&gt;"))</f>
        <v>vazia</v>
      </c>
      <c r="I45" s="198"/>
      <c r="J45" s="199" t="str">
        <f t="shared" ref="J45" ca="1" si="66">IF(AND(H44&lt;&gt;0,ISNUMBER(H44)),"PREENCHA ESTA LINHA --&gt;","")</f>
        <v/>
      </c>
      <c r="K45" s="199"/>
      <c r="L45" s="199"/>
      <c r="M45" s="200"/>
      <c r="N45" s="200"/>
      <c r="O45" s="200"/>
      <c r="P45" s="200"/>
      <c r="Q45" s="200"/>
      <c r="R45" s="200"/>
      <c r="S45" s="201"/>
      <c r="T45" s="202"/>
      <c r="U45" s="588"/>
      <c r="V45" s="588"/>
      <c r="W45" s="588">
        <v>0.25</v>
      </c>
      <c r="X45" s="588">
        <v>0.75</v>
      </c>
      <c r="Y45" s="588"/>
      <c r="Z45" s="588"/>
      <c r="AA45" s="588"/>
      <c r="AB45" s="588"/>
      <c r="AC45" s="588"/>
      <c r="AD45" s="588"/>
      <c r="AE45" s="588"/>
      <c r="AF45" s="588"/>
      <c r="AG45" s="535"/>
    </row>
    <row r="46" spans="1:33" ht="12.75" hidden="1" customHeight="1" x14ac:dyDescent="0.2">
      <c r="D46" s="534"/>
      <c r="E46" s="203" cm="1">
        <f t="array" aca="1" ref="E46" ca="1">IF($R44=2,
         IF(AND(ACOMPANHAMENTO="PLE",ISNUMBER($F44)),
                SUMIF((OFFSET(CÁLCULO!$AM$15:$AW$15,$F44,0,OFFSET(ORÇAMENTO!$D$15,CRONO!$F44,0))),CRONO!E$12,OFFSET(CÁLCULO!$AB$15:$AL$15,$F44,0,OFFSET(ORÇAMENTO!$D$15,CRONO!$F44,0)))
                +IF(AND($F46&lt;&gt;"",$F46&lt;&gt;0),
                        SUMIF(CÁLCULO!$AM$15:$AW$231,CRONO!E$12,CÁLCULO!$AB$15:$AL$231)/(ORÇAMENTO!$X$15-_xlfn.SINGLE(CÁLCULO.TotalAdmLocal))*CRONO!$F46,
                        0),
                 E45*$S44),
          SUMIF(OFFSET($S46,1,0,$R44-2),($M44+1)&amp;"$",OFFSET(E46,1,0,$R44-2)))</f>
        <v>0</v>
      </c>
      <c r="F46" s="186" t="str">
        <f ca="1">IF(OR($R44&lt;&gt;2,AUTOEVENTO&lt;&gt;"manual",$F45&gt;0),"",
        IF(Import.TipoArredondamento="Tradicional",
              SUMIF(OFFSET(CÁLCULO!$M$15,CRONO!$F44,0,OFFSET(ORÇAMENTO!$D$15,CRONO!$F44,0)),1,OFFSET(ORÇAMENTO!$X$15,CRONO!$F44,0,OFFSET(ORÇAMENTO!$D$15,CRONO!$F44,0))),
              0))</f>
        <v/>
      </c>
      <c r="H46" s="672"/>
      <c r="S46" s="205" t="str">
        <f t="shared" ref="S46" ca="1" si="67">M44&amp;"$"</f>
        <v>2$</v>
      </c>
      <c r="T46" s="206"/>
      <c r="U46" s="203" cm="1">
        <f t="array" aca="1" ref="U46" ca="1">IF($R44=2,
         IF(AND(ACOMPANHAMENTO="PLE",ISNUMBER($F44)),
                SUMIF((OFFSET(CÁLCULO!$AM$15:$AW$15,$F44,0,OFFSET(ORÇAMENTO!$D$15,CRONO!$F44,0))),CRONO!U$12,OFFSET(CÁLCULO!$AB$15:$AL$15,$F44,0,OFFSET(ORÇAMENTO!$D$15,CRONO!$F44,0)))
                +IF(AND($F46&lt;&gt;"",$F46&lt;&gt;0),
                        SUMIF(CÁLCULO!$AM$15:$AW$231,CRONO!U$12,CÁLCULO!$AB$15:$AL$231)/(ORÇAMENTO!$X$15-_xlfn.SINGLE(CÁLCULO.TotalAdmLocal))*CRONO!$F46,
                        0),
                 U45*$S44),
          SUMIF(OFFSET($S46,1,0,$R44-2),($M44+1)&amp;"$",OFFSET(U46,1,0,$R44-2)))</f>
        <v>0</v>
      </c>
      <c r="V46" s="203" cm="1">
        <f t="array" aca="1" ref="V46" ca="1">IF($R44=2,
         IF(AND(ACOMPANHAMENTO="PLE",ISNUMBER($F44)),
                SUMIF((OFFSET(CÁLCULO!$AM$15:$AW$15,$F44,0,OFFSET(ORÇAMENTO!$D$15,CRONO!$F44,0))),CRONO!V$12,OFFSET(CÁLCULO!$AB$15:$AL$15,$F44,0,OFFSET(ORÇAMENTO!$D$15,CRONO!$F44,0)))
                +IF(AND($F46&lt;&gt;"",$F46&lt;&gt;0),
                        SUMIF(CÁLCULO!$AM$15:$AW$231,CRONO!V$12,CÁLCULO!$AB$15:$AL$231)/(ORÇAMENTO!$X$15-_xlfn.SINGLE(CÁLCULO.TotalAdmLocal))*CRONO!$F46,
                        0),
                 V45*$S44),
          SUMIF(OFFSET($S46,1,0,$R44-2),($M44+1)&amp;"$",OFFSET(V46,1,0,$R44-2)))</f>
        <v>0</v>
      </c>
      <c r="W46" s="203" cm="1">
        <f t="array" aca="1" ref="W46" ca="1">IF($R44=2,
         IF(AND(ACOMPANHAMENTO="PLE",ISNUMBER($F44)),
                SUMIF((OFFSET(CÁLCULO!$AM$15:$AW$15,$F44,0,OFFSET(ORÇAMENTO!$D$15,CRONO!$F44,0))),CRONO!W$12,OFFSET(CÁLCULO!$AB$15:$AL$15,$F44,0,OFFSET(ORÇAMENTO!$D$15,CRONO!$F44,0)))
                +IF(AND($F46&lt;&gt;"",$F46&lt;&gt;0),
                        SUMIF(CÁLCULO!$AM$15:$AW$231,CRONO!W$12,CÁLCULO!$AB$15:$AL$231)/(ORÇAMENTO!$X$15-_xlfn.SINGLE(CÁLCULO.TotalAdmLocal))*CRONO!$F46,
                        0),
                 W45*$S44),
          SUMIF(OFFSET($S46,1,0,$R44-2),($M44+1)&amp;"$",OFFSET(W46,1,0,$R44-2)))</f>
        <v>0</v>
      </c>
      <c r="X46" s="203" cm="1">
        <f t="array" aca="1" ref="X46" ca="1">IF($R44=2,
         IF(AND(ACOMPANHAMENTO="PLE",ISNUMBER($F44)),
                SUMIF((OFFSET(CÁLCULO!$AM$15:$AW$15,$F44,0,OFFSET(ORÇAMENTO!$D$15,CRONO!$F44,0))),CRONO!X$12,OFFSET(CÁLCULO!$AB$15:$AL$15,$F44,0,OFFSET(ORÇAMENTO!$D$15,CRONO!$F44,0)))
                +IF(AND($F46&lt;&gt;"",$F46&lt;&gt;0),
                        SUMIF(CÁLCULO!$AM$15:$AW$231,CRONO!X$12,CÁLCULO!$AB$15:$AL$231)/(ORÇAMENTO!$X$15-_xlfn.SINGLE(CÁLCULO.TotalAdmLocal))*CRONO!$F46,
                        0),
                 X45*$S44),
          SUMIF(OFFSET($S46,1,0,$R44-2),($M44+1)&amp;"$",OFFSET(X46,1,0,$R44-2)))</f>
        <v>0</v>
      </c>
      <c r="Y46" s="203" cm="1">
        <f t="array" aca="1" ref="Y46" ca="1">IF($R44=2,
         IF(AND(ACOMPANHAMENTO="PLE",ISNUMBER($F44)),
                SUMIF((OFFSET(CÁLCULO!$AM$15:$AW$15,$F44,0,OFFSET(ORÇAMENTO!$D$15,CRONO!$F44,0))),CRONO!Y$12,OFFSET(CÁLCULO!$AB$15:$AL$15,$F44,0,OFFSET(ORÇAMENTO!$D$15,CRONO!$F44,0)))
                +IF(AND($F46&lt;&gt;"",$F46&lt;&gt;0),
                        SUMIF(CÁLCULO!$AM$15:$AW$231,CRONO!Y$12,CÁLCULO!$AB$15:$AL$231)/(ORÇAMENTO!$X$15-_xlfn.SINGLE(CÁLCULO.TotalAdmLocal))*CRONO!$F46,
                        0),
                 Y45*$S44),
          SUMIF(OFFSET($S46,1,0,$R44-2),($M44+1)&amp;"$",OFFSET(Y46,1,0,$R44-2)))</f>
        <v>0</v>
      </c>
      <c r="Z46" s="203" cm="1">
        <f t="array" aca="1" ref="Z46" ca="1">IF($R44=2,
         IF(AND(ACOMPANHAMENTO="PLE",ISNUMBER($F44)),
                SUMIF((OFFSET(CÁLCULO!$AM$15:$AW$15,$F44,0,OFFSET(ORÇAMENTO!$D$15,CRONO!$F44,0))),CRONO!Z$12,OFFSET(CÁLCULO!$AB$15:$AL$15,$F44,0,OFFSET(ORÇAMENTO!$D$15,CRONO!$F44,0)))
                +IF(AND($F46&lt;&gt;"",$F46&lt;&gt;0),
                        SUMIF(CÁLCULO!$AM$15:$AW$231,CRONO!Z$12,CÁLCULO!$AB$15:$AL$231)/(ORÇAMENTO!$X$15-_xlfn.SINGLE(CÁLCULO.TotalAdmLocal))*CRONO!$F46,
                        0),
                 Z45*$S44),
          SUMIF(OFFSET($S46,1,0,$R44-2),($M44+1)&amp;"$",OFFSET(Z46,1,0,$R44-2)))</f>
        <v>0</v>
      </c>
      <c r="AA46" s="203" cm="1">
        <f t="array" aca="1" ref="AA46" ca="1">IF($R44=2,
         IF(AND(ACOMPANHAMENTO="PLE",ISNUMBER($F44)),
                SUMIF((OFFSET(CÁLCULO!$AM$15:$AW$15,$F44,0,OFFSET(ORÇAMENTO!$D$15,CRONO!$F44,0))),CRONO!AA$12,OFFSET(CÁLCULO!$AB$15:$AL$15,$F44,0,OFFSET(ORÇAMENTO!$D$15,CRONO!$F44,0)))
                +IF(AND($F46&lt;&gt;"",$F46&lt;&gt;0),
                        SUMIF(CÁLCULO!$AM$15:$AW$231,CRONO!AA$12,CÁLCULO!$AB$15:$AL$231)/(ORÇAMENTO!$X$15-_xlfn.SINGLE(CÁLCULO.TotalAdmLocal))*CRONO!$F46,
                        0),
                 AA45*$S44),
          SUMIF(OFFSET($S46,1,0,$R44-2),($M44+1)&amp;"$",OFFSET(AA46,1,0,$R44-2)))</f>
        <v>0</v>
      </c>
      <c r="AB46" s="203" cm="1">
        <f t="array" aca="1" ref="AB46" ca="1">IF($R44=2,
         IF(AND(ACOMPANHAMENTO="PLE",ISNUMBER($F44)),
                SUMIF((OFFSET(CÁLCULO!$AM$15:$AW$15,$F44,0,OFFSET(ORÇAMENTO!$D$15,CRONO!$F44,0))),CRONO!AB$12,OFFSET(CÁLCULO!$AB$15:$AL$15,$F44,0,OFFSET(ORÇAMENTO!$D$15,CRONO!$F44,0)))
                +IF(AND($F46&lt;&gt;"",$F46&lt;&gt;0),
                        SUMIF(CÁLCULO!$AM$15:$AW$231,CRONO!AB$12,CÁLCULO!$AB$15:$AL$231)/(ORÇAMENTO!$X$15-_xlfn.SINGLE(CÁLCULO.TotalAdmLocal))*CRONO!$F46,
                        0),
                 AB45*$S44),
          SUMIF(OFFSET($S46,1,0,$R44-2),($M44+1)&amp;"$",OFFSET(AB46,1,0,$R44-2)))</f>
        <v>0</v>
      </c>
      <c r="AC46" s="203" cm="1">
        <f t="array" aca="1" ref="AC46" ca="1">IF($R44=2,
         IF(AND(ACOMPANHAMENTO="PLE",ISNUMBER($F44)),
                SUMIF((OFFSET(CÁLCULO!$AM$15:$AW$15,$F44,0,OFFSET(ORÇAMENTO!$D$15,CRONO!$F44,0))),CRONO!AC$12,OFFSET(CÁLCULO!$AB$15:$AL$15,$F44,0,OFFSET(ORÇAMENTO!$D$15,CRONO!$F44,0)))
                +IF(AND($F46&lt;&gt;"",$F46&lt;&gt;0),
                        SUMIF(CÁLCULO!$AM$15:$AW$231,CRONO!AC$12,CÁLCULO!$AB$15:$AL$231)/(ORÇAMENTO!$X$15-_xlfn.SINGLE(CÁLCULO.TotalAdmLocal))*CRONO!$F46,
                        0),
                 AC45*$S44),
          SUMIF(OFFSET($S46,1,0,$R44-2),($M44+1)&amp;"$",OFFSET(AC46,1,0,$R44-2)))</f>
        <v>0</v>
      </c>
      <c r="AD46" s="203" cm="1">
        <f t="array" aca="1" ref="AD46" ca="1">IF($R44=2,
         IF(AND(ACOMPANHAMENTO="PLE",ISNUMBER($F44)),
                SUMIF((OFFSET(CÁLCULO!$AM$15:$AW$15,$F44,0,OFFSET(ORÇAMENTO!$D$15,CRONO!$F44,0))),CRONO!AD$12,OFFSET(CÁLCULO!$AB$15:$AL$15,$F44,0,OFFSET(ORÇAMENTO!$D$15,CRONO!$F44,0)))
                +IF(AND($F46&lt;&gt;"",$F46&lt;&gt;0),
                        SUMIF(CÁLCULO!$AM$15:$AW$231,CRONO!AD$12,CÁLCULO!$AB$15:$AL$231)/(ORÇAMENTO!$X$15-_xlfn.SINGLE(CÁLCULO.TotalAdmLocal))*CRONO!$F46,
                        0),
                 AD45*$S44),
          SUMIF(OFFSET($S46,1,0,$R44-2),($M44+1)&amp;"$",OFFSET(AD46,1,0,$R44-2)))</f>
        <v>0</v>
      </c>
      <c r="AE46" s="203" cm="1">
        <f t="array" aca="1" ref="AE46" ca="1">IF($R44=2,
         IF(AND(ACOMPANHAMENTO="PLE",ISNUMBER($F44)),
                SUMIF((OFFSET(CÁLCULO!$AM$15:$AW$15,$F44,0,OFFSET(ORÇAMENTO!$D$15,CRONO!$F44,0))),CRONO!AE$12,OFFSET(CÁLCULO!$AB$15:$AL$15,$F44,0,OFFSET(ORÇAMENTO!$D$15,CRONO!$F44,0)))
                +IF(AND($F46&lt;&gt;"",$F46&lt;&gt;0),
                        SUMIF(CÁLCULO!$AM$15:$AW$231,CRONO!AE$12,CÁLCULO!$AB$15:$AL$231)/(ORÇAMENTO!$X$15-_xlfn.SINGLE(CÁLCULO.TotalAdmLocal))*CRONO!$F46,
                        0),
                 AE45*$S44),
          SUMIF(OFFSET($S46,1,0,$R44-2),($M44+1)&amp;"$",OFFSET(AE46,1,0,$R44-2)))</f>
        <v>0</v>
      </c>
      <c r="AF46" s="203" cm="1">
        <f t="array" aca="1" ref="AF46" ca="1">IF($R44=2,
         IF(AND(ACOMPANHAMENTO="PLE",ISNUMBER($F44)),
                SUMIF((OFFSET(CÁLCULO!$AM$15:$AW$15,$F44,0,OFFSET(ORÇAMENTO!$D$15,CRONO!$F44,0))),CRONO!AF$12,OFFSET(CÁLCULO!$AB$15:$AL$15,$F44,0,OFFSET(ORÇAMENTO!$D$15,CRONO!$F44,0)))
                +IF(AND($F46&lt;&gt;"",$F46&lt;&gt;0),
                        SUMIF(CÁLCULO!$AM$15:$AW$231,CRONO!AF$12,CÁLCULO!$AB$15:$AL$231)/(ORÇAMENTO!$X$15-_xlfn.SINGLE(CÁLCULO.TotalAdmLocal))*CRONO!$F46,
                        0),
                 AF45*$S44),
          SUMIF(OFFSET($S46,1,0,$R44-2),($M44+1)&amp;"$",OFFSET(AF46,1,0,$R44-2)))</f>
        <v>0</v>
      </c>
      <c r="AG46" s="535"/>
    </row>
    <row r="47" spans="1:33" x14ac:dyDescent="0.2">
      <c r="A47" s="187" t="str">
        <f t="shared" ref="A47" ca="1" si="68">IF($M47&gt;1,_xlfn.CONCAT($I47," ",$J47),"")</f>
        <v>1.11. PAVIMENTAÇÃO</v>
      </c>
      <c r="B47" s="186">
        <f t="shared" ref="B47" ca="1" si="69">OFFSET(B47,-3,0)+1</f>
        <v>12</v>
      </c>
      <c r="C47" s="186">
        <f ca="1">IF($R47&lt;&gt;2,0,IF($S47=0,1,IF(F48&gt;0,OFFSET(QCI!$M$13,SUBSTITUTE(F48,".",""),0),OFFSET(ORÇAMENTO!$AA$15,CRONO!$F47,0))/$S47))</f>
        <v>1</v>
      </c>
      <c r="D47" s="186">
        <f ca="1">IF($R47&lt;&gt;2,0,IF($S47=0,1,IF(F48&gt;0,OFFSET(QCI!$N$13,SUBSTITUTE(F48,".",""),0),OFFSET(ORÇAMENTO!$AB$15,CRONO!$F47,0))/$S47))</f>
        <v>1</v>
      </c>
      <c r="E47" s="189" cm="1">
        <f t="array" aca="1" ref="E47" ca="1">IF(AND($R47=2,ACOMPANHAMENTO="BM"),ROUND(E48,4),E49/$S47)</f>
        <v>0</v>
      </c>
      <c r="F47" s="186">
        <f ca="1">IF(B47&lt;=ORÇAMENTO.MáximoListaCrono,MATCH(B47,ORÇAMENTO.ListaCrono,0),NA())</f>
        <v>83</v>
      </c>
      <c r="G47" s="186" t="str">
        <f t="shared" ref="G47" ca="1" si="70">IF(AND($F48&lt;&gt;-1,$S47&gt;0),"F","")</f>
        <v/>
      </c>
      <c r="H47" s="190" t="str" cm="1">
        <f t="array" aca="1" ref="H47" ca="1">IF(OR(S47=0,S47=""),"Linha",IF(AND(OR(ACOMPANHAMENTO="PLE",$R47&lt;&gt;2),$F48=0),"Linha",ROUND(1-SUM(U47:AG47),4)))</f>
        <v>Linha</v>
      </c>
      <c r="I47" s="191" t="str">
        <f ca="1">IF($F48=0,OFFSET(ORÇAMENTO!O$15,$F47,0),IF($F48&lt;&gt;-1,OFFSET(QCI!$D$13,$F48,0),""))</f>
        <v>1.11.</v>
      </c>
      <c r="J47" s="192" t="str">
        <f ca="1">IF($F48=0,OFFSET(ORÇAMENTO!R$15,$F47,0),IF($F48&lt;&gt;-1,OFFSET(QCI!$G$13,$F48,0),""))</f>
        <v>PAVIMENTAÇÃO</v>
      </c>
      <c r="K47" s="192"/>
      <c r="L47" s="192"/>
      <c r="M47" s="193">
        <f ca="1">IF($F48=0,OFFSET(ORÇAMENTO!C$15,$F47,0),1)</f>
        <v>2</v>
      </c>
      <c r="N47" s="194">
        <f ca="1">IF($F48=-1,0,IF(N$13&lt;=$M47,IF(ISERROR(MATCH(N$13,OFFSET($M47,1,0,ROW($M$101)-ROW($M47)-1),0)),ROW($M$101)-ROW($M47)-1,MATCH(N$13,OFFSET($M47,1,0,ROW($M$101)-ROW($M47)-1),0)-1),0))</f>
        <v>53</v>
      </c>
      <c r="O47" s="194">
        <f ca="1">IF($F48=-1,0,IF(O$13&lt;=$M47,IF(ISERROR(MATCH(O$13,OFFSET($M47,1,0,ROW($M$101)-ROW($M47)-1),0)),ROW($M$101)-ROW($M47)-1,MATCH(O$13,OFFSET($M47,1,0,ROW($M$101)-ROW($M47)-1),0)-1),0))</f>
        <v>2</v>
      </c>
      <c r="P47" s="194">
        <f ca="1">IF($F48=-1,0,IF(P$13&lt;=$M47,IF(ISERROR(MATCH(P$13,OFFSET($M47,1,0,ROW($M$101)-ROW($M47)-1),0)),ROW($M$101)-ROW($M47)-1,MATCH(P$13,OFFSET($M47,1,0,ROW($M$101)-ROW($M47)-1),0)-1),0))</f>
        <v>0</v>
      </c>
      <c r="Q47" s="194">
        <f ca="1">IF($F48=-1,0,IF(Q$13&lt;=$M47,IF(ISERROR(MATCH(Q$13,OFFSET($M47,1,0,ROW($M$101)-ROW($M47)-1),0)),ROW($M$101)-ROW($M47)-1,MATCH(Q$13,OFFSET($M47,1,0,ROW($M$101)-ROW($M47)-1),0)-1),0))</f>
        <v>0</v>
      </c>
      <c r="R47" s="194">
        <f t="shared" ref="R47" ca="1" si="71">MIN(OFFSET(M47,0,1,,M47))</f>
        <v>2</v>
      </c>
      <c r="S47" s="195">
        <f ca="1">IF($F48=0,OFFSET(ORÇAMENTO!X$15,$F47,0),IF($F48&lt;&gt;-1,OFFSET(QCI!$O$13,$F48,0),""))</f>
        <v>0</v>
      </c>
      <c r="T47" s="196" t="s">
        <v>786</v>
      </c>
      <c r="U47" s="189" cm="1">
        <f t="array" aca="1" ref="U47" ca="1">IF(AND($R47=2,ACOMPANHAMENTO="BM"),ROUND(U48,4),U49/$S47)</f>
        <v>0</v>
      </c>
      <c r="V47" s="189" cm="1">
        <f t="array" aca="1" ref="V47" ca="1">IF(AND($R47=2,ACOMPANHAMENTO="BM"),ROUND(V48,4),V49/$S47)</f>
        <v>0.4</v>
      </c>
      <c r="W47" s="189" cm="1">
        <f t="array" aca="1" ref="W47" ca="1">IF(AND($R47=2,ACOMPANHAMENTO="BM"),ROUND(W48,4),W49/$S47)</f>
        <v>0.4</v>
      </c>
      <c r="X47" s="189" cm="1">
        <f t="array" aca="1" ref="X47" ca="1">IF(AND($R47=2,ACOMPANHAMENTO="BM"),ROUND(X48,4),X49/$S47)</f>
        <v>0.2</v>
      </c>
      <c r="Y47" s="189" cm="1">
        <f t="array" aca="1" ref="Y47" ca="1">IF(AND($R47=2,ACOMPANHAMENTO="BM"),ROUND(Y48,4),Y49/$S47)</f>
        <v>0</v>
      </c>
      <c r="Z47" s="189" cm="1">
        <f t="array" aca="1" ref="Z47" ca="1">IF(AND($R47=2,ACOMPANHAMENTO="BM"),ROUND(Z48,4),Z49/$S47)</f>
        <v>0</v>
      </c>
      <c r="AA47" s="189" cm="1">
        <f t="array" aca="1" ref="AA47" ca="1">IF(AND($R47=2,ACOMPANHAMENTO="BM"),ROUND(AA48,4),AA49/$S47)</f>
        <v>0</v>
      </c>
      <c r="AB47" s="189" cm="1">
        <f t="array" aca="1" ref="AB47" ca="1">IF(AND($R47=2,ACOMPANHAMENTO="BM"),ROUND(AB48,4),AB49/$S47)</f>
        <v>0</v>
      </c>
      <c r="AC47" s="189" cm="1">
        <f t="array" aca="1" ref="AC47" ca="1">IF(AND($R47=2,ACOMPANHAMENTO="BM"),ROUND(AC48,4),AC49/$S47)</f>
        <v>0</v>
      </c>
      <c r="AD47" s="189" cm="1">
        <f t="array" aca="1" ref="AD47" ca="1">IF(AND($R47=2,ACOMPANHAMENTO="BM"),ROUND(AD48,4),AD49/$S47)</f>
        <v>0</v>
      </c>
      <c r="AE47" s="189" cm="1">
        <f t="array" aca="1" ref="AE47" ca="1">IF(AND($R47=2,ACOMPANHAMENTO="BM"),ROUND(AE48,4),AE49/$S47)</f>
        <v>0</v>
      </c>
      <c r="AF47" s="189" cm="1">
        <f t="array" aca="1" ref="AF47" ca="1">IF(AND($R47=2,ACOMPANHAMENTO="BM"),ROUND(AF48,4),AF49/$S47)</f>
        <v>0</v>
      </c>
      <c r="AG47" s="535"/>
    </row>
    <row r="48" spans="1:33" ht="12.75" customHeight="1" x14ac:dyDescent="0.2">
      <c r="E48" s="588"/>
      <c r="F48" s="186">
        <f ca="1">IF(ISERROR(F47),IF(1+COUNTIF($M$13:OFFSET(M47,-1,0),1)&lt;=MAX(QCI!$D$13:$D$15),1+COUNTIF($M$13:OFFSET(M47,-1,0),1),-1),0)</f>
        <v>0</v>
      </c>
      <c r="G48" s="186" t="str" cm="1">
        <f t="array" aca="1" ref="G48" ca="1">IF(ACOMPANHAMENTO="BM",OFFSET(G48,-1,0),"")</f>
        <v/>
      </c>
      <c r="H48" s="197" t="str" cm="1">
        <f t="array" aca="1" ref="H48" ca="1">IF(OR(S47=0,S47=""),"vazia",IF(AND(OR(ACOMPANHAMENTO="PLE",$R47&lt;&gt;2),$F48=0),"calculada","--&gt;"))</f>
        <v>vazia</v>
      </c>
      <c r="I48" s="198"/>
      <c r="J48" s="199" t="str">
        <f t="shared" ref="J48" ca="1" si="72">IF(AND(H47&lt;&gt;0,ISNUMBER(H47)),"PREENCHA ESTA LINHA --&gt;","")</f>
        <v/>
      </c>
      <c r="K48" s="199"/>
      <c r="L48" s="199"/>
      <c r="M48" s="200"/>
      <c r="N48" s="200"/>
      <c r="O48" s="200"/>
      <c r="P48" s="200"/>
      <c r="Q48" s="200"/>
      <c r="R48" s="200"/>
      <c r="S48" s="201"/>
      <c r="T48" s="202"/>
      <c r="U48" s="588"/>
      <c r="V48" s="588">
        <v>0.4</v>
      </c>
      <c r="W48" s="588">
        <v>0.4</v>
      </c>
      <c r="X48" s="588">
        <v>0.2</v>
      </c>
      <c r="Y48" s="588"/>
      <c r="Z48" s="588"/>
      <c r="AA48" s="588"/>
      <c r="AB48" s="588"/>
      <c r="AC48" s="588"/>
      <c r="AD48" s="588"/>
      <c r="AE48" s="588"/>
      <c r="AF48" s="588"/>
      <c r="AG48" s="535"/>
    </row>
    <row r="49" spans="1:33" ht="12.75" hidden="1" customHeight="1" x14ac:dyDescent="0.2">
      <c r="D49" s="534"/>
      <c r="E49" s="203" cm="1">
        <f t="array" aca="1" ref="E49" ca="1">IF($R47=2,
         IF(AND(ACOMPANHAMENTO="PLE",ISNUMBER($F47)),
                SUMIF((OFFSET(CÁLCULO!$AM$15:$AW$15,$F47,0,OFFSET(ORÇAMENTO!$D$15,CRONO!$F47,0))),CRONO!E$12,OFFSET(CÁLCULO!$AB$15:$AL$15,$F47,0,OFFSET(ORÇAMENTO!$D$15,CRONO!$F47,0)))
                +IF(AND($F49&lt;&gt;"",$F49&lt;&gt;0),
                        SUMIF(CÁLCULO!$AM$15:$AW$231,CRONO!E$12,CÁLCULO!$AB$15:$AL$231)/(ORÇAMENTO!$X$15-_xlfn.SINGLE(CÁLCULO.TotalAdmLocal))*CRONO!$F49,
                        0),
                 E48*$S47),
          SUMIF(OFFSET($S49,1,0,$R47-2),($M47+1)&amp;"$",OFFSET(E49,1,0,$R47-2)))</f>
        <v>0</v>
      </c>
      <c r="F49" s="186" t="str">
        <f ca="1">IF(OR($R47&lt;&gt;2,AUTOEVENTO&lt;&gt;"manual",$F48&gt;0),"",
        IF(Import.TipoArredondamento="Tradicional",
              SUMIF(OFFSET(CÁLCULO!$M$15,CRONO!$F47,0,OFFSET(ORÇAMENTO!$D$15,CRONO!$F47,0)),1,OFFSET(ORÇAMENTO!$X$15,CRONO!$F47,0,OFFSET(ORÇAMENTO!$D$15,CRONO!$F47,0))),
              0))</f>
        <v/>
      </c>
      <c r="H49" s="672"/>
      <c r="S49" s="205" t="str">
        <f t="shared" ref="S49" ca="1" si="73">M47&amp;"$"</f>
        <v>2$</v>
      </c>
      <c r="T49" s="206"/>
      <c r="U49" s="203" cm="1">
        <f t="array" aca="1" ref="U49" ca="1">IF($R47=2,
         IF(AND(ACOMPANHAMENTO="PLE",ISNUMBER($F47)),
                SUMIF((OFFSET(CÁLCULO!$AM$15:$AW$15,$F47,0,OFFSET(ORÇAMENTO!$D$15,CRONO!$F47,0))),CRONO!U$12,OFFSET(CÁLCULO!$AB$15:$AL$15,$F47,0,OFFSET(ORÇAMENTO!$D$15,CRONO!$F47,0)))
                +IF(AND($F49&lt;&gt;"",$F49&lt;&gt;0),
                        SUMIF(CÁLCULO!$AM$15:$AW$231,CRONO!U$12,CÁLCULO!$AB$15:$AL$231)/(ORÇAMENTO!$X$15-_xlfn.SINGLE(CÁLCULO.TotalAdmLocal))*CRONO!$F49,
                        0),
                 U48*$S47),
          SUMIF(OFFSET($S49,1,0,$R47-2),($M47+1)&amp;"$",OFFSET(U49,1,0,$R47-2)))</f>
        <v>0</v>
      </c>
      <c r="V49" s="203" cm="1">
        <f t="array" aca="1" ref="V49" ca="1">IF($R47=2,
         IF(AND(ACOMPANHAMENTO="PLE",ISNUMBER($F47)),
                SUMIF((OFFSET(CÁLCULO!$AM$15:$AW$15,$F47,0,OFFSET(ORÇAMENTO!$D$15,CRONO!$F47,0))),CRONO!V$12,OFFSET(CÁLCULO!$AB$15:$AL$15,$F47,0,OFFSET(ORÇAMENTO!$D$15,CRONO!$F47,0)))
                +IF(AND($F49&lt;&gt;"",$F49&lt;&gt;0),
                        SUMIF(CÁLCULO!$AM$15:$AW$231,CRONO!V$12,CÁLCULO!$AB$15:$AL$231)/(ORÇAMENTO!$X$15-_xlfn.SINGLE(CÁLCULO.TotalAdmLocal))*CRONO!$F49,
                        0),
                 V48*$S47),
          SUMIF(OFFSET($S49,1,0,$R47-2),($M47+1)&amp;"$",OFFSET(V49,1,0,$R47-2)))</f>
        <v>0</v>
      </c>
      <c r="W49" s="203" cm="1">
        <f t="array" aca="1" ref="W49" ca="1">IF($R47=2,
         IF(AND(ACOMPANHAMENTO="PLE",ISNUMBER($F47)),
                SUMIF((OFFSET(CÁLCULO!$AM$15:$AW$15,$F47,0,OFFSET(ORÇAMENTO!$D$15,CRONO!$F47,0))),CRONO!W$12,OFFSET(CÁLCULO!$AB$15:$AL$15,$F47,0,OFFSET(ORÇAMENTO!$D$15,CRONO!$F47,0)))
                +IF(AND($F49&lt;&gt;"",$F49&lt;&gt;0),
                        SUMIF(CÁLCULO!$AM$15:$AW$231,CRONO!W$12,CÁLCULO!$AB$15:$AL$231)/(ORÇAMENTO!$X$15-_xlfn.SINGLE(CÁLCULO.TotalAdmLocal))*CRONO!$F49,
                        0),
                 W48*$S47),
          SUMIF(OFFSET($S49,1,0,$R47-2),($M47+1)&amp;"$",OFFSET(W49,1,0,$R47-2)))</f>
        <v>0</v>
      </c>
      <c r="X49" s="203" cm="1">
        <f t="array" aca="1" ref="X49" ca="1">IF($R47=2,
         IF(AND(ACOMPANHAMENTO="PLE",ISNUMBER($F47)),
                SUMIF((OFFSET(CÁLCULO!$AM$15:$AW$15,$F47,0,OFFSET(ORÇAMENTO!$D$15,CRONO!$F47,0))),CRONO!X$12,OFFSET(CÁLCULO!$AB$15:$AL$15,$F47,0,OFFSET(ORÇAMENTO!$D$15,CRONO!$F47,0)))
                +IF(AND($F49&lt;&gt;"",$F49&lt;&gt;0),
                        SUMIF(CÁLCULO!$AM$15:$AW$231,CRONO!X$12,CÁLCULO!$AB$15:$AL$231)/(ORÇAMENTO!$X$15-_xlfn.SINGLE(CÁLCULO.TotalAdmLocal))*CRONO!$F49,
                        0),
                 X48*$S47),
          SUMIF(OFFSET($S49,1,0,$R47-2),($M47+1)&amp;"$",OFFSET(X49,1,0,$R47-2)))</f>
        <v>0</v>
      </c>
      <c r="Y49" s="203" cm="1">
        <f t="array" aca="1" ref="Y49" ca="1">IF($R47=2,
         IF(AND(ACOMPANHAMENTO="PLE",ISNUMBER($F47)),
                SUMIF((OFFSET(CÁLCULO!$AM$15:$AW$15,$F47,0,OFFSET(ORÇAMENTO!$D$15,CRONO!$F47,0))),CRONO!Y$12,OFFSET(CÁLCULO!$AB$15:$AL$15,$F47,0,OFFSET(ORÇAMENTO!$D$15,CRONO!$F47,0)))
                +IF(AND($F49&lt;&gt;"",$F49&lt;&gt;0),
                        SUMIF(CÁLCULO!$AM$15:$AW$231,CRONO!Y$12,CÁLCULO!$AB$15:$AL$231)/(ORÇAMENTO!$X$15-_xlfn.SINGLE(CÁLCULO.TotalAdmLocal))*CRONO!$F49,
                        0),
                 Y48*$S47),
          SUMIF(OFFSET($S49,1,0,$R47-2),($M47+1)&amp;"$",OFFSET(Y49,1,0,$R47-2)))</f>
        <v>0</v>
      </c>
      <c r="Z49" s="203" cm="1">
        <f t="array" aca="1" ref="Z49" ca="1">IF($R47=2,
         IF(AND(ACOMPANHAMENTO="PLE",ISNUMBER($F47)),
                SUMIF((OFFSET(CÁLCULO!$AM$15:$AW$15,$F47,0,OFFSET(ORÇAMENTO!$D$15,CRONO!$F47,0))),CRONO!Z$12,OFFSET(CÁLCULO!$AB$15:$AL$15,$F47,0,OFFSET(ORÇAMENTO!$D$15,CRONO!$F47,0)))
                +IF(AND($F49&lt;&gt;"",$F49&lt;&gt;0),
                        SUMIF(CÁLCULO!$AM$15:$AW$231,CRONO!Z$12,CÁLCULO!$AB$15:$AL$231)/(ORÇAMENTO!$X$15-_xlfn.SINGLE(CÁLCULO.TotalAdmLocal))*CRONO!$F49,
                        0),
                 Z48*$S47),
          SUMIF(OFFSET($S49,1,0,$R47-2),($M47+1)&amp;"$",OFFSET(Z49,1,0,$R47-2)))</f>
        <v>0</v>
      </c>
      <c r="AA49" s="203" cm="1">
        <f t="array" aca="1" ref="AA49" ca="1">IF($R47=2,
         IF(AND(ACOMPANHAMENTO="PLE",ISNUMBER($F47)),
                SUMIF((OFFSET(CÁLCULO!$AM$15:$AW$15,$F47,0,OFFSET(ORÇAMENTO!$D$15,CRONO!$F47,0))),CRONO!AA$12,OFFSET(CÁLCULO!$AB$15:$AL$15,$F47,0,OFFSET(ORÇAMENTO!$D$15,CRONO!$F47,0)))
                +IF(AND($F49&lt;&gt;"",$F49&lt;&gt;0),
                        SUMIF(CÁLCULO!$AM$15:$AW$231,CRONO!AA$12,CÁLCULO!$AB$15:$AL$231)/(ORÇAMENTO!$X$15-_xlfn.SINGLE(CÁLCULO.TotalAdmLocal))*CRONO!$F49,
                        0),
                 AA48*$S47),
          SUMIF(OFFSET($S49,1,0,$R47-2),($M47+1)&amp;"$",OFFSET(AA49,1,0,$R47-2)))</f>
        <v>0</v>
      </c>
      <c r="AB49" s="203" cm="1">
        <f t="array" aca="1" ref="AB49" ca="1">IF($R47=2,
         IF(AND(ACOMPANHAMENTO="PLE",ISNUMBER($F47)),
                SUMIF((OFFSET(CÁLCULO!$AM$15:$AW$15,$F47,0,OFFSET(ORÇAMENTO!$D$15,CRONO!$F47,0))),CRONO!AB$12,OFFSET(CÁLCULO!$AB$15:$AL$15,$F47,0,OFFSET(ORÇAMENTO!$D$15,CRONO!$F47,0)))
                +IF(AND($F49&lt;&gt;"",$F49&lt;&gt;0),
                        SUMIF(CÁLCULO!$AM$15:$AW$231,CRONO!AB$12,CÁLCULO!$AB$15:$AL$231)/(ORÇAMENTO!$X$15-_xlfn.SINGLE(CÁLCULO.TotalAdmLocal))*CRONO!$F49,
                        0),
                 AB48*$S47),
          SUMIF(OFFSET($S49,1,0,$R47-2),($M47+1)&amp;"$",OFFSET(AB49,1,0,$R47-2)))</f>
        <v>0</v>
      </c>
      <c r="AC49" s="203" cm="1">
        <f t="array" aca="1" ref="AC49" ca="1">IF($R47=2,
         IF(AND(ACOMPANHAMENTO="PLE",ISNUMBER($F47)),
                SUMIF((OFFSET(CÁLCULO!$AM$15:$AW$15,$F47,0,OFFSET(ORÇAMENTO!$D$15,CRONO!$F47,0))),CRONO!AC$12,OFFSET(CÁLCULO!$AB$15:$AL$15,$F47,0,OFFSET(ORÇAMENTO!$D$15,CRONO!$F47,0)))
                +IF(AND($F49&lt;&gt;"",$F49&lt;&gt;0),
                        SUMIF(CÁLCULO!$AM$15:$AW$231,CRONO!AC$12,CÁLCULO!$AB$15:$AL$231)/(ORÇAMENTO!$X$15-_xlfn.SINGLE(CÁLCULO.TotalAdmLocal))*CRONO!$F49,
                        0),
                 AC48*$S47),
          SUMIF(OFFSET($S49,1,0,$R47-2),($M47+1)&amp;"$",OFFSET(AC49,1,0,$R47-2)))</f>
        <v>0</v>
      </c>
      <c r="AD49" s="203" cm="1">
        <f t="array" aca="1" ref="AD49" ca="1">IF($R47=2,
         IF(AND(ACOMPANHAMENTO="PLE",ISNUMBER($F47)),
                SUMIF((OFFSET(CÁLCULO!$AM$15:$AW$15,$F47,0,OFFSET(ORÇAMENTO!$D$15,CRONO!$F47,0))),CRONO!AD$12,OFFSET(CÁLCULO!$AB$15:$AL$15,$F47,0,OFFSET(ORÇAMENTO!$D$15,CRONO!$F47,0)))
                +IF(AND($F49&lt;&gt;"",$F49&lt;&gt;0),
                        SUMIF(CÁLCULO!$AM$15:$AW$231,CRONO!AD$12,CÁLCULO!$AB$15:$AL$231)/(ORÇAMENTO!$X$15-_xlfn.SINGLE(CÁLCULO.TotalAdmLocal))*CRONO!$F49,
                        0),
                 AD48*$S47),
          SUMIF(OFFSET($S49,1,0,$R47-2),($M47+1)&amp;"$",OFFSET(AD49,1,0,$R47-2)))</f>
        <v>0</v>
      </c>
      <c r="AE49" s="203" cm="1">
        <f t="array" aca="1" ref="AE49" ca="1">IF($R47=2,
         IF(AND(ACOMPANHAMENTO="PLE",ISNUMBER($F47)),
                SUMIF((OFFSET(CÁLCULO!$AM$15:$AW$15,$F47,0,OFFSET(ORÇAMENTO!$D$15,CRONO!$F47,0))),CRONO!AE$12,OFFSET(CÁLCULO!$AB$15:$AL$15,$F47,0,OFFSET(ORÇAMENTO!$D$15,CRONO!$F47,0)))
                +IF(AND($F49&lt;&gt;"",$F49&lt;&gt;0),
                        SUMIF(CÁLCULO!$AM$15:$AW$231,CRONO!AE$12,CÁLCULO!$AB$15:$AL$231)/(ORÇAMENTO!$X$15-_xlfn.SINGLE(CÁLCULO.TotalAdmLocal))*CRONO!$F49,
                        0),
                 AE48*$S47),
          SUMIF(OFFSET($S49,1,0,$R47-2),($M47+1)&amp;"$",OFFSET(AE49,1,0,$R47-2)))</f>
        <v>0</v>
      </c>
      <c r="AF49" s="203" cm="1">
        <f t="array" aca="1" ref="AF49" ca="1">IF($R47=2,
         IF(AND(ACOMPANHAMENTO="PLE",ISNUMBER($F47)),
                SUMIF((OFFSET(CÁLCULO!$AM$15:$AW$15,$F47,0,OFFSET(ORÇAMENTO!$D$15,CRONO!$F47,0))),CRONO!AF$12,OFFSET(CÁLCULO!$AB$15:$AL$15,$F47,0,OFFSET(ORÇAMENTO!$D$15,CRONO!$F47,0)))
                +IF(AND($F49&lt;&gt;"",$F49&lt;&gt;0),
                        SUMIF(CÁLCULO!$AM$15:$AW$231,CRONO!AF$12,CÁLCULO!$AB$15:$AL$231)/(ORÇAMENTO!$X$15-_xlfn.SINGLE(CÁLCULO.TotalAdmLocal))*CRONO!$F49,
                        0),
                 AF48*$S47),
          SUMIF(OFFSET($S49,1,0,$R47-2),($M47+1)&amp;"$",OFFSET(AF49,1,0,$R47-2)))</f>
        <v>0</v>
      </c>
      <c r="AG49" s="535"/>
    </row>
    <row r="50" spans="1:33" x14ac:dyDescent="0.2">
      <c r="A50" s="187" t="str">
        <f t="shared" ref="A50" ca="1" si="74">IF($M50&gt;1,_xlfn.CONCAT($I50," ",$J50),"")</f>
        <v>1.12. SERVIÇOS PRELIMINARES</v>
      </c>
      <c r="B50" s="186">
        <f t="shared" ref="B50" ca="1" si="75">OFFSET(B50,-3,0)+1</f>
        <v>13</v>
      </c>
      <c r="C50" s="186">
        <f ca="1">IF($R50&lt;&gt;2,0,IF($S50=0,1,IF(F51&gt;0,OFFSET(QCI!$M$13,SUBSTITUTE(F51,".",""),0),OFFSET(ORÇAMENTO!$AA$15,CRONO!$F50,0))/$S50))</f>
        <v>1</v>
      </c>
      <c r="D50" s="186">
        <f ca="1">IF($R50&lt;&gt;2,0,IF($S50=0,1,IF(F51&gt;0,OFFSET(QCI!$N$13,SUBSTITUTE(F51,".",""),0),OFFSET(ORÇAMENTO!$AB$15,CRONO!$F50,0))/$S50))</f>
        <v>1</v>
      </c>
      <c r="E50" s="189" cm="1">
        <f t="array" aca="1" ref="E50" ca="1">IF(AND($R50=2,ACOMPANHAMENTO="BM"),ROUND(E51,4),E52/$S50)</f>
        <v>0</v>
      </c>
      <c r="F50" s="186">
        <f ca="1">IF(B50&lt;=ORÇAMENTO.MáximoListaCrono,MATCH(B50,ORÇAMENTO.ListaCrono,0),NA())</f>
        <v>84</v>
      </c>
      <c r="G50" s="186" t="str">
        <f t="shared" ref="G50" ca="1" si="76">IF(AND($F51&lt;&gt;-1,$S50&gt;0),"F","")</f>
        <v/>
      </c>
      <c r="H50" s="190" t="str" cm="1">
        <f t="array" aca="1" ref="H50" ca="1">IF(OR(S50=0,S50=""),"Linha",IF(AND(OR(ACOMPANHAMENTO="PLE",$R50&lt;&gt;2),$F51=0),"Linha",ROUND(1-SUM(U50:AG50),4)))</f>
        <v>Linha</v>
      </c>
      <c r="I50" s="191" t="str">
        <f ca="1">IF($F51=0,OFFSET(ORÇAMENTO!O$15,$F50,0),IF($F51&lt;&gt;-1,OFFSET(QCI!$D$13,$F51,0),""))</f>
        <v>1.12.</v>
      </c>
      <c r="J50" s="192" t="str">
        <f ca="1">IF($F51=0,OFFSET(ORÇAMENTO!R$15,$F50,0),IF($F51&lt;&gt;-1,OFFSET(QCI!$G$13,$F51,0),""))</f>
        <v>SERVIÇOS PRELIMINARES</v>
      </c>
      <c r="K50" s="192"/>
      <c r="L50" s="192"/>
      <c r="M50" s="193">
        <f ca="1">IF($F51=0,OFFSET(ORÇAMENTO!C$15,$F50,0),1)</f>
        <v>2</v>
      </c>
      <c r="N50" s="194">
        <f ca="1">IF($F51=-1,0,IF(N$13&lt;=$M50,IF(ISERROR(MATCH(N$13,OFFSET($M50,1,0,ROW($M$101)-ROW($M50)-1),0)),ROW($M$101)-ROW($M50)-1,MATCH(N$13,OFFSET($M50,1,0,ROW($M$101)-ROW($M50)-1),0)-1),0))</f>
        <v>50</v>
      </c>
      <c r="O50" s="194">
        <f ca="1">IF($F51=-1,0,IF(O$13&lt;=$M50,IF(ISERROR(MATCH(O$13,OFFSET($M50,1,0,ROW($M$101)-ROW($M50)-1),0)),ROW($M$101)-ROW($M50)-1,MATCH(O$13,OFFSET($M50,1,0,ROW($M$101)-ROW($M50)-1),0)-1),0))</f>
        <v>2</v>
      </c>
      <c r="P50" s="194">
        <f ca="1">IF($F51=-1,0,IF(P$13&lt;=$M50,IF(ISERROR(MATCH(P$13,OFFSET($M50,1,0,ROW($M$101)-ROW($M50)-1),0)),ROW($M$101)-ROW($M50)-1,MATCH(P$13,OFFSET($M50,1,0,ROW($M$101)-ROW($M50)-1),0)-1),0))</f>
        <v>0</v>
      </c>
      <c r="Q50" s="194">
        <f ca="1">IF($F51=-1,0,IF(Q$13&lt;=$M50,IF(ISERROR(MATCH(Q$13,OFFSET($M50,1,0,ROW($M$101)-ROW($M50)-1),0)),ROW($M$101)-ROW($M50)-1,MATCH(Q$13,OFFSET($M50,1,0,ROW($M$101)-ROW($M50)-1),0)-1),0))</f>
        <v>0</v>
      </c>
      <c r="R50" s="194">
        <f t="shared" ref="R50" ca="1" si="77">MIN(OFFSET(M50,0,1,,M50))</f>
        <v>2</v>
      </c>
      <c r="S50" s="195">
        <f ca="1">IF($F51=0,OFFSET(ORÇAMENTO!X$15,$F50,0),IF($F51&lt;&gt;-1,OFFSET(QCI!$O$13,$F51,0),""))</f>
        <v>0</v>
      </c>
      <c r="T50" s="196" t="s">
        <v>786</v>
      </c>
      <c r="U50" s="189" cm="1">
        <f t="array" aca="1" ref="U50" ca="1">IF(AND($R50=2,ACOMPANHAMENTO="BM"),ROUND(U51,4),U52/$S50)</f>
        <v>0</v>
      </c>
      <c r="V50" s="189" cm="1">
        <f t="array" aca="1" ref="V50" ca="1">IF(AND($R50=2,ACOMPANHAMENTO="BM"),ROUND(V51,4),V52/$S50)</f>
        <v>0</v>
      </c>
      <c r="W50" s="189" cm="1">
        <f t="array" aca="1" ref="W50" ca="1">IF(AND($R50=2,ACOMPANHAMENTO="BM"),ROUND(W51,4),W52/$S50)</f>
        <v>0</v>
      </c>
      <c r="X50" s="189" cm="1">
        <f t="array" aca="1" ref="X50" ca="1">IF(AND($R50=2,ACOMPANHAMENTO="BM"),ROUND(X51,4),X52/$S50)</f>
        <v>0</v>
      </c>
      <c r="Y50" s="189" cm="1">
        <f t="array" aca="1" ref="Y50" ca="1">IF(AND($R50=2,ACOMPANHAMENTO="BM"),ROUND(Y51,4),Y52/$S50)</f>
        <v>0.4</v>
      </c>
      <c r="Z50" s="189" cm="1">
        <f t="array" aca="1" ref="Z50" ca="1">IF(AND($R50=2,ACOMPANHAMENTO="BM"),ROUND(Z51,4),Z52/$S50)</f>
        <v>0.3</v>
      </c>
      <c r="AA50" s="189" cm="1">
        <f t="array" aca="1" ref="AA50" ca="1">IF(AND($R50=2,ACOMPANHAMENTO="BM"),ROUND(AA51,4),AA52/$S50)</f>
        <v>0.3</v>
      </c>
      <c r="AB50" s="189" cm="1">
        <f t="array" aca="1" ref="AB50" ca="1">IF(AND($R50=2,ACOMPANHAMENTO="BM"),ROUND(AB51,4),AB52/$S50)</f>
        <v>0</v>
      </c>
      <c r="AC50" s="189" cm="1">
        <f t="array" aca="1" ref="AC50" ca="1">IF(AND($R50=2,ACOMPANHAMENTO="BM"),ROUND(AC51,4),AC52/$S50)</f>
        <v>0</v>
      </c>
      <c r="AD50" s="189" cm="1">
        <f t="array" aca="1" ref="AD50" ca="1">IF(AND($R50=2,ACOMPANHAMENTO="BM"),ROUND(AD51,4),AD52/$S50)</f>
        <v>0</v>
      </c>
      <c r="AE50" s="189" cm="1">
        <f t="array" aca="1" ref="AE50" ca="1">IF(AND($R50=2,ACOMPANHAMENTO="BM"),ROUND(AE51,4),AE52/$S50)</f>
        <v>0</v>
      </c>
      <c r="AF50" s="189" cm="1">
        <f t="array" aca="1" ref="AF50" ca="1">IF(AND($R50=2,ACOMPANHAMENTO="BM"),ROUND(AF51,4),AF52/$S50)</f>
        <v>0</v>
      </c>
      <c r="AG50" s="535"/>
    </row>
    <row r="51" spans="1:33" ht="12.75" customHeight="1" x14ac:dyDescent="0.2">
      <c r="E51" s="588"/>
      <c r="F51" s="186">
        <f ca="1">IF(ISERROR(F50),IF(1+COUNTIF($M$13:OFFSET(M50,-1,0),1)&lt;=MAX(QCI!$D$13:$D$15),1+COUNTIF($M$13:OFFSET(M50,-1,0),1),-1),0)</f>
        <v>0</v>
      </c>
      <c r="G51" s="186" t="str" cm="1">
        <f t="array" aca="1" ref="G51" ca="1">IF(ACOMPANHAMENTO="BM",OFFSET(G51,-1,0),"")</f>
        <v/>
      </c>
      <c r="H51" s="197" t="str" cm="1">
        <f t="array" aca="1" ref="H51" ca="1">IF(OR(S50=0,S50=""),"vazia",IF(AND(OR(ACOMPANHAMENTO="PLE",$R50&lt;&gt;2),$F51=0),"calculada","--&gt;"))</f>
        <v>vazia</v>
      </c>
      <c r="I51" s="198"/>
      <c r="J51" s="199" t="str">
        <f t="shared" ref="J51" ca="1" si="78">IF(AND(H50&lt;&gt;0,ISNUMBER(H50)),"PREENCHA ESTA LINHA --&gt;","")</f>
        <v/>
      </c>
      <c r="K51" s="199"/>
      <c r="L51" s="199"/>
      <c r="M51" s="200"/>
      <c r="N51" s="200"/>
      <c r="O51" s="200"/>
      <c r="P51" s="200"/>
      <c r="Q51" s="200"/>
      <c r="R51" s="200"/>
      <c r="S51" s="201"/>
      <c r="T51" s="202"/>
      <c r="U51" s="588"/>
      <c r="V51" s="588"/>
      <c r="W51" s="588"/>
      <c r="X51" s="588"/>
      <c r="Y51" s="588">
        <v>0.4</v>
      </c>
      <c r="Z51" s="588">
        <v>0.3</v>
      </c>
      <c r="AA51" s="588">
        <v>0.3</v>
      </c>
      <c r="AB51" s="588"/>
      <c r="AC51" s="588"/>
      <c r="AD51" s="588"/>
      <c r="AE51" s="588"/>
      <c r="AF51" s="588"/>
      <c r="AG51" s="535"/>
    </row>
    <row r="52" spans="1:33" ht="12.75" hidden="1" customHeight="1" x14ac:dyDescent="0.2">
      <c r="D52" s="534"/>
      <c r="E52" s="203" cm="1">
        <f t="array" aca="1" ref="E52" ca="1">IF($R50=2,
         IF(AND(ACOMPANHAMENTO="PLE",ISNUMBER($F50)),
                SUMIF((OFFSET(CÁLCULO!$AM$15:$AW$15,$F50,0,OFFSET(ORÇAMENTO!$D$15,CRONO!$F50,0))),CRONO!E$12,OFFSET(CÁLCULO!$AB$15:$AL$15,$F50,0,OFFSET(ORÇAMENTO!$D$15,CRONO!$F50,0)))
                +IF(AND($F52&lt;&gt;"",$F52&lt;&gt;0),
                        SUMIF(CÁLCULO!$AM$15:$AW$231,CRONO!E$12,CÁLCULO!$AB$15:$AL$231)/(ORÇAMENTO!$X$15-_xlfn.SINGLE(CÁLCULO.TotalAdmLocal))*CRONO!$F52,
                        0),
                 E51*$S50),
          SUMIF(OFFSET($S52,1,0,$R50-2),($M50+1)&amp;"$",OFFSET(E52,1,0,$R50-2)))</f>
        <v>0</v>
      </c>
      <c r="F52" s="186" t="str">
        <f ca="1">IF(OR($R50&lt;&gt;2,AUTOEVENTO&lt;&gt;"manual",$F51&gt;0),"",
        IF(Import.TipoArredondamento="Tradicional",
              SUMIF(OFFSET(CÁLCULO!$M$15,CRONO!$F50,0,OFFSET(ORÇAMENTO!$D$15,CRONO!$F50,0)),1,OFFSET(ORÇAMENTO!$X$15,CRONO!$F50,0,OFFSET(ORÇAMENTO!$D$15,CRONO!$F50,0))),
              0))</f>
        <v/>
      </c>
      <c r="H52" s="672"/>
      <c r="S52" s="205" t="str">
        <f t="shared" ref="S52" ca="1" si="79">M50&amp;"$"</f>
        <v>2$</v>
      </c>
      <c r="T52" s="206"/>
      <c r="U52" s="203" cm="1">
        <f t="array" aca="1" ref="U52" ca="1">IF($R50=2,
         IF(AND(ACOMPANHAMENTO="PLE",ISNUMBER($F50)),
                SUMIF((OFFSET(CÁLCULO!$AM$15:$AW$15,$F50,0,OFFSET(ORÇAMENTO!$D$15,CRONO!$F50,0))),CRONO!U$12,OFFSET(CÁLCULO!$AB$15:$AL$15,$F50,0,OFFSET(ORÇAMENTO!$D$15,CRONO!$F50,0)))
                +IF(AND($F52&lt;&gt;"",$F52&lt;&gt;0),
                        SUMIF(CÁLCULO!$AM$15:$AW$231,CRONO!U$12,CÁLCULO!$AB$15:$AL$231)/(ORÇAMENTO!$X$15-_xlfn.SINGLE(CÁLCULO.TotalAdmLocal))*CRONO!$F52,
                        0),
                 U51*$S50),
          SUMIF(OFFSET($S52,1,0,$R50-2),($M50+1)&amp;"$",OFFSET(U52,1,0,$R50-2)))</f>
        <v>0</v>
      </c>
      <c r="V52" s="203" cm="1">
        <f t="array" aca="1" ref="V52" ca="1">IF($R50=2,
         IF(AND(ACOMPANHAMENTO="PLE",ISNUMBER($F50)),
                SUMIF((OFFSET(CÁLCULO!$AM$15:$AW$15,$F50,0,OFFSET(ORÇAMENTO!$D$15,CRONO!$F50,0))),CRONO!V$12,OFFSET(CÁLCULO!$AB$15:$AL$15,$F50,0,OFFSET(ORÇAMENTO!$D$15,CRONO!$F50,0)))
                +IF(AND($F52&lt;&gt;"",$F52&lt;&gt;0),
                        SUMIF(CÁLCULO!$AM$15:$AW$231,CRONO!V$12,CÁLCULO!$AB$15:$AL$231)/(ORÇAMENTO!$X$15-_xlfn.SINGLE(CÁLCULO.TotalAdmLocal))*CRONO!$F52,
                        0),
                 V51*$S50),
          SUMIF(OFFSET($S52,1,0,$R50-2),($M50+1)&amp;"$",OFFSET(V52,1,0,$R50-2)))</f>
        <v>0</v>
      </c>
      <c r="W52" s="203" cm="1">
        <f t="array" aca="1" ref="W52" ca="1">IF($R50=2,
         IF(AND(ACOMPANHAMENTO="PLE",ISNUMBER($F50)),
                SUMIF((OFFSET(CÁLCULO!$AM$15:$AW$15,$F50,0,OFFSET(ORÇAMENTO!$D$15,CRONO!$F50,0))),CRONO!W$12,OFFSET(CÁLCULO!$AB$15:$AL$15,$F50,0,OFFSET(ORÇAMENTO!$D$15,CRONO!$F50,0)))
                +IF(AND($F52&lt;&gt;"",$F52&lt;&gt;0),
                        SUMIF(CÁLCULO!$AM$15:$AW$231,CRONO!W$12,CÁLCULO!$AB$15:$AL$231)/(ORÇAMENTO!$X$15-_xlfn.SINGLE(CÁLCULO.TotalAdmLocal))*CRONO!$F52,
                        0),
                 W51*$S50),
          SUMIF(OFFSET($S52,1,0,$R50-2),($M50+1)&amp;"$",OFFSET(W52,1,0,$R50-2)))</f>
        <v>0</v>
      </c>
      <c r="X52" s="203" cm="1">
        <f t="array" aca="1" ref="X52" ca="1">IF($R50=2,
         IF(AND(ACOMPANHAMENTO="PLE",ISNUMBER($F50)),
                SUMIF((OFFSET(CÁLCULO!$AM$15:$AW$15,$F50,0,OFFSET(ORÇAMENTO!$D$15,CRONO!$F50,0))),CRONO!X$12,OFFSET(CÁLCULO!$AB$15:$AL$15,$F50,0,OFFSET(ORÇAMENTO!$D$15,CRONO!$F50,0)))
                +IF(AND($F52&lt;&gt;"",$F52&lt;&gt;0),
                        SUMIF(CÁLCULO!$AM$15:$AW$231,CRONO!X$12,CÁLCULO!$AB$15:$AL$231)/(ORÇAMENTO!$X$15-_xlfn.SINGLE(CÁLCULO.TotalAdmLocal))*CRONO!$F52,
                        0),
                 X51*$S50),
          SUMIF(OFFSET($S52,1,0,$R50-2),($M50+1)&amp;"$",OFFSET(X52,1,0,$R50-2)))</f>
        <v>0</v>
      </c>
      <c r="Y52" s="203" cm="1">
        <f t="array" aca="1" ref="Y52" ca="1">IF($R50=2,
         IF(AND(ACOMPANHAMENTO="PLE",ISNUMBER($F50)),
                SUMIF((OFFSET(CÁLCULO!$AM$15:$AW$15,$F50,0,OFFSET(ORÇAMENTO!$D$15,CRONO!$F50,0))),CRONO!Y$12,OFFSET(CÁLCULO!$AB$15:$AL$15,$F50,0,OFFSET(ORÇAMENTO!$D$15,CRONO!$F50,0)))
                +IF(AND($F52&lt;&gt;"",$F52&lt;&gt;0),
                        SUMIF(CÁLCULO!$AM$15:$AW$231,CRONO!Y$12,CÁLCULO!$AB$15:$AL$231)/(ORÇAMENTO!$X$15-_xlfn.SINGLE(CÁLCULO.TotalAdmLocal))*CRONO!$F52,
                        0),
                 Y51*$S50),
          SUMIF(OFFSET($S52,1,0,$R50-2),($M50+1)&amp;"$",OFFSET(Y52,1,0,$R50-2)))</f>
        <v>0</v>
      </c>
      <c r="Z52" s="203" cm="1">
        <f t="array" aca="1" ref="Z52" ca="1">IF($R50=2,
         IF(AND(ACOMPANHAMENTO="PLE",ISNUMBER($F50)),
                SUMIF((OFFSET(CÁLCULO!$AM$15:$AW$15,$F50,0,OFFSET(ORÇAMENTO!$D$15,CRONO!$F50,0))),CRONO!Z$12,OFFSET(CÁLCULO!$AB$15:$AL$15,$F50,0,OFFSET(ORÇAMENTO!$D$15,CRONO!$F50,0)))
                +IF(AND($F52&lt;&gt;"",$F52&lt;&gt;0),
                        SUMIF(CÁLCULO!$AM$15:$AW$231,CRONO!Z$12,CÁLCULO!$AB$15:$AL$231)/(ORÇAMENTO!$X$15-_xlfn.SINGLE(CÁLCULO.TotalAdmLocal))*CRONO!$F52,
                        0),
                 Z51*$S50),
          SUMIF(OFFSET($S52,1,0,$R50-2),($M50+1)&amp;"$",OFFSET(Z52,1,0,$R50-2)))</f>
        <v>0</v>
      </c>
      <c r="AA52" s="203" cm="1">
        <f t="array" aca="1" ref="AA52" ca="1">IF($R50=2,
         IF(AND(ACOMPANHAMENTO="PLE",ISNUMBER($F50)),
                SUMIF((OFFSET(CÁLCULO!$AM$15:$AW$15,$F50,0,OFFSET(ORÇAMENTO!$D$15,CRONO!$F50,0))),CRONO!AA$12,OFFSET(CÁLCULO!$AB$15:$AL$15,$F50,0,OFFSET(ORÇAMENTO!$D$15,CRONO!$F50,0)))
                +IF(AND($F52&lt;&gt;"",$F52&lt;&gt;0),
                        SUMIF(CÁLCULO!$AM$15:$AW$231,CRONO!AA$12,CÁLCULO!$AB$15:$AL$231)/(ORÇAMENTO!$X$15-_xlfn.SINGLE(CÁLCULO.TotalAdmLocal))*CRONO!$F52,
                        0),
                 AA51*$S50),
          SUMIF(OFFSET($S52,1,0,$R50-2),($M50+1)&amp;"$",OFFSET(AA52,1,0,$R50-2)))</f>
        <v>0</v>
      </c>
      <c r="AB52" s="203" cm="1">
        <f t="array" aca="1" ref="AB52" ca="1">IF($R50=2,
         IF(AND(ACOMPANHAMENTO="PLE",ISNUMBER($F50)),
                SUMIF((OFFSET(CÁLCULO!$AM$15:$AW$15,$F50,0,OFFSET(ORÇAMENTO!$D$15,CRONO!$F50,0))),CRONO!AB$12,OFFSET(CÁLCULO!$AB$15:$AL$15,$F50,0,OFFSET(ORÇAMENTO!$D$15,CRONO!$F50,0)))
                +IF(AND($F52&lt;&gt;"",$F52&lt;&gt;0),
                        SUMIF(CÁLCULO!$AM$15:$AW$231,CRONO!AB$12,CÁLCULO!$AB$15:$AL$231)/(ORÇAMENTO!$X$15-_xlfn.SINGLE(CÁLCULO.TotalAdmLocal))*CRONO!$F52,
                        0),
                 AB51*$S50),
          SUMIF(OFFSET($S52,1,0,$R50-2),($M50+1)&amp;"$",OFFSET(AB52,1,0,$R50-2)))</f>
        <v>0</v>
      </c>
      <c r="AC52" s="203" cm="1">
        <f t="array" aca="1" ref="AC52" ca="1">IF($R50=2,
         IF(AND(ACOMPANHAMENTO="PLE",ISNUMBER($F50)),
                SUMIF((OFFSET(CÁLCULO!$AM$15:$AW$15,$F50,0,OFFSET(ORÇAMENTO!$D$15,CRONO!$F50,0))),CRONO!AC$12,OFFSET(CÁLCULO!$AB$15:$AL$15,$F50,0,OFFSET(ORÇAMENTO!$D$15,CRONO!$F50,0)))
                +IF(AND($F52&lt;&gt;"",$F52&lt;&gt;0),
                        SUMIF(CÁLCULO!$AM$15:$AW$231,CRONO!AC$12,CÁLCULO!$AB$15:$AL$231)/(ORÇAMENTO!$X$15-_xlfn.SINGLE(CÁLCULO.TotalAdmLocal))*CRONO!$F52,
                        0),
                 AC51*$S50),
          SUMIF(OFFSET($S52,1,0,$R50-2),($M50+1)&amp;"$",OFFSET(AC52,1,0,$R50-2)))</f>
        <v>0</v>
      </c>
      <c r="AD52" s="203" cm="1">
        <f t="array" aca="1" ref="AD52" ca="1">IF($R50=2,
         IF(AND(ACOMPANHAMENTO="PLE",ISNUMBER($F50)),
                SUMIF((OFFSET(CÁLCULO!$AM$15:$AW$15,$F50,0,OFFSET(ORÇAMENTO!$D$15,CRONO!$F50,0))),CRONO!AD$12,OFFSET(CÁLCULO!$AB$15:$AL$15,$F50,0,OFFSET(ORÇAMENTO!$D$15,CRONO!$F50,0)))
                +IF(AND($F52&lt;&gt;"",$F52&lt;&gt;0),
                        SUMIF(CÁLCULO!$AM$15:$AW$231,CRONO!AD$12,CÁLCULO!$AB$15:$AL$231)/(ORÇAMENTO!$X$15-_xlfn.SINGLE(CÁLCULO.TotalAdmLocal))*CRONO!$F52,
                        0),
                 AD51*$S50),
          SUMIF(OFFSET($S52,1,0,$R50-2),($M50+1)&amp;"$",OFFSET(AD52,1,0,$R50-2)))</f>
        <v>0</v>
      </c>
      <c r="AE52" s="203" cm="1">
        <f t="array" aca="1" ref="AE52" ca="1">IF($R50=2,
         IF(AND(ACOMPANHAMENTO="PLE",ISNUMBER($F50)),
                SUMIF((OFFSET(CÁLCULO!$AM$15:$AW$15,$F50,0,OFFSET(ORÇAMENTO!$D$15,CRONO!$F50,0))),CRONO!AE$12,OFFSET(CÁLCULO!$AB$15:$AL$15,$F50,0,OFFSET(ORÇAMENTO!$D$15,CRONO!$F50,0)))
                +IF(AND($F52&lt;&gt;"",$F52&lt;&gt;0),
                        SUMIF(CÁLCULO!$AM$15:$AW$231,CRONO!AE$12,CÁLCULO!$AB$15:$AL$231)/(ORÇAMENTO!$X$15-_xlfn.SINGLE(CÁLCULO.TotalAdmLocal))*CRONO!$F52,
                        0),
                 AE51*$S50),
          SUMIF(OFFSET($S52,1,0,$R50-2),($M50+1)&amp;"$",OFFSET(AE52,1,0,$R50-2)))</f>
        <v>0</v>
      </c>
      <c r="AF52" s="203" cm="1">
        <f t="array" aca="1" ref="AF52" ca="1">IF($R50=2,
         IF(AND(ACOMPANHAMENTO="PLE",ISNUMBER($F50)),
                SUMIF((OFFSET(CÁLCULO!$AM$15:$AW$15,$F50,0,OFFSET(ORÇAMENTO!$D$15,CRONO!$F50,0))),CRONO!AF$12,OFFSET(CÁLCULO!$AB$15:$AL$15,$F50,0,OFFSET(ORÇAMENTO!$D$15,CRONO!$F50,0)))
                +IF(AND($F52&lt;&gt;"",$F52&lt;&gt;0),
                        SUMIF(CÁLCULO!$AM$15:$AW$231,CRONO!AF$12,CÁLCULO!$AB$15:$AL$231)/(ORÇAMENTO!$X$15-_xlfn.SINGLE(CÁLCULO.TotalAdmLocal))*CRONO!$F52,
                        0),
                 AF51*$S50),
          SUMIF(OFFSET($S52,1,0,$R50-2),($M50+1)&amp;"$",OFFSET(AF52,1,0,$R50-2)))</f>
        <v>0</v>
      </c>
      <c r="AG52" s="535"/>
    </row>
    <row r="53" spans="1:33" x14ac:dyDescent="0.2">
      <c r="A53" s="187" t="str">
        <f t="shared" ref="A53" ca="1" si="80">IF($M53&gt;1,_xlfn.CONCAT($I53," ",$J53),"")</f>
        <v>1.13. REDE EMISSÁRIO DE ESGOTO</v>
      </c>
      <c r="B53" s="186">
        <f t="shared" ref="B53" ca="1" si="81">OFFSET(B53,-3,0)+1</f>
        <v>14</v>
      </c>
      <c r="C53" s="186">
        <f ca="1">IF($R53&lt;&gt;2,0,IF($S53=0,1,IF(F54&gt;0,OFFSET(QCI!$M$13,SUBSTITUTE(F54,".",""),0),OFFSET(ORÇAMENTO!$AA$15,CRONO!$F53,0))/$S53))</f>
        <v>1</v>
      </c>
      <c r="D53" s="186">
        <f ca="1">IF($R53&lt;&gt;2,0,IF($S53=0,1,IF(F54&gt;0,OFFSET(QCI!$N$13,SUBSTITUTE(F54,".",""),0),OFFSET(ORÇAMENTO!$AB$15,CRONO!$F53,0))/$S53))</f>
        <v>1</v>
      </c>
      <c r="E53" s="189" cm="1">
        <f t="array" aca="1" ref="E53" ca="1">IF(AND($R53=2,ACOMPANHAMENTO="BM"),ROUND(E54,4),E55/$S53)</f>
        <v>0</v>
      </c>
      <c r="F53" s="186">
        <f ca="1">IF(B53&lt;=ORÇAMENTO.MáximoListaCrono,MATCH(B53,ORÇAMENTO.ListaCrono,0),NA())</f>
        <v>94</v>
      </c>
      <c r="G53" s="186" t="str">
        <f t="shared" ref="G53" ca="1" si="82">IF(AND($F54&lt;&gt;-1,$S53&gt;0),"F","")</f>
        <v/>
      </c>
      <c r="H53" s="190" t="str" cm="1">
        <f t="array" aca="1" ref="H53" ca="1">IF(OR(S53=0,S53=""),"Linha",IF(AND(OR(ACOMPANHAMENTO="PLE",$R53&lt;&gt;2),$F54=0),"Linha",ROUND(1-SUM(U53:AG53),4)))</f>
        <v>Linha</v>
      </c>
      <c r="I53" s="191" t="str">
        <f ca="1">IF($F54=0,OFFSET(ORÇAMENTO!O$15,$F53,0),IF($F54&lt;&gt;-1,OFFSET(QCI!$D$13,$F54,0),""))</f>
        <v>1.13.</v>
      </c>
      <c r="J53" s="192" t="str">
        <f ca="1">IF($F54=0,OFFSET(ORÇAMENTO!R$15,$F53,0),IF($F54&lt;&gt;-1,OFFSET(QCI!$G$13,$F54,0),""))</f>
        <v>REDE EMISSÁRIO DE ESGOTO</v>
      </c>
      <c r="K53" s="192"/>
      <c r="L53" s="192"/>
      <c r="M53" s="193">
        <f ca="1">IF($F54=0,OFFSET(ORÇAMENTO!C$15,$F53,0),1)</f>
        <v>2</v>
      </c>
      <c r="N53" s="194">
        <f ca="1">IF($F54=-1,0,IF(N$13&lt;=$M53,IF(ISERROR(MATCH(N$13,OFFSET($M53,1,0,ROW($M$101)-ROW($M53)-1),0)),ROW($M$101)-ROW($M53)-1,MATCH(N$13,OFFSET($M53,1,0,ROW($M$101)-ROW($M53)-1),0)-1),0))</f>
        <v>47</v>
      </c>
      <c r="O53" s="194">
        <f ca="1">IF($F54=-1,0,IF(O$13&lt;=$M53,IF(ISERROR(MATCH(O$13,OFFSET($M53,1,0,ROW($M$101)-ROW($M53)-1),0)),ROW($M$101)-ROW($M53)-1,MATCH(O$13,OFFSET($M53,1,0,ROW($M$101)-ROW($M53)-1),0)-1),0))</f>
        <v>2</v>
      </c>
      <c r="P53" s="194">
        <f ca="1">IF($F54=-1,0,IF(P$13&lt;=$M53,IF(ISERROR(MATCH(P$13,OFFSET($M53,1,0,ROW($M$101)-ROW($M53)-1),0)),ROW($M$101)-ROW($M53)-1,MATCH(P$13,OFFSET($M53,1,0,ROW($M$101)-ROW($M53)-1),0)-1),0))</f>
        <v>0</v>
      </c>
      <c r="Q53" s="194">
        <f ca="1">IF($F54=-1,0,IF(Q$13&lt;=$M53,IF(ISERROR(MATCH(Q$13,OFFSET($M53,1,0,ROW($M$101)-ROW($M53)-1),0)),ROW($M$101)-ROW($M53)-1,MATCH(Q$13,OFFSET($M53,1,0,ROW($M$101)-ROW($M53)-1),0)-1),0))</f>
        <v>0</v>
      </c>
      <c r="R53" s="194">
        <f t="shared" ref="R53" ca="1" si="83">MIN(OFFSET(M53,0,1,,M53))</f>
        <v>2</v>
      </c>
      <c r="S53" s="195">
        <f ca="1">IF($F54=0,OFFSET(ORÇAMENTO!X$15,$F53,0),IF($F54&lt;&gt;-1,OFFSET(QCI!$O$13,$F54,0),""))</f>
        <v>0</v>
      </c>
      <c r="T53" s="196" t="s">
        <v>786</v>
      </c>
      <c r="U53" s="189" cm="1">
        <f t="array" aca="1" ref="U53" ca="1">IF(AND($R53=2,ACOMPANHAMENTO="BM"),ROUND(U54,4),U55/$S53)</f>
        <v>0</v>
      </c>
      <c r="V53" s="189" cm="1">
        <f t="array" aca="1" ref="V53" ca="1">IF(AND($R53=2,ACOMPANHAMENTO="BM"),ROUND(V54,4),V55/$S53)</f>
        <v>0</v>
      </c>
      <c r="W53" s="189" cm="1">
        <f t="array" aca="1" ref="W53" ca="1">IF(AND($R53=2,ACOMPANHAMENTO="BM"),ROUND(W54,4),W55/$S53)</f>
        <v>0</v>
      </c>
      <c r="X53" s="189" cm="1">
        <f t="array" aca="1" ref="X53" ca="1">IF(AND($R53=2,ACOMPANHAMENTO="BM"),ROUND(X54,4),X55/$S53)</f>
        <v>0</v>
      </c>
      <c r="Y53" s="189" cm="1">
        <f t="array" aca="1" ref="Y53" ca="1">IF(AND($R53=2,ACOMPANHAMENTO="BM"),ROUND(Y54,4),Y55/$S53)</f>
        <v>0.4</v>
      </c>
      <c r="Z53" s="189" cm="1">
        <f t="array" aca="1" ref="Z53" ca="1">IF(AND($R53=2,ACOMPANHAMENTO="BM"),ROUND(Z54,4),Z55/$S53)</f>
        <v>0.3</v>
      </c>
      <c r="AA53" s="189" cm="1">
        <f t="array" aca="1" ref="AA53" ca="1">IF(AND($R53=2,ACOMPANHAMENTO="BM"),ROUND(AA54,4),AA55/$S53)</f>
        <v>0.3</v>
      </c>
      <c r="AB53" s="189" cm="1">
        <f t="array" aca="1" ref="AB53" ca="1">IF(AND($R53=2,ACOMPANHAMENTO="BM"),ROUND(AB54,4),AB55/$S53)</f>
        <v>0</v>
      </c>
      <c r="AC53" s="189" cm="1">
        <f t="array" aca="1" ref="AC53" ca="1">IF(AND($R53=2,ACOMPANHAMENTO="BM"),ROUND(AC54,4),AC55/$S53)</f>
        <v>0</v>
      </c>
      <c r="AD53" s="189" cm="1">
        <f t="array" aca="1" ref="AD53" ca="1">IF(AND($R53=2,ACOMPANHAMENTO="BM"),ROUND(AD54,4),AD55/$S53)</f>
        <v>0</v>
      </c>
      <c r="AE53" s="189" cm="1">
        <f t="array" aca="1" ref="AE53" ca="1">IF(AND($R53=2,ACOMPANHAMENTO="BM"),ROUND(AE54,4),AE55/$S53)</f>
        <v>0</v>
      </c>
      <c r="AF53" s="189" cm="1">
        <f t="array" aca="1" ref="AF53" ca="1">IF(AND($R53=2,ACOMPANHAMENTO="BM"),ROUND(AF54,4),AF55/$S53)</f>
        <v>0</v>
      </c>
      <c r="AG53" s="535"/>
    </row>
    <row r="54" spans="1:33" ht="12.75" customHeight="1" x14ac:dyDescent="0.2">
      <c r="E54" s="588"/>
      <c r="F54" s="186">
        <f ca="1">IF(ISERROR(F53),IF(1+COUNTIF($M$13:OFFSET(M53,-1,0),1)&lt;=MAX(QCI!$D$13:$D$15),1+COUNTIF($M$13:OFFSET(M53,-1,0),1),-1),0)</f>
        <v>0</v>
      </c>
      <c r="G54" s="186" t="str" cm="1">
        <f t="array" aca="1" ref="G54" ca="1">IF(ACOMPANHAMENTO="BM",OFFSET(G54,-1,0),"")</f>
        <v/>
      </c>
      <c r="H54" s="197" t="str" cm="1">
        <f t="array" aca="1" ref="H54" ca="1">IF(OR(S53=0,S53=""),"vazia",IF(AND(OR(ACOMPANHAMENTO="PLE",$R53&lt;&gt;2),$F54=0),"calculada","--&gt;"))</f>
        <v>vazia</v>
      </c>
      <c r="I54" s="198"/>
      <c r="J54" s="199" t="str">
        <f t="shared" ref="J54" ca="1" si="84">IF(AND(H53&lt;&gt;0,ISNUMBER(H53)),"PREENCHA ESTA LINHA --&gt;","")</f>
        <v/>
      </c>
      <c r="K54" s="199"/>
      <c r="L54" s="199"/>
      <c r="M54" s="200"/>
      <c r="N54" s="200"/>
      <c r="O54" s="200"/>
      <c r="P54" s="200"/>
      <c r="Q54" s="200"/>
      <c r="R54" s="200"/>
      <c r="S54" s="201"/>
      <c r="T54" s="202"/>
      <c r="U54" s="588"/>
      <c r="V54" s="588"/>
      <c r="W54" s="588"/>
      <c r="X54" s="588"/>
      <c r="Y54" s="588">
        <v>0.4</v>
      </c>
      <c r="Z54" s="588">
        <v>0.3</v>
      </c>
      <c r="AA54" s="588">
        <v>0.3</v>
      </c>
      <c r="AB54" s="588"/>
      <c r="AC54" s="588"/>
      <c r="AD54" s="588"/>
      <c r="AE54" s="588"/>
      <c r="AF54" s="588"/>
      <c r="AG54" s="535"/>
    </row>
    <row r="55" spans="1:33" ht="12.75" hidden="1" customHeight="1" x14ac:dyDescent="0.2">
      <c r="D55" s="534"/>
      <c r="E55" s="203" cm="1">
        <f t="array" aca="1" ref="E55" ca="1">IF($R53=2,
         IF(AND(ACOMPANHAMENTO="PLE",ISNUMBER($F53)),
                SUMIF((OFFSET(CÁLCULO!$AM$15:$AW$15,$F53,0,OFFSET(ORÇAMENTO!$D$15,CRONO!$F53,0))),CRONO!E$12,OFFSET(CÁLCULO!$AB$15:$AL$15,$F53,0,OFFSET(ORÇAMENTO!$D$15,CRONO!$F53,0)))
                +IF(AND($F55&lt;&gt;"",$F55&lt;&gt;0),
                        SUMIF(CÁLCULO!$AM$15:$AW$231,CRONO!E$12,CÁLCULO!$AB$15:$AL$231)/(ORÇAMENTO!$X$15-_xlfn.SINGLE(CÁLCULO.TotalAdmLocal))*CRONO!$F55,
                        0),
                 E54*$S53),
          SUMIF(OFFSET($S55,1,0,$R53-2),($M53+1)&amp;"$",OFFSET(E55,1,0,$R53-2)))</f>
        <v>0</v>
      </c>
      <c r="F55" s="186" t="str">
        <f ca="1">IF(OR($R53&lt;&gt;2,AUTOEVENTO&lt;&gt;"manual",$F54&gt;0),"",
        IF(Import.TipoArredondamento="Tradicional",
              SUMIF(OFFSET(CÁLCULO!$M$15,CRONO!$F53,0,OFFSET(ORÇAMENTO!$D$15,CRONO!$F53,0)),1,OFFSET(ORÇAMENTO!$X$15,CRONO!$F53,0,OFFSET(ORÇAMENTO!$D$15,CRONO!$F53,0))),
              0))</f>
        <v/>
      </c>
      <c r="H55" s="672"/>
      <c r="S55" s="205" t="str">
        <f t="shared" ref="S55" ca="1" si="85">M53&amp;"$"</f>
        <v>2$</v>
      </c>
      <c r="T55" s="206"/>
      <c r="U55" s="203" cm="1">
        <f t="array" aca="1" ref="U55" ca="1">IF($R53=2,
         IF(AND(ACOMPANHAMENTO="PLE",ISNUMBER($F53)),
                SUMIF((OFFSET(CÁLCULO!$AM$15:$AW$15,$F53,0,OFFSET(ORÇAMENTO!$D$15,CRONO!$F53,0))),CRONO!U$12,OFFSET(CÁLCULO!$AB$15:$AL$15,$F53,0,OFFSET(ORÇAMENTO!$D$15,CRONO!$F53,0)))
                +IF(AND($F55&lt;&gt;"",$F55&lt;&gt;0),
                        SUMIF(CÁLCULO!$AM$15:$AW$231,CRONO!U$12,CÁLCULO!$AB$15:$AL$231)/(ORÇAMENTO!$X$15-_xlfn.SINGLE(CÁLCULO.TotalAdmLocal))*CRONO!$F55,
                        0),
                 U54*$S53),
          SUMIF(OFFSET($S55,1,0,$R53-2),($M53+1)&amp;"$",OFFSET(U55,1,0,$R53-2)))</f>
        <v>0</v>
      </c>
      <c r="V55" s="203" cm="1">
        <f t="array" aca="1" ref="V55" ca="1">IF($R53=2,
         IF(AND(ACOMPANHAMENTO="PLE",ISNUMBER($F53)),
                SUMIF((OFFSET(CÁLCULO!$AM$15:$AW$15,$F53,0,OFFSET(ORÇAMENTO!$D$15,CRONO!$F53,0))),CRONO!V$12,OFFSET(CÁLCULO!$AB$15:$AL$15,$F53,0,OFFSET(ORÇAMENTO!$D$15,CRONO!$F53,0)))
                +IF(AND($F55&lt;&gt;"",$F55&lt;&gt;0),
                        SUMIF(CÁLCULO!$AM$15:$AW$231,CRONO!V$12,CÁLCULO!$AB$15:$AL$231)/(ORÇAMENTO!$X$15-_xlfn.SINGLE(CÁLCULO.TotalAdmLocal))*CRONO!$F55,
                        0),
                 V54*$S53),
          SUMIF(OFFSET($S55,1,0,$R53-2),($M53+1)&amp;"$",OFFSET(V55,1,0,$R53-2)))</f>
        <v>0</v>
      </c>
      <c r="W55" s="203" cm="1">
        <f t="array" aca="1" ref="W55" ca="1">IF($R53=2,
         IF(AND(ACOMPANHAMENTO="PLE",ISNUMBER($F53)),
                SUMIF((OFFSET(CÁLCULO!$AM$15:$AW$15,$F53,0,OFFSET(ORÇAMENTO!$D$15,CRONO!$F53,0))),CRONO!W$12,OFFSET(CÁLCULO!$AB$15:$AL$15,$F53,0,OFFSET(ORÇAMENTO!$D$15,CRONO!$F53,0)))
                +IF(AND($F55&lt;&gt;"",$F55&lt;&gt;0),
                        SUMIF(CÁLCULO!$AM$15:$AW$231,CRONO!W$12,CÁLCULO!$AB$15:$AL$231)/(ORÇAMENTO!$X$15-_xlfn.SINGLE(CÁLCULO.TotalAdmLocal))*CRONO!$F55,
                        0),
                 W54*$S53),
          SUMIF(OFFSET($S55,1,0,$R53-2),($M53+1)&amp;"$",OFFSET(W55,1,0,$R53-2)))</f>
        <v>0</v>
      </c>
      <c r="X55" s="203" cm="1">
        <f t="array" aca="1" ref="X55" ca="1">IF($R53=2,
         IF(AND(ACOMPANHAMENTO="PLE",ISNUMBER($F53)),
                SUMIF((OFFSET(CÁLCULO!$AM$15:$AW$15,$F53,0,OFFSET(ORÇAMENTO!$D$15,CRONO!$F53,0))),CRONO!X$12,OFFSET(CÁLCULO!$AB$15:$AL$15,$F53,0,OFFSET(ORÇAMENTO!$D$15,CRONO!$F53,0)))
                +IF(AND($F55&lt;&gt;"",$F55&lt;&gt;0),
                        SUMIF(CÁLCULO!$AM$15:$AW$231,CRONO!X$12,CÁLCULO!$AB$15:$AL$231)/(ORÇAMENTO!$X$15-_xlfn.SINGLE(CÁLCULO.TotalAdmLocal))*CRONO!$F55,
                        0),
                 X54*$S53),
          SUMIF(OFFSET($S55,1,0,$R53-2),($M53+1)&amp;"$",OFFSET(X55,1,0,$R53-2)))</f>
        <v>0</v>
      </c>
      <c r="Y55" s="203" cm="1">
        <f t="array" aca="1" ref="Y55" ca="1">IF($R53=2,
         IF(AND(ACOMPANHAMENTO="PLE",ISNUMBER($F53)),
                SUMIF((OFFSET(CÁLCULO!$AM$15:$AW$15,$F53,0,OFFSET(ORÇAMENTO!$D$15,CRONO!$F53,0))),CRONO!Y$12,OFFSET(CÁLCULO!$AB$15:$AL$15,$F53,0,OFFSET(ORÇAMENTO!$D$15,CRONO!$F53,0)))
                +IF(AND($F55&lt;&gt;"",$F55&lt;&gt;0),
                        SUMIF(CÁLCULO!$AM$15:$AW$231,CRONO!Y$12,CÁLCULO!$AB$15:$AL$231)/(ORÇAMENTO!$X$15-_xlfn.SINGLE(CÁLCULO.TotalAdmLocal))*CRONO!$F55,
                        0),
                 Y54*$S53),
          SUMIF(OFFSET($S55,1,0,$R53-2),($M53+1)&amp;"$",OFFSET(Y55,1,0,$R53-2)))</f>
        <v>0</v>
      </c>
      <c r="Z55" s="203" cm="1">
        <f t="array" aca="1" ref="Z55" ca="1">IF($R53=2,
         IF(AND(ACOMPANHAMENTO="PLE",ISNUMBER($F53)),
                SUMIF((OFFSET(CÁLCULO!$AM$15:$AW$15,$F53,0,OFFSET(ORÇAMENTO!$D$15,CRONO!$F53,0))),CRONO!Z$12,OFFSET(CÁLCULO!$AB$15:$AL$15,$F53,0,OFFSET(ORÇAMENTO!$D$15,CRONO!$F53,0)))
                +IF(AND($F55&lt;&gt;"",$F55&lt;&gt;0),
                        SUMIF(CÁLCULO!$AM$15:$AW$231,CRONO!Z$12,CÁLCULO!$AB$15:$AL$231)/(ORÇAMENTO!$X$15-_xlfn.SINGLE(CÁLCULO.TotalAdmLocal))*CRONO!$F55,
                        0),
                 Z54*$S53),
          SUMIF(OFFSET($S55,1,0,$R53-2),($M53+1)&amp;"$",OFFSET(Z55,1,0,$R53-2)))</f>
        <v>0</v>
      </c>
      <c r="AA55" s="203" cm="1">
        <f t="array" aca="1" ref="AA55" ca="1">IF($R53=2,
         IF(AND(ACOMPANHAMENTO="PLE",ISNUMBER($F53)),
                SUMIF((OFFSET(CÁLCULO!$AM$15:$AW$15,$F53,0,OFFSET(ORÇAMENTO!$D$15,CRONO!$F53,0))),CRONO!AA$12,OFFSET(CÁLCULO!$AB$15:$AL$15,$F53,0,OFFSET(ORÇAMENTO!$D$15,CRONO!$F53,0)))
                +IF(AND($F55&lt;&gt;"",$F55&lt;&gt;0),
                        SUMIF(CÁLCULO!$AM$15:$AW$231,CRONO!AA$12,CÁLCULO!$AB$15:$AL$231)/(ORÇAMENTO!$X$15-_xlfn.SINGLE(CÁLCULO.TotalAdmLocal))*CRONO!$F55,
                        0),
                 AA54*$S53),
          SUMIF(OFFSET($S55,1,0,$R53-2),($M53+1)&amp;"$",OFFSET(AA55,1,0,$R53-2)))</f>
        <v>0</v>
      </c>
      <c r="AB55" s="203" cm="1">
        <f t="array" aca="1" ref="AB55" ca="1">IF($R53=2,
         IF(AND(ACOMPANHAMENTO="PLE",ISNUMBER($F53)),
                SUMIF((OFFSET(CÁLCULO!$AM$15:$AW$15,$F53,0,OFFSET(ORÇAMENTO!$D$15,CRONO!$F53,0))),CRONO!AB$12,OFFSET(CÁLCULO!$AB$15:$AL$15,$F53,0,OFFSET(ORÇAMENTO!$D$15,CRONO!$F53,0)))
                +IF(AND($F55&lt;&gt;"",$F55&lt;&gt;0),
                        SUMIF(CÁLCULO!$AM$15:$AW$231,CRONO!AB$12,CÁLCULO!$AB$15:$AL$231)/(ORÇAMENTO!$X$15-_xlfn.SINGLE(CÁLCULO.TotalAdmLocal))*CRONO!$F55,
                        0),
                 AB54*$S53),
          SUMIF(OFFSET($S55,1,0,$R53-2),($M53+1)&amp;"$",OFFSET(AB55,1,0,$R53-2)))</f>
        <v>0</v>
      </c>
      <c r="AC55" s="203" cm="1">
        <f t="array" aca="1" ref="AC55" ca="1">IF($R53=2,
         IF(AND(ACOMPANHAMENTO="PLE",ISNUMBER($F53)),
                SUMIF((OFFSET(CÁLCULO!$AM$15:$AW$15,$F53,0,OFFSET(ORÇAMENTO!$D$15,CRONO!$F53,0))),CRONO!AC$12,OFFSET(CÁLCULO!$AB$15:$AL$15,$F53,0,OFFSET(ORÇAMENTO!$D$15,CRONO!$F53,0)))
                +IF(AND($F55&lt;&gt;"",$F55&lt;&gt;0),
                        SUMIF(CÁLCULO!$AM$15:$AW$231,CRONO!AC$12,CÁLCULO!$AB$15:$AL$231)/(ORÇAMENTO!$X$15-_xlfn.SINGLE(CÁLCULO.TotalAdmLocal))*CRONO!$F55,
                        0),
                 AC54*$S53),
          SUMIF(OFFSET($S55,1,0,$R53-2),($M53+1)&amp;"$",OFFSET(AC55,1,0,$R53-2)))</f>
        <v>0</v>
      </c>
      <c r="AD55" s="203" cm="1">
        <f t="array" aca="1" ref="AD55" ca="1">IF($R53=2,
         IF(AND(ACOMPANHAMENTO="PLE",ISNUMBER($F53)),
                SUMIF((OFFSET(CÁLCULO!$AM$15:$AW$15,$F53,0,OFFSET(ORÇAMENTO!$D$15,CRONO!$F53,0))),CRONO!AD$12,OFFSET(CÁLCULO!$AB$15:$AL$15,$F53,0,OFFSET(ORÇAMENTO!$D$15,CRONO!$F53,0)))
                +IF(AND($F55&lt;&gt;"",$F55&lt;&gt;0),
                        SUMIF(CÁLCULO!$AM$15:$AW$231,CRONO!AD$12,CÁLCULO!$AB$15:$AL$231)/(ORÇAMENTO!$X$15-_xlfn.SINGLE(CÁLCULO.TotalAdmLocal))*CRONO!$F55,
                        0),
                 AD54*$S53),
          SUMIF(OFFSET($S55,1,0,$R53-2),($M53+1)&amp;"$",OFFSET(AD55,1,0,$R53-2)))</f>
        <v>0</v>
      </c>
      <c r="AE55" s="203" cm="1">
        <f t="array" aca="1" ref="AE55" ca="1">IF($R53=2,
         IF(AND(ACOMPANHAMENTO="PLE",ISNUMBER($F53)),
                SUMIF((OFFSET(CÁLCULO!$AM$15:$AW$15,$F53,0,OFFSET(ORÇAMENTO!$D$15,CRONO!$F53,0))),CRONO!AE$12,OFFSET(CÁLCULO!$AB$15:$AL$15,$F53,0,OFFSET(ORÇAMENTO!$D$15,CRONO!$F53,0)))
                +IF(AND($F55&lt;&gt;"",$F55&lt;&gt;0),
                        SUMIF(CÁLCULO!$AM$15:$AW$231,CRONO!AE$12,CÁLCULO!$AB$15:$AL$231)/(ORÇAMENTO!$X$15-_xlfn.SINGLE(CÁLCULO.TotalAdmLocal))*CRONO!$F55,
                        0),
                 AE54*$S53),
          SUMIF(OFFSET($S55,1,0,$R53-2),($M53+1)&amp;"$",OFFSET(AE55,1,0,$R53-2)))</f>
        <v>0</v>
      </c>
      <c r="AF55" s="203" cm="1">
        <f t="array" aca="1" ref="AF55" ca="1">IF($R53=2,
         IF(AND(ACOMPANHAMENTO="PLE",ISNUMBER($F53)),
                SUMIF((OFFSET(CÁLCULO!$AM$15:$AW$15,$F53,0,OFFSET(ORÇAMENTO!$D$15,CRONO!$F53,0))),CRONO!AF$12,OFFSET(CÁLCULO!$AB$15:$AL$15,$F53,0,OFFSET(ORÇAMENTO!$D$15,CRONO!$F53,0)))
                +IF(AND($F55&lt;&gt;"",$F55&lt;&gt;0),
                        SUMIF(CÁLCULO!$AM$15:$AW$231,CRONO!AF$12,CÁLCULO!$AB$15:$AL$231)/(ORÇAMENTO!$X$15-_xlfn.SINGLE(CÁLCULO.TotalAdmLocal))*CRONO!$F55,
                        0),
                 AF54*$S53),
          SUMIF(OFFSET($S55,1,0,$R53-2),($M53+1)&amp;"$",OFFSET(AF55,1,0,$R53-2)))</f>
        <v>0</v>
      </c>
      <c r="AG55" s="535"/>
    </row>
    <row r="56" spans="1:33" x14ac:dyDescent="0.2">
      <c r="A56" s="187" t="str">
        <f t="shared" ref="A56" ca="1" si="86">IF($M56&gt;1,_xlfn.CONCAT($I56," ",$J56),"")</f>
        <v>1.14. MOVIMENTO DE TERRA</v>
      </c>
      <c r="B56" s="186">
        <f t="shared" ref="B56" ca="1" si="87">OFFSET(B56,-3,0)+1</f>
        <v>15</v>
      </c>
      <c r="C56" s="186">
        <f ca="1">IF($R56&lt;&gt;2,0,IF($S56=0,1,IF(F57&gt;0,OFFSET(QCI!$M$13,SUBSTITUTE(F57,".",""),0),OFFSET(ORÇAMENTO!$AA$15,CRONO!$F56,0))/$S56))</f>
        <v>1</v>
      </c>
      <c r="D56" s="186">
        <f ca="1">IF($R56&lt;&gt;2,0,IF($S56=0,1,IF(F57&gt;0,OFFSET(QCI!$N$13,SUBSTITUTE(F57,".",""),0),OFFSET(ORÇAMENTO!$AB$15,CRONO!$F56,0))/$S56))</f>
        <v>1</v>
      </c>
      <c r="E56" s="189" cm="1">
        <f t="array" aca="1" ref="E56" ca="1">IF(AND($R56=2,ACOMPANHAMENTO="BM"),ROUND(E57,4),E58/$S56)</f>
        <v>0</v>
      </c>
      <c r="F56" s="186">
        <f ca="1">IF(B56&lt;=ORÇAMENTO.MáximoListaCrono,MATCH(B56,ORÇAMENTO.ListaCrono,0),NA())</f>
        <v>95</v>
      </c>
      <c r="G56" s="186" t="str">
        <f t="shared" ref="G56" ca="1" si="88">IF(AND($F57&lt;&gt;-1,$S56&gt;0),"F","")</f>
        <v/>
      </c>
      <c r="H56" s="190" t="str" cm="1">
        <f t="array" aca="1" ref="H56" ca="1">IF(OR(S56=0,S56=""),"Linha",IF(AND(OR(ACOMPANHAMENTO="PLE",$R56&lt;&gt;2),$F57=0),"Linha",ROUND(1-SUM(U56:AG56),4)))</f>
        <v>Linha</v>
      </c>
      <c r="I56" s="191" t="str">
        <f ca="1">IF($F57=0,OFFSET(ORÇAMENTO!O$15,$F56,0),IF($F57&lt;&gt;-1,OFFSET(QCI!$D$13,$F57,0),""))</f>
        <v>1.14.</v>
      </c>
      <c r="J56" s="192" t="str">
        <f ca="1">IF($F57=0,OFFSET(ORÇAMENTO!R$15,$F56,0),IF($F57&lt;&gt;-1,OFFSET(QCI!$G$13,$F57,0),""))</f>
        <v>MOVIMENTO DE TERRA</v>
      </c>
      <c r="K56" s="192"/>
      <c r="L56" s="192"/>
      <c r="M56" s="193">
        <f ca="1">IF($F57=0,OFFSET(ORÇAMENTO!C$15,$F56,0),1)</f>
        <v>2</v>
      </c>
      <c r="N56" s="194">
        <f ca="1">IF($F57=-1,0,IF(N$13&lt;=$M56,IF(ISERROR(MATCH(N$13,OFFSET($M56,1,0,ROW($M$101)-ROW($M56)-1),0)),ROW($M$101)-ROW($M56)-1,MATCH(N$13,OFFSET($M56,1,0,ROW($M$101)-ROW($M56)-1),0)-1),0))</f>
        <v>44</v>
      </c>
      <c r="O56" s="194">
        <f ca="1">IF($F57=-1,0,IF(O$13&lt;=$M56,IF(ISERROR(MATCH(O$13,OFFSET($M56,1,0,ROW($M$101)-ROW($M56)-1),0)),ROW($M$101)-ROW($M56)-1,MATCH(O$13,OFFSET($M56,1,0,ROW($M$101)-ROW($M56)-1),0)-1),0))</f>
        <v>2</v>
      </c>
      <c r="P56" s="194">
        <f ca="1">IF($F57=-1,0,IF(P$13&lt;=$M56,IF(ISERROR(MATCH(P$13,OFFSET($M56,1,0,ROW($M$101)-ROW($M56)-1),0)),ROW($M$101)-ROW($M56)-1,MATCH(P$13,OFFSET($M56,1,0,ROW($M$101)-ROW($M56)-1),0)-1),0))</f>
        <v>0</v>
      </c>
      <c r="Q56" s="194">
        <f ca="1">IF($F57=-1,0,IF(Q$13&lt;=$M56,IF(ISERROR(MATCH(Q$13,OFFSET($M56,1,0,ROW($M$101)-ROW($M56)-1),0)),ROW($M$101)-ROW($M56)-1,MATCH(Q$13,OFFSET($M56,1,0,ROW($M$101)-ROW($M56)-1),0)-1),0))</f>
        <v>0</v>
      </c>
      <c r="R56" s="194">
        <f t="shared" ref="R56" ca="1" si="89">MIN(OFFSET(M56,0,1,,M56))</f>
        <v>2</v>
      </c>
      <c r="S56" s="195">
        <f ca="1">IF($F57=0,OFFSET(ORÇAMENTO!X$15,$F56,0),IF($F57&lt;&gt;-1,OFFSET(QCI!$O$13,$F57,0),""))</f>
        <v>0</v>
      </c>
      <c r="T56" s="196" t="s">
        <v>786</v>
      </c>
      <c r="U56" s="189" cm="1">
        <f t="array" aca="1" ref="U56" ca="1">IF(AND($R56=2,ACOMPANHAMENTO="BM"),ROUND(U57,4),U58/$S56)</f>
        <v>0</v>
      </c>
      <c r="V56" s="189" cm="1">
        <f t="array" aca="1" ref="V56" ca="1">IF(AND($R56=2,ACOMPANHAMENTO="BM"),ROUND(V57,4),V58/$S56)</f>
        <v>0</v>
      </c>
      <c r="W56" s="189" cm="1">
        <f t="array" aca="1" ref="W56" ca="1">IF(AND($R56=2,ACOMPANHAMENTO="BM"),ROUND(W57,4),W58/$S56)</f>
        <v>0</v>
      </c>
      <c r="X56" s="189" cm="1">
        <f t="array" aca="1" ref="X56" ca="1">IF(AND($R56=2,ACOMPANHAMENTO="BM"),ROUND(X57,4),X58/$S56)</f>
        <v>0</v>
      </c>
      <c r="Y56" s="189" cm="1">
        <f t="array" aca="1" ref="Y56" ca="1">IF(AND($R56=2,ACOMPANHAMENTO="BM"),ROUND(Y57,4),Y58/$S56)</f>
        <v>0</v>
      </c>
      <c r="Z56" s="189" cm="1">
        <f t="array" aca="1" ref="Z56" ca="1">IF(AND($R56=2,ACOMPANHAMENTO="BM"),ROUND(Z57,4),Z58/$S56)</f>
        <v>0.34</v>
      </c>
      <c r="AA56" s="189" cm="1">
        <f t="array" aca="1" ref="AA56" ca="1">IF(AND($R56=2,ACOMPANHAMENTO="BM"),ROUND(AA57,4),AA58/$S56)</f>
        <v>0.33</v>
      </c>
      <c r="AB56" s="189" cm="1">
        <f t="array" aca="1" ref="AB56" ca="1">IF(AND($R56=2,ACOMPANHAMENTO="BM"),ROUND(AB57,4),AB58/$S56)</f>
        <v>0.33</v>
      </c>
      <c r="AC56" s="189" cm="1">
        <f t="array" aca="1" ref="AC56" ca="1">IF(AND($R56=2,ACOMPANHAMENTO="BM"),ROUND(AC57,4),AC58/$S56)</f>
        <v>0</v>
      </c>
      <c r="AD56" s="189" cm="1">
        <f t="array" aca="1" ref="AD56" ca="1">IF(AND($R56=2,ACOMPANHAMENTO="BM"),ROUND(AD57,4),AD58/$S56)</f>
        <v>0</v>
      </c>
      <c r="AE56" s="189" cm="1">
        <f t="array" aca="1" ref="AE56" ca="1">IF(AND($R56=2,ACOMPANHAMENTO="BM"),ROUND(AE57,4),AE58/$S56)</f>
        <v>0</v>
      </c>
      <c r="AF56" s="189" cm="1">
        <f t="array" aca="1" ref="AF56" ca="1">IF(AND($R56=2,ACOMPANHAMENTO="BM"),ROUND(AF57,4),AF58/$S56)</f>
        <v>0</v>
      </c>
      <c r="AG56" s="535"/>
    </row>
    <row r="57" spans="1:33" ht="12.75" customHeight="1" x14ac:dyDescent="0.2">
      <c r="E57" s="588"/>
      <c r="F57" s="186">
        <f ca="1">IF(ISERROR(F56),IF(1+COUNTIF($M$13:OFFSET(M56,-1,0),1)&lt;=MAX(QCI!$D$13:$D$15),1+COUNTIF($M$13:OFFSET(M56,-1,0),1),-1),0)</f>
        <v>0</v>
      </c>
      <c r="G57" s="186" t="str" cm="1">
        <f t="array" aca="1" ref="G57" ca="1">IF(ACOMPANHAMENTO="BM",OFFSET(G57,-1,0),"")</f>
        <v/>
      </c>
      <c r="H57" s="197" t="str" cm="1">
        <f t="array" aca="1" ref="H57" ca="1">IF(OR(S56=0,S56=""),"vazia",IF(AND(OR(ACOMPANHAMENTO="PLE",$R56&lt;&gt;2),$F57=0),"calculada","--&gt;"))</f>
        <v>vazia</v>
      </c>
      <c r="I57" s="198"/>
      <c r="J57" s="199" t="str">
        <f t="shared" ref="J57" ca="1" si="90">IF(AND(H56&lt;&gt;0,ISNUMBER(H56)),"PREENCHA ESTA LINHA --&gt;","")</f>
        <v/>
      </c>
      <c r="K57" s="199"/>
      <c r="L57" s="199"/>
      <c r="M57" s="200"/>
      <c r="N57" s="200"/>
      <c r="O57" s="200"/>
      <c r="P57" s="200"/>
      <c r="Q57" s="200"/>
      <c r="R57" s="200"/>
      <c r="S57" s="201"/>
      <c r="T57" s="202"/>
      <c r="U57" s="588"/>
      <c r="V57" s="588"/>
      <c r="W57" s="588"/>
      <c r="X57" s="588"/>
      <c r="Y57" s="588"/>
      <c r="Z57" s="588">
        <v>0.34</v>
      </c>
      <c r="AA57" s="588">
        <v>0.33</v>
      </c>
      <c r="AB57" s="588">
        <v>0.33</v>
      </c>
      <c r="AC57" s="588"/>
      <c r="AD57" s="588"/>
      <c r="AE57" s="588"/>
      <c r="AF57" s="588"/>
      <c r="AG57" s="535"/>
    </row>
    <row r="58" spans="1:33" ht="12.75" hidden="1" customHeight="1" x14ac:dyDescent="0.2">
      <c r="D58" s="534"/>
      <c r="E58" s="203" cm="1">
        <f t="array" aca="1" ref="E58" ca="1">IF($R56=2,
         IF(AND(ACOMPANHAMENTO="PLE",ISNUMBER($F56)),
                SUMIF((OFFSET(CÁLCULO!$AM$15:$AW$15,$F56,0,OFFSET(ORÇAMENTO!$D$15,CRONO!$F56,0))),CRONO!E$12,OFFSET(CÁLCULO!$AB$15:$AL$15,$F56,0,OFFSET(ORÇAMENTO!$D$15,CRONO!$F56,0)))
                +IF(AND($F58&lt;&gt;"",$F58&lt;&gt;0),
                        SUMIF(CÁLCULO!$AM$15:$AW$231,CRONO!E$12,CÁLCULO!$AB$15:$AL$231)/(ORÇAMENTO!$X$15-_xlfn.SINGLE(CÁLCULO.TotalAdmLocal))*CRONO!$F58,
                        0),
                 E57*$S56),
          SUMIF(OFFSET($S58,1,0,$R56-2),($M56+1)&amp;"$",OFFSET(E58,1,0,$R56-2)))</f>
        <v>0</v>
      </c>
      <c r="F58" s="186" t="str">
        <f ca="1">IF(OR($R56&lt;&gt;2,AUTOEVENTO&lt;&gt;"manual",$F57&gt;0),"",
        IF(Import.TipoArredondamento="Tradicional",
              SUMIF(OFFSET(CÁLCULO!$M$15,CRONO!$F56,0,OFFSET(ORÇAMENTO!$D$15,CRONO!$F56,0)),1,OFFSET(ORÇAMENTO!$X$15,CRONO!$F56,0,OFFSET(ORÇAMENTO!$D$15,CRONO!$F56,0))),
              0))</f>
        <v/>
      </c>
      <c r="H58" s="672"/>
      <c r="S58" s="205" t="str">
        <f t="shared" ref="S58" ca="1" si="91">M56&amp;"$"</f>
        <v>2$</v>
      </c>
      <c r="T58" s="206"/>
      <c r="U58" s="203" cm="1">
        <f t="array" aca="1" ref="U58" ca="1">IF($R56=2,
         IF(AND(ACOMPANHAMENTO="PLE",ISNUMBER($F56)),
                SUMIF((OFFSET(CÁLCULO!$AM$15:$AW$15,$F56,0,OFFSET(ORÇAMENTO!$D$15,CRONO!$F56,0))),CRONO!U$12,OFFSET(CÁLCULO!$AB$15:$AL$15,$F56,0,OFFSET(ORÇAMENTO!$D$15,CRONO!$F56,0)))
                +IF(AND($F58&lt;&gt;"",$F58&lt;&gt;0),
                        SUMIF(CÁLCULO!$AM$15:$AW$231,CRONO!U$12,CÁLCULO!$AB$15:$AL$231)/(ORÇAMENTO!$X$15-_xlfn.SINGLE(CÁLCULO.TotalAdmLocal))*CRONO!$F58,
                        0),
                 U57*$S56),
          SUMIF(OFFSET($S58,1,0,$R56-2),($M56+1)&amp;"$",OFFSET(U58,1,0,$R56-2)))</f>
        <v>0</v>
      </c>
      <c r="V58" s="203" cm="1">
        <f t="array" aca="1" ref="V58" ca="1">IF($R56=2,
         IF(AND(ACOMPANHAMENTO="PLE",ISNUMBER($F56)),
                SUMIF((OFFSET(CÁLCULO!$AM$15:$AW$15,$F56,0,OFFSET(ORÇAMENTO!$D$15,CRONO!$F56,0))),CRONO!V$12,OFFSET(CÁLCULO!$AB$15:$AL$15,$F56,0,OFFSET(ORÇAMENTO!$D$15,CRONO!$F56,0)))
                +IF(AND($F58&lt;&gt;"",$F58&lt;&gt;0),
                        SUMIF(CÁLCULO!$AM$15:$AW$231,CRONO!V$12,CÁLCULO!$AB$15:$AL$231)/(ORÇAMENTO!$X$15-_xlfn.SINGLE(CÁLCULO.TotalAdmLocal))*CRONO!$F58,
                        0),
                 V57*$S56),
          SUMIF(OFFSET($S58,1,0,$R56-2),($M56+1)&amp;"$",OFFSET(V58,1,0,$R56-2)))</f>
        <v>0</v>
      </c>
      <c r="W58" s="203" cm="1">
        <f t="array" aca="1" ref="W58" ca="1">IF($R56=2,
         IF(AND(ACOMPANHAMENTO="PLE",ISNUMBER($F56)),
                SUMIF((OFFSET(CÁLCULO!$AM$15:$AW$15,$F56,0,OFFSET(ORÇAMENTO!$D$15,CRONO!$F56,0))),CRONO!W$12,OFFSET(CÁLCULO!$AB$15:$AL$15,$F56,0,OFFSET(ORÇAMENTO!$D$15,CRONO!$F56,0)))
                +IF(AND($F58&lt;&gt;"",$F58&lt;&gt;0),
                        SUMIF(CÁLCULO!$AM$15:$AW$231,CRONO!W$12,CÁLCULO!$AB$15:$AL$231)/(ORÇAMENTO!$X$15-_xlfn.SINGLE(CÁLCULO.TotalAdmLocal))*CRONO!$F58,
                        0),
                 W57*$S56),
          SUMIF(OFFSET($S58,1,0,$R56-2),($M56+1)&amp;"$",OFFSET(W58,1,0,$R56-2)))</f>
        <v>0</v>
      </c>
      <c r="X58" s="203" cm="1">
        <f t="array" aca="1" ref="X58" ca="1">IF($R56=2,
         IF(AND(ACOMPANHAMENTO="PLE",ISNUMBER($F56)),
                SUMIF((OFFSET(CÁLCULO!$AM$15:$AW$15,$F56,0,OFFSET(ORÇAMENTO!$D$15,CRONO!$F56,0))),CRONO!X$12,OFFSET(CÁLCULO!$AB$15:$AL$15,$F56,0,OFFSET(ORÇAMENTO!$D$15,CRONO!$F56,0)))
                +IF(AND($F58&lt;&gt;"",$F58&lt;&gt;0),
                        SUMIF(CÁLCULO!$AM$15:$AW$231,CRONO!X$12,CÁLCULO!$AB$15:$AL$231)/(ORÇAMENTO!$X$15-_xlfn.SINGLE(CÁLCULO.TotalAdmLocal))*CRONO!$F58,
                        0),
                 X57*$S56),
          SUMIF(OFFSET($S58,1,0,$R56-2),($M56+1)&amp;"$",OFFSET(X58,1,0,$R56-2)))</f>
        <v>0</v>
      </c>
      <c r="Y58" s="203" cm="1">
        <f t="array" aca="1" ref="Y58" ca="1">IF($R56=2,
         IF(AND(ACOMPANHAMENTO="PLE",ISNUMBER($F56)),
                SUMIF((OFFSET(CÁLCULO!$AM$15:$AW$15,$F56,0,OFFSET(ORÇAMENTO!$D$15,CRONO!$F56,0))),CRONO!Y$12,OFFSET(CÁLCULO!$AB$15:$AL$15,$F56,0,OFFSET(ORÇAMENTO!$D$15,CRONO!$F56,0)))
                +IF(AND($F58&lt;&gt;"",$F58&lt;&gt;0),
                        SUMIF(CÁLCULO!$AM$15:$AW$231,CRONO!Y$12,CÁLCULO!$AB$15:$AL$231)/(ORÇAMENTO!$X$15-_xlfn.SINGLE(CÁLCULO.TotalAdmLocal))*CRONO!$F58,
                        0),
                 Y57*$S56),
          SUMIF(OFFSET($S58,1,0,$R56-2),($M56+1)&amp;"$",OFFSET(Y58,1,0,$R56-2)))</f>
        <v>0</v>
      </c>
      <c r="Z58" s="203" cm="1">
        <f t="array" aca="1" ref="Z58" ca="1">IF($R56=2,
         IF(AND(ACOMPANHAMENTO="PLE",ISNUMBER($F56)),
                SUMIF((OFFSET(CÁLCULO!$AM$15:$AW$15,$F56,0,OFFSET(ORÇAMENTO!$D$15,CRONO!$F56,0))),CRONO!Z$12,OFFSET(CÁLCULO!$AB$15:$AL$15,$F56,0,OFFSET(ORÇAMENTO!$D$15,CRONO!$F56,0)))
                +IF(AND($F58&lt;&gt;"",$F58&lt;&gt;0),
                        SUMIF(CÁLCULO!$AM$15:$AW$231,CRONO!Z$12,CÁLCULO!$AB$15:$AL$231)/(ORÇAMENTO!$X$15-_xlfn.SINGLE(CÁLCULO.TotalAdmLocal))*CRONO!$F58,
                        0),
                 Z57*$S56),
          SUMIF(OFFSET($S58,1,0,$R56-2),($M56+1)&amp;"$",OFFSET(Z58,1,0,$R56-2)))</f>
        <v>0</v>
      </c>
      <c r="AA58" s="203" cm="1">
        <f t="array" aca="1" ref="AA58" ca="1">IF($R56=2,
         IF(AND(ACOMPANHAMENTO="PLE",ISNUMBER($F56)),
                SUMIF((OFFSET(CÁLCULO!$AM$15:$AW$15,$F56,0,OFFSET(ORÇAMENTO!$D$15,CRONO!$F56,0))),CRONO!AA$12,OFFSET(CÁLCULO!$AB$15:$AL$15,$F56,0,OFFSET(ORÇAMENTO!$D$15,CRONO!$F56,0)))
                +IF(AND($F58&lt;&gt;"",$F58&lt;&gt;0),
                        SUMIF(CÁLCULO!$AM$15:$AW$231,CRONO!AA$12,CÁLCULO!$AB$15:$AL$231)/(ORÇAMENTO!$X$15-_xlfn.SINGLE(CÁLCULO.TotalAdmLocal))*CRONO!$F58,
                        0),
                 AA57*$S56),
          SUMIF(OFFSET($S58,1,0,$R56-2),($M56+1)&amp;"$",OFFSET(AA58,1,0,$R56-2)))</f>
        <v>0</v>
      </c>
      <c r="AB58" s="203" cm="1">
        <f t="array" aca="1" ref="AB58" ca="1">IF($R56=2,
         IF(AND(ACOMPANHAMENTO="PLE",ISNUMBER($F56)),
                SUMIF((OFFSET(CÁLCULO!$AM$15:$AW$15,$F56,0,OFFSET(ORÇAMENTO!$D$15,CRONO!$F56,0))),CRONO!AB$12,OFFSET(CÁLCULO!$AB$15:$AL$15,$F56,0,OFFSET(ORÇAMENTO!$D$15,CRONO!$F56,0)))
                +IF(AND($F58&lt;&gt;"",$F58&lt;&gt;0),
                        SUMIF(CÁLCULO!$AM$15:$AW$231,CRONO!AB$12,CÁLCULO!$AB$15:$AL$231)/(ORÇAMENTO!$X$15-_xlfn.SINGLE(CÁLCULO.TotalAdmLocal))*CRONO!$F58,
                        0),
                 AB57*$S56),
          SUMIF(OFFSET($S58,1,0,$R56-2),($M56+1)&amp;"$",OFFSET(AB58,1,0,$R56-2)))</f>
        <v>0</v>
      </c>
      <c r="AC58" s="203" cm="1">
        <f t="array" aca="1" ref="AC58" ca="1">IF($R56=2,
         IF(AND(ACOMPANHAMENTO="PLE",ISNUMBER($F56)),
                SUMIF((OFFSET(CÁLCULO!$AM$15:$AW$15,$F56,0,OFFSET(ORÇAMENTO!$D$15,CRONO!$F56,0))),CRONO!AC$12,OFFSET(CÁLCULO!$AB$15:$AL$15,$F56,0,OFFSET(ORÇAMENTO!$D$15,CRONO!$F56,0)))
                +IF(AND($F58&lt;&gt;"",$F58&lt;&gt;0),
                        SUMIF(CÁLCULO!$AM$15:$AW$231,CRONO!AC$12,CÁLCULO!$AB$15:$AL$231)/(ORÇAMENTO!$X$15-_xlfn.SINGLE(CÁLCULO.TotalAdmLocal))*CRONO!$F58,
                        0),
                 AC57*$S56),
          SUMIF(OFFSET($S58,1,0,$R56-2),($M56+1)&amp;"$",OFFSET(AC58,1,0,$R56-2)))</f>
        <v>0</v>
      </c>
      <c r="AD58" s="203" cm="1">
        <f t="array" aca="1" ref="AD58" ca="1">IF($R56=2,
         IF(AND(ACOMPANHAMENTO="PLE",ISNUMBER($F56)),
                SUMIF((OFFSET(CÁLCULO!$AM$15:$AW$15,$F56,0,OFFSET(ORÇAMENTO!$D$15,CRONO!$F56,0))),CRONO!AD$12,OFFSET(CÁLCULO!$AB$15:$AL$15,$F56,0,OFFSET(ORÇAMENTO!$D$15,CRONO!$F56,0)))
                +IF(AND($F58&lt;&gt;"",$F58&lt;&gt;0),
                        SUMIF(CÁLCULO!$AM$15:$AW$231,CRONO!AD$12,CÁLCULO!$AB$15:$AL$231)/(ORÇAMENTO!$X$15-_xlfn.SINGLE(CÁLCULO.TotalAdmLocal))*CRONO!$F58,
                        0),
                 AD57*$S56),
          SUMIF(OFFSET($S58,1,0,$R56-2),($M56+1)&amp;"$",OFFSET(AD58,1,0,$R56-2)))</f>
        <v>0</v>
      </c>
      <c r="AE58" s="203" cm="1">
        <f t="array" aca="1" ref="AE58" ca="1">IF($R56=2,
         IF(AND(ACOMPANHAMENTO="PLE",ISNUMBER($F56)),
                SUMIF((OFFSET(CÁLCULO!$AM$15:$AW$15,$F56,0,OFFSET(ORÇAMENTO!$D$15,CRONO!$F56,0))),CRONO!AE$12,OFFSET(CÁLCULO!$AB$15:$AL$15,$F56,0,OFFSET(ORÇAMENTO!$D$15,CRONO!$F56,0)))
                +IF(AND($F58&lt;&gt;"",$F58&lt;&gt;0),
                        SUMIF(CÁLCULO!$AM$15:$AW$231,CRONO!AE$12,CÁLCULO!$AB$15:$AL$231)/(ORÇAMENTO!$X$15-_xlfn.SINGLE(CÁLCULO.TotalAdmLocal))*CRONO!$F58,
                        0),
                 AE57*$S56),
          SUMIF(OFFSET($S58,1,0,$R56-2),($M56+1)&amp;"$",OFFSET(AE58,1,0,$R56-2)))</f>
        <v>0</v>
      </c>
      <c r="AF58" s="203" cm="1">
        <f t="array" aca="1" ref="AF58" ca="1">IF($R56=2,
         IF(AND(ACOMPANHAMENTO="PLE",ISNUMBER($F56)),
                SUMIF((OFFSET(CÁLCULO!$AM$15:$AW$15,$F56,0,OFFSET(ORÇAMENTO!$D$15,CRONO!$F56,0))),CRONO!AF$12,OFFSET(CÁLCULO!$AB$15:$AL$15,$F56,0,OFFSET(ORÇAMENTO!$D$15,CRONO!$F56,0)))
                +IF(AND($F58&lt;&gt;"",$F58&lt;&gt;0),
                        SUMIF(CÁLCULO!$AM$15:$AW$231,CRONO!AF$12,CÁLCULO!$AB$15:$AL$231)/(ORÇAMENTO!$X$15-_xlfn.SINGLE(CÁLCULO.TotalAdmLocal))*CRONO!$F58,
                        0),
                 AF57*$S56),
          SUMIF(OFFSET($S58,1,0,$R56-2),($M56+1)&amp;"$",OFFSET(AF58,1,0,$R56-2)))</f>
        <v>0</v>
      </c>
      <c r="AG58" s="535"/>
    </row>
    <row r="59" spans="1:33" x14ac:dyDescent="0.2">
      <c r="A59" s="187" t="str">
        <f t="shared" ref="A59" ca="1" si="92">IF($M59&gt;1,_xlfn.CONCAT($I59," ",$J59),"")</f>
        <v>1.15. ESCORAMENTO, ESGOTAMENTO E DRENAGEM</v>
      </c>
      <c r="B59" s="186">
        <f t="shared" ref="B59" ca="1" si="93">OFFSET(B59,-3,0)+1</f>
        <v>16</v>
      </c>
      <c r="C59" s="186">
        <f ca="1">IF($R59&lt;&gt;2,0,IF($S59=0,1,IF(F60&gt;0,OFFSET(QCI!$M$13,SUBSTITUTE(F60,".",""),0),OFFSET(ORÇAMENTO!$AA$15,CRONO!$F59,0))/$S59))</f>
        <v>1</v>
      </c>
      <c r="D59" s="186">
        <f ca="1">IF($R59&lt;&gt;2,0,IF($S59=0,1,IF(F60&gt;0,OFFSET(QCI!$N$13,SUBSTITUTE(F60,".",""),0),OFFSET(ORÇAMENTO!$AB$15,CRONO!$F59,0))/$S59))</f>
        <v>1</v>
      </c>
      <c r="E59" s="189" cm="1">
        <f t="array" aca="1" ref="E59" ca="1">IF(AND($R59=2,ACOMPANHAMENTO="BM"),ROUND(E60,4),E61/$S59)</f>
        <v>0</v>
      </c>
      <c r="F59" s="186">
        <f ca="1">IF(B59&lt;=ORÇAMENTO.MáximoListaCrono,MATCH(B59,ORÇAMENTO.ListaCrono,0),NA())</f>
        <v>107</v>
      </c>
      <c r="G59" s="186" t="str">
        <f t="shared" ref="G59" ca="1" si="94">IF(AND($F60&lt;&gt;-1,$S59&gt;0),"F","")</f>
        <v/>
      </c>
      <c r="H59" s="190" t="str" cm="1">
        <f t="array" aca="1" ref="H59" ca="1">IF(OR(S59=0,S59=""),"Linha",IF(AND(OR(ACOMPANHAMENTO="PLE",$R59&lt;&gt;2),$F60=0),"Linha",ROUND(1-SUM(U59:AG59),4)))</f>
        <v>Linha</v>
      </c>
      <c r="I59" s="191" t="str">
        <f ca="1">IF($F60=0,OFFSET(ORÇAMENTO!O$15,$F59,0),IF($F60&lt;&gt;-1,OFFSET(QCI!$D$13,$F60,0),""))</f>
        <v>1.15.</v>
      </c>
      <c r="J59" s="192" t="str">
        <f ca="1">IF($F60=0,OFFSET(ORÇAMENTO!R$15,$F59,0),IF($F60&lt;&gt;-1,OFFSET(QCI!$G$13,$F60,0),""))</f>
        <v>ESCORAMENTO, ESGOTAMENTO E DRENAGEM</v>
      </c>
      <c r="K59" s="192"/>
      <c r="L59" s="192"/>
      <c r="M59" s="193">
        <f ca="1">IF($F60=0,OFFSET(ORÇAMENTO!C$15,$F59,0),1)</f>
        <v>2</v>
      </c>
      <c r="N59" s="194">
        <f ca="1">IF($F60=-1,0,IF(N$13&lt;=$M59,IF(ISERROR(MATCH(N$13,OFFSET($M59,1,0,ROW($M$101)-ROW($M59)-1),0)),ROW($M$101)-ROW($M59)-1,MATCH(N$13,OFFSET($M59,1,0,ROW($M$101)-ROW($M59)-1),0)-1),0))</f>
        <v>41</v>
      </c>
      <c r="O59" s="194">
        <f ca="1">IF($F60=-1,0,IF(O$13&lt;=$M59,IF(ISERROR(MATCH(O$13,OFFSET($M59,1,0,ROW($M$101)-ROW($M59)-1),0)),ROW($M$101)-ROW($M59)-1,MATCH(O$13,OFFSET($M59,1,0,ROW($M$101)-ROW($M59)-1),0)-1),0))</f>
        <v>2</v>
      </c>
      <c r="P59" s="194">
        <f ca="1">IF($F60=-1,0,IF(P$13&lt;=$M59,IF(ISERROR(MATCH(P$13,OFFSET($M59,1,0,ROW($M$101)-ROW($M59)-1),0)),ROW($M$101)-ROW($M59)-1,MATCH(P$13,OFFSET($M59,1,0,ROW($M$101)-ROW($M59)-1),0)-1),0))</f>
        <v>0</v>
      </c>
      <c r="Q59" s="194">
        <f ca="1">IF($F60=-1,0,IF(Q$13&lt;=$M59,IF(ISERROR(MATCH(Q$13,OFFSET($M59,1,0,ROW($M$101)-ROW($M59)-1),0)),ROW($M$101)-ROW($M59)-1,MATCH(Q$13,OFFSET($M59,1,0,ROW($M$101)-ROW($M59)-1),0)-1),0))</f>
        <v>0</v>
      </c>
      <c r="R59" s="194">
        <f t="shared" ref="R59" ca="1" si="95">MIN(OFFSET(M59,0,1,,M59))</f>
        <v>2</v>
      </c>
      <c r="S59" s="195">
        <f ca="1">IF($F60=0,OFFSET(ORÇAMENTO!X$15,$F59,0),IF($F60&lt;&gt;-1,OFFSET(QCI!$O$13,$F60,0),""))</f>
        <v>0</v>
      </c>
      <c r="T59" s="196" t="s">
        <v>786</v>
      </c>
      <c r="U59" s="189" cm="1">
        <f t="array" aca="1" ref="U59" ca="1">IF(AND($R59=2,ACOMPANHAMENTO="BM"),ROUND(U60,4),U61/$S59)</f>
        <v>0</v>
      </c>
      <c r="V59" s="189" cm="1">
        <f t="array" aca="1" ref="V59" ca="1">IF(AND($R59=2,ACOMPANHAMENTO="BM"),ROUND(V60,4),V61/$S59)</f>
        <v>0</v>
      </c>
      <c r="W59" s="189" cm="1">
        <f t="array" aca="1" ref="W59" ca="1">IF(AND($R59=2,ACOMPANHAMENTO="BM"),ROUND(W60,4),W61/$S59)</f>
        <v>0</v>
      </c>
      <c r="X59" s="189" cm="1">
        <f t="array" aca="1" ref="X59" ca="1">IF(AND($R59=2,ACOMPANHAMENTO="BM"),ROUND(X60,4),X61/$S59)</f>
        <v>0</v>
      </c>
      <c r="Y59" s="189" cm="1">
        <f t="array" aca="1" ref="Y59" ca="1">IF(AND($R59=2,ACOMPANHAMENTO="BM"),ROUND(Y60,4),Y61/$S59)</f>
        <v>0</v>
      </c>
      <c r="Z59" s="189" cm="1">
        <f t="array" aca="1" ref="Z59" ca="1">IF(AND($R59=2,ACOMPANHAMENTO="BM"),ROUND(Z60,4),Z61/$S59)</f>
        <v>0.33</v>
      </c>
      <c r="AA59" s="189" cm="1">
        <f t="array" aca="1" ref="AA59" ca="1">IF(AND($R59=2,ACOMPANHAMENTO="BM"),ROUND(AA60,4),AA61/$S59)</f>
        <v>0.33</v>
      </c>
      <c r="AB59" s="189" cm="1">
        <f t="array" aca="1" ref="AB59" ca="1">IF(AND($R59=2,ACOMPANHAMENTO="BM"),ROUND(AB60,4),AB61/$S59)</f>
        <v>0.34</v>
      </c>
      <c r="AC59" s="189" cm="1">
        <f t="array" aca="1" ref="AC59" ca="1">IF(AND($R59=2,ACOMPANHAMENTO="BM"),ROUND(AC60,4),AC61/$S59)</f>
        <v>0</v>
      </c>
      <c r="AD59" s="189" cm="1">
        <f t="array" aca="1" ref="AD59" ca="1">IF(AND($R59=2,ACOMPANHAMENTO="BM"),ROUND(AD60,4),AD61/$S59)</f>
        <v>0</v>
      </c>
      <c r="AE59" s="189" cm="1">
        <f t="array" aca="1" ref="AE59" ca="1">IF(AND($R59=2,ACOMPANHAMENTO="BM"),ROUND(AE60,4),AE61/$S59)</f>
        <v>0</v>
      </c>
      <c r="AF59" s="189" cm="1">
        <f t="array" aca="1" ref="AF59" ca="1">IF(AND($R59=2,ACOMPANHAMENTO="BM"),ROUND(AF60,4),AF61/$S59)</f>
        <v>0</v>
      </c>
      <c r="AG59" s="535"/>
    </row>
    <row r="60" spans="1:33" ht="12.75" customHeight="1" x14ac:dyDescent="0.2">
      <c r="E60" s="588"/>
      <c r="F60" s="186">
        <f ca="1">IF(ISERROR(F59),IF(1+COUNTIF($M$13:OFFSET(M59,-1,0),1)&lt;=MAX(QCI!$D$13:$D$15),1+COUNTIF($M$13:OFFSET(M59,-1,0),1),-1),0)</f>
        <v>0</v>
      </c>
      <c r="G60" s="186" t="str" cm="1">
        <f t="array" aca="1" ref="G60" ca="1">IF(ACOMPANHAMENTO="BM",OFFSET(G60,-1,0),"")</f>
        <v/>
      </c>
      <c r="H60" s="197" t="str" cm="1">
        <f t="array" aca="1" ref="H60" ca="1">IF(OR(S59=0,S59=""),"vazia",IF(AND(OR(ACOMPANHAMENTO="PLE",$R59&lt;&gt;2),$F60=0),"calculada","--&gt;"))</f>
        <v>vazia</v>
      </c>
      <c r="I60" s="198"/>
      <c r="J60" s="199" t="str">
        <f t="shared" ref="J60" ca="1" si="96">IF(AND(H59&lt;&gt;0,ISNUMBER(H59)),"PREENCHA ESTA LINHA --&gt;","")</f>
        <v/>
      </c>
      <c r="K60" s="199"/>
      <c r="L60" s="199"/>
      <c r="M60" s="200"/>
      <c r="N60" s="200"/>
      <c r="O60" s="200"/>
      <c r="P60" s="200"/>
      <c r="Q60" s="200"/>
      <c r="R60" s="200"/>
      <c r="S60" s="201"/>
      <c r="T60" s="202"/>
      <c r="U60" s="588"/>
      <c r="V60" s="588"/>
      <c r="W60" s="588"/>
      <c r="X60" s="588"/>
      <c r="Y60" s="588"/>
      <c r="Z60" s="588">
        <v>0.33</v>
      </c>
      <c r="AA60" s="588">
        <v>0.33</v>
      </c>
      <c r="AB60" s="588">
        <v>0.34</v>
      </c>
      <c r="AC60" s="588"/>
      <c r="AD60" s="588"/>
      <c r="AE60" s="588"/>
      <c r="AF60" s="588"/>
      <c r="AG60" s="535"/>
    </row>
    <row r="61" spans="1:33" ht="12.75" hidden="1" customHeight="1" x14ac:dyDescent="0.2">
      <c r="D61" s="534"/>
      <c r="E61" s="203" cm="1">
        <f t="array" aca="1" ref="E61" ca="1">IF($R59=2,
         IF(AND(ACOMPANHAMENTO="PLE",ISNUMBER($F59)),
                SUMIF((OFFSET(CÁLCULO!$AM$15:$AW$15,$F59,0,OFFSET(ORÇAMENTO!$D$15,CRONO!$F59,0))),CRONO!E$12,OFFSET(CÁLCULO!$AB$15:$AL$15,$F59,0,OFFSET(ORÇAMENTO!$D$15,CRONO!$F59,0)))
                +IF(AND($F61&lt;&gt;"",$F61&lt;&gt;0),
                        SUMIF(CÁLCULO!$AM$15:$AW$231,CRONO!E$12,CÁLCULO!$AB$15:$AL$231)/(ORÇAMENTO!$X$15-_xlfn.SINGLE(CÁLCULO.TotalAdmLocal))*CRONO!$F61,
                        0),
                 E60*$S59),
          SUMIF(OFFSET($S61,1,0,$R59-2),($M59+1)&amp;"$",OFFSET(E61,1,0,$R59-2)))</f>
        <v>0</v>
      </c>
      <c r="F61" s="186" t="str">
        <f ca="1">IF(OR($R59&lt;&gt;2,AUTOEVENTO&lt;&gt;"manual",$F60&gt;0),"",
        IF(Import.TipoArredondamento="Tradicional",
              SUMIF(OFFSET(CÁLCULO!$M$15,CRONO!$F59,0,OFFSET(ORÇAMENTO!$D$15,CRONO!$F59,0)),1,OFFSET(ORÇAMENTO!$X$15,CRONO!$F59,0,OFFSET(ORÇAMENTO!$D$15,CRONO!$F59,0))),
              0))</f>
        <v/>
      </c>
      <c r="H61" s="672"/>
      <c r="S61" s="205" t="str">
        <f t="shared" ref="S61" ca="1" si="97">M59&amp;"$"</f>
        <v>2$</v>
      </c>
      <c r="T61" s="206"/>
      <c r="U61" s="203" cm="1">
        <f t="array" aca="1" ref="U61" ca="1">IF($R59=2,
         IF(AND(ACOMPANHAMENTO="PLE",ISNUMBER($F59)),
                SUMIF((OFFSET(CÁLCULO!$AM$15:$AW$15,$F59,0,OFFSET(ORÇAMENTO!$D$15,CRONO!$F59,0))),CRONO!U$12,OFFSET(CÁLCULO!$AB$15:$AL$15,$F59,0,OFFSET(ORÇAMENTO!$D$15,CRONO!$F59,0)))
                +IF(AND($F61&lt;&gt;"",$F61&lt;&gt;0),
                        SUMIF(CÁLCULO!$AM$15:$AW$231,CRONO!U$12,CÁLCULO!$AB$15:$AL$231)/(ORÇAMENTO!$X$15-_xlfn.SINGLE(CÁLCULO.TotalAdmLocal))*CRONO!$F61,
                        0),
                 U60*$S59),
          SUMIF(OFFSET($S61,1,0,$R59-2),($M59+1)&amp;"$",OFFSET(U61,1,0,$R59-2)))</f>
        <v>0</v>
      </c>
      <c r="V61" s="203" cm="1">
        <f t="array" aca="1" ref="V61" ca="1">IF($R59=2,
         IF(AND(ACOMPANHAMENTO="PLE",ISNUMBER($F59)),
                SUMIF((OFFSET(CÁLCULO!$AM$15:$AW$15,$F59,0,OFFSET(ORÇAMENTO!$D$15,CRONO!$F59,0))),CRONO!V$12,OFFSET(CÁLCULO!$AB$15:$AL$15,$F59,0,OFFSET(ORÇAMENTO!$D$15,CRONO!$F59,0)))
                +IF(AND($F61&lt;&gt;"",$F61&lt;&gt;0),
                        SUMIF(CÁLCULO!$AM$15:$AW$231,CRONO!V$12,CÁLCULO!$AB$15:$AL$231)/(ORÇAMENTO!$X$15-_xlfn.SINGLE(CÁLCULO.TotalAdmLocal))*CRONO!$F61,
                        0),
                 V60*$S59),
          SUMIF(OFFSET($S61,1,0,$R59-2),($M59+1)&amp;"$",OFFSET(V61,1,0,$R59-2)))</f>
        <v>0</v>
      </c>
      <c r="W61" s="203" cm="1">
        <f t="array" aca="1" ref="W61" ca="1">IF($R59=2,
         IF(AND(ACOMPANHAMENTO="PLE",ISNUMBER($F59)),
                SUMIF((OFFSET(CÁLCULO!$AM$15:$AW$15,$F59,0,OFFSET(ORÇAMENTO!$D$15,CRONO!$F59,0))),CRONO!W$12,OFFSET(CÁLCULO!$AB$15:$AL$15,$F59,0,OFFSET(ORÇAMENTO!$D$15,CRONO!$F59,0)))
                +IF(AND($F61&lt;&gt;"",$F61&lt;&gt;0),
                        SUMIF(CÁLCULO!$AM$15:$AW$231,CRONO!W$12,CÁLCULO!$AB$15:$AL$231)/(ORÇAMENTO!$X$15-_xlfn.SINGLE(CÁLCULO.TotalAdmLocal))*CRONO!$F61,
                        0),
                 W60*$S59),
          SUMIF(OFFSET($S61,1,0,$R59-2),($M59+1)&amp;"$",OFFSET(W61,1,0,$R59-2)))</f>
        <v>0</v>
      </c>
      <c r="X61" s="203" cm="1">
        <f t="array" aca="1" ref="X61" ca="1">IF($R59=2,
         IF(AND(ACOMPANHAMENTO="PLE",ISNUMBER($F59)),
                SUMIF((OFFSET(CÁLCULO!$AM$15:$AW$15,$F59,0,OFFSET(ORÇAMENTO!$D$15,CRONO!$F59,0))),CRONO!X$12,OFFSET(CÁLCULO!$AB$15:$AL$15,$F59,0,OFFSET(ORÇAMENTO!$D$15,CRONO!$F59,0)))
                +IF(AND($F61&lt;&gt;"",$F61&lt;&gt;0),
                        SUMIF(CÁLCULO!$AM$15:$AW$231,CRONO!X$12,CÁLCULO!$AB$15:$AL$231)/(ORÇAMENTO!$X$15-_xlfn.SINGLE(CÁLCULO.TotalAdmLocal))*CRONO!$F61,
                        0),
                 X60*$S59),
          SUMIF(OFFSET($S61,1,0,$R59-2),($M59+1)&amp;"$",OFFSET(X61,1,0,$R59-2)))</f>
        <v>0</v>
      </c>
      <c r="Y61" s="203" cm="1">
        <f t="array" aca="1" ref="Y61" ca="1">IF($R59=2,
         IF(AND(ACOMPANHAMENTO="PLE",ISNUMBER($F59)),
                SUMIF((OFFSET(CÁLCULO!$AM$15:$AW$15,$F59,0,OFFSET(ORÇAMENTO!$D$15,CRONO!$F59,0))),CRONO!Y$12,OFFSET(CÁLCULO!$AB$15:$AL$15,$F59,0,OFFSET(ORÇAMENTO!$D$15,CRONO!$F59,0)))
                +IF(AND($F61&lt;&gt;"",$F61&lt;&gt;0),
                        SUMIF(CÁLCULO!$AM$15:$AW$231,CRONO!Y$12,CÁLCULO!$AB$15:$AL$231)/(ORÇAMENTO!$X$15-_xlfn.SINGLE(CÁLCULO.TotalAdmLocal))*CRONO!$F61,
                        0),
                 Y60*$S59),
          SUMIF(OFFSET($S61,1,0,$R59-2),($M59+1)&amp;"$",OFFSET(Y61,1,0,$R59-2)))</f>
        <v>0</v>
      </c>
      <c r="Z61" s="203" cm="1">
        <f t="array" aca="1" ref="Z61" ca="1">IF($R59=2,
         IF(AND(ACOMPANHAMENTO="PLE",ISNUMBER($F59)),
                SUMIF((OFFSET(CÁLCULO!$AM$15:$AW$15,$F59,0,OFFSET(ORÇAMENTO!$D$15,CRONO!$F59,0))),CRONO!Z$12,OFFSET(CÁLCULO!$AB$15:$AL$15,$F59,0,OFFSET(ORÇAMENTO!$D$15,CRONO!$F59,0)))
                +IF(AND($F61&lt;&gt;"",$F61&lt;&gt;0),
                        SUMIF(CÁLCULO!$AM$15:$AW$231,CRONO!Z$12,CÁLCULO!$AB$15:$AL$231)/(ORÇAMENTO!$X$15-_xlfn.SINGLE(CÁLCULO.TotalAdmLocal))*CRONO!$F61,
                        0),
                 Z60*$S59),
          SUMIF(OFFSET($S61,1,0,$R59-2),($M59+1)&amp;"$",OFFSET(Z61,1,0,$R59-2)))</f>
        <v>0</v>
      </c>
      <c r="AA61" s="203" cm="1">
        <f t="array" aca="1" ref="AA61" ca="1">IF($R59=2,
         IF(AND(ACOMPANHAMENTO="PLE",ISNUMBER($F59)),
                SUMIF((OFFSET(CÁLCULO!$AM$15:$AW$15,$F59,0,OFFSET(ORÇAMENTO!$D$15,CRONO!$F59,0))),CRONO!AA$12,OFFSET(CÁLCULO!$AB$15:$AL$15,$F59,0,OFFSET(ORÇAMENTO!$D$15,CRONO!$F59,0)))
                +IF(AND($F61&lt;&gt;"",$F61&lt;&gt;0),
                        SUMIF(CÁLCULO!$AM$15:$AW$231,CRONO!AA$12,CÁLCULO!$AB$15:$AL$231)/(ORÇAMENTO!$X$15-_xlfn.SINGLE(CÁLCULO.TotalAdmLocal))*CRONO!$F61,
                        0),
                 AA60*$S59),
          SUMIF(OFFSET($S61,1,0,$R59-2),($M59+1)&amp;"$",OFFSET(AA61,1,0,$R59-2)))</f>
        <v>0</v>
      </c>
      <c r="AB61" s="203" cm="1">
        <f t="array" aca="1" ref="AB61" ca="1">IF($R59=2,
         IF(AND(ACOMPANHAMENTO="PLE",ISNUMBER($F59)),
                SUMIF((OFFSET(CÁLCULO!$AM$15:$AW$15,$F59,0,OFFSET(ORÇAMENTO!$D$15,CRONO!$F59,0))),CRONO!AB$12,OFFSET(CÁLCULO!$AB$15:$AL$15,$F59,0,OFFSET(ORÇAMENTO!$D$15,CRONO!$F59,0)))
                +IF(AND($F61&lt;&gt;"",$F61&lt;&gt;0),
                        SUMIF(CÁLCULO!$AM$15:$AW$231,CRONO!AB$12,CÁLCULO!$AB$15:$AL$231)/(ORÇAMENTO!$X$15-_xlfn.SINGLE(CÁLCULO.TotalAdmLocal))*CRONO!$F61,
                        0),
                 AB60*$S59),
          SUMIF(OFFSET($S61,1,0,$R59-2),($M59+1)&amp;"$",OFFSET(AB61,1,0,$R59-2)))</f>
        <v>0</v>
      </c>
      <c r="AC61" s="203" cm="1">
        <f t="array" aca="1" ref="AC61" ca="1">IF($R59=2,
         IF(AND(ACOMPANHAMENTO="PLE",ISNUMBER($F59)),
                SUMIF((OFFSET(CÁLCULO!$AM$15:$AW$15,$F59,0,OFFSET(ORÇAMENTO!$D$15,CRONO!$F59,0))),CRONO!AC$12,OFFSET(CÁLCULO!$AB$15:$AL$15,$F59,0,OFFSET(ORÇAMENTO!$D$15,CRONO!$F59,0)))
                +IF(AND($F61&lt;&gt;"",$F61&lt;&gt;0),
                        SUMIF(CÁLCULO!$AM$15:$AW$231,CRONO!AC$12,CÁLCULO!$AB$15:$AL$231)/(ORÇAMENTO!$X$15-_xlfn.SINGLE(CÁLCULO.TotalAdmLocal))*CRONO!$F61,
                        0),
                 AC60*$S59),
          SUMIF(OFFSET($S61,1,0,$R59-2),($M59+1)&amp;"$",OFFSET(AC61,1,0,$R59-2)))</f>
        <v>0</v>
      </c>
      <c r="AD61" s="203" cm="1">
        <f t="array" aca="1" ref="AD61" ca="1">IF($R59=2,
         IF(AND(ACOMPANHAMENTO="PLE",ISNUMBER($F59)),
                SUMIF((OFFSET(CÁLCULO!$AM$15:$AW$15,$F59,0,OFFSET(ORÇAMENTO!$D$15,CRONO!$F59,0))),CRONO!AD$12,OFFSET(CÁLCULO!$AB$15:$AL$15,$F59,0,OFFSET(ORÇAMENTO!$D$15,CRONO!$F59,0)))
                +IF(AND($F61&lt;&gt;"",$F61&lt;&gt;0),
                        SUMIF(CÁLCULO!$AM$15:$AW$231,CRONO!AD$12,CÁLCULO!$AB$15:$AL$231)/(ORÇAMENTO!$X$15-_xlfn.SINGLE(CÁLCULO.TotalAdmLocal))*CRONO!$F61,
                        0),
                 AD60*$S59),
          SUMIF(OFFSET($S61,1,0,$R59-2),($M59+1)&amp;"$",OFFSET(AD61,1,0,$R59-2)))</f>
        <v>0</v>
      </c>
      <c r="AE61" s="203" cm="1">
        <f t="array" aca="1" ref="AE61" ca="1">IF($R59=2,
         IF(AND(ACOMPANHAMENTO="PLE",ISNUMBER($F59)),
                SUMIF((OFFSET(CÁLCULO!$AM$15:$AW$15,$F59,0,OFFSET(ORÇAMENTO!$D$15,CRONO!$F59,0))),CRONO!AE$12,OFFSET(CÁLCULO!$AB$15:$AL$15,$F59,0,OFFSET(ORÇAMENTO!$D$15,CRONO!$F59,0)))
                +IF(AND($F61&lt;&gt;"",$F61&lt;&gt;0),
                        SUMIF(CÁLCULO!$AM$15:$AW$231,CRONO!AE$12,CÁLCULO!$AB$15:$AL$231)/(ORÇAMENTO!$X$15-_xlfn.SINGLE(CÁLCULO.TotalAdmLocal))*CRONO!$F61,
                        0),
                 AE60*$S59),
          SUMIF(OFFSET($S61,1,0,$R59-2),($M59+1)&amp;"$",OFFSET(AE61,1,0,$R59-2)))</f>
        <v>0</v>
      </c>
      <c r="AF61" s="203" cm="1">
        <f t="array" aca="1" ref="AF61" ca="1">IF($R59=2,
         IF(AND(ACOMPANHAMENTO="PLE",ISNUMBER($F59)),
                SUMIF((OFFSET(CÁLCULO!$AM$15:$AW$15,$F59,0,OFFSET(ORÇAMENTO!$D$15,CRONO!$F59,0))),CRONO!AF$12,OFFSET(CÁLCULO!$AB$15:$AL$15,$F59,0,OFFSET(ORÇAMENTO!$D$15,CRONO!$F59,0)))
                +IF(AND($F61&lt;&gt;"",$F61&lt;&gt;0),
                        SUMIF(CÁLCULO!$AM$15:$AW$231,CRONO!AF$12,CÁLCULO!$AB$15:$AL$231)/(ORÇAMENTO!$X$15-_xlfn.SINGLE(CÁLCULO.TotalAdmLocal))*CRONO!$F61,
                        0),
                 AF60*$S59),
          SUMIF(OFFSET($S61,1,0,$R59-2),($M59+1)&amp;"$",OFFSET(AF61,1,0,$R59-2)))</f>
        <v>0</v>
      </c>
      <c r="AG61" s="535"/>
    </row>
    <row r="62" spans="1:33" x14ac:dyDescent="0.2">
      <c r="A62" s="187" t="str">
        <f t="shared" ref="A62" ca="1" si="98">IF($M62&gt;1,_xlfn.CONCAT($I62," ",$J62),"")</f>
        <v>1.16. ASSENTAMENTOS</v>
      </c>
      <c r="B62" s="186">
        <f t="shared" ref="B62" ca="1" si="99">OFFSET(B62,-3,0)+1</f>
        <v>17</v>
      </c>
      <c r="C62" s="186">
        <f ca="1">IF($R62&lt;&gt;2,0,IF($S62=0,1,IF(F63&gt;0,OFFSET(QCI!$M$13,SUBSTITUTE(F63,".",""),0),OFFSET(ORÇAMENTO!$AA$15,CRONO!$F62,0))/$S62))</f>
        <v>1</v>
      </c>
      <c r="D62" s="186">
        <f ca="1">IF($R62&lt;&gt;2,0,IF($S62=0,1,IF(F63&gt;0,OFFSET(QCI!$N$13,SUBSTITUTE(F63,".",""),0),OFFSET(ORÇAMENTO!$AB$15,CRONO!$F62,0))/$S62))</f>
        <v>1</v>
      </c>
      <c r="E62" s="189" cm="1">
        <f t="array" aca="1" ref="E62" ca="1">IF(AND($R62=2,ACOMPANHAMENTO="BM"),ROUND(E63,4),E64/$S62)</f>
        <v>0</v>
      </c>
      <c r="F62" s="186">
        <f ca="1">IF(B62&lt;=ORÇAMENTO.MáximoListaCrono,MATCH(B62,ORÇAMENTO.ListaCrono,0),NA())</f>
        <v>114</v>
      </c>
      <c r="G62" s="186" t="str">
        <f t="shared" ref="G62" ca="1" si="100">IF(AND($F63&lt;&gt;-1,$S62&gt;0),"F","")</f>
        <v/>
      </c>
      <c r="H62" s="190" t="str" cm="1">
        <f t="array" aca="1" ref="H62" ca="1">IF(OR(S62=0,S62=""),"Linha",IF(AND(OR(ACOMPANHAMENTO="PLE",$R62&lt;&gt;2),$F63=0),"Linha",ROUND(1-SUM(U62:AG62),4)))</f>
        <v>Linha</v>
      </c>
      <c r="I62" s="191" t="str">
        <f ca="1">IF($F63=0,OFFSET(ORÇAMENTO!O$15,$F62,0),IF($F63&lt;&gt;-1,OFFSET(QCI!$D$13,$F63,0),""))</f>
        <v>1.16.</v>
      </c>
      <c r="J62" s="192" t="str">
        <f ca="1">IF($F63=0,OFFSET(ORÇAMENTO!R$15,$F62,0),IF($F63&lt;&gt;-1,OFFSET(QCI!$G$13,$F63,0),""))</f>
        <v>ASSENTAMENTOS</v>
      </c>
      <c r="K62" s="192"/>
      <c r="L62" s="192"/>
      <c r="M62" s="193">
        <f ca="1">IF($F63=0,OFFSET(ORÇAMENTO!C$15,$F62,0),1)</f>
        <v>2</v>
      </c>
      <c r="N62" s="194">
        <f ca="1">IF($F63=-1,0,IF(N$13&lt;=$M62,IF(ISERROR(MATCH(N$13,OFFSET($M62,1,0,ROW($M$101)-ROW($M62)-1),0)),ROW($M$101)-ROW($M62)-1,MATCH(N$13,OFFSET($M62,1,0,ROW($M$101)-ROW($M62)-1),0)-1),0))</f>
        <v>38</v>
      </c>
      <c r="O62" s="194">
        <f ca="1">IF($F63=-1,0,IF(O$13&lt;=$M62,IF(ISERROR(MATCH(O$13,OFFSET($M62,1,0,ROW($M$101)-ROW($M62)-1),0)),ROW($M$101)-ROW($M62)-1,MATCH(O$13,OFFSET($M62,1,0,ROW($M$101)-ROW($M62)-1),0)-1),0))</f>
        <v>2</v>
      </c>
      <c r="P62" s="194">
        <f ca="1">IF($F63=-1,0,IF(P$13&lt;=$M62,IF(ISERROR(MATCH(P$13,OFFSET($M62,1,0,ROW($M$101)-ROW($M62)-1),0)),ROW($M$101)-ROW($M62)-1,MATCH(P$13,OFFSET($M62,1,0,ROW($M$101)-ROW($M62)-1),0)-1),0))</f>
        <v>0</v>
      </c>
      <c r="Q62" s="194">
        <f ca="1">IF($F63=-1,0,IF(Q$13&lt;=$M62,IF(ISERROR(MATCH(Q$13,OFFSET($M62,1,0,ROW($M$101)-ROW($M62)-1),0)),ROW($M$101)-ROW($M62)-1,MATCH(Q$13,OFFSET($M62,1,0,ROW($M$101)-ROW($M62)-1),0)-1),0))</f>
        <v>0</v>
      </c>
      <c r="R62" s="194">
        <f t="shared" ref="R62" ca="1" si="101">MIN(OFFSET(M62,0,1,,M62))</f>
        <v>2</v>
      </c>
      <c r="S62" s="195">
        <f ca="1">IF($F63=0,OFFSET(ORÇAMENTO!X$15,$F62,0),IF($F63&lt;&gt;-1,OFFSET(QCI!$O$13,$F63,0),""))</f>
        <v>0</v>
      </c>
      <c r="T62" s="196" t="s">
        <v>786</v>
      </c>
      <c r="U62" s="189" cm="1">
        <f t="array" aca="1" ref="U62" ca="1">IF(AND($R62=2,ACOMPANHAMENTO="BM"),ROUND(U63,4),U64/$S62)</f>
        <v>0</v>
      </c>
      <c r="V62" s="189" cm="1">
        <f t="array" aca="1" ref="V62" ca="1">IF(AND($R62=2,ACOMPANHAMENTO="BM"),ROUND(V63,4),V64/$S62)</f>
        <v>0</v>
      </c>
      <c r="W62" s="189" cm="1">
        <f t="array" aca="1" ref="W62" ca="1">IF(AND($R62=2,ACOMPANHAMENTO="BM"),ROUND(W63,4),W64/$S62)</f>
        <v>0</v>
      </c>
      <c r="X62" s="189" cm="1">
        <f t="array" aca="1" ref="X62" ca="1">IF(AND($R62=2,ACOMPANHAMENTO="BM"),ROUND(X63,4),X64/$S62)</f>
        <v>0</v>
      </c>
      <c r="Y62" s="189" cm="1">
        <f t="array" aca="1" ref="Y62" ca="1">IF(AND($R62=2,ACOMPANHAMENTO="BM"),ROUND(Y63,4),Y64/$S62)</f>
        <v>0</v>
      </c>
      <c r="Z62" s="189" cm="1">
        <f t="array" aca="1" ref="Z62" ca="1">IF(AND($R62=2,ACOMPANHAMENTO="BM"),ROUND(Z63,4),Z64/$S62)</f>
        <v>0.34</v>
      </c>
      <c r="AA62" s="189" cm="1">
        <f t="array" aca="1" ref="AA62" ca="1">IF(AND($R62=2,ACOMPANHAMENTO="BM"),ROUND(AA63,4),AA64/$S62)</f>
        <v>0.33</v>
      </c>
      <c r="AB62" s="189" cm="1">
        <f t="array" aca="1" ref="AB62" ca="1">IF(AND($R62=2,ACOMPANHAMENTO="BM"),ROUND(AB63,4),AB64/$S62)</f>
        <v>0.33</v>
      </c>
      <c r="AC62" s="189" cm="1">
        <f t="array" aca="1" ref="AC62" ca="1">IF(AND($R62=2,ACOMPANHAMENTO="BM"),ROUND(AC63,4),AC64/$S62)</f>
        <v>0</v>
      </c>
      <c r="AD62" s="189" cm="1">
        <f t="array" aca="1" ref="AD62" ca="1">IF(AND($R62=2,ACOMPANHAMENTO="BM"),ROUND(AD63,4),AD64/$S62)</f>
        <v>0</v>
      </c>
      <c r="AE62" s="189" cm="1">
        <f t="array" aca="1" ref="AE62" ca="1">IF(AND($R62=2,ACOMPANHAMENTO="BM"),ROUND(AE63,4),AE64/$S62)</f>
        <v>0</v>
      </c>
      <c r="AF62" s="189" cm="1">
        <f t="array" aca="1" ref="AF62" ca="1">IF(AND($R62=2,ACOMPANHAMENTO="BM"),ROUND(AF63,4),AF64/$S62)</f>
        <v>0</v>
      </c>
      <c r="AG62" s="535"/>
    </row>
    <row r="63" spans="1:33" ht="12.75" customHeight="1" x14ac:dyDescent="0.2">
      <c r="E63" s="588"/>
      <c r="F63" s="186">
        <f ca="1">IF(ISERROR(F62),IF(1+COUNTIF($M$13:OFFSET(M62,-1,0),1)&lt;=MAX(QCI!$D$13:$D$15),1+COUNTIF($M$13:OFFSET(M62,-1,0),1),-1),0)</f>
        <v>0</v>
      </c>
      <c r="G63" s="186" t="str" cm="1">
        <f t="array" aca="1" ref="G63" ca="1">IF(ACOMPANHAMENTO="BM",OFFSET(G63,-1,0),"")</f>
        <v/>
      </c>
      <c r="H63" s="197" t="str" cm="1">
        <f t="array" aca="1" ref="H63" ca="1">IF(OR(S62=0,S62=""),"vazia",IF(AND(OR(ACOMPANHAMENTO="PLE",$R62&lt;&gt;2),$F63=0),"calculada","--&gt;"))</f>
        <v>vazia</v>
      </c>
      <c r="I63" s="198"/>
      <c r="J63" s="199" t="str">
        <f t="shared" ref="J63" ca="1" si="102">IF(AND(H62&lt;&gt;0,ISNUMBER(H62)),"PREENCHA ESTA LINHA --&gt;","")</f>
        <v/>
      </c>
      <c r="K63" s="199"/>
      <c r="L63" s="199"/>
      <c r="M63" s="200"/>
      <c r="N63" s="200"/>
      <c r="O63" s="200"/>
      <c r="P63" s="200"/>
      <c r="Q63" s="200"/>
      <c r="R63" s="200"/>
      <c r="S63" s="201"/>
      <c r="T63" s="202"/>
      <c r="U63" s="588"/>
      <c r="V63" s="588"/>
      <c r="W63" s="588"/>
      <c r="X63" s="588"/>
      <c r="Y63" s="588"/>
      <c r="Z63" s="588">
        <v>0.34</v>
      </c>
      <c r="AA63" s="588">
        <v>0.33</v>
      </c>
      <c r="AB63" s="588">
        <v>0.33</v>
      </c>
      <c r="AC63" s="588"/>
      <c r="AD63" s="588"/>
      <c r="AE63" s="588"/>
      <c r="AF63" s="588"/>
      <c r="AG63" s="535"/>
    </row>
    <row r="64" spans="1:33" ht="12.75" hidden="1" customHeight="1" x14ac:dyDescent="0.2">
      <c r="D64" s="534"/>
      <c r="E64" s="203" cm="1">
        <f t="array" aca="1" ref="E64" ca="1">IF($R62=2,
         IF(AND(ACOMPANHAMENTO="PLE",ISNUMBER($F62)),
                SUMIF((OFFSET(CÁLCULO!$AM$15:$AW$15,$F62,0,OFFSET(ORÇAMENTO!$D$15,CRONO!$F62,0))),CRONO!E$12,OFFSET(CÁLCULO!$AB$15:$AL$15,$F62,0,OFFSET(ORÇAMENTO!$D$15,CRONO!$F62,0)))
                +IF(AND($F64&lt;&gt;"",$F64&lt;&gt;0),
                        SUMIF(CÁLCULO!$AM$15:$AW$231,CRONO!E$12,CÁLCULO!$AB$15:$AL$231)/(ORÇAMENTO!$X$15-_xlfn.SINGLE(CÁLCULO.TotalAdmLocal))*CRONO!$F64,
                        0),
                 E63*$S62),
          SUMIF(OFFSET($S64,1,0,$R62-2),($M62+1)&amp;"$",OFFSET(E64,1,0,$R62-2)))</f>
        <v>0</v>
      </c>
      <c r="F64" s="186" t="str">
        <f ca="1">IF(OR($R62&lt;&gt;2,AUTOEVENTO&lt;&gt;"manual",$F63&gt;0),"",
        IF(Import.TipoArredondamento="Tradicional",
              SUMIF(OFFSET(CÁLCULO!$M$15,CRONO!$F62,0,OFFSET(ORÇAMENTO!$D$15,CRONO!$F62,0)),1,OFFSET(ORÇAMENTO!$X$15,CRONO!$F62,0,OFFSET(ORÇAMENTO!$D$15,CRONO!$F62,0))),
              0))</f>
        <v/>
      </c>
      <c r="H64" s="672"/>
      <c r="S64" s="205" t="str">
        <f t="shared" ref="S64" ca="1" si="103">M62&amp;"$"</f>
        <v>2$</v>
      </c>
      <c r="T64" s="206"/>
      <c r="U64" s="203" cm="1">
        <f t="array" aca="1" ref="U64" ca="1">IF($R62=2,
         IF(AND(ACOMPANHAMENTO="PLE",ISNUMBER($F62)),
                SUMIF((OFFSET(CÁLCULO!$AM$15:$AW$15,$F62,0,OFFSET(ORÇAMENTO!$D$15,CRONO!$F62,0))),CRONO!U$12,OFFSET(CÁLCULO!$AB$15:$AL$15,$F62,0,OFFSET(ORÇAMENTO!$D$15,CRONO!$F62,0)))
                +IF(AND($F64&lt;&gt;"",$F64&lt;&gt;0),
                        SUMIF(CÁLCULO!$AM$15:$AW$231,CRONO!U$12,CÁLCULO!$AB$15:$AL$231)/(ORÇAMENTO!$X$15-_xlfn.SINGLE(CÁLCULO.TotalAdmLocal))*CRONO!$F64,
                        0),
                 U63*$S62),
          SUMIF(OFFSET($S64,1,0,$R62-2),($M62+1)&amp;"$",OFFSET(U64,1,0,$R62-2)))</f>
        <v>0</v>
      </c>
      <c r="V64" s="203" cm="1">
        <f t="array" aca="1" ref="V64" ca="1">IF($R62=2,
         IF(AND(ACOMPANHAMENTO="PLE",ISNUMBER($F62)),
                SUMIF((OFFSET(CÁLCULO!$AM$15:$AW$15,$F62,0,OFFSET(ORÇAMENTO!$D$15,CRONO!$F62,0))),CRONO!V$12,OFFSET(CÁLCULO!$AB$15:$AL$15,$F62,0,OFFSET(ORÇAMENTO!$D$15,CRONO!$F62,0)))
                +IF(AND($F64&lt;&gt;"",$F64&lt;&gt;0),
                        SUMIF(CÁLCULO!$AM$15:$AW$231,CRONO!V$12,CÁLCULO!$AB$15:$AL$231)/(ORÇAMENTO!$X$15-_xlfn.SINGLE(CÁLCULO.TotalAdmLocal))*CRONO!$F64,
                        0),
                 V63*$S62),
          SUMIF(OFFSET($S64,1,0,$R62-2),($M62+1)&amp;"$",OFFSET(V64,1,0,$R62-2)))</f>
        <v>0</v>
      </c>
      <c r="W64" s="203" cm="1">
        <f t="array" aca="1" ref="W64" ca="1">IF($R62=2,
         IF(AND(ACOMPANHAMENTO="PLE",ISNUMBER($F62)),
                SUMIF((OFFSET(CÁLCULO!$AM$15:$AW$15,$F62,0,OFFSET(ORÇAMENTO!$D$15,CRONO!$F62,0))),CRONO!W$12,OFFSET(CÁLCULO!$AB$15:$AL$15,$F62,0,OFFSET(ORÇAMENTO!$D$15,CRONO!$F62,0)))
                +IF(AND($F64&lt;&gt;"",$F64&lt;&gt;0),
                        SUMIF(CÁLCULO!$AM$15:$AW$231,CRONO!W$12,CÁLCULO!$AB$15:$AL$231)/(ORÇAMENTO!$X$15-_xlfn.SINGLE(CÁLCULO.TotalAdmLocal))*CRONO!$F64,
                        0),
                 W63*$S62),
          SUMIF(OFFSET($S64,1,0,$R62-2),($M62+1)&amp;"$",OFFSET(W64,1,0,$R62-2)))</f>
        <v>0</v>
      </c>
      <c r="X64" s="203" cm="1">
        <f t="array" aca="1" ref="X64" ca="1">IF($R62=2,
         IF(AND(ACOMPANHAMENTO="PLE",ISNUMBER($F62)),
                SUMIF((OFFSET(CÁLCULO!$AM$15:$AW$15,$F62,0,OFFSET(ORÇAMENTO!$D$15,CRONO!$F62,0))),CRONO!X$12,OFFSET(CÁLCULO!$AB$15:$AL$15,$F62,0,OFFSET(ORÇAMENTO!$D$15,CRONO!$F62,0)))
                +IF(AND($F64&lt;&gt;"",$F64&lt;&gt;0),
                        SUMIF(CÁLCULO!$AM$15:$AW$231,CRONO!X$12,CÁLCULO!$AB$15:$AL$231)/(ORÇAMENTO!$X$15-_xlfn.SINGLE(CÁLCULO.TotalAdmLocal))*CRONO!$F64,
                        0),
                 X63*$S62),
          SUMIF(OFFSET($S64,1,0,$R62-2),($M62+1)&amp;"$",OFFSET(X64,1,0,$R62-2)))</f>
        <v>0</v>
      </c>
      <c r="Y64" s="203" cm="1">
        <f t="array" aca="1" ref="Y64" ca="1">IF($R62=2,
         IF(AND(ACOMPANHAMENTO="PLE",ISNUMBER($F62)),
                SUMIF((OFFSET(CÁLCULO!$AM$15:$AW$15,$F62,0,OFFSET(ORÇAMENTO!$D$15,CRONO!$F62,0))),CRONO!Y$12,OFFSET(CÁLCULO!$AB$15:$AL$15,$F62,0,OFFSET(ORÇAMENTO!$D$15,CRONO!$F62,0)))
                +IF(AND($F64&lt;&gt;"",$F64&lt;&gt;0),
                        SUMIF(CÁLCULO!$AM$15:$AW$231,CRONO!Y$12,CÁLCULO!$AB$15:$AL$231)/(ORÇAMENTO!$X$15-_xlfn.SINGLE(CÁLCULO.TotalAdmLocal))*CRONO!$F64,
                        0),
                 Y63*$S62),
          SUMIF(OFFSET($S64,1,0,$R62-2),($M62+1)&amp;"$",OFFSET(Y64,1,0,$R62-2)))</f>
        <v>0</v>
      </c>
      <c r="Z64" s="203" cm="1">
        <f t="array" aca="1" ref="Z64" ca="1">IF($R62=2,
         IF(AND(ACOMPANHAMENTO="PLE",ISNUMBER($F62)),
                SUMIF((OFFSET(CÁLCULO!$AM$15:$AW$15,$F62,0,OFFSET(ORÇAMENTO!$D$15,CRONO!$F62,0))),CRONO!Z$12,OFFSET(CÁLCULO!$AB$15:$AL$15,$F62,0,OFFSET(ORÇAMENTO!$D$15,CRONO!$F62,0)))
                +IF(AND($F64&lt;&gt;"",$F64&lt;&gt;0),
                        SUMIF(CÁLCULO!$AM$15:$AW$231,CRONO!Z$12,CÁLCULO!$AB$15:$AL$231)/(ORÇAMENTO!$X$15-_xlfn.SINGLE(CÁLCULO.TotalAdmLocal))*CRONO!$F64,
                        0),
                 Z63*$S62),
          SUMIF(OFFSET($S64,1,0,$R62-2),($M62+1)&amp;"$",OFFSET(Z64,1,0,$R62-2)))</f>
        <v>0</v>
      </c>
      <c r="AA64" s="203" cm="1">
        <f t="array" aca="1" ref="AA64" ca="1">IF($R62=2,
         IF(AND(ACOMPANHAMENTO="PLE",ISNUMBER($F62)),
                SUMIF((OFFSET(CÁLCULO!$AM$15:$AW$15,$F62,0,OFFSET(ORÇAMENTO!$D$15,CRONO!$F62,0))),CRONO!AA$12,OFFSET(CÁLCULO!$AB$15:$AL$15,$F62,0,OFFSET(ORÇAMENTO!$D$15,CRONO!$F62,0)))
                +IF(AND($F64&lt;&gt;"",$F64&lt;&gt;0),
                        SUMIF(CÁLCULO!$AM$15:$AW$231,CRONO!AA$12,CÁLCULO!$AB$15:$AL$231)/(ORÇAMENTO!$X$15-_xlfn.SINGLE(CÁLCULO.TotalAdmLocal))*CRONO!$F64,
                        0),
                 AA63*$S62),
          SUMIF(OFFSET($S64,1,0,$R62-2),($M62+1)&amp;"$",OFFSET(AA64,1,0,$R62-2)))</f>
        <v>0</v>
      </c>
      <c r="AB64" s="203" cm="1">
        <f t="array" aca="1" ref="AB64" ca="1">IF($R62=2,
         IF(AND(ACOMPANHAMENTO="PLE",ISNUMBER($F62)),
                SUMIF((OFFSET(CÁLCULO!$AM$15:$AW$15,$F62,0,OFFSET(ORÇAMENTO!$D$15,CRONO!$F62,0))),CRONO!AB$12,OFFSET(CÁLCULO!$AB$15:$AL$15,$F62,0,OFFSET(ORÇAMENTO!$D$15,CRONO!$F62,0)))
                +IF(AND($F64&lt;&gt;"",$F64&lt;&gt;0),
                        SUMIF(CÁLCULO!$AM$15:$AW$231,CRONO!AB$12,CÁLCULO!$AB$15:$AL$231)/(ORÇAMENTO!$X$15-_xlfn.SINGLE(CÁLCULO.TotalAdmLocal))*CRONO!$F64,
                        0),
                 AB63*$S62),
          SUMIF(OFFSET($S64,1,0,$R62-2),($M62+1)&amp;"$",OFFSET(AB64,1,0,$R62-2)))</f>
        <v>0</v>
      </c>
      <c r="AC64" s="203" cm="1">
        <f t="array" aca="1" ref="AC64" ca="1">IF($R62=2,
         IF(AND(ACOMPANHAMENTO="PLE",ISNUMBER($F62)),
                SUMIF((OFFSET(CÁLCULO!$AM$15:$AW$15,$F62,0,OFFSET(ORÇAMENTO!$D$15,CRONO!$F62,0))),CRONO!AC$12,OFFSET(CÁLCULO!$AB$15:$AL$15,$F62,0,OFFSET(ORÇAMENTO!$D$15,CRONO!$F62,0)))
                +IF(AND($F64&lt;&gt;"",$F64&lt;&gt;0),
                        SUMIF(CÁLCULO!$AM$15:$AW$231,CRONO!AC$12,CÁLCULO!$AB$15:$AL$231)/(ORÇAMENTO!$X$15-_xlfn.SINGLE(CÁLCULO.TotalAdmLocal))*CRONO!$F64,
                        0),
                 AC63*$S62),
          SUMIF(OFFSET($S64,1,0,$R62-2),($M62+1)&amp;"$",OFFSET(AC64,1,0,$R62-2)))</f>
        <v>0</v>
      </c>
      <c r="AD64" s="203" cm="1">
        <f t="array" aca="1" ref="AD64" ca="1">IF($R62=2,
         IF(AND(ACOMPANHAMENTO="PLE",ISNUMBER($F62)),
                SUMIF((OFFSET(CÁLCULO!$AM$15:$AW$15,$F62,0,OFFSET(ORÇAMENTO!$D$15,CRONO!$F62,0))),CRONO!AD$12,OFFSET(CÁLCULO!$AB$15:$AL$15,$F62,0,OFFSET(ORÇAMENTO!$D$15,CRONO!$F62,0)))
                +IF(AND($F64&lt;&gt;"",$F64&lt;&gt;0),
                        SUMIF(CÁLCULO!$AM$15:$AW$231,CRONO!AD$12,CÁLCULO!$AB$15:$AL$231)/(ORÇAMENTO!$X$15-_xlfn.SINGLE(CÁLCULO.TotalAdmLocal))*CRONO!$F64,
                        0),
                 AD63*$S62),
          SUMIF(OFFSET($S64,1,0,$R62-2),($M62+1)&amp;"$",OFFSET(AD64,1,0,$R62-2)))</f>
        <v>0</v>
      </c>
      <c r="AE64" s="203" cm="1">
        <f t="array" aca="1" ref="AE64" ca="1">IF($R62=2,
         IF(AND(ACOMPANHAMENTO="PLE",ISNUMBER($F62)),
                SUMIF((OFFSET(CÁLCULO!$AM$15:$AW$15,$F62,0,OFFSET(ORÇAMENTO!$D$15,CRONO!$F62,0))),CRONO!AE$12,OFFSET(CÁLCULO!$AB$15:$AL$15,$F62,0,OFFSET(ORÇAMENTO!$D$15,CRONO!$F62,0)))
                +IF(AND($F64&lt;&gt;"",$F64&lt;&gt;0),
                        SUMIF(CÁLCULO!$AM$15:$AW$231,CRONO!AE$12,CÁLCULO!$AB$15:$AL$231)/(ORÇAMENTO!$X$15-_xlfn.SINGLE(CÁLCULO.TotalAdmLocal))*CRONO!$F64,
                        0),
                 AE63*$S62),
          SUMIF(OFFSET($S64,1,0,$R62-2),($M62+1)&amp;"$",OFFSET(AE64,1,0,$R62-2)))</f>
        <v>0</v>
      </c>
      <c r="AF64" s="203" cm="1">
        <f t="array" aca="1" ref="AF64" ca="1">IF($R62=2,
         IF(AND(ACOMPANHAMENTO="PLE",ISNUMBER($F62)),
                SUMIF((OFFSET(CÁLCULO!$AM$15:$AW$15,$F62,0,OFFSET(ORÇAMENTO!$D$15,CRONO!$F62,0))),CRONO!AF$12,OFFSET(CÁLCULO!$AB$15:$AL$15,$F62,0,OFFSET(ORÇAMENTO!$D$15,CRONO!$F62,0)))
                +IF(AND($F64&lt;&gt;"",$F64&lt;&gt;0),
                        SUMIF(CÁLCULO!$AM$15:$AW$231,CRONO!AF$12,CÁLCULO!$AB$15:$AL$231)/(ORÇAMENTO!$X$15-_xlfn.SINGLE(CÁLCULO.TotalAdmLocal))*CRONO!$F64,
                        0),
                 AF63*$S62),
          SUMIF(OFFSET($S64,1,0,$R62-2),($M62+1)&amp;"$",OFFSET(AF64,1,0,$R62-2)))</f>
        <v>0</v>
      </c>
      <c r="AG64" s="535"/>
    </row>
    <row r="65" spans="1:33" x14ac:dyDescent="0.2">
      <c r="A65" s="187" t="str">
        <f t="shared" ref="A65" ca="1" si="104">IF($M65&gt;1,_xlfn.CONCAT($I65," ",$J65),"")</f>
        <v>1.17. POÇO DE VISITA</v>
      </c>
      <c r="B65" s="186">
        <f t="shared" ref="B65" ca="1" si="105">OFFSET(B65,-3,0)+1</f>
        <v>18</v>
      </c>
      <c r="C65" s="186">
        <f ca="1">IF($R65&lt;&gt;2,0,IF($S65=0,1,IF(F66&gt;0,OFFSET(QCI!$M$13,SUBSTITUTE(F66,".",""),0),OFFSET(ORÇAMENTO!$AA$15,CRONO!$F65,0))/$S65))</f>
        <v>1</v>
      </c>
      <c r="D65" s="186">
        <f ca="1">IF($R65&lt;&gt;2,0,IF($S65=0,1,IF(F66&gt;0,OFFSET(QCI!$N$13,SUBSTITUTE(F66,".",""),0),OFFSET(ORÇAMENTO!$AB$15,CRONO!$F65,0))/$S65))</f>
        <v>1</v>
      </c>
      <c r="E65" s="189" cm="1">
        <f t="array" aca="1" ref="E65" ca="1">IF(AND($R65=2,ACOMPANHAMENTO="BM"),ROUND(E66,4),E67/$S65)</f>
        <v>0</v>
      </c>
      <c r="F65" s="186">
        <f ca="1">IF(B65&lt;=ORÇAMENTO.MáximoListaCrono,MATCH(B65,ORÇAMENTO.ListaCrono,0),NA())</f>
        <v>118</v>
      </c>
      <c r="G65" s="186" t="str">
        <f t="shared" ref="G65" ca="1" si="106">IF(AND($F66&lt;&gt;-1,$S65&gt;0),"F","")</f>
        <v/>
      </c>
      <c r="H65" s="190" t="str" cm="1">
        <f t="array" aca="1" ref="H65" ca="1">IF(OR(S65=0,S65=""),"Linha",IF(AND(OR(ACOMPANHAMENTO="PLE",$R65&lt;&gt;2),$F66=0),"Linha",ROUND(1-SUM(U65:AG65),4)))</f>
        <v>Linha</v>
      </c>
      <c r="I65" s="191" t="str">
        <f ca="1">IF($F66=0,OFFSET(ORÇAMENTO!O$15,$F65,0),IF($F66&lt;&gt;-1,OFFSET(QCI!$D$13,$F66,0),""))</f>
        <v>1.17.</v>
      </c>
      <c r="J65" s="192" t="str">
        <f ca="1">IF($F66=0,OFFSET(ORÇAMENTO!R$15,$F65,0),IF($F66&lt;&gt;-1,OFFSET(QCI!$G$13,$F66,0),""))</f>
        <v>POÇO DE VISITA</v>
      </c>
      <c r="K65" s="192"/>
      <c r="L65" s="192"/>
      <c r="M65" s="193">
        <f ca="1">IF($F66=0,OFFSET(ORÇAMENTO!C$15,$F65,0),1)</f>
        <v>2</v>
      </c>
      <c r="N65" s="194">
        <f ca="1">IF($F66=-1,0,IF(N$13&lt;=$M65,IF(ISERROR(MATCH(N$13,OFFSET($M65,1,0,ROW($M$101)-ROW($M65)-1),0)),ROW($M$101)-ROW($M65)-1,MATCH(N$13,OFFSET($M65,1,0,ROW($M$101)-ROW($M65)-1),0)-1),0))</f>
        <v>35</v>
      </c>
      <c r="O65" s="194">
        <f ca="1">IF($F66=-1,0,IF(O$13&lt;=$M65,IF(ISERROR(MATCH(O$13,OFFSET($M65,1,0,ROW($M$101)-ROW($M65)-1),0)),ROW($M$101)-ROW($M65)-1,MATCH(O$13,OFFSET($M65,1,0,ROW($M$101)-ROW($M65)-1),0)-1),0))</f>
        <v>2</v>
      </c>
      <c r="P65" s="194">
        <f ca="1">IF($F66=-1,0,IF(P$13&lt;=$M65,IF(ISERROR(MATCH(P$13,OFFSET($M65,1,0,ROW($M$101)-ROW($M65)-1),0)),ROW($M$101)-ROW($M65)-1,MATCH(P$13,OFFSET($M65,1,0,ROW($M$101)-ROW($M65)-1),0)-1),0))</f>
        <v>0</v>
      </c>
      <c r="Q65" s="194">
        <f ca="1">IF($F66=-1,0,IF(Q$13&lt;=$M65,IF(ISERROR(MATCH(Q$13,OFFSET($M65,1,0,ROW($M$101)-ROW($M65)-1),0)),ROW($M$101)-ROW($M65)-1,MATCH(Q$13,OFFSET($M65,1,0,ROW($M$101)-ROW($M65)-1),0)-1),0))</f>
        <v>0</v>
      </c>
      <c r="R65" s="194">
        <f t="shared" ref="R65" ca="1" si="107">MIN(OFFSET(M65,0,1,,M65))</f>
        <v>2</v>
      </c>
      <c r="S65" s="195">
        <f ca="1">IF($F66=0,OFFSET(ORÇAMENTO!X$15,$F65,0),IF($F66&lt;&gt;-1,OFFSET(QCI!$O$13,$F66,0),""))</f>
        <v>0</v>
      </c>
      <c r="T65" s="196" t="s">
        <v>786</v>
      </c>
      <c r="U65" s="189" cm="1">
        <f t="array" aca="1" ref="U65" ca="1">IF(AND($R65=2,ACOMPANHAMENTO="BM"),ROUND(U66,4),U67/$S65)</f>
        <v>0</v>
      </c>
      <c r="V65" s="189" cm="1">
        <f t="array" aca="1" ref="V65" ca="1">IF(AND($R65=2,ACOMPANHAMENTO="BM"),ROUND(V66,4),V67/$S65)</f>
        <v>0.25</v>
      </c>
      <c r="W65" s="189" cm="1">
        <f t="array" aca="1" ref="W65" ca="1">IF(AND($R65=2,ACOMPANHAMENTO="BM"),ROUND(W66,4),W67/$S65)</f>
        <v>0.25</v>
      </c>
      <c r="X65" s="189" cm="1">
        <f t="array" aca="1" ref="X65" ca="1">IF(AND($R65=2,ACOMPANHAMENTO="BM"),ROUND(X66,4),X67/$S65)</f>
        <v>0.25</v>
      </c>
      <c r="Y65" s="189" cm="1">
        <f t="array" aca="1" ref="Y65" ca="1">IF(AND($R65=2,ACOMPANHAMENTO="BM"),ROUND(Y66,4),Y67/$S65)</f>
        <v>0.25</v>
      </c>
      <c r="Z65" s="189" cm="1">
        <f t="array" aca="1" ref="Z65" ca="1">IF(AND($R65=2,ACOMPANHAMENTO="BM"),ROUND(Z66,4),Z67/$S65)</f>
        <v>0</v>
      </c>
      <c r="AA65" s="189" cm="1">
        <f t="array" aca="1" ref="AA65" ca="1">IF(AND($R65=2,ACOMPANHAMENTO="BM"),ROUND(AA66,4),AA67/$S65)</f>
        <v>0</v>
      </c>
      <c r="AB65" s="189" cm="1">
        <f t="array" aca="1" ref="AB65" ca="1">IF(AND($R65=2,ACOMPANHAMENTO="BM"),ROUND(AB66,4),AB67/$S65)</f>
        <v>0</v>
      </c>
      <c r="AC65" s="189" cm="1">
        <f t="array" aca="1" ref="AC65" ca="1">IF(AND($R65=2,ACOMPANHAMENTO="BM"),ROUND(AC66,4),AC67/$S65)</f>
        <v>0</v>
      </c>
      <c r="AD65" s="189" cm="1">
        <f t="array" aca="1" ref="AD65" ca="1">IF(AND($R65=2,ACOMPANHAMENTO="BM"),ROUND(AD66,4),AD67/$S65)</f>
        <v>0</v>
      </c>
      <c r="AE65" s="189" cm="1">
        <f t="array" aca="1" ref="AE65" ca="1">IF(AND($R65=2,ACOMPANHAMENTO="BM"),ROUND(AE66,4),AE67/$S65)</f>
        <v>0</v>
      </c>
      <c r="AF65" s="189" cm="1">
        <f t="array" aca="1" ref="AF65" ca="1">IF(AND($R65=2,ACOMPANHAMENTO="BM"),ROUND(AF66,4),AF67/$S65)</f>
        <v>0</v>
      </c>
      <c r="AG65" s="535"/>
    </row>
    <row r="66" spans="1:33" ht="12.75" customHeight="1" x14ac:dyDescent="0.2">
      <c r="E66" s="588"/>
      <c r="F66" s="186">
        <f ca="1">IF(ISERROR(F65),IF(1+COUNTIF($M$13:OFFSET(M65,-1,0),1)&lt;=MAX(QCI!$D$13:$D$15),1+COUNTIF($M$13:OFFSET(M65,-1,0),1),-1),0)</f>
        <v>0</v>
      </c>
      <c r="G66" s="186" t="str" cm="1">
        <f t="array" aca="1" ref="G66" ca="1">IF(ACOMPANHAMENTO="BM",OFFSET(G66,-1,0),"")</f>
        <v/>
      </c>
      <c r="H66" s="197" t="str" cm="1">
        <f t="array" aca="1" ref="H66" ca="1">IF(OR(S65=0,S65=""),"vazia",IF(AND(OR(ACOMPANHAMENTO="PLE",$R65&lt;&gt;2),$F66=0),"calculada","--&gt;"))</f>
        <v>vazia</v>
      </c>
      <c r="I66" s="198"/>
      <c r="J66" s="199" t="str">
        <f t="shared" ref="J66" ca="1" si="108">IF(AND(H65&lt;&gt;0,ISNUMBER(H65)),"PREENCHA ESTA LINHA --&gt;","")</f>
        <v/>
      </c>
      <c r="K66" s="199"/>
      <c r="L66" s="199"/>
      <c r="M66" s="200"/>
      <c r="N66" s="200"/>
      <c r="O66" s="200"/>
      <c r="P66" s="200"/>
      <c r="Q66" s="200"/>
      <c r="R66" s="200"/>
      <c r="S66" s="201"/>
      <c r="T66" s="202"/>
      <c r="U66" s="588"/>
      <c r="V66" s="588">
        <v>0.25</v>
      </c>
      <c r="W66" s="588">
        <v>0.25</v>
      </c>
      <c r="X66" s="588">
        <v>0.25</v>
      </c>
      <c r="Y66" s="588">
        <v>0.25</v>
      </c>
      <c r="Z66" s="588"/>
      <c r="AA66" s="588"/>
      <c r="AB66" s="588"/>
      <c r="AC66" s="588"/>
      <c r="AD66" s="588"/>
      <c r="AE66" s="588"/>
      <c r="AF66" s="588"/>
      <c r="AG66" s="535"/>
    </row>
    <row r="67" spans="1:33" ht="12.75" hidden="1" customHeight="1" x14ac:dyDescent="0.2">
      <c r="D67" s="534"/>
      <c r="E67" s="203" cm="1">
        <f t="array" aca="1" ref="E67" ca="1">IF($R65=2,
         IF(AND(ACOMPANHAMENTO="PLE",ISNUMBER($F65)),
                SUMIF((OFFSET(CÁLCULO!$AM$15:$AW$15,$F65,0,OFFSET(ORÇAMENTO!$D$15,CRONO!$F65,0))),CRONO!E$12,OFFSET(CÁLCULO!$AB$15:$AL$15,$F65,0,OFFSET(ORÇAMENTO!$D$15,CRONO!$F65,0)))
                +IF(AND($F67&lt;&gt;"",$F67&lt;&gt;0),
                        SUMIF(CÁLCULO!$AM$15:$AW$231,CRONO!E$12,CÁLCULO!$AB$15:$AL$231)/(ORÇAMENTO!$X$15-_xlfn.SINGLE(CÁLCULO.TotalAdmLocal))*CRONO!$F67,
                        0),
                 E66*$S65),
          SUMIF(OFFSET($S67,1,0,$R65-2),($M65+1)&amp;"$",OFFSET(E67,1,0,$R65-2)))</f>
        <v>0</v>
      </c>
      <c r="F67" s="186" t="str">
        <f ca="1">IF(OR($R65&lt;&gt;2,AUTOEVENTO&lt;&gt;"manual",$F66&gt;0),"",
        IF(Import.TipoArredondamento="Tradicional",
              SUMIF(OFFSET(CÁLCULO!$M$15,CRONO!$F65,0,OFFSET(ORÇAMENTO!$D$15,CRONO!$F65,0)),1,OFFSET(ORÇAMENTO!$X$15,CRONO!$F65,0,OFFSET(ORÇAMENTO!$D$15,CRONO!$F65,0))),
              0))</f>
        <v/>
      </c>
      <c r="H67" s="672"/>
      <c r="S67" s="205" t="str">
        <f t="shared" ref="S67" ca="1" si="109">M65&amp;"$"</f>
        <v>2$</v>
      </c>
      <c r="T67" s="206"/>
      <c r="U67" s="203" cm="1">
        <f t="array" aca="1" ref="U67" ca="1">IF($R65=2,
         IF(AND(ACOMPANHAMENTO="PLE",ISNUMBER($F65)),
                SUMIF((OFFSET(CÁLCULO!$AM$15:$AW$15,$F65,0,OFFSET(ORÇAMENTO!$D$15,CRONO!$F65,0))),CRONO!U$12,OFFSET(CÁLCULO!$AB$15:$AL$15,$F65,0,OFFSET(ORÇAMENTO!$D$15,CRONO!$F65,0)))
                +IF(AND($F67&lt;&gt;"",$F67&lt;&gt;0),
                        SUMIF(CÁLCULO!$AM$15:$AW$231,CRONO!U$12,CÁLCULO!$AB$15:$AL$231)/(ORÇAMENTO!$X$15-_xlfn.SINGLE(CÁLCULO.TotalAdmLocal))*CRONO!$F67,
                        0),
                 U66*$S65),
          SUMIF(OFFSET($S67,1,0,$R65-2),($M65+1)&amp;"$",OFFSET(U67,1,0,$R65-2)))</f>
        <v>0</v>
      </c>
      <c r="V67" s="203" cm="1">
        <f t="array" aca="1" ref="V67" ca="1">IF($R65=2,
         IF(AND(ACOMPANHAMENTO="PLE",ISNUMBER($F65)),
                SUMIF((OFFSET(CÁLCULO!$AM$15:$AW$15,$F65,0,OFFSET(ORÇAMENTO!$D$15,CRONO!$F65,0))),CRONO!V$12,OFFSET(CÁLCULO!$AB$15:$AL$15,$F65,0,OFFSET(ORÇAMENTO!$D$15,CRONO!$F65,0)))
                +IF(AND($F67&lt;&gt;"",$F67&lt;&gt;0),
                        SUMIF(CÁLCULO!$AM$15:$AW$231,CRONO!V$12,CÁLCULO!$AB$15:$AL$231)/(ORÇAMENTO!$X$15-_xlfn.SINGLE(CÁLCULO.TotalAdmLocal))*CRONO!$F67,
                        0),
                 V66*$S65),
          SUMIF(OFFSET($S67,1,0,$R65-2),($M65+1)&amp;"$",OFFSET(V67,1,0,$R65-2)))</f>
        <v>0</v>
      </c>
      <c r="W67" s="203" cm="1">
        <f t="array" aca="1" ref="W67" ca="1">IF($R65=2,
         IF(AND(ACOMPANHAMENTO="PLE",ISNUMBER($F65)),
                SUMIF((OFFSET(CÁLCULO!$AM$15:$AW$15,$F65,0,OFFSET(ORÇAMENTO!$D$15,CRONO!$F65,0))),CRONO!W$12,OFFSET(CÁLCULO!$AB$15:$AL$15,$F65,0,OFFSET(ORÇAMENTO!$D$15,CRONO!$F65,0)))
                +IF(AND($F67&lt;&gt;"",$F67&lt;&gt;0),
                        SUMIF(CÁLCULO!$AM$15:$AW$231,CRONO!W$12,CÁLCULO!$AB$15:$AL$231)/(ORÇAMENTO!$X$15-_xlfn.SINGLE(CÁLCULO.TotalAdmLocal))*CRONO!$F67,
                        0),
                 W66*$S65),
          SUMIF(OFFSET($S67,1,0,$R65-2),($M65+1)&amp;"$",OFFSET(W67,1,0,$R65-2)))</f>
        <v>0</v>
      </c>
      <c r="X67" s="203" cm="1">
        <f t="array" aca="1" ref="X67" ca="1">IF($R65=2,
         IF(AND(ACOMPANHAMENTO="PLE",ISNUMBER($F65)),
                SUMIF((OFFSET(CÁLCULO!$AM$15:$AW$15,$F65,0,OFFSET(ORÇAMENTO!$D$15,CRONO!$F65,0))),CRONO!X$12,OFFSET(CÁLCULO!$AB$15:$AL$15,$F65,0,OFFSET(ORÇAMENTO!$D$15,CRONO!$F65,0)))
                +IF(AND($F67&lt;&gt;"",$F67&lt;&gt;0),
                        SUMIF(CÁLCULO!$AM$15:$AW$231,CRONO!X$12,CÁLCULO!$AB$15:$AL$231)/(ORÇAMENTO!$X$15-_xlfn.SINGLE(CÁLCULO.TotalAdmLocal))*CRONO!$F67,
                        0),
                 X66*$S65),
          SUMIF(OFFSET($S67,1,0,$R65-2),($M65+1)&amp;"$",OFFSET(X67,1,0,$R65-2)))</f>
        <v>0</v>
      </c>
      <c r="Y67" s="203" cm="1">
        <f t="array" aca="1" ref="Y67" ca="1">IF($R65=2,
         IF(AND(ACOMPANHAMENTO="PLE",ISNUMBER($F65)),
                SUMIF((OFFSET(CÁLCULO!$AM$15:$AW$15,$F65,0,OFFSET(ORÇAMENTO!$D$15,CRONO!$F65,0))),CRONO!Y$12,OFFSET(CÁLCULO!$AB$15:$AL$15,$F65,0,OFFSET(ORÇAMENTO!$D$15,CRONO!$F65,0)))
                +IF(AND($F67&lt;&gt;"",$F67&lt;&gt;0),
                        SUMIF(CÁLCULO!$AM$15:$AW$231,CRONO!Y$12,CÁLCULO!$AB$15:$AL$231)/(ORÇAMENTO!$X$15-_xlfn.SINGLE(CÁLCULO.TotalAdmLocal))*CRONO!$F67,
                        0),
                 Y66*$S65),
          SUMIF(OFFSET($S67,1,0,$R65-2),($M65+1)&amp;"$",OFFSET(Y67,1,0,$R65-2)))</f>
        <v>0</v>
      </c>
      <c r="Z67" s="203" cm="1">
        <f t="array" aca="1" ref="Z67" ca="1">IF($R65=2,
         IF(AND(ACOMPANHAMENTO="PLE",ISNUMBER($F65)),
                SUMIF((OFFSET(CÁLCULO!$AM$15:$AW$15,$F65,0,OFFSET(ORÇAMENTO!$D$15,CRONO!$F65,0))),CRONO!Z$12,OFFSET(CÁLCULO!$AB$15:$AL$15,$F65,0,OFFSET(ORÇAMENTO!$D$15,CRONO!$F65,0)))
                +IF(AND($F67&lt;&gt;"",$F67&lt;&gt;0),
                        SUMIF(CÁLCULO!$AM$15:$AW$231,CRONO!Z$12,CÁLCULO!$AB$15:$AL$231)/(ORÇAMENTO!$X$15-_xlfn.SINGLE(CÁLCULO.TotalAdmLocal))*CRONO!$F67,
                        0),
                 Z66*$S65),
          SUMIF(OFFSET($S67,1,0,$R65-2),($M65+1)&amp;"$",OFFSET(Z67,1,0,$R65-2)))</f>
        <v>0</v>
      </c>
      <c r="AA67" s="203" cm="1">
        <f t="array" aca="1" ref="AA67" ca="1">IF($R65=2,
         IF(AND(ACOMPANHAMENTO="PLE",ISNUMBER($F65)),
                SUMIF((OFFSET(CÁLCULO!$AM$15:$AW$15,$F65,0,OFFSET(ORÇAMENTO!$D$15,CRONO!$F65,0))),CRONO!AA$12,OFFSET(CÁLCULO!$AB$15:$AL$15,$F65,0,OFFSET(ORÇAMENTO!$D$15,CRONO!$F65,0)))
                +IF(AND($F67&lt;&gt;"",$F67&lt;&gt;0),
                        SUMIF(CÁLCULO!$AM$15:$AW$231,CRONO!AA$12,CÁLCULO!$AB$15:$AL$231)/(ORÇAMENTO!$X$15-_xlfn.SINGLE(CÁLCULO.TotalAdmLocal))*CRONO!$F67,
                        0),
                 AA66*$S65),
          SUMIF(OFFSET($S67,1,0,$R65-2),($M65+1)&amp;"$",OFFSET(AA67,1,0,$R65-2)))</f>
        <v>0</v>
      </c>
      <c r="AB67" s="203" cm="1">
        <f t="array" aca="1" ref="AB67" ca="1">IF($R65=2,
         IF(AND(ACOMPANHAMENTO="PLE",ISNUMBER($F65)),
                SUMIF((OFFSET(CÁLCULO!$AM$15:$AW$15,$F65,0,OFFSET(ORÇAMENTO!$D$15,CRONO!$F65,0))),CRONO!AB$12,OFFSET(CÁLCULO!$AB$15:$AL$15,$F65,0,OFFSET(ORÇAMENTO!$D$15,CRONO!$F65,0)))
                +IF(AND($F67&lt;&gt;"",$F67&lt;&gt;0),
                        SUMIF(CÁLCULO!$AM$15:$AW$231,CRONO!AB$12,CÁLCULO!$AB$15:$AL$231)/(ORÇAMENTO!$X$15-_xlfn.SINGLE(CÁLCULO.TotalAdmLocal))*CRONO!$F67,
                        0),
                 AB66*$S65),
          SUMIF(OFFSET($S67,1,0,$R65-2),($M65+1)&amp;"$",OFFSET(AB67,1,0,$R65-2)))</f>
        <v>0</v>
      </c>
      <c r="AC67" s="203" cm="1">
        <f t="array" aca="1" ref="AC67" ca="1">IF($R65=2,
         IF(AND(ACOMPANHAMENTO="PLE",ISNUMBER($F65)),
                SUMIF((OFFSET(CÁLCULO!$AM$15:$AW$15,$F65,0,OFFSET(ORÇAMENTO!$D$15,CRONO!$F65,0))),CRONO!AC$12,OFFSET(CÁLCULO!$AB$15:$AL$15,$F65,0,OFFSET(ORÇAMENTO!$D$15,CRONO!$F65,0)))
                +IF(AND($F67&lt;&gt;"",$F67&lt;&gt;0),
                        SUMIF(CÁLCULO!$AM$15:$AW$231,CRONO!AC$12,CÁLCULO!$AB$15:$AL$231)/(ORÇAMENTO!$X$15-_xlfn.SINGLE(CÁLCULO.TotalAdmLocal))*CRONO!$F67,
                        0),
                 AC66*$S65),
          SUMIF(OFFSET($S67,1,0,$R65-2),($M65+1)&amp;"$",OFFSET(AC67,1,0,$R65-2)))</f>
        <v>0</v>
      </c>
      <c r="AD67" s="203" cm="1">
        <f t="array" aca="1" ref="AD67" ca="1">IF($R65=2,
         IF(AND(ACOMPANHAMENTO="PLE",ISNUMBER($F65)),
                SUMIF((OFFSET(CÁLCULO!$AM$15:$AW$15,$F65,0,OFFSET(ORÇAMENTO!$D$15,CRONO!$F65,0))),CRONO!AD$12,OFFSET(CÁLCULO!$AB$15:$AL$15,$F65,0,OFFSET(ORÇAMENTO!$D$15,CRONO!$F65,0)))
                +IF(AND($F67&lt;&gt;"",$F67&lt;&gt;0),
                        SUMIF(CÁLCULO!$AM$15:$AW$231,CRONO!AD$12,CÁLCULO!$AB$15:$AL$231)/(ORÇAMENTO!$X$15-_xlfn.SINGLE(CÁLCULO.TotalAdmLocal))*CRONO!$F67,
                        0),
                 AD66*$S65),
          SUMIF(OFFSET($S67,1,0,$R65-2),($M65+1)&amp;"$",OFFSET(AD67,1,0,$R65-2)))</f>
        <v>0</v>
      </c>
      <c r="AE67" s="203" cm="1">
        <f t="array" aca="1" ref="AE67" ca="1">IF($R65=2,
         IF(AND(ACOMPANHAMENTO="PLE",ISNUMBER($F65)),
                SUMIF((OFFSET(CÁLCULO!$AM$15:$AW$15,$F65,0,OFFSET(ORÇAMENTO!$D$15,CRONO!$F65,0))),CRONO!AE$12,OFFSET(CÁLCULO!$AB$15:$AL$15,$F65,0,OFFSET(ORÇAMENTO!$D$15,CRONO!$F65,0)))
                +IF(AND($F67&lt;&gt;"",$F67&lt;&gt;0),
                        SUMIF(CÁLCULO!$AM$15:$AW$231,CRONO!AE$12,CÁLCULO!$AB$15:$AL$231)/(ORÇAMENTO!$X$15-_xlfn.SINGLE(CÁLCULO.TotalAdmLocal))*CRONO!$F67,
                        0),
                 AE66*$S65),
          SUMIF(OFFSET($S67,1,0,$R65-2),($M65+1)&amp;"$",OFFSET(AE67,1,0,$R65-2)))</f>
        <v>0</v>
      </c>
      <c r="AF67" s="203" cm="1">
        <f t="array" aca="1" ref="AF67" ca="1">IF($R65=2,
         IF(AND(ACOMPANHAMENTO="PLE",ISNUMBER($F65)),
                SUMIF((OFFSET(CÁLCULO!$AM$15:$AW$15,$F65,0,OFFSET(ORÇAMENTO!$D$15,CRONO!$F65,0))),CRONO!AF$12,OFFSET(CÁLCULO!$AB$15:$AL$15,$F65,0,OFFSET(ORÇAMENTO!$D$15,CRONO!$F65,0)))
                +IF(AND($F67&lt;&gt;"",$F67&lt;&gt;0),
                        SUMIF(CÁLCULO!$AM$15:$AW$231,CRONO!AF$12,CÁLCULO!$AB$15:$AL$231)/(ORÇAMENTO!$X$15-_xlfn.SINGLE(CÁLCULO.TotalAdmLocal))*CRONO!$F67,
                        0),
                 AF66*$S65),
          SUMIF(OFFSET($S67,1,0,$R65-2),($M65+1)&amp;"$",OFFSET(AF67,1,0,$R65-2)))</f>
        <v>0</v>
      </c>
      <c r="AG67" s="535"/>
    </row>
    <row r="68" spans="1:33" x14ac:dyDescent="0.2">
      <c r="A68" s="187" t="str">
        <f t="shared" ref="A68" ca="1" si="110">IF($M68&gt;1,_xlfn.CONCAT($I68," ",$J68),"")</f>
        <v>1.18. EMISSÁRIO DE ESGOTO - MATERIAIS</v>
      </c>
      <c r="B68" s="186">
        <f t="shared" ref="B68" ca="1" si="111">OFFSET(B68,-3,0)+1</f>
        <v>19</v>
      </c>
      <c r="C68" s="186">
        <f ca="1">IF($R68&lt;&gt;2,0,IF($S68=0,1,IF(F69&gt;0,OFFSET(QCI!$M$13,SUBSTITUTE(F69,".",""),0),OFFSET(ORÇAMENTO!$AA$15,CRONO!$F68,0))/$S68))</f>
        <v>1</v>
      </c>
      <c r="D68" s="186">
        <f ca="1">IF($R68&lt;&gt;2,0,IF($S68=0,1,IF(F69&gt;0,OFFSET(QCI!$N$13,SUBSTITUTE(F69,".",""),0),OFFSET(ORÇAMENTO!$AB$15,CRONO!$F68,0))/$S68))</f>
        <v>1</v>
      </c>
      <c r="E68" s="189" cm="1">
        <f t="array" aca="1" ref="E68" ca="1">IF(AND($R68=2,ACOMPANHAMENTO="BM"),ROUND(E69,4),E70/$S68)</f>
        <v>0</v>
      </c>
      <c r="F68" s="186">
        <f ca="1">IF(B68&lt;=ORÇAMENTO.MáximoListaCrono,MATCH(B68,ORÇAMENTO.ListaCrono,0),NA())</f>
        <v>125</v>
      </c>
      <c r="G68" s="186" t="str">
        <f t="shared" ref="G68" ca="1" si="112">IF(AND($F69&lt;&gt;-1,$S68&gt;0),"F","")</f>
        <v/>
      </c>
      <c r="H68" s="190" t="str" cm="1">
        <f t="array" aca="1" ref="H68" ca="1">IF(OR(S68=0,S68=""),"Linha",IF(AND(OR(ACOMPANHAMENTO="PLE",$R68&lt;&gt;2),$F69=0),"Linha",ROUND(1-SUM(U68:AG68),4)))</f>
        <v>Linha</v>
      </c>
      <c r="I68" s="191" t="str">
        <f ca="1">IF($F69=0,OFFSET(ORÇAMENTO!O$15,$F68,0),IF($F69&lt;&gt;-1,OFFSET(QCI!$D$13,$F69,0),""))</f>
        <v>1.18.</v>
      </c>
      <c r="J68" s="192" t="str">
        <f ca="1">IF($F69=0,OFFSET(ORÇAMENTO!R$15,$F68,0),IF($F69&lt;&gt;-1,OFFSET(QCI!$G$13,$F69,0),""))</f>
        <v>EMISSÁRIO DE ESGOTO - MATERIAIS</v>
      </c>
      <c r="K68" s="192"/>
      <c r="L68" s="192"/>
      <c r="M68" s="193">
        <f ca="1">IF($F69=0,OFFSET(ORÇAMENTO!C$15,$F68,0),1)</f>
        <v>2</v>
      </c>
      <c r="N68" s="194">
        <f ca="1">IF($F69=-1,0,IF(N$13&lt;=$M68,IF(ISERROR(MATCH(N$13,OFFSET($M68,1,0,ROW($M$101)-ROW($M68)-1),0)),ROW($M$101)-ROW($M68)-1,MATCH(N$13,OFFSET($M68,1,0,ROW($M$101)-ROW($M68)-1),0)-1),0))</f>
        <v>32</v>
      </c>
      <c r="O68" s="194">
        <f ca="1">IF($F69=-1,0,IF(O$13&lt;=$M68,IF(ISERROR(MATCH(O$13,OFFSET($M68,1,0,ROW($M$101)-ROW($M68)-1),0)),ROW($M$101)-ROW($M68)-1,MATCH(O$13,OFFSET($M68,1,0,ROW($M$101)-ROW($M68)-1),0)-1),0))</f>
        <v>2</v>
      </c>
      <c r="P68" s="194">
        <f ca="1">IF($F69=-1,0,IF(P$13&lt;=$M68,IF(ISERROR(MATCH(P$13,OFFSET($M68,1,0,ROW($M$101)-ROW($M68)-1),0)),ROW($M$101)-ROW($M68)-1,MATCH(P$13,OFFSET($M68,1,0,ROW($M$101)-ROW($M68)-1),0)-1),0))</f>
        <v>0</v>
      </c>
      <c r="Q68" s="194">
        <f ca="1">IF($F69=-1,0,IF(Q$13&lt;=$M68,IF(ISERROR(MATCH(Q$13,OFFSET($M68,1,0,ROW($M$101)-ROW($M68)-1),0)),ROW($M$101)-ROW($M68)-1,MATCH(Q$13,OFFSET($M68,1,0,ROW($M$101)-ROW($M68)-1),0)-1),0))</f>
        <v>0</v>
      </c>
      <c r="R68" s="194">
        <f t="shared" ref="R68" ca="1" si="113">MIN(OFFSET(M68,0,1,,M68))</f>
        <v>2</v>
      </c>
      <c r="S68" s="195">
        <f ca="1">IF($F69=0,OFFSET(ORÇAMENTO!X$15,$F68,0),IF($F69&lt;&gt;-1,OFFSET(QCI!$O$13,$F69,0),""))</f>
        <v>0</v>
      </c>
      <c r="T68" s="196" t="s">
        <v>786</v>
      </c>
      <c r="U68" s="189" cm="1">
        <f t="array" aca="1" ref="U68" ca="1">IF(AND($R68=2,ACOMPANHAMENTO="BM"),ROUND(U69,4),U70/$S68)</f>
        <v>0</v>
      </c>
      <c r="V68" s="189" cm="1">
        <f t="array" aca="1" ref="V68" ca="1">IF(AND($R68=2,ACOMPANHAMENTO="BM"),ROUND(V69,4),V70/$S68)</f>
        <v>0.5</v>
      </c>
      <c r="W68" s="189" cm="1">
        <f t="array" aca="1" ref="W68" ca="1">IF(AND($R68=2,ACOMPANHAMENTO="BM"),ROUND(W69,4),W70/$S68)</f>
        <v>0</v>
      </c>
      <c r="X68" s="189" cm="1">
        <f t="array" aca="1" ref="X68" ca="1">IF(AND($R68=2,ACOMPANHAMENTO="BM"),ROUND(X69,4),X70/$S68)</f>
        <v>0</v>
      </c>
      <c r="Y68" s="189" cm="1">
        <f t="array" aca="1" ref="Y68" ca="1">IF(AND($R68=2,ACOMPANHAMENTO="BM"),ROUND(Y69,4),Y70/$S68)</f>
        <v>0.5</v>
      </c>
      <c r="Z68" s="189" cm="1">
        <f t="array" aca="1" ref="Z68" ca="1">IF(AND($R68=2,ACOMPANHAMENTO="BM"),ROUND(Z69,4),Z70/$S68)</f>
        <v>0</v>
      </c>
      <c r="AA68" s="189" cm="1">
        <f t="array" aca="1" ref="AA68" ca="1">IF(AND($R68=2,ACOMPANHAMENTO="BM"),ROUND(AA69,4),AA70/$S68)</f>
        <v>0</v>
      </c>
      <c r="AB68" s="189" cm="1">
        <f t="array" aca="1" ref="AB68" ca="1">IF(AND($R68=2,ACOMPANHAMENTO="BM"),ROUND(AB69,4),AB70/$S68)</f>
        <v>0</v>
      </c>
      <c r="AC68" s="189" cm="1">
        <f t="array" aca="1" ref="AC68" ca="1">IF(AND($R68=2,ACOMPANHAMENTO="BM"),ROUND(AC69,4),AC70/$S68)</f>
        <v>0</v>
      </c>
      <c r="AD68" s="189" cm="1">
        <f t="array" aca="1" ref="AD68" ca="1">IF(AND($R68=2,ACOMPANHAMENTO="BM"),ROUND(AD69,4),AD70/$S68)</f>
        <v>0</v>
      </c>
      <c r="AE68" s="189" cm="1">
        <f t="array" aca="1" ref="AE68" ca="1">IF(AND($R68=2,ACOMPANHAMENTO="BM"),ROUND(AE69,4),AE70/$S68)</f>
        <v>0</v>
      </c>
      <c r="AF68" s="189" cm="1">
        <f t="array" aca="1" ref="AF68" ca="1">IF(AND($R68=2,ACOMPANHAMENTO="BM"),ROUND(AF69,4),AF70/$S68)</f>
        <v>0</v>
      </c>
      <c r="AG68" s="535"/>
    </row>
    <row r="69" spans="1:33" ht="12.75" customHeight="1" x14ac:dyDescent="0.2">
      <c r="E69" s="588"/>
      <c r="F69" s="186">
        <f ca="1">IF(ISERROR(F68),IF(1+COUNTIF($M$13:OFFSET(M68,-1,0),1)&lt;=MAX(QCI!$D$13:$D$15),1+COUNTIF($M$13:OFFSET(M68,-1,0),1),-1),0)</f>
        <v>0</v>
      </c>
      <c r="G69" s="186" t="str" cm="1">
        <f t="array" aca="1" ref="G69" ca="1">IF(ACOMPANHAMENTO="BM",OFFSET(G69,-1,0),"")</f>
        <v/>
      </c>
      <c r="H69" s="197" t="str" cm="1">
        <f t="array" aca="1" ref="H69" ca="1">IF(OR(S68=0,S68=""),"vazia",IF(AND(OR(ACOMPANHAMENTO="PLE",$R68&lt;&gt;2),$F69=0),"calculada","--&gt;"))</f>
        <v>vazia</v>
      </c>
      <c r="I69" s="198"/>
      <c r="J69" s="199" t="str">
        <f t="shared" ref="J69" ca="1" si="114">IF(AND(H68&lt;&gt;0,ISNUMBER(H68)),"PREENCHA ESTA LINHA --&gt;","")</f>
        <v/>
      </c>
      <c r="K69" s="199"/>
      <c r="L69" s="199"/>
      <c r="M69" s="200"/>
      <c r="N69" s="200"/>
      <c r="O69" s="200"/>
      <c r="P69" s="200"/>
      <c r="Q69" s="200"/>
      <c r="R69" s="200"/>
      <c r="S69" s="201"/>
      <c r="T69" s="202"/>
      <c r="U69" s="588"/>
      <c r="V69" s="588">
        <v>0.5</v>
      </c>
      <c r="W69" s="588"/>
      <c r="X69" s="588"/>
      <c r="Y69" s="588">
        <v>0.5</v>
      </c>
      <c r="Z69" s="588"/>
      <c r="AA69" s="588"/>
      <c r="AB69" s="588"/>
      <c r="AC69" s="588"/>
      <c r="AD69" s="588"/>
      <c r="AE69" s="588"/>
      <c r="AF69" s="588"/>
      <c r="AG69" s="535"/>
    </row>
    <row r="70" spans="1:33" ht="12.75" hidden="1" customHeight="1" x14ac:dyDescent="0.2">
      <c r="D70" s="534"/>
      <c r="E70" s="203" cm="1">
        <f t="array" aca="1" ref="E70" ca="1">IF($R68=2,
         IF(AND(ACOMPANHAMENTO="PLE",ISNUMBER($F68)),
                SUMIF((OFFSET(CÁLCULO!$AM$15:$AW$15,$F68,0,OFFSET(ORÇAMENTO!$D$15,CRONO!$F68,0))),CRONO!E$12,OFFSET(CÁLCULO!$AB$15:$AL$15,$F68,0,OFFSET(ORÇAMENTO!$D$15,CRONO!$F68,0)))
                +IF(AND($F70&lt;&gt;"",$F70&lt;&gt;0),
                        SUMIF(CÁLCULO!$AM$15:$AW$231,CRONO!E$12,CÁLCULO!$AB$15:$AL$231)/(ORÇAMENTO!$X$15-_xlfn.SINGLE(CÁLCULO.TotalAdmLocal))*CRONO!$F70,
                        0),
                 E69*$S68),
          SUMIF(OFFSET($S70,1,0,$R68-2),($M68+1)&amp;"$",OFFSET(E70,1,0,$R68-2)))</f>
        <v>0</v>
      </c>
      <c r="F70" s="186" t="str">
        <f ca="1">IF(OR($R68&lt;&gt;2,AUTOEVENTO&lt;&gt;"manual",$F69&gt;0),"",
        IF(Import.TipoArredondamento="Tradicional",
              SUMIF(OFFSET(CÁLCULO!$M$15,CRONO!$F68,0,OFFSET(ORÇAMENTO!$D$15,CRONO!$F68,0)),1,OFFSET(ORÇAMENTO!$X$15,CRONO!$F68,0,OFFSET(ORÇAMENTO!$D$15,CRONO!$F68,0))),
              0))</f>
        <v/>
      </c>
      <c r="H70" s="672"/>
      <c r="S70" s="205" t="str">
        <f t="shared" ref="S70" ca="1" si="115">M68&amp;"$"</f>
        <v>2$</v>
      </c>
      <c r="T70" s="206"/>
      <c r="U70" s="203" cm="1">
        <f t="array" aca="1" ref="U70" ca="1">IF($R68=2,
         IF(AND(ACOMPANHAMENTO="PLE",ISNUMBER($F68)),
                SUMIF((OFFSET(CÁLCULO!$AM$15:$AW$15,$F68,0,OFFSET(ORÇAMENTO!$D$15,CRONO!$F68,0))),CRONO!U$12,OFFSET(CÁLCULO!$AB$15:$AL$15,$F68,0,OFFSET(ORÇAMENTO!$D$15,CRONO!$F68,0)))
                +IF(AND($F70&lt;&gt;"",$F70&lt;&gt;0),
                        SUMIF(CÁLCULO!$AM$15:$AW$231,CRONO!U$12,CÁLCULO!$AB$15:$AL$231)/(ORÇAMENTO!$X$15-_xlfn.SINGLE(CÁLCULO.TotalAdmLocal))*CRONO!$F70,
                        0),
                 U69*$S68),
          SUMIF(OFFSET($S70,1,0,$R68-2),($M68+1)&amp;"$",OFFSET(U70,1,0,$R68-2)))</f>
        <v>0</v>
      </c>
      <c r="V70" s="203" cm="1">
        <f t="array" aca="1" ref="V70" ca="1">IF($R68=2,
         IF(AND(ACOMPANHAMENTO="PLE",ISNUMBER($F68)),
                SUMIF((OFFSET(CÁLCULO!$AM$15:$AW$15,$F68,0,OFFSET(ORÇAMENTO!$D$15,CRONO!$F68,0))),CRONO!V$12,OFFSET(CÁLCULO!$AB$15:$AL$15,$F68,0,OFFSET(ORÇAMENTO!$D$15,CRONO!$F68,0)))
                +IF(AND($F70&lt;&gt;"",$F70&lt;&gt;0),
                        SUMIF(CÁLCULO!$AM$15:$AW$231,CRONO!V$12,CÁLCULO!$AB$15:$AL$231)/(ORÇAMENTO!$X$15-_xlfn.SINGLE(CÁLCULO.TotalAdmLocal))*CRONO!$F70,
                        0),
                 V69*$S68),
          SUMIF(OFFSET($S70,1,0,$R68-2),($M68+1)&amp;"$",OFFSET(V70,1,0,$R68-2)))</f>
        <v>0</v>
      </c>
      <c r="W70" s="203" cm="1">
        <f t="array" aca="1" ref="W70" ca="1">IF($R68=2,
         IF(AND(ACOMPANHAMENTO="PLE",ISNUMBER($F68)),
                SUMIF((OFFSET(CÁLCULO!$AM$15:$AW$15,$F68,0,OFFSET(ORÇAMENTO!$D$15,CRONO!$F68,0))),CRONO!W$12,OFFSET(CÁLCULO!$AB$15:$AL$15,$F68,0,OFFSET(ORÇAMENTO!$D$15,CRONO!$F68,0)))
                +IF(AND($F70&lt;&gt;"",$F70&lt;&gt;0),
                        SUMIF(CÁLCULO!$AM$15:$AW$231,CRONO!W$12,CÁLCULO!$AB$15:$AL$231)/(ORÇAMENTO!$X$15-_xlfn.SINGLE(CÁLCULO.TotalAdmLocal))*CRONO!$F70,
                        0),
                 W69*$S68),
          SUMIF(OFFSET($S70,1,0,$R68-2),($M68+1)&amp;"$",OFFSET(W70,1,0,$R68-2)))</f>
        <v>0</v>
      </c>
      <c r="X70" s="203" cm="1">
        <f t="array" aca="1" ref="X70" ca="1">IF($R68=2,
         IF(AND(ACOMPANHAMENTO="PLE",ISNUMBER($F68)),
                SUMIF((OFFSET(CÁLCULO!$AM$15:$AW$15,$F68,0,OFFSET(ORÇAMENTO!$D$15,CRONO!$F68,0))),CRONO!X$12,OFFSET(CÁLCULO!$AB$15:$AL$15,$F68,0,OFFSET(ORÇAMENTO!$D$15,CRONO!$F68,0)))
                +IF(AND($F70&lt;&gt;"",$F70&lt;&gt;0),
                        SUMIF(CÁLCULO!$AM$15:$AW$231,CRONO!X$12,CÁLCULO!$AB$15:$AL$231)/(ORÇAMENTO!$X$15-_xlfn.SINGLE(CÁLCULO.TotalAdmLocal))*CRONO!$F70,
                        0),
                 X69*$S68),
          SUMIF(OFFSET($S70,1,0,$R68-2),($M68+1)&amp;"$",OFFSET(X70,1,0,$R68-2)))</f>
        <v>0</v>
      </c>
      <c r="Y70" s="203" cm="1">
        <f t="array" aca="1" ref="Y70" ca="1">IF($R68=2,
         IF(AND(ACOMPANHAMENTO="PLE",ISNUMBER($F68)),
                SUMIF((OFFSET(CÁLCULO!$AM$15:$AW$15,$F68,0,OFFSET(ORÇAMENTO!$D$15,CRONO!$F68,0))),CRONO!Y$12,OFFSET(CÁLCULO!$AB$15:$AL$15,$F68,0,OFFSET(ORÇAMENTO!$D$15,CRONO!$F68,0)))
                +IF(AND($F70&lt;&gt;"",$F70&lt;&gt;0),
                        SUMIF(CÁLCULO!$AM$15:$AW$231,CRONO!Y$12,CÁLCULO!$AB$15:$AL$231)/(ORÇAMENTO!$X$15-_xlfn.SINGLE(CÁLCULO.TotalAdmLocal))*CRONO!$F70,
                        0),
                 Y69*$S68),
          SUMIF(OFFSET($S70,1,0,$R68-2),($M68+1)&amp;"$",OFFSET(Y70,1,0,$R68-2)))</f>
        <v>0</v>
      </c>
      <c r="Z70" s="203" cm="1">
        <f t="array" aca="1" ref="Z70" ca="1">IF($R68=2,
         IF(AND(ACOMPANHAMENTO="PLE",ISNUMBER($F68)),
                SUMIF((OFFSET(CÁLCULO!$AM$15:$AW$15,$F68,0,OFFSET(ORÇAMENTO!$D$15,CRONO!$F68,0))),CRONO!Z$12,OFFSET(CÁLCULO!$AB$15:$AL$15,$F68,0,OFFSET(ORÇAMENTO!$D$15,CRONO!$F68,0)))
                +IF(AND($F70&lt;&gt;"",$F70&lt;&gt;0),
                        SUMIF(CÁLCULO!$AM$15:$AW$231,CRONO!Z$12,CÁLCULO!$AB$15:$AL$231)/(ORÇAMENTO!$X$15-_xlfn.SINGLE(CÁLCULO.TotalAdmLocal))*CRONO!$F70,
                        0),
                 Z69*$S68),
          SUMIF(OFFSET($S70,1,0,$R68-2),($M68+1)&amp;"$",OFFSET(Z70,1,0,$R68-2)))</f>
        <v>0</v>
      </c>
      <c r="AA70" s="203" cm="1">
        <f t="array" aca="1" ref="AA70" ca="1">IF($R68=2,
         IF(AND(ACOMPANHAMENTO="PLE",ISNUMBER($F68)),
                SUMIF((OFFSET(CÁLCULO!$AM$15:$AW$15,$F68,0,OFFSET(ORÇAMENTO!$D$15,CRONO!$F68,0))),CRONO!AA$12,OFFSET(CÁLCULO!$AB$15:$AL$15,$F68,0,OFFSET(ORÇAMENTO!$D$15,CRONO!$F68,0)))
                +IF(AND($F70&lt;&gt;"",$F70&lt;&gt;0),
                        SUMIF(CÁLCULO!$AM$15:$AW$231,CRONO!AA$12,CÁLCULO!$AB$15:$AL$231)/(ORÇAMENTO!$X$15-_xlfn.SINGLE(CÁLCULO.TotalAdmLocal))*CRONO!$F70,
                        0),
                 AA69*$S68),
          SUMIF(OFFSET($S70,1,0,$R68-2),($M68+1)&amp;"$",OFFSET(AA70,1,0,$R68-2)))</f>
        <v>0</v>
      </c>
      <c r="AB70" s="203" cm="1">
        <f t="array" aca="1" ref="AB70" ca="1">IF($R68=2,
         IF(AND(ACOMPANHAMENTO="PLE",ISNUMBER($F68)),
                SUMIF((OFFSET(CÁLCULO!$AM$15:$AW$15,$F68,0,OFFSET(ORÇAMENTO!$D$15,CRONO!$F68,0))),CRONO!AB$12,OFFSET(CÁLCULO!$AB$15:$AL$15,$F68,0,OFFSET(ORÇAMENTO!$D$15,CRONO!$F68,0)))
                +IF(AND($F70&lt;&gt;"",$F70&lt;&gt;0),
                        SUMIF(CÁLCULO!$AM$15:$AW$231,CRONO!AB$12,CÁLCULO!$AB$15:$AL$231)/(ORÇAMENTO!$X$15-_xlfn.SINGLE(CÁLCULO.TotalAdmLocal))*CRONO!$F70,
                        0),
                 AB69*$S68),
          SUMIF(OFFSET($S70,1,0,$R68-2),($M68+1)&amp;"$",OFFSET(AB70,1,0,$R68-2)))</f>
        <v>0</v>
      </c>
      <c r="AC70" s="203" cm="1">
        <f t="array" aca="1" ref="AC70" ca="1">IF($R68=2,
         IF(AND(ACOMPANHAMENTO="PLE",ISNUMBER($F68)),
                SUMIF((OFFSET(CÁLCULO!$AM$15:$AW$15,$F68,0,OFFSET(ORÇAMENTO!$D$15,CRONO!$F68,0))),CRONO!AC$12,OFFSET(CÁLCULO!$AB$15:$AL$15,$F68,0,OFFSET(ORÇAMENTO!$D$15,CRONO!$F68,0)))
                +IF(AND($F70&lt;&gt;"",$F70&lt;&gt;0),
                        SUMIF(CÁLCULO!$AM$15:$AW$231,CRONO!AC$12,CÁLCULO!$AB$15:$AL$231)/(ORÇAMENTO!$X$15-_xlfn.SINGLE(CÁLCULO.TotalAdmLocal))*CRONO!$F70,
                        0),
                 AC69*$S68),
          SUMIF(OFFSET($S70,1,0,$R68-2),($M68+1)&amp;"$",OFFSET(AC70,1,0,$R68-2)))</f>
        <v>0</v>
      </c>
      <c r="AD70" s="203" cm="1">
        <f t="array" aca="1" ref="AD70" ca="1">IF($R68=2,
         IF(AND(ACOMPANHAMENTO="PLE",ISNUMBER($F68)),
                SUMIF((OFFSET(CÁLCULO!$AM$15:$AW$15,$F68,0,OFFSET(ORÇAMENTO!$D$15,CRONO!$F68,0))),CRONO!AD$12,OFFSET(CÁLCULO!$AB$15:$AL$15,$F68,0,OFFSET(ORÇAMENTO!$D$15,CRONO!$F68,0)))
                +IF(AND($F70&lt;&gt;"",$F70&lt;&gt;0),
                        SUMIF(CÁLCULO!$AM$15:$AW$231,CRONO!AD$12,CÁLCULO!$AB$15:$AL$231)/(ORÇAMENTO!$X$15-_xlfn.SINGLE(CÁLCULO.TotalAdmLocal))*CRONO!$F70,
                        0),
                 AD69*$S68),
          SUMIF(OFFSET($S70,1,0,$R68-2),($M68+1)&amp;"$",OFFSET(AD70,1,0,$R68-2)))</f>
        <v>0</v>
      </c>
      <c r="AE70" s="203" cm="1">
        <f t="array" aca="1" ref="AE70" ca="1">IF($R68=2,
         IF(AND(ACOMPANHAMENTO="PLE",ISNUMBER($F68)),
                SUMIF((OFFSET(CÁLCULO!$AM$15:$AW$15,$F68,0,OFFSET(ORÇAMENTO!$D$15,CRONO!$F68,0))),CRONO!AE$12,OFFSET(CÁLCULO!$AB$15:$AL$15,$F68,0,OFFSET(ORÇAMENTO!$D$15,CRONO!$F68,0)))
                +IF(AND($F70&lt;&gt;"",$F70&lt;&gt;0),
                        SUMIF(CÁLCULO!$AM$15:$AW$231,CRONO!AE$12,CÁLCULO!$AB$15:$AL$231)/(ORÇAMENTO!$X$15-_xlfn.SINGLE(CÁLCULO.TotalAdmLocal))*CRONO!$F70,
                        0),
                 AE69*$S68),
          SUMIF(OFFSET($S70,1,0,$R68-2),($M68+1)&amp;"$",OFFSET(AE70,1,0,$R68-2)))</f>
        <v>0</v>
      </c>
      <c r="AF70" s="203" cm="1">
        <f t="array" aca="1" ref="AF70" ca="1">IF($R68=2,
         IF(AND(ACOMPANHAMENTO="PLE",ISNUMBER($F68)),
                SUMIF((OFFSET(CÁLCULO!$AM$15:$AW$15,$F68,0,OFFSET(ORÇAMENTO!$D$15,CRONO!$F68,0))),CRONO!AF$12,OFFSET(CÁLCULO!$AB$15:$AL$15,$F68,0,OFFSET(ORÇAMENTO!$D$15,CRONO!$F68,0)))
                +IF(AND($F70&lt;&gt;"",$F70&lt;&gt;0),
                        SUMIF(CÁLCULO!$AM$15:$AW$231,CRONO!AF$12,CÁLCULO!$AB$15:$AL$231)/(ORÇAMENTO!$X$15-_xlfn.SINGLE(CÁLCULO.TotalAdmLocal))*CRONO!$F70,
                        0),
                 AF69*$S68),
          SUMIF(OFFSET($S70,1,0,$R68-2),($M68+1)&amp;"$",OFFSET(AF70,1,0,$R68-2)))</f>
        <v>0</v>
      </c>
      <c r="AG70" s="535"/>
    </row>
    <row r="71" spans="1:33" x14ac:dyDescent="0.2">
      <c r="A71" s="187" t="str">
        <f t="shared" ref="A71" ca="1" si="116">IF($M71&gt;1,_xlfn.CONCAT($I71," ",$J71),"")</f>
        <v>1.19. ELEVATÓRIA DE ESGOTO</v>
      </c>
      <c r="B71" s="186">
        <f t="shared" ref="B71" ca="1" si="117">OFFSET(B71,-3,0)+1</f>
        <v>20</v>
      </c>
      <c r="C71" s="186">
        <f ca="1">IF($R71&lt;&gt;2,0,IF($S71=0,1,IF(F72&gt;0,OFFSET(QCI!$M$13,SUBSTITUTE(F72,".",""),0),OFFSET(ORÇAMENTO!$AA$15,CRONO!$F71,0))/$S71))</f>
        <v>1</v>
      </c>
      <c r="D71" s="186">
        <f ca="1">IF($R71&lt;&gt;2,0,IF($S71=0,1,IF(F72&gt;0,OFFSET(QCI!$N$13,SUBSTITUTE(F72,".",""),0),OFFSET(ORÇAMENTO!$AB$15,CRONO!$F71,0))/$S71))</f>
        <v>1</v>
      </c>
      <c r="E71" s="189" cm="1">
        <f t="array" aca="1" ref="E71" ca="1">IF(AND($R71=2,ACOMPANHAMENTO="BM"),ROUND(E72,4),E73/$S71)</f>
        <v>0</v>
      </c>
      <c r="F71" s="186">
        <f ca="1">IF(B71&lt;=ORÇAMENTO.MáximoListaCrono,MATCH(B71,ORÇAMENTO.ListaCrono,0),NA())</f>
        <v>130</v>
      </c>
      <c r="G71" s="186" t="str">
        <f t="shared" ref="G71" ca="1" si="118">IF(AND($F72&lt;&gt;-1,$S71&gt;0),"F","")</f>
        <v/>
      </c>
      <c r="H71" s="190" t="str" cm="1">
        <f t="array" aca="1" ref="H71" ca="1">IF(OR(S71=0,S71=""),"Linha",IF(AND(OR(ACOMPANHAMENTO="PLE",$R71&lt;&gt;2),$F72=0),"Linha",ROUND(1-SUM(U71:AG71),4)))</f>
        <v>Linha</v>
      </c>
      <c r="I71" s="191" t="str">
        <f ca="1">IF($F72=0,OFFSET(ORÇAMENTO!O$15,$F71,0),IF($F72&lt;&gt;-1,OFFSET(QCI!$D$13,$F72,0),""))</f>
        <v>1.19.</v>
      </c>
      <c r="J71" s="192" t="str">
        <f ca="1">IF($F72=0,OFFSET(ORÇAMENTO!R$15,$F71,0),IF($F72&lt;&gt;-1,OFFSET(QCI!$G$13,$F72,0),""))</f>
        <v>ELEVATÓRIA DE ESGOTO</v>
      </c>
      <c r="K71" s="192"/>
      <c r="L71" s="192"/>
      <c r="M71" s="193">
        <f ca="1">IF($F72=0,OFFSET(ORÇAMENTO!C$15,$F71,0),1)</f>
        <v>2</v>
      </c>
      <c r="N71" s="194">
        <f ca="1">IF($F72=-1,0,IF(N$13&lt;=$M71,IF(ISERROR(MATCH(N$13,OFFSET($M71,1,0,ROW($M$101)-ROW($M71)-1),0)),ROW($M$101)-ROW($M71)-1,MATCH(N$13,OFFSET($M71,1,0,ROW($M$101)-ROW($M71)-1),0)-1),0))</f>
        <v>29</v>
      </c>
      <c r="O71" s="194">
        <f ca="1">IF($F72=-1,0,IF(O$13&lt;=$M71,IF(ISERROR(MATCH(O$13,OFFSET($M71,1,0,ROW($M$101)-ROW($M71)-1),0)),ROW($M$101)-ROW($M71)-1,MATCH(O$13,OFFSET($M71,1,0,ROW($M$101)-ROW($M71)-1),0)-1),0))</f>
        <v>2</v>
      </c>
      <c r="P71" s="194">
        <f ca="1">IF($F72=-1,0,IF(P$13&lt;=$M71,IF(ISERROR(MATCH(P$13,OFFSET($M71,1,0,ROW($M$101)-ROW($M71)-1),0)),ROW($M$101)-ROW($M71)-1,MATCH(P$13,OFFSET($M71,1,0,ROW($M$101)-ROW($M71)-1),0)-1),0))</f>
        <v>0</v>
      </c>
      <c r="Q71" s="194">
        <f ca="1">IF($F72=-1,0,IF(Q$13&lt;=$M71,IF(ISERROR(MATCH(Q$13,OFFSET($M71,1,0,ROW($M$101)-ROW($M71)-1),0)),ROW($M$101)-ROW($M71)-1,MATCH(Q$13,OFFSET($M71,1,0,ROW($M$101)-ROW($M71)-1),0)-1),0))</f>
        <v>0</v>
      </c>
      <c r="R71" s="194">
        <f t="shared" ref="R71" ca="1" si="119">MIN(OFFSET(M71,0,1,,M71))</f>
        <v>2</v>
      </c>
      <c r="S71" s="195">
        <f ca="1">IF($F72=0,OFFSET(ORÇAMENTO!X$15,$F71,0),IF($F72&lt;&gt;-1,OFFSET(QCI!$O$13,$F72,0),""))</f>
        <v>0</v>
      </c>
      <c r="T71" s="196" t="s">
        <v>786</v>
      </c>
      <c r="U71" s="189" cm="1">
        <f t="array" aca="1" ref="U71" ca="1">IF(AND($R71=2,ACOMPANHAMENTO="BM"),ROUND(U72,4),U73/$S71)</f>
        <v>0.5</v>
      </c>
      <c r="V71" s="189" cm="1">
        <f t="array" aca="1" ref="V71" ca="1">IF(AND($R71=2,ACOMPANHAMENTO="BM"),ROUND(V72,4),V73/$S71)</f>
        <v>0.5</v>
      </c>
      <c r="W71" s="189" cm="1">
        <f t="array" aca="1" ref="W71" ca="1">IF(AND($R71=2,ACOMPANHAMENTO="BM"),ROUND(W72,4),W73/$S71)</f>
        <v>0</v>
      </c>
      <c r="X71" s="189" cm="1">
        <f t="array" aca="1" ref="X71" ca="1">IF(AND($R71=2,ACOMPANHAMENTO="BM"),ROUND(X72,4),X73/$S71)</f>
        <v>0</v>
      </c>
      <c r="Y71" s="189" cm="1">
        <f t="array" aca="1" ref="Y71" ca="1">IF(AND($R71=2,ACOMPANHAMENTO="BM"),ROUND(Y72,4),Y73/$S71)</f>
        <v>0</v>
      </c>
      <c r="Z71" s="189" cm="1">
        <f t="array" aca="1" ref="Z71" ca="1">IF(AND($R71=2,ACOMPANHAMENTO="BM"),ROUND(Z72,4),Z73/$S71)</f>
        <v>0</v>
      </c>
      <c r="AA71" s="189" cm="1">
        <f t="array" aca="1" ref="AA71" ca="1">IF(AND($R71=2,ACOMPANHAMENTO="BM"),ROUND(AA72,4),AA73/$S71)</f>
        <v>0</v>
      </c>
      <c r="AB71" s="189" cm="1">
        <f t="array" aca="1" ref="AB71" ca="1">IF(AND($R71=2,ACOMPANHAMENTO="BM"),ROUND(AB72,4),AB73/$S71)</f>
        <v>0</v>
      </c>
      <c r="AC71" s="189" cm="1">
        <f t="array" aca="1" ref="AC71" ca="1">IF(AND($R71=2,ACOMPANHAMENTO="BM"),ROUND(AC72,4),AC73/$S71)</f>
        <v>0</v>
      </c>
      <c r="AD71" s="189" cm="1">
        <f t="array" aca="1" ref="AD71" ca="1">IF(AND($R71=2,ACOMPANHAMENTO="BM"),ROUND(AD72,4),AD73/$S71)</f>
        <v>0</v>
      </c>
      <c r="AE71" s="189" cm="1">
        <f t="array" aca="1" ref="AE71" ca="1">IF(AND($R71=2,ACOMPANHAMENTO="BM"),ROUND(AE72,4),AE73/$S71)</f>
        <v>0</v>
      </c>
      <c r="AF71" s="189" cm="1">
        <f t="array" aca="1" ref="AF71" ca="1">IF(AND($R71=2,ACOMPANHAMENTO="BM"),ROUND(AF72,4),AF73/$S71)</f>
        <v>0</v>
      </c>
      <c r="AG71" s="535"/>
    </row>
    <row r="72" spans="1:33" ht="12.75" customHeight="1" x14ac:dyDescent="0.2">
      <c r="E72" s="588"/>
      <c r="F72" s="186">
        <f ca="1">IF(ISERROR(F71),IF(1+COUNTIF($M$13:OFFSET(M71,-1,0),1)&lt;=MAX(QCI!$D$13:$D$15),1+COUNTIF($M$13:OFFSET(M71,-1,0),1),-1),0)</f>
        <v>0</v>
      </c>
      <c r="G72" s="186" t="str" cm="1">
        <f t="array" aca="1" ref="G72" ca="1">IF(ACOMPANHAMENTO="BM",OFFSET(G72,-1,0),"")</f>
        <v/>
      </c>
      <c r="H72" s="197" t="str" cm="1">
        <f t="array" aca="1" ref="H72" ca="1">IF(OR(S71=0,S71=""),"vazia",IF(AND(OR(ACOMPANHAMENTO="PLE",$R71&lt;&gt;2),$F72=0),"calculada","--&gt;"))</f>
        <v>vazia</v>
      </c>
      <c r="I72" s="198"/>
      <c r="J72" s="199" t="str">
        <f t="shared" ref="J72" ca="1" si="120">IF(AND(H71&lt;&gt;0,ISNUMBER(H71)),"PREENCHA ESTA LINHA --&gt;","")</f>
        <v/>
      </c>
      <c r="K72" s="199"/>
      <c r="L72" s="199"/>
      <c r="M72" s="200"/>
      <c r="N72" s="200"/>
      <c r="O72" s="200"/>
      <c r="P72" s="200"/>
      <c r="Q72" s="200"/>
      <c r="R72" s="200"/>
      <c r="S72" s="201"/>
      <c r="T72" s="202"/>
      <c r="U72" s="588">
        <v>0.5</v>
      </c>
      <c r="V72" s="588">
        <v>0.5</v>
      </c>
      <c r="W72" s="588"/>
      <c r="X72" s="588"/>
      <c r="Y72" s="588"/>
      <c r="Z72" s="588"/>
      <c r="AA72" s="588"/>
      <c r="AB72" s="588"/>
      <c r="AC72" s="588"/>
      <c r="AD72" s="588"/>
      <c r="AE72" s="588"/>
      <c r="AF72" s="588"/>
      <c r="AG72" s="535"/>
    </row>
    <row r="73" spans="1:33" ht="12.75" hidden="1" customHeight="1" x14ac:dyDescent="0.2">
      <c r="D73" s="534"/>
      <c r="E73" s="203" cm="1">
        <f t="array" aca="1" ref="E73" ca="1">IF($R71=2,
         IF(AND(ACOMPANHAMENTO="PLE",ISNUMBER($F71)),
                SUMIF((OFFSET(CÁLCULO!$AM$15:$AW$15,$F71,0,OFFSET(ORÇAMENTO!$D$15,CRONO!$F71,0))),CRONO!E$12,OFFSET(CÁLCULO!$AB$15:$AL$15,$F71,0,OFFSET(ORÇAMENTO!$D$15,CRONO!$F71,0)))
                +IF(AND($F73&lt;&gt;"",$F73&lt;&gt;0),
                        SUMIF(CÁLCULO!$AM$15:$AW$231,CRONO!E$12,CÁLCULO!$AB$15:$AL$231)/(ORÇAMENTO!$X$15-_xlfn.SINGLE(CÁLCULO.TotalAdmLocal))*CRONO!$F73,
                        0),
                 E72*$S71),
          SUMIF(OFFSET($S73,1,0,$R71-2),($M71+1)&amp;"$",OFFSET(E73,1,0,$R71-2)))</f>
        <v>0</v>
      </c>
      <c r="F73" s="186" t="str">
        <f ca="1">IF(OR($R71&lt;&gt;2,AUTOEVENTO&lt;&gt;"manual",$F72&gt;0),"",
        IF(Import.TipoArredondamento="Tradicional",
              SUMIF(OFFSET(CÁLCULO!$M$15,CRONO!$F71,0,OFFSET(ORÇAMENTO!$D$15,CRONO!$F71,0)),1,OFFSET(ORÇAMENTO!$X$15,CRONO!$F71,0,OFFSET(ORÇAMENTO!$D$15,CRONO!$F71,0))),
              0))</f>
        <v/>
      </c>
      <c r="H73" s="672"/>
      <c r="S73" s="205" t="str">
        <f t="shared" ref="S73" ca="1" si="121">M71&amp;"$"</f>
        <v>2$</v>
      </c>
      <c r="T73" s="206"/>
      <c r="U73" s="203" cm="1">
        <f t="array" aca="1" ref="U73" ca="1">IF($R71=2,
         IF(AND(ACOMPANHAMENTO="PLE",ISNUMBER($F71)),
                SUMIF((OFFSET(CÁLCULO!$AM$15:$AW$15,$F71,0,OFFSET(ORÇAMENTO!$D$15,CRONO!$F71,0))),CRONO!U$12,OFFSET(CÁLCULO!$AB$15:$AL$15,$F71,0,OFFSET(ORÇAMENTO!$D$15,CRONO!$F71,0)))
                +IF(AND($F73&lt;&gt;"",$F73&lt;&gt;0),
                        SUMIF(CÁLCULO!$AM$15:$AW$231,CRONO!U$12,CÁLCULO!$AB$15:$AL$231)/(ORÇAMENTO!$X$15-_xlfn.SINGLE(CÁLCULO.TotalAdmLocal))*CRONO!$F73,
                        0),
                 U72*$S71),
          SUMIF(OFFSET($S73,1,0,$R71-2),($M71+1)&amp;"$",OFFSET(U73,1,0,$R71-2)))</f>
        <v>0</v>
      </c>
      <c r="V73" s="203" cm="1">
        <f t="array" aca="1" ref="V73" ca="1">IF($R71=2,
         IF(AND(ACOMPANHAMENTO="PLE",ISNUMBER($F71)),
                SUMIF((OFFSET(CÁLCULO!$AM$15:$AW$15,$F71,0,OFFSET(ORÇAMENTO!$D$15,CRONO!$F71,0))),CRONO!V$12,OFFSET(CÁLCULO!$AB$15:$AL$15,$F71,0,OFFSET(ORÇAMENTO!$D$15,CRONO!$F71,0)))
                +IF(AND($F73&lt;&gt;"",$F73&lt;&gt;0),
                        SUMIF(CÁLCULO!$AM$15:$AW$231,CRONO!V$12,CÁLCULO!$AB$15:$AL$231)/(ORÇAMENTO!$X$15-_xlfn.SINGLE(CÁLCULO.TotalAdmLocal))*CRONO!$F73,
                        0),
                 V72*$S71),
          SUMIF(OFFSET($S73,1,0,$R71-2),($M71+1)&amp;"$",OFFSET(V73,1,0,$R71-2)))</f>
        <v>0</v>
      </c>
      <c r="W73" s="203" cm="1">
        <f t="array" aca="1" ref="W73" ca="1">IF($R71=2,
         IF(AND(ACOMPANHAMENTO="PLE",ISNUMBER($F71)),
                SUMIF((OFFSET(CÁLCULO!$AM$15:$AW$15,$F71,0,OFFSET(ORÇAMENTO!$D$15,CRONO!$F71,0))),CRONO!W$12,OFFSET(CÁLCULO!$AB$15:$AL$15,$F71,0,OFFSET(ORÇAMENTO!$D$15,CRONO!$F71,0)))
                +IF(AND($F73&lt;&gt;"",$F73&lt;&gt;0),
                        SUMIF(CÁLCULO!$AM$15:$AW$231,CRONO!W$12,CÁLCULO!$AB$15:$AL$231)/(ORÇAMENTO!$X$15-_xlfn.SINGLE(CÁLCULO.TotalAdmLocal))*CRONO!$F73,
                        0),
                 W72*$S71),
          SUMIF(OFFSET($S73,1,0,$R71-2),($M71+1)&amp;"$",OFFSET(W73,1,0,$R71-2)))</f>
        <v>0</v>
      </c>
      <c r="X73" s="203" cm="1">
        <f t="array" aca="1" ref="X73" ca="1">IF($R71=2,
         IF(AND(ACOMPANHAMENTO="PLE",ISNUMBER($F71)),
                SUMIF((OFFSET(CÁLCULO!$AM$15:$AW$15,$F71,0,OFFSET(ORÇAMENTO!$D$15,CRONO!$F71,0))),CRONO!X$12,OFFSET(CÁLCULO!$AB$15:$AL$15,$F71,0,OFFSET(ORÇAMENTO!$D$15,CRONO!$F71,0)))
                +IF(AND($F73&lt;&gt;"",$F73&lt;&gt;0),
                        SUMIF(CÁLCULO!$AM$15:$AW$231,CRONO!X$12,CÁLCULO!$AB$15:$AL$231)/(ORÇAMENTO!$X$15-_xlfn.SINGLE(CÁLCULO.TotalAdmLocal))*CRONO!$F73,
                        0),
                 X72*$S71),
          SUMIF(OFFSET($S73,1,0,$R71-2),($M71+1)&amp;"$",OFFSET(X73,1,0,$R71-2)))</f>
        <v>0</v>
      </c>
      <c r="Y73" s="203" cm="1">
        <f t="array" aca="1" ref="Y73" ca="1">IF($R71=2,
         IF(AND(ACOMPANHAMENTO="PLE",ISNUMBER($F71)),
                SUMIF((OFFSET(CÁLCULO!$AM$15:$AW$15,$F71,0,OFFSET(ORÇAMENTO!$D$15,CRONO!$F71,0))),CRONO!Y$12,OFFSET(CÁLCULO!$AB$15:$AL$15,$F71,0,OFFSET(ORÇAMENTO!$D$15,CRONO!$F71,0)))
                +IF(AND($F73&lt;&gt;"",$F73&lt;&gt;0),
                        SUMIF(CÁLCULO!$AM$15:$AW$231,CRONO!Y$12,CÁLCULO!$AB$15:$AL$231)/(ORÇAMENTO!$X$15-_xlfn.SINGLE(CÁLCULO.TotalAdmLocal))*CRONO!$F73,
                        0),
                 Y72*$S71),
          SUMIF(OFFSET($S73,1,0,$R71-2),($M71+1)&amp;"$",OFFSET(Y73,1,0,$R71-2)))</f>
        <v>0</v>
      </c>
      <c r="Z73" s="203" cm="1">
        <f t="array" aca="1" ref="Z73" ca="1">IF($R71=2,
         IF(AND(ACOMPANHAMENTO="PLE",ISNUMBER($F71)),
                SUMIF((OFFSET(CÁLCULO!$AM$15:$AW$15,$F71,0,OFFSET(ORÇAMENTO!$D$15,CRONO!$F71,0))),CRONO!Z$12,OFFSET(CÁLCULO!$AB$15:$AL$15,$F71,0,OFFSET(ORÇAMENTO!$D$15,CRONO!$F71,0)))
                +IF(AND($F73&lt;&gt;"",$F73&lt;&gt;0),
                        SUMIF(CÁLCULO!$AM$15:$AW$231,CRONO!Z$12,CÁLCULO!$AB$15:$AL$231)/(ORÇAMENTO!$X$15-_xlfn.SINGLE(CÁLCULO.TotalAdmLocal))*CRONO!$F73,
                        0),
                 Z72*$S71),
          SUMIF(OFFSET($S73,1,0,$R71-2),($M71+1)&amp;"$",OFFSET(Z73,1,0,$R71-2)))</f>
        <v>0</v>
      </c>
      <c r="AA73" s="203" cm="1">
        <f t="array" aca="1" ref="AA73" ca="1">IF($R71=2,
         IF(AND(ACOMPANHAMENTO="PLE",ISNUMBER($F71)),
                SUMIF((OFFSET(CÁLCULO!$AM$15:$AW$15,$F71,0,OFFSET(ORÇAMENTO!$D$15,CRONO!$F71,0))),CRONO!AA$12,OFFSET(CÁLCULO!$AB$15:$AL$15,$F71,0,OFFSET(ORÇAMENTO!$D$15,CRONO!$F71,0)))
                +IF(AND($F73&lt;&gt;"",$F73&lt;&gt;0),
                        SUMIF(CÁLCULO!$AM$15:$AW$231,CRONO!AA$12,CÁLCULO!$AB$15:$AL$231)/(ORÇAMENTO!$X$15-_xlfn.SINGLE(CÁLCULO.TotalAdmLocal))*CRONO!$F73,
                        0),
                 AA72*$S71),
          SUMIF(OFFSET($S73,1,0,$R71-2),($M71+1)&amp;"$",OFFSET(AA73,1,0,$R71-2)))</f>
        <v>0</v>
      </c>
      <c r="AB73" s="203" cm="1">
        <f t="array" aca="1" ref="AB73" ca="1">IF($R71=2,
         IF(AND(ACOMPANHAMENTO="PLE",ISNUMBER($F71)),
                SUMIF((OFFSET(CÁLCULO!$AM$15:$AW$15,$F71,0,OFFSET(ORÇAMENTO!$D$15,CRONO!$F71,0))),CRONO!AB$12,OFFSET(CÁLCULO!$AB$15:$AL$15,$F71,0,OFFSET(ORÇAMENTO!$D$15,CRONO!$F71,0)))
                +IF(AND($F73&lt;&gt;"",$F73&lt;&gt;0),
                        SUMIF(CÁLCULO!$AM$15:$AW$231,CRONO!AB$12,CÁLCULO!$AB$15:$AL$231)/(ORÇAMENTO!$X$15-_xlfn.SINGLE(CÁLCULO.TotalAdmLocal))*CRONO!$F73,
                        0),
                 AB72*$S71),
          SUMIF(OFFSET($S73,1,0,$R71-2),($M71+1)&amp;"$",OFFSET(AB73,1,0,$R71-2)))</f>
        <v>0</v>
      </c>
      <c r="AC73" s="203" cm="1">
        <f t="array" aca="1" ref="AC73" ca="1">IF($R71=2,
         IF(AND(ACOMPANHAMENTO="PLE",ISNUMBER($F71)),
                SUMIF((OFFSET(CÁLCULO!$AM$15:$AW$15,$F71,0,OFFSET(ORÇAMENTO!$D$15,CRONO!$F71,0))),CRONO!AC$12,OFFSET(CÁLCULO!$AB$15:$AL$15,$F71,0,OFFSET(ORÇAMENTO!$D$15,CRONO!$F71,0)))
                +IF(AND($F73&lt;&gt;"",$F73&lt;&gt;0),
                        SUMIF(CÁLCULO!$AM$15:$AW$231,CRONO!AC$12,CÁLCULO!$AB$15:$AL$231)/(ORÇAMENTO!$X$15-_xlfn.SINGLE(CÁLCULO.TotalAdmLocal))*CRONO!$F73,
                        0),
                 AC72*$S71),
          SUMIF(OFFSET($S73,1,0,$R71-2),($M71+1)&amp;"$",OFFSET(AC73,1,0,$R71-2)))</f>
        <v>0</v>
      </c>
      <c r="AD73" s="203" cm="1">
        <f t="array" aca="1" ref="AD73" ca="1">IF($R71=2,
         IF(AND(ACOMPANHAMENTO="PLE",ISNUMBER($F71)),
                SUMIF((OFFSET(CÁLCULO!$AM$15:$AW$15,$F71,0,OFFSET(ORÇAMENTO!$D$15,CRONO!$F71,0))),CRONO!AD$12,OFFSET(CÁLCULO!$AB$15:$AL$15,$F71,0,OFFSET(ORÇAMENTO!$D$15,CRONO!$F71,0)))
                +IF(AND($F73&lt;&gt;"",$F73&lt;&gt;0),
                        SUMIF(CÁLCULO!$AM$15:$AW$231,CRONO!AD$12,CÁLCULO!$AB$15:$AL$231)/(ORÇAMENTO!$X$15-_xlfn.SINGLE(CÁLCULO.TotalAdmLocal))*CRONO!$F73,
                        0),
                 AD72*$S71),
          SUMIF(OFFSET($S73,1,0,$R71-2),($M71+1)&amp;"$",OFFSET(AD73,1,0,$R71-2)))</f>
        <v>0</v>
      </c>
      <c r="AE73" s="203" cm="1">
        <f t="array" aca="1" ref="AE73" ca="1">IF($R71=2,
         IF(AND(ACOMPANHAMENTO="PLE",ISNUMBER($F71)),
                SUMIF((OFFSET(CÁLCULO!$AM$15:$AW$15,$F71,0,OFFSET(ORÇAMENTO!$D$15,CRONO!$F71,0))),CRONO!AE$12,OFFSET(CÁLCULO!$AB$15:$AL$15,$F71,0,OFFSET(ORÇAMENTO!$D$15,CRONO!$F71,0)))
                +IF(AND($F73&lt;&gt;"",$F73&lt;&gt;0),
                        SUMIF(CÁLCULO!$AM$15:$AW$231,CRONO!AE$12,CÁLCULO!$AB$15:$AL$231)/(ORÇAMENTO!$X$15-_xlfn.SINGLE(CÁLCULO.TotalAdmLocal))*CRONO!$F73,
                        0),
                 AE72*$S71),
          SUMIF(OFFSET($S73,1,0,$R71-2),($M71+1)&amp;"$",OFFSET(AE73,1,0,$R71-2)))</f>
        <v>0</v>
      </c>
      <c r="AF73" s="203" cm="1">
        <f t="array" aca="1" ref="AF73" ca="1">IF($R71=2,
         IF(AND(ACOMPANHAMENTO="PLE",ISNUMBER($F71)),
                SUMIF((OFFSET(CÁLCULO!$AM$15:$AW$15,$F71,0,OFFSET(ORÇAMENTO!$D$15,CRONO!$F71,0))),CRONO!AF$12,OFFSET(CÁLCULO!$AB$15:$AL$15,$F71,0,OFFSET(ORÇAMENTO!$D$15,CRONO!$F71,0)))
                +IF(AND($F73&lt;&gt;"",$F73&lt;&gt;0),
                        SUMIF(CÁLCULO!$AM$15:$AW$231,CRONO!AF$12,CÁLCULO!$AB$15:$AL$231)/(ORÇAMENTO!$X$15-_xlfn.SINGLE(CÁLCULO.TotalAdmLocal))*CRONO!$F73,
                        0),
                 AF72*$S71),
          SUMIF(OFFSET($S73,1,0,$R71-2),($M71+1)&amp;"$",OFFSET(AF73,1,0,$R71-2)))</f>
        <v>0</v>
      </c>
      <c r="AG73" s="535"/>
    </row>
    <row r="74" spans="1:33" x14ac:dyDescent="0.2">
      <c r="A74" s="187" t="str">
        <f t="shared" ref="A74" ca="1" si="122">IF($M74&gt;1,_xlfn.CONCAT($I74," ",$J74),"")</f>
        <v>1.20. ELEVATÓRIA DE ESGOTO - MATERIAIS</v>
      </c>
      <c r="B74" s="186">
        <f t="shared" ref="B74" ca="1" si="123">OFFSET(B74,-3,0)+1</f>
        <v>21</v>
      </c>
      <c r="C74" s="186">
        <f ca="1">IF($R74&lt;&gt;2,0,IF($S74=0,1,IF(F75&gt;0,OFFSET(QCI!$M$13,SUBSTITUTE(F75,".",""),0),OFFSET(ORÇAMENTO!$AA$15,CRONO!$F74,0))/$S74))</f>
        <v>1</v>
      </c>
      <c r="D74" s="186">
        <f ca="1">IF($R74&lt;&gt;2,0,IF($S74=0,1,IF(F75&gt;0,OFFSET(QCI!$N$13,SUBSTITUTE(F75,".",""),0),OFFSET(ORÇAMENTO!$AB$15,CRONO!$F74,0))/$S74))</f>
        <v>1</v>
      </c>
      <c r="E74" s="189" cm="1">
        <f t="array" aca="1" ref="E74" ca="1">IF(AND($R74=2,ACOMPANHAMENTO="BM"),ROUND(E75,4),E76/$S74)</f>
        <v>0</v>
      </c>
      <c r="F74" s="186">
        <f ca="1">IF(B74&lt;=ORÇAMENTO.MáximoListaCrono,MATCH(B74,ORÇAMENTO.ListaCrono,0),NA())</f>
        <v>131</v>
      </c>
      <c r="G74" s="186" t="str">
        <f t="shared" ref="G74" ca="1" si="124">IF(AND($F75&lt;&gt;-1,$S74&gt;0),"F","")</f>
        <v/>
      </c>
      <c r="H74" s="190" t="str" cm="1">
        <f t="array" aca="1" ref="H74" ca="1">IF(OR(S74=0,S74=""),"Linha",IF(AND(OR(ACOMPANHAMENTO="PLE",$R74&lt;&gt;2),$F75=0),"Linha",ROUND(1-SUM(U74:AG74),4)))</f>
        <v>Linha</v>
      </c>
      <c r="I74" s="191" t="str">
        <f ca="1">IF($F75=0,OFFSET(ORÇAMENTO!O$15,$F74,0),IF($F75&lt;&gt;-1,OFFSET(QCI!$D$13,$F75,0),""))</f>
        <v>1.20.</v>
      </c>
      <c r="J74" s="192" t="str">
        <f ca="1">IF($F75=0,OFFSET(ORÇAMENTO!R$15,$F74,0),IF($F75&lt;&gt;-1,OFFSET(QCI!$G$13,$F75,0),""))</f>
        <v>ELEVATÓRIA DE ESGOTO - MATERIAIS</v>
      </c>
      <c r="K74" s="192"/>
      <c r="L74" s="192"/>
      <c r="M74" s="193">
        <f ca="1">IF($F75=0,OFFSET(ORÇAMENTO!C$15,$F74,0),1)</f>
        <v>2</v>
      </c>
      <c r="N74" s="194">
        <f ca="1">IF($F75=-1,0,IF(N$13&lt;=$M74,IF(ISERROR(MATCH(N$13,OFFSET($M74,1,0,ROW($M$101)-ROW($M74)-1),0)),ROW($M$101)-ROW($M74)-1,MATCH(N$13,OFFSET($M74,1,0,ROW($M$101)-ROW($M74)-1),0)-1),0))</f>
        <v>26</v>
      </c>
      <c r="O74" s="194">
        <f ca="1">IF($F75=-1,0,IF(O$13&lt;=$M74,IF(ISERROR(MATCH(O$13,OFFSET($M74,1,0,ROW($M$101)-ROW($M74)-1),0)),ROW($M$101)-ROW($M74)-1,MATCH(O$13,OFFSET($M74,1,0,ROW($M$101)-ROW($M74)-1),0)-1),0))</f>
        <v>2</v>
      </c>
      <c r="P74" s="194">
        <f ca="1">IF($F75=-1,0,IF(P$13&lt;=$M74,IF(ISERROR(MATCH(P$13,OFFSET($M74,1,0,ROW($M$101)-ROW($M74)-1),0)),ROW($M$101)-ROW($M74)-1,MATCH(P$13,OFFSET($M74,1,0,ROW($M$101)-ROW($M74)-1),0)-1),0))</f>
        <v>0</v>
      </c>
      <c r="Q74" s="194">
        <f ca="1">IF($F75=-1,0,IF(Q$13&lt;=$M74,IF(ISERROR(MATCH(Q$13,OFFSET($M74,1,0,ROW($M$101)-ROW($M74)-1),0)),ROW($M$101)-ROW($M74)-1,MATCH(Q$13,OFFSET($M74,1,0,ROW($M$101)-ROW($M74)-1),0)-1),0))</f>
        <v>0</v>
      </c>
      <c r="R74" s="194">
        <f t="shared" ref="R74" ca="1" si="125">MIN(OFFSET(M74,0,1,,M74))</f>
        <v>2</v>
      </c>
      <c r="S74" s="195">
        <f ca="1">IF($F75=0,OFFSET(ORÇAMENTO!X$15,$F74,0),IF($F75&lt;&gt;-1,OFFSET(QCI!$O$13,$F75,0),""))</f>
        <v>0</v>
      </c>
      <c r="T74" s="196" t="s">
        <v>786</v>
      </c>
      <c r="U74" s="189" cm="1">
        <f t="array" aca="1" ref="U74" ca="1">IF(AND($R74=2,ACOMPANHAMENTO="BM"),ROUND(U75,4),U76/$S74)</f>
        <v>0.3</v>
      </c>
      <c r="V74" s="189" cm="1">
        <f t="array" aca="1" ref="V74" ca="1">IF(AND($R74=2,ACOMPANHAMENTO="BM"),ROUND(V75,4),V76/$S74)</f>
        <v>0.35</v>
      </c>
      <c r="W74" s="189" cm="1">
        <f t="array" aca="1" ref="W74" ca="1">IF(AND($R74=2,ACOMPANHAMENTO="BM"),ROUND(W75,4),W76/$S74)</f>
        <v>0.35</v>
      </c>
      <c r="X74" s="189" cm="1">
        <f t="array" aca="1" ref="X74" ca="1">IF(AND($R74=2,ACOMPANHAMENTO="BM"),ROUND(X75,4),X76/$S74)</f>
        <v>0</v>
      </c>
      <c r="Y74" s="189" cm="1">
        <f t="array" aca="1" ref="Y74" ca="1">IF(AND($R74=2,ACOMPANHAMENTO="BM"),ROUND(Y75,4),Y76/$S74)</f>
        <v>0</v>
      </c>
      <c r="Z74" s="189" cm="1">
        <f t="array" aca="1" ref="Z74" ca="1">IF(AND($R74=2,ACOMPANHAMENTO="BM"),ROUND(Z75,4),Z76/$S74)</f>
        <v>0</v>
      </c>
      <c r="AA74" s="189" cm="1">
        <f t="array" aca="1" ref="AA74" ca="1">IF(AND($R74=2,ACOMPANHAMENTO="BM"),ROUND(AA75,4),AA76/$S74)</f>
        <v>0</v>
      </c>
      <c r="AB74" s="189" cm="1">
        <f t="array" aca="1" ref="AB74" ca="1">IF(AND($R74=2,ACOMPANHAMENTO="BM"),ROUND(AB75,4),AB76/$S74)</f>
        <v>0</v>
      </c>
      <c r="AC74" s="189" cm="1">
        <f t="array" aca="1" ref="AC74" ca="1">IF(AND($R74=2,ACOMPANHAMENTO="BM"),ROUND(AC75,4),AC76/$S74)</f>
        <v>0</v>
      </c>
      <c r="AD74" s="189" cm="1">
        <f t="array" aca="1" ref="AD74" ca="1">IF(AND($R74=2,ACOMPANHAMENTO="BM"),ROUND(AD75,4),AD76/$S74)</f>
        <v>0</v>
      </c>
      <c r="AE74" s="189" cm="1">
        <f t="array" aca="1" ref="AE74" ca="1">IF(AND($R74=2,ACOMPANHAMENTO="BM"),ROUND(AE75,4),AE76/$S74)</f>
        <v>0</v>
      </c>
      <c r="AF74" s="189" cm="1">
        <f t="array" aca="1" ref="AF74" ca="1">IF(AND($R74=2,ACOMPANHAMENTO="BM"),ROUND(AF75,4),AF76/$S74)</f>
        <v>0</v>
      </c>
      <c r="AG74" s="535"/>
    </row>
    <row r="75" spans="1:33" ht="12.75" customHeight="1" x14ac:dyDescent="0.2">
      <c r="E75" s="588"/>
      <c r="F75" s="186">
        <f ca="1">IF(ISERROR(F74),IF(1+COUNTIF($M$13:OFFSET(M74,-1,0),1)&lt;=MAX(QCI!$D$13:$D$15),1+COUNTIF($M$13:OFFSET(M74,-1,0),1),-1),0)</f>
        <v>0</v>
      </c>
      <c r="G75" s="186" t="str" cm="1">
        <f t="array" aca="1" ref="G75" ca="1">IF(ACOMPANHAMENTO="BM",OFFSET(G75,-1,0),"")</f>
        <v/>
      </c>
      <c r="H75" s="197" t="str" cm="1">
        <f t="array" aca="1" ref="H75" ca="1">IF(OR(S74=0,S74=""),"vazia",IF(AND(OR(ACOMPANHAMENTO="PLE",$R74&lt;&gt;2),$F75=0),"calculada","--&gt;"))</f>
        <v>vazia</v>
      </c>
      <c r="I75" s="198"/>
      <c r="J75" s="199" t="str">
        <f t="shared" ref="J75" ca="1" si="126">IF(AND(H74&lt;&gt;0,ISNUMBER(H74)),"PREENCHA ESTA LINHA --&gt;","")</f>
        <v/>
      </c>
      <c r="K75" s="199"/>
      <c r="L75" s="199"/>
      <c r="M75" s="200"/>
      <c r="N75" s="200"/>
      <c r="O75" s="200"/>
      <c r="P75" s="200"/>
      <c r="Q75" s="200"/>
      <c r="R75" s="200"/>
      <c r="S75" s="201"/>
      <c r="T75" s="202"/>
      <c r="U75" s="588">
        <v>0.3</v>
      </c>
      <c r="V75" s="588">
        <v>0.35</v>
      </c>
      <c r="W75" s="588">
        <v>0.35</v>
      </c>
      <c r="X75" s="588"/>
      <c r="Y75" s="588"/>
      <c r="Z75" s="588"/>
      <c r="AA75" s="588"/>
      <c r="AB75" s="588"/>
      <c r="AC75" s="588"/>
      <c r="AD75" s="588"/>
      <c r="AE75" s="588"/>
      <c r="AF75" s="588"/>
      <c r="AG75" s="535"/>
    </row>
    <row r="76" spans="1:33" ht="12.75" hidden="1" customHeight="1" x14ac:dyDescent="0.2">
      <c r="D76" s="534"/>
      <c r="E76" s="203" cm="1">
        <f t="array" aca="1" ref="E76" ca="1">IF($R74=2,
         IF(AND(ACOMPANHAMENTO="PLE",ISNUMBER($F74)),
                SUMIF((OFFSET(CÁLCULO!$AM$15:$AW$15,$F74,0,OFFSET(ORÇAMENTO!$D$15,CRONO!$F74,0))),CRONO!E$12,OFFSET(CÁLCULO!$AB$15:$AL$15,$F74,0,OFFSET(ORÇAMENTO!$D$15,CRONO!$F74,0)))
                +IF(AND($F76&lt;&gt;"",$F76&lt;&gt;0),
                        SUMIF(CÁLCULO!$AM$15:$AW$231,CRONO!E$12,CÁLCULO!$AB$15:$AL$231)/(ORÇAMENTO!$X$15-_xlfn.SINGLE(CÁLCULO.TotalAdmLocal))*CRONO!$F76,
                        0),
                 E75*$S74),
          SUMIF(OFFSET($S76,1,0,$R74-2),($M74+1)&amp;"$",OFFSET(E76,1,0,$R74-2)))</f>
        <v>0</v>
      </c>
      <c r="F76" s="186" t="str">
        <f ca="1">IF(OR($R74&lt;&gt;2,AUTOEVENTO&lt;&gt;"manual",$F75&gt;0),"",
        IF(Import.TipoArredondamento="Tradicional",
              SUMIF(OFFSET(CÁLCULO!$M$15,CRONO!$F74,0,OFFSET(ORÇAMENTO!$D$15,CRONO!$F74,0)),1,OFFSET(ORÇAMENTO!$X$15,CRONO!$F74,0,OFFSET(ORÇAMENTO!$D$15,CRONO!$F74,0))),
              0))</f>
        <v/>
      </c>
      <c r="H76" s="672"/>
      <c r="S76" s="205" t="str">
        <f t="shared" ref="S76" ca="1" si="127">M74&amp;"$"</f>
        <v>2$</v>
      </c>
      <c r="T76" s="206"/>
      <c r="U76" s="203" cm="1">
        <f t="array" aca="1" ref="U76" ca="1">IF($R74=2,
         IF(AND(ACOMPANHAMENTO="PLE",ISNUMBER($F74)),
                SUMIF((OFFSET(CÁLCULO!$AM$15:$AW$15,$F74,0,OFFSET(ORÇAMENTO!$D$15,CRONO!$F74,0))),CRONO!U$12,OFFSET(CÁLCULO!$AB$15:$AL$15,$F74,0,OFFSET(ORÇAMENTO!$D$15,CRONO!$F74,0)))
                +IF(AND($F76&lt;&gt;"",$F76&lt;&gt;0),
                        SUMIF(CÁLCULO!$AM$15:$AW$231,CRONO!U$12,CÁLCULO!$AB$15:$AL$231)/(ORÇAMENTO!$X$15-_xlfn.SINGLE(CÁLCULO.TotalAdmLocal))*CRONO!$F76,
                        0),
                 U75*$S74),
          SUMIF(OFFSET($S76,1,0,$R74-2),($M74+1)&amp;"$",OFFSET(U76,1,0,$R74-2)))</f>
        <v>0</v>
      </c>
      <c r="V76" s="203" cm="1">
        <f t="array" aca="1" ref="V76" ca="1">IF($R74=2,
         IF(AND(ACOMPANHAMENTO="PLE",ISNUMBER($F74)),
                SUMIF((OFFSET(CÁLCULO!$AM$15:$AW$15,$F74,0,OFFSET(ORÇAMENTO!$D$15,CRONO!$F74,0))),CRONO!V$12,OFFSET(CÁLCULO!$AB$15:$AL$15,$F74,0,OFFSET(ORÇAMENTO!$D$15,CRONO!$F74,0)))
                +IF(AND($F76&lt;&gt;"",$F76&lt;&gt;0),
                        SUMIF(CÁLCULO!$AM$15:$AW$231,CRONO!V$12,CÁLCULO!$AB$15:$AL$231)/(ORÇAMENTO!$X$15-_xlfn.SINGLE(CÁLCULO.TotalAdmLocal))*CRONO!$F76,
                        0),
                 V75*$S74),
          SUMIF(OFFSET($S76,1,0,$R74-2),($M74+1)&amp;"$",OFFSET(V76,1,0,$R74-2)))</f>
        <v>0</v>
      </c>
      <c r="W76" s="203" cm="1">
        <f t="array" aca="1" ref="W76" ca="1">IF($R74=2,
         IF(AND(ACOMPANHAMENTO="PLE",ISNUMBER($F74)),
                SUMIF((OFFSET(CÁLCULO!$AM$15:$AW$15,$F74,0,OFFSET(ORÇAMENTO!$D$15,CRONO!$F74,0))),CRONO!W$12,OFFSET(CÁLCULO!$AB$15:$AL$15,$F74,0,OFFSET(ORÇAMENTO!$D$15,CRONO!$F74,0)))
                +IF(AND($F76&lt;&gt;"",$F76&lt;&gt;0),
                        SUMIF(CÁLCULO!$AM$15:$AW$231,CRONO!W$12,CÁLCULO!$AB$15:$AL$231)/(ORÇAMENTO!$X$15-_xlfn.SINGLE(CÁLCULO.TotalAdmLocal))*CRONO!$F76,
                        0),
                 W75*$S74),
          SUMIF(OFFSET($S76,1,0,$R74-2),($M74+1)&amp;"$",OFFSET(W76,1,0,$R74-2)))</f>
        <v>0</v>
      </c>
      <c r="X76" s="203" cm="1">
        <f t="array" aca="1" ref="X76" ca="1">IF($R74=2,
         IF(AND(ACOMPANHAMENTO="PLE",ISNUMBER($F74)),
                SUMIF((OFFSET(CÁLCULO!$AM$15:$AW$15,$F74,0,OFFSET(ORÇAMENTO!$D$15,CRONO!$F74,0))),CRONO!X$12,OFFSET(CÁLCULO!$AB$15:$AL$15,$F74,0,OFFSET(ORÇAMENTO!$D$15,CRONO!$F74,0)))
                +IF(AND($F76&lt;&gt;"",$F76&lt;&gt;0),
                        SUMIF(CÁLCULO!$AM$15:$AW$231,CRONO!X$12,CÁLCULO!$AB$15:$AL$231)/(ORÇAMENTO!$X$15-_xlfn.SINGLE(CÁLCULO.TotalAdmLocal))*CRONO!$F76,
                        0),
                 X75*$S74),
          SUMIF(OFFSET($S76,1,0,$R74-2),($M74+1)&amp;"$",OFFSET(X76,1,0,$R74-2)))</f>
        <v>0</v>
      </c>
      <c r="Y76" s="203" cm="1">
        <f t="array" aca="1" ref="Y76" ca="1">IF($R74=2,
         IF(AND(ACOMPANHAMENTO="PLE",ISNUMBER($F74)),
                SUMIF((OFFSET(CÁLCULO!$AM$15:$AW$15,$F74,0,OFFSET(ORÇAMENTO!$D$15,CRONO!$F74,0))),CRONO!Y$12,OFFSET(CÁLCULO!$AB$15:$AL$15,$F74,0,OFFSET(ORÇAMENTO!$D$15,CRONO!$F74,0)))
                +IF(AND($F76&lt;&gt;"",$F76&lt;&gt;0),
                        SUMIF(CÁLCULO!$AM$15:$AW$231,CRONO!Y$12,CÁLCULO!$AB$15:$AL$231)/(ORÇAMENTO!$X$15-_xlfn.SINGLE(CÁLCULO.TotalAdmLocal))*CRONO!$F76,
                        0),
                 Y75*$S74),
          SUMIF(OFFSET($S76,1,0,$R74-2),($M74+1)&amp;"$",OFFSET(Y76,1,0,$R74-2)))</f>
        <v>0</v>
      </c>
      <c r="Z76" s="203" cm="1">
        <f t="array" aca="1" ref="Z76" ca="1">IF($R74=2,
         IF(AND(ACOMPANHAMENTO="PLE",ISNUMBER($F74)),
                SUMIF((OFFSET(CÁLCULO!$AM$15:$AW$15,$F74,0,OFFSET(ORÇAMENTO!$D$15,CRONO!$F74,0))),CRONO!Z$12,OFFSET(CÁLCULO!$AB$15:$AL$15,$F74,0,OFFSET(ORÇAMENTO!$D$15,CRONO!$F74,0)))
                +IF(AND($F76&lt;&gt;"",$F76&lt;&gt;0),
                        SUMIF(CÁLCULO!$AM$15:$AW$231,CRONO!Z$12,CÁLCULO!$AB$15:$AL$231)/(ORÇAMENTO!$X$15-_xlfn.SINGLE(CÁLCULO.TotalAdmLocal))*CRONO!$F76,
                        0),
                 Z75*$S74),
          SUMIF(OFFSET($S76,1,0,$R74-2),($M74+1)&amp;"$",OFFSET(Z76,1,0,$R74-2)))</f>
        <v>0</v>
      </c>
      <c r="AA76" s="203" cm="1">
        <f t="array" aca="1" ref="AA76" ca="1">IF($R74=2,
         IF(AND(ACOMPANHAMENTO="PLE",ISNUMBER($F74)),
                SUMIF((OFFSET(CÁLCULO!$AM$15:$AW$15,$F74,0,OFFSET(ORÇAMENTO!$D$15,CRONO!$F74,0))),CRONO!AA$12,OFFSET(CÁLCULO!$AB$15:$AL$15,$F74,0,OFFSET(ORÇAMENTO!$D$15,CRONO!$F74,0)))
                +IF(AND($F76&lt;&gt;"",$F76&lt;&gt;0),
                        SUMIF(CÁLCULO!$AM$15:$AW$231,CRONO!AA$12,CÁLCULO!$AB$15:$AL$231)/(ORÇAMENTO!$X$15-_xlfn.SINGLE(CÁLCULO.TotalAdmLocal))*CRONO!$F76,
                        0),
                 AA75*$S74),
          SUMIF(OFFSET($S76,1,0,$R74-2),($M74+1)&amp;"$",OFFSET(AA76,1,0,$R74-2)))</f>
        <v>0</v>
      </c>
      <c r="AB76" s="203" cm="1">
        <f t="array" aca="1" ref="AB76" ca="1">IF($R74=2,
         IF(AND(ACOMPANHAMENTO="PLE",ISNUMBER($F74)),
                SUMIF((OFFSET(CÁLCULO!$AM$15:$AW$15,$F74,0,OFFSET(ORÇAMENTO!$D$15,CRONO!$F74,0))),CRONO!AB$12,OFFSET(CÁLCULO!$AB$15:$AL$15,$F74,0,OFFSET(ORÇAMENTO!$D$15,CRONO!$F74,0)))
                +IF(AND($F76&lt;&gt;"",$F76&lt;&gt;0),
                        SUMIF(CÁLCULO!$AM$15:$AW$231,CRONO!AB$12,CÁLCULO!$AB$15:$AL$231)/(ORÇAMENTO!$X$15-_xlfn.SINGLE(CÁLCULO.TotalAdmLocal))*CRONO!$F76,
                        0),
                 AB75*$S74),
          SUMIF(OFFSET($S76,1,0,$R74-2),($M74+1)&amp;"$",OFFSET(AB76,1,0,$R74-2)))</f>
        <v>0</v>
      </c>
      <c r="AC76" s="203" cm="1">
        <f t="array" aca="1" ref="AC76" ca="1">IF($R74=2,
         IF(AND(ACOMPANHAMENTO="PLE",ISNUMBER($F74)),
                SUMIF((OFFSET(CÁLCULO!$AM$15:$AW$15,$F74,0,OFFSET(ORÇAMENTO!$D$15,CRONO!$F74,0))),CRONO!AC$12,OFFSET(CÁLCULO!$AB$15:$AL$15,$F74,0,OFFSET(ORÇAMENTO!$D$15,CRONO!$F74,0)))
                +IF(AND($F76&lt;&gt;"",$F76&lt;&gt;0),
                        SUMIF(CÁLCULO!$AM$15:$AW$231,CRONO!AC$12,CÁLCULO!$AB$15:$AL$231)/(ORÇAMENTO!$X$15-_xlfn.SINGLE(CÁLCULO.TotalAdmLocal))*CRONO!$F76,
                        0),
                 AC75*$S74),
          SUMIF(OFFSET($S76,1,0,$R74-2),($M74+1)&amp;"$",OFFSET(AC76,1,0,$R74-2)))</f>
        <v>0</v>
      </c>
      <c r="AD76" s="203" cm="1">
        <f t="array" aca="1" ref="AD76" ca="1">IF($R74=2,
         IF(AND(ACOMPANHAMENTO="PLE",ISNUMBER($F74)),
                SUMIF((OFFSET(CÁLCULO!$AM$15:$AW$15,$F74,0,OFFSET(ORÇAMENTO!$D$15,CRONO!$F74,0))),CRONO!AD$12,OFFSET(CÁLCULO!$AB$15:$AL$15,$F74,0,OFFSET(ORÇAMENTO!$D$15,CRONO!$F74,0)))
                +IF(AND($F76&lt;&gt;"",$F76&lt;&gt;0),
                        SUMIF(CÁLCULO!$AM$15:$AW$231,CRONO!AD$12,CÁLCULO!$AB$15:$AL$231)/(ORÇAMENTO!$X$15-_xlfn.SINGLE(CÁLCULO.TotalAdmLocal))*CRONO!$F76,
                        0),
                 AD75*$S74),
          SUMIF(OFFSET($S76,1,0,$R74-2),($M74+1)&amp;"$",OFFSET(AD76,1,0,$R74-2)))</f>
        <v>0</v>
      </c>
      <c r="AE76" s="203" cm="1">
        <f t="array" aca="1" ref="AE76" ca="1">IF($R74=2,
         IF(AND(ACOMPANHAMENTO="PLE",ISNUMBER($F74)),
                SUMIF((OFFSET(CÁLCULO!$AM$15:$AW$15,$F74,0,OFFSET(ORÇAMENTO!$D$15,CRONO!$F74,0))),CRONO!AE$12,OFFSET(CÁLCULO!$AB$15:$AL$15,$F74,0,OFFSET(ORÇAMENTO!$D$15,CRONO!$F74,0)))
                +IF(AND($F76&lt;&gt;"",$F76&lt;&gt;0),
                        SUMIF(CÁLCULO!$AM$15:$AW$231,CRONO!AE$12,CÁLCULO!$AB$15:$AL$231)/(ORÇAMENTO!$X$15-_xlfn.SINGLE(CÁLCULO.TotalAdmLocal))*CRONO!$F76,
                        0),
                 AE75*$S74),
          SUMIF(OFFSET($S76,1,0,$R74-2),($M74+1)&amp;"$",OFFSET(AE76,1,0,$R74-2)))</f>
        <v>0</v>
      </c>
      <c r="AF76" s="203" cm="1">
        <f t="array" aca="1" ref="AF76" ca="1">IF($R74=2,
         IF(AND(ACOMPANHAMENTO="PLE",ISNUMBER($F74)),
                SUMIF((OFFSET(CÁLCULO!$AM$15:$AW$15,$F74,0,OFFSET(ORÇAMENTO!$D$15,CRONO!$F74,0))),CRONO!AF$12,OFFSET(CÁLCULO!$AB$15:$AL$15,$F74,0,OFFSET(ORÇAMENTO!$D$15,CRONO!$F74,0)))
                +IF(AND($F76&lt;&gt;"",$F76&lt;&gt;0),
                        SUMIF(CÁLCULO!$AM$15:$AW$231,CRONO!AF$12,CÁLCULO!$AB$15:$AL$231)/(ORÇAMENTO!$X$15-_xlfn.SINGLE(CÁLCULO.TotalAdmLocal))*CRONO!$F76,
                        0),
                 AF75*$S74),
          SUMIF(OFFSET($S76,1,0,$R74-2),($M74+1)&amp;"$",OFFSET(AF76,1,0,$R74-2)))</f>
        <v>0</v>
      </c>
      <c r="AG76" s="535"/>
    </row>
    <row r="77" spans="1:33" x14ac:dyDescent="0.2">
      <c r="A77" s="187" t="str">
        <f t="shared" ref="A77" ca="1" si="128">IF($M77&gt;1,_xlfn.CONCAT($I77," ",$J77),"")</f>
        <v>1.21. SERVIÇOS PRELIMINARES</v>
      </c>
      <c r="B77" s="186">
        <f t="shared" ref="B77" ca="1" si="129">OFFSET(B77,-3,0)+1</f>
        <v>22</v>
      </c>
      <c r="C77" s="186">
        <f ca="1">IF($R77&lt;&gt;2,0,IF($S77=0,1,IF(F78&gt;0,OFFSET(QCI!$M$13,SUBSTITUTE(F78,".",""),0),OFFSET(ORÇAMENTO!$AA$15,CRONO!$F77,0))/$S77))</f>
        <v>1</v>
      </c>
      <c r="D77" s="186">
        <f ca="1">IF($R77&lt;&gt;2,0,IF($S77=0,1,IF(F78&gt;0,OFFSET(QCI!$N$13,SUBSTITUTE(F78,".",""),0),OFFSET(ORÇAMENTO!$AB$15,CRONO!$F77,0))/$S77))</f>
        <v>1</v>
      </c>
      <c r="E77" s="189" cm="1">
        <f t="array" aca="1" ref="E77" ca="1">IF(AND($R77=2,ACOMPANHAMENTO="BM"),ROUND(E78,4),E79/$S77)</f>
        <v>0</v>
      </c>
      <c r="F77" s="186">
        <f ca="1">IF(B77&lt;=ORÇAMENTO.MáximoListaCrono,MATCH(B77,ORÇAMENTO.ListaCrono,0),NA())</f>
        <v>149</v>
      </c>
      <c r="G77" s="186" t="str">
        <f t="shared" ref="G77" ca="1" si="130">IF(AND($F78&lt;&gt;-1,$S77&gt;0),"F","")</f>
        <v/>
      </c>
      <c r="H77" s="190" t="str" cm="1">
        <f t="array" aca="1" ref="H77" ca="1">IF(OR(S77=0,S77=""),"Linha",IF(AND(OR(ACOMPANHAMENTO="PLE",$R77&lt;&gt;2),$F78=0),"Linha",ROUND(1-SUM(U77:AG77),4)))</f>
        <v>Linha</v>
      </c>
      <c r="I77" s="191" t="str">
        <f ca="1">IF($F78=0,OFFSET(ORÇAMENTO!O$15,$F77,0),IF($F78&lt;&gt;-1,OFFSET(QCI!$D$13,$F78,0),""))</f>
        <v>1.21.</v>
      </c>
      <c r="J77" s="192" t="str">
        <f ca="1">IF($F78=0,OFFSET(ORÇAMENTO!R$15,$F77,0),IF($F78&lt;&gt;-1,OFFSET(QCI!$G$13,$F78,0),""))</f>
        <v>SERVIÇOS PRELIMINARES</v>
      </c>
      <c r="K77" s="192"/>
      <c r="L77" s="192"/>
      <c r="M77" s="193">
        <f ca="1">IF($F78=0,OFFSET(ORÇAMENTO!C$15,$F77,0),1)</f>
        <v>2</v>
      </c>
      <c r="N77" s="194">
        <f ca="1">IF($F78=-1,0,IF(N$13&lt;=$M77,IF(ISERROR(MATCH(N$13,OFFSET($M77,1,0,ROW($M$101)-ROW($M77)-1),0)),ROW($M$101)-ROW($M77)-1,MATCH(N$13,OFFSET($M77,1,0,ROW($M$101)-ROW($M77)-1),0)-1),0))</f>
        <v>23</v>
      </c>
      <c r="O77" s="194">
        <f ca="1">IF($F78=-1,0,IF(O$13&lt;=$M77,IF(ISERROR(MATCH(O$13,OFFSET($M77,1,0,ROW($M$101)-ROW($M77)-1),0)),ROW($M$101)-ROW($M77)-1,MATCH(O$13,OFFSET($M77,1,0,ROW($M$101)-ROW($M77)-1),0)-1),0))</f>
        <v>2</v>
      </c>
      <c r="P77" s="194">
        <f ca="1">IF($F78=-1,0,IF(P$13&lt;=$M77,IF(ISERROR(MATCH(P$13,OFFSET($M77,1,0,ROW($M$101)-ROW($M77)-1),0)),ROW($M$101)-ROW($M77)-1,MATCH(P$13,OFFSET($M77,1,0,ROW($M$101)-ROW($M77)-1),0)-1),0))</f>
        <v>0</v>
      </c>
      <c r="Q77" s="194">
        <f ca="1">IF($F78=-1,0,IF(Q$13&lt;=$M77,IF(ISERROR(MATCH(Q$13,OFFSET($M77,1,0,ROW($M$101)-ROW($M77)-1),0)),ROW($M$101)-ROW($M77)-1,MATCH(Q$13,OFFSET($M77,1,0,ROW($M$101)-ROW($M77)-1),0)-1),0))</f>
        <v>0</v>
      </c>
      <c r="R77" s="194">
        <f t="shared" ref="R77" ca="1" si="131">MIN(OFFSET(M77,0,1,,M77))</f>
        <v>2</v>
      </c>
      <c r="S77" s="195">
        <f ca="1">IF($F78=0,OFFSET(ORÇAMENTO!X$15,$F77,0),IF($F78&lt;&gt;-1,OFFSET(QCI!$O$13,$F78,0),""))</f>
        <v>0</v>
      </c>
      <c r="T77" s="196" t="s">
        <v>786</v>
      </c>
      <c r="U77" s="189" cm="1">
        <f t="array" aca="1" ref="U77" ca="1">IF(AND($R77=2,ACOMPANHAMENTO="BM"),ROUND(U78,4),U79/$S77)</f>
        <v>0</v>
      </c>
      <c r="V77" s="189" cm="1">
        <f t="array" aca="1" ref="V77" ca="1">IF(AND($R77=2,ACOMPANHAMENTO="BM"),ROUND(V78,4),V79/$S77)</f>
        <v>0.3</v>
      </c>
      <c r="W77" s="189" cm="1">
        <f t="array" aca="1" ref="W77" ca="1">IF(AND($R77=2,ACOMPANHAMENTO="BM"),ROUND(W78,4),W79/$S77)</f>
        <v>0.4</v>
      </c>
      <c r="X77" s="189" cm="1">
        <f t="array" aca="1" ref="X77" ca="1">IF(AND($R77=2,ACOMPANHAMENTO="BM"),ROUND(X78,4),X79/$S77)</f>
        <v>0.3</v>
      </c>
      <c r="Y77" s="189" cm="1">
        <f t="array" aca="1" ref="Y77" ca="1">IF(AND($R77=2,ACOMPANHAMENTO="BM"),ROUND(Y78,4),Y79/$S77)</f>
        <v>0</v>
      </c>
      <c r="Z77" s="189" cm="1">
        <f t="array" aca="1" ref="Z77" ca="1">IF(AND($R77=2,ACOMPANHAMENTO="BM"),ROUND(Z78,4),Z79/$S77)</f>
        <v>0</v>
      </c>
      <c r="AA77" s="189" cm="1">
        <f t="array" aca="1" ref="AA77" ca="1">IF(AND($R77=2,ACOMPANHAMENTO="BM"),ROUND(AA78,4),AA79/$S77)</f>
        <v>0</v>
      </c>
      <c r="AB77" s="189" cm="1">
        <f t="array" aca="1" ref="AB77" ca="1">IF(AND($R77=2,ACOMPANHAMENTO="BM"),ROUND(AB78,4),AB79/$S77)</f>
        <v>0</v>
      </c>
      <c r="AC77" s="189" cm="1">
        <f t="array" aca="1" ref="AC77" ca="1">IF(AND($R77=2,ACOMPANHAMENTO="BM"),ROUND(AC78,4),AC79/$S77)</f>
        <v>0</v>
      </c>
      <c r="AD77" s="189" cm="1">
        <f t="array" aca="1" ref="AD77" ca="1">IF(AND($R77=2,ACOMPANHAMENTO="BM"),ROUND(AD78,4),AD79/$S77)</f>
        <v>0</v>
      </c>
      <c r="AE77" s="189" cm="1">
        <f t="array" aca="1" ref="AE77" ca="1">IF(AND($R77=2,ACOMPANHAMENTO="BM"),ROUND(AE78,4),AE79/$S77)</f>
        <v>0</v>
      </c>
      <c r="AF77" s="189" cm="1">
        <f t="array" aca="1" ref="AF77" ca="1">IF(AND($R77=2,ACOMPANHAMENTO="BM"),ROUND(AF78,4),AF79/$S77)</f>
        <v>0</v>
      </c>
      <c r="AG77" s="535"/>
    </row>
    <row r="78" spans="1:33" ht="12.75" customHeight="1" x14ac:dyDescent="0.2">
      <c r="E78" s="588"/>
      <c r="F78" s="186">
        <f ca="1">IF(ISERROR(F77),IF(1+COUNTIF($M$13:OFFSET(M77,-1,0),1)&lt;=MAX(QCI!$D$13:$D$15),1+COUNTIF($M$13:OFFSET(M77,-1,0),1),-1),0)</f>
        <v>0</v>
      </c>
      <c r="G78" s="186" t="str" cm="1">
        <f t="array" aca="1" ref="G78" ca="1">IF(ACOMPANHAMENTO="BM",OFFSET(G78,-1,0),"")</f>
        <v/>
      </c>
      <c r="H78" s="197" t="str" cm="1">
        <f t="array" aca="1" ref="H78" ca="1">IF(OR(S77=0,S77=""),"vazia",IF(AND(OR(ACOMPANHAMENTO="PLE",$R77&lt;&gt;2),$F78=0),"calculada","--&gt;"))</f>
        <v>vazia</v>
      </c>
      <c r="I78" s="198"/>
      <c r="J78" s="199" t="str">
        <f t="shared" ref="J78" ca="1" si="132">IF(AND(H77&lt;&gt;0,ISNUMBER(H77)),"PREENCHA ESTA LINHA --&gt;","")</f>
        <v/>
      </c>
      <c r="K78" s="199"/>
      <c r="L78" s="199"/>
      <c r="M78" s="200"/>
      <c r="N78" s="200"/>
      <c r="O78" s="200"/>
      <c r="P78" s="200"/>
      <c r="Q78" s="200"/>
      <c r="R78" s="200"/>
      <c r="S78" s="201"/>
      <c r="T78" s="202"/>
      <c r="U78" s="588"/>
      <c r="V78" s="588">
        <v>0.3</v>
      </c>
      <c r="W78" s="588">
        <v>0.4</v>
      </c>
      <c r="X78" s="588">
        <v>0.3</v>
      </c>
      <c r="Y78" s="588"/>
      <c r="Z78" s="588"/>
      <c r="AA78" s="588"/>
      <c r="AB78" s="588"/>
      <c r="AC78" s="588"/>
      <c r="AD78" s="588"/>
      <c r="AE78" s="588"/>
      <c r="AF78" s="588"/>
      <c r="AG78" s="535"/>
    </row>
    <row r="79" spans="1:33" ht="12.75" hidden="1" customHeight="1" x14ac:dyDescent="0.2">
      <c r="D79" s="534"/>
      <c r="E79" s="203" cm="1">
        <f t="array" aca="1" ref="E79" ca="1">IF($R77=2,
         IF(AND(ACOMPANHAMENTO="PLE",ISNUMBER($F77)),
                SUMIF((OFFSET(CÁLCULO!$AM$15:$AW$15,$F77,0,OFFSET(ORÇAMENTO!$D$15,CRONO!$F77,0))),CRONO!E$12,OFFSET(CÁLCULO!$AB$15:$AL$15,$F77,0,OFFSET(ORÇAMENTO!$D$15,CRONO!$F77,0)))
                +IF(AND($F79&lt;&gt;"",$F79&lt;&gt;0),
                        SUMIF(CÁLCULO!$AM$15:$AW$231,CRONO!E$12,CÁLCULO!$AB$15:$AL$231)/(ORÇAMENTO!$X$15-_xlfn.SINGLE(CÁLCULO.TotalAdmLocal))*CRONO!$F79,
                        0),
                 E78*$S77),
          SUMIF(OFFSET($S79,1,0,$R77-2),($M77+1)&amp;"$",OFFSET(E79,1,0,$R77-2)))</f>
        <v>0</v>
      </c>
      <c r="F79" s="186" t="str">
        <f ca="1">IF(OR($R77&lt;&gt;2,AUTOEVENTO&lt;&gt;"manual",$F78&gt;0),"",
        IF(Import.TipoArredondamento="Tradicional",
              SUMIF(OFFSET(CÁLCULO!$M$15,CRONO!$F77,0,OFFSET(ORÇAMENTO!$D$15,CRONO!$F77,0)),1,OFFSET(ORÇAMENTO!$X$15,CRONO!$F77,0,OFFSET(ORÇAMENTO!$D$15,CRONO!$F77,0))),
              0))</f>
        <v/>
      </c>
      <c r="H79" s="672"/>
      <c r="S79" s="205" t="str">
        <f t="shared" ref="S79" ca="1" si="133">M77&amp;"$"</f>
        <v>2$</v>
      </c>
      <c r="T79" s="206"/>
      <c r="U79" s="203" cm="1">
        <f t="array" aca="1" ref="U79" ca="1">IF($R77=2,
         IF(AND(ACOMPANHAMENTO="PLE",ISNUMBER($F77)),
                SUMIF((OFFSET(CÁLCULO!$AM$15:$AW$15,$F77,0,OFFSET(ORÇAMENTO!$D$15,CRONO!$F77,0))),CRONO!U$12,OFFSET(CÁLCULO!$AB$15:$AL$15,$F77,0,OFFSET(ORÇAMENTO!$D$15,CRONO!$F77,0)))
                +IF(AND($F79&lt;&gt;"",$F79&lt;&gt;0),
                        SUMIF(CÁLCULO!$AM$15:$AW$231,CRONO!U$12,CÁLCULO!$AB$15:$AL$231)/(ORÇAMENTO!$X$15-_xlfn.SINGLE(CÁLCULO.TotalAdmLocal))*CRONO!$F79,
                        0),
                 U78*$S77),
          SUMIF(OFFSET($S79,1,0,$R77-2),($M77+1)&amp;"$",OFFSET(U79,1,0,$R77-2)))</f>
        <v>0</v>
      </c>
      <c r="V79" s="203" cm="1">
        <f t="array" aca="1" ref="V79" ca="1">IF($R77=2,
         IF(AND(ACOMPANHAMENTO="PLE",ISNUMBER($F77)),
                SUMIF((OFFSET(CÁLCULO!$AM$15:$AW$15,$F77,0,OFFSET(ORÇAMENTO!$D$15,CRONO!$F77,0))),CRONO!V$12,OFFSET(CÁLCULO!$AB$15:$AL$15,$F77,0,OFFSET(ORÇAMENTO!$D$15,CRONO!$F77,0)))
                +IF(AND($F79&lt;&gt;"",$F79&lt;&gt;0),
                        SUMIF(CÁLCULO!$AM$15:$AW$231,CRONO!V$12,CÁLCULO!$AB$15:$AL$231)/(ORÇAMENTO!$X$15-_xlfn.SINGLE(CÁLCULO.TotalAdmLocal))*CRONO!$F79,
                        0),
                 V78*$S77),
          SUMIF(OFFSET($S79,1,0,$R77-2),($M77+1)&amp;"$",OFFSET(V79,1,0,$R77-2)))</f>
        <v>0</v>
      </c>
      <c r="W79" s="203" cm="1">
        <f t="array" aca="1" ref="W79" ca="1">IF($R77=2,
         IF(AND(ACOMPANHAMENTO="PLE",ISNUMBER($F77)),
                SUMIF((OFFSET(CÁLCULO!$AM$15:$AW$15,$F77,0,OFFSET(ORÇAMENTO!$D$15,CRONO!$F77,0))),CRONO!W$12,OFFSET(CÁLCULO!$AB$15:$AL$15,$F77,0,OFFSET(ORÇAMENTO!$D$15,CRONO!$F77,0)))
                +IF(AND($F79&lt;&gt;"",$F79&lt;&gt;0),
                        SUMIF(CÁLCULO!$AM$15:$AW$231,CRONO!W$12,CÁLCULO!$AB$15:$AL$231)/(ORÇAMENTO!$X$15-_xlfn.SINGLE(CÁLCULO.TotalAdmLocal))*CRONO!$F79,
                        0),
                 W78*$S77),
          SUMIF(OFFSET($S79,1,0,$R77-2),($M77+1)&amp;"$",OFFSET(W79,1,0,$R77-2)))</f>
        <v>0</v>
      </c>
      <c r="X79" s="203" cm="1">
        <f t="array" aca="1" ref="X79" ca="1">IF($R77=2,
         IF(AND(ACOMPANHAMENTO="PLE",ISNUMBER($F77)),
                SUMIF((OFFSET(CÁLCULO!$AM$15:$AW$15,$F77,0,OFFSET(ORÇAMENTO!$D$15,CRONO!$F77,0))),CRONO!X$12,OFFSET(CÁLCULO!$AB$15:$AL$15,$F77,0,OFFSET(ORÇAMENTO!$D$15,CRONO!$F77,0)))
                +IF(AND($F79&lt;&gt;"",$F79&lt;&gt;0),
                        SUMIF(CÁLCULO!$AM$15:$AW$231,CRONO!X$12,CÁLCULO!$AB$15:$AL$231)/(ORÇAMENTO!$X$15-_xlfn.SINGLE(CÁLCULO.TotalAdmLocal))*CRONO!$F79,
                        0),
                 X78*$S77),
          SUMIF(OFFSET($S79,1,0,$R77-2),($M77+1)&amp;"$",OFFSET(X79,1,0,$R77-2)))</f>
        <v>0</v>
      </c>
      <c r="Y79" s="203" cm="1">
        <f t="array" aca="1" ref="Y79" ca="1">IF($R77=2,
         IF(AND(ACOMPANHAMENTO="PLE",ISNUMBER($F77)),
                SUMIF((OFFSET(CÁLCULO!$AM$15:$AW$15,$F77,0,OFFSET(ORÇAMENTO!$D$15,CRONO!$F77,0))),CRONO!Y$12,OFFSET(CÁLCULO!$AB$15:$AL$15,$F77,0,OFFSET(ORÇAMENTO!$D$15,CRONO!$F77,0)))
                +IF(AND($F79&lt;&gt;"",$F79&lt;&gt;0),
                        SUMIF(CÁLCULO!$AM$15:$AW$231,CRONO!Y$12,CÁLCULO!$AB$15:$AL$231)/(ORÇAMENTO!$X$15-_xlfn.SINGLE(CÁLCULO.TotalAdmLocal))*CRONO!$F79,
                        0),
                 Y78*$S77),
          SUMIF(OFFSET($S79,1,0,$R77-2),($M77+1)&amp;"$",OFFSET(Y79,1,0,$R77-2)))</f>
        <v>0</v>
      </c>
      <c r="Z79" s="203" cm="1">
        <f t="array" aca="1" ref="Z79" ca="1">IF($R77=2,
         IF(AND(ACOMPANHAMENTO="PLE",ISNUMBER($F77)),
                SUMIF((OFFSET(CÁLCULO!$AM$15:$AW$15,$F77,0,OFFSET(ORÇAMENTO!$D$15,CRONO!$F77,0))),CRONO!Z$12,OFFSET(CÁLCULO!$AB$15:$AL$15,$F77,0,OFFSET(ORÇAMENTO!$D$15,CRONO!$F77,0)))
                +IF(AND($F79&lt;&gt;"",$F79&lt;&gt;0),
                        SUMIF(CÁLCULO!$AM$15:$AW$231,CRONO!Z$12,CÁLCULO!$AB$15:$AL$231)/(ORÇAMENTO!$X$15-_xlfn.SINGLE(CÁLCULO.TotalAdmLocal))*CRONO!$F79,
                        0),
                 Z78*$S77),
          SUMIF(OFFSET($S79,1,0,$R77-2),($M77+1)&amp;"$",OFFSET(Z79,1,0,$R77-2)))</f>
        <v>0</v>
      </c>
      <c r="AA79" s="203" cm="1">
        <f t="array" aca="1" ref="AA79" ca="1">IF($R77=2,
         IF(AND(ACOMPANHAMENTO="PLE",ISNUMBER($F77)),
                SUMIF((OFFSET(CÁLCULO!$AM$15:$AW$15,$F77,0,OFFSET(ORÇAMENTO!$D$15,CRONO!$F77,0))),CRONO!AA$12,OFFSET(CÁLCULO!$AB$15:$AL$15,$F77,0,OFFSET(ORÇAMENTO!$D$15,CRONO!$F77,0)))
                +IF(AND($F79&lt;&gt;"",$F79&lt;&gt;0),
                        SUMIF(CÁLCULO!$AM$15:$AW$231,CRONO!AA$12,CÁLCULO!$AB$15:$AL$231)/(ORÇAMENTO!$X$15-_xlfn.SINGLE(CÁLCULO.TotalAdmLocal))*CRONO!$F79,
                        0),
                 AA78*$S77),
          SUMIF(OFFSET($S79,1,0,$R77-2),($M77+1)&amp;"$",OFFSET(AA79,1,0,$R77-2)))</f>
        <v>0</v>
      </c>
      <c r="AB79" s="203" cm="1">
        <f t="array" aca="1" ref="AB79" ca="1">IF($R77=2,
         IF(AND(ACOMPANHAMENTO="PLE",ISNUMBER($F77)),
                SUMIF((OFFSET(CÁLCULO!$AM$15:$AW$15,$F77,0,OFFSET(ORÇAMENTO!$D$15,CRONO!$F77,0))),CRONO!AB$12,OFFSET(CÁLCULO!$AB$15:$AL$15,$F77,0,OFFSET(ORÇAMENTO!$D$15,CRONO!$F77,0)))
                +IF(AND($F79&lt;&gt;"",$F79&lt;&gt;0),
                        SUMIF(CÁLCULO!$AM$15:$AW$231,CRONO!AB$12,CÁLCULO!$AB$15:$AL$231)/(ORÇAMENTO!$X$15-_xlfn.SINGLE(CÁLCULO.TotalAdmLocal))*CRONO!$F79,
                        0),
                 AB78*$S77),
          SUMIF(OFFSET($S79,1,0,$R77-2),($M77+1)&amp;"$",OFFSET(AB79,1,0,$R77-2)))</f>
        <v>0</v>
      </c>
      <c r="AC79" s="203" cm="1">
        <f t="array" aca="1" ref="AC79" ca="1">IF($R77=2,
         IF(AND(ACOMPANHAMENTO="PLE",ISNUMBER($F77)),
                SUMIF((OFFSET(CÁLCULO!$AM$15:$AW$15,$F77,0,OFFSET(ORÇAMENTO!$D$15,CRONO!$F77,0))),CRONO!AC$12,OFFSET(CÁLCULO!$AB$15:$AL$15,$F77,0,OFFSET(ORÇAMENTO!$D$15,CRONO!$F77,0)))
                +IF(AND($F79&lt;&gt;"",$F79&lt;&gt;0),
                        SUMIF(CÁLCULO!$AM$15:$AW$231,CRONO!AC$12,CÁLCULO!$AB$15:$AL$231)/(ORÇAMENTO!$X$15-_xlfn.SINGLE(CÁLCULO.TotalAdmLocal))*CRONO!$F79,
                        0),
                 AC78*$S77),
          SUMIF(OFFSET($S79,1,0,$R77-2),($M77+1)&amp;"$",OFFSET(AC79,1,0,$R77-2)))</f>
        <v>0</v>
      </c>
      <c r="AD79" s="203" cm="1">
        <f t="array" aca="1" ref="AD79" ca="1">IF($R77=2,
         IF(AND(ACOMPANHAMENTO="PLE",ISNUMBER($F77)),
                SUMIF((OFFSET(CÁLCULO!$AM$15:$AW$15,$F77,0,OFFSET(ORÇAMENTO!$D$15,CRONO!$F77,0))),CRONO!AD$12,OFFSET(CÁLCULO!$AB$15:$AL$15,$F77,0,OFFSET(ORÇAMENTO!$D$15,CRONO!$F77,0)))
                +IF(AND($F79&lt;&gt;"",$F79&lt;&gt;0),
                        SUMIF(CÁLCULO!$AM$15:$AW$231,CRONO!AD$12,CÁLCULO!$AB$15:$AL$231)/(ORÇAMENTO!$X$15-_xlfn.SINGLE(CÁLCULO.TotalAdmLocal))*CRONO!$F79,
                        0),
                 AD78*$S77),
          SUMIF(OFFSET($S79,1,0,$R77-2),($M77+1)&amp;"$",OFFSET(AD79,1,0,$R77-2)))</f>
        <v>0</v>
      </c>
      <c r="AE79" s="203" cm="1">
        <f t="array" aca="1" ref="AE79" ca="1">IF($R77=2,
         IF(AND(ACOMPANHAMENTO="PLE",ISNUMBER($F77)),
                SUMIF((OFFSET(CÁLCULO!$AM$15:$AW$15,$F77,0,OFFSET(ORÇAMENTO!$D$15,CRONO!$F77,0))),CRONO!AE$12,OFFSET(CÁLCULO!$AB$15:$AL$15,$F77,0,OFFSET(ORÇAMENTO!$D$15,CRONO!$F77,0)))
                +IF(AND($F79&lt;&gt;"",$F79&lt;&gt;0),
                        SUMIF(CÁLCULO!$AM$15:$AW$231,CRONO!AE$12,CÁLCULO!$AB$15:$AL$231)/(ORÇAMENTO!$X$15-_xlfn.SINGLE(CÁLCULO.TotalAdmLocal))*CRONO!$F79,
                        0),
                 AE78*$S77),
          SUMIF(OFFSET($S79,1,0,$R77-2),($M77+1)&amp;"$",OFFSET(AE79,1,0,$R77-2)))</f>
        <v>0</v>
      </c>
      <c r="AF79" s="203" cm="1">
        <f t="array" aca="1" ref="AF79" ca="1">IF($R77=2,
         IF(AND(ACOMPANHAMENTO="PLE",ISNUMBER($F77)),
                SUMIF((OFFSET(CÁLCULO!$AM$15:$AW$15,$F77,0,OFFSET(ORÇAMENTO!$D$15,CRONO!$F77,0))),CRONO!AF$12,OFFSET(CÁLCULO!$AB$15:$AL$15,$F77,0,OFFSET(ORÇAMENTO!$D$15,CRONO!$F77,0)))
                +IF(AND($F79&lt;&gt;"",$F79&lt;&gt;0),
                        SUMIF(CÁLCULO!$AM$15:$AW$231,CRONO!AF$12,CÁLCULO!$AB$15:$AL$231)/(ORÇAMENTO!$X$15-_xlfn.SINGLE(CÁLCULO.TotalAdmLocal))*CRONO!$F79,
                        0),
                 AF78*$S77),
          SUMIF(OFFSET($S79,1,0,$R77-2),($M77+1)&amp;"$",OFFSET(AF79,1,0,$R77-2)))</f>
        <v>0</v>
      </c>
      <c r="AG79" s="535"/>
    </row>
    <row r="80" spans="1:33" x14ac:dyDescent="0.2">
      <c r="A80" s="187" t="str">
        <f t="shared" ref="A80" ca="1" si="134">IF($M80&gt;1,_xlfn.CONCAT($I80," ",$J80),"")</f>
        <v>1.22. FUNDAÇÃO</v>
      </c>
      <c r="B80" s="186">
        <f t="shared" ref="B80" ca="1" si="135">OFFSET(B80,-3,0)+1</f>
        <v>23</v>
      </c>
      <c r="C80" s="186">
        <f ca="1">IF($R80&lt;&gt;2,0,IF($S80=0,1,IF(F81&gt;0,OFFSET(QCI!$M$13,SUBSTITUTE(F81,".",""),0),OFFSET(ORÇAMENTO!$AA$15,CRONO!$F80,0))/$S80))</f>
        <v>1</v>
      </c>
      <c r="D80" s="186">
        <f ca="1">IF($R80&lt;&gt;2,0,IF($S80=0,1,IF(F81&gt;0,OFFSET(QCI!$N$13,SUBSTITUTE(F81,".",""),0),OFFSET(ORÇAMENTO!$AB$15,CRONO!$F80,0))/$S80))</f>
        <v>1</v>
      </c>
      <c r="E80" s="189" cm="1">
        <f t="array" aca="1" ref="E80" ca="1">IF(AND($R80=2,ACOMPANHAMENTO="BM"),ROUND(E81,4),E82/$S80)</f>
        <v>0</v>
      </c>
      <c r="F80" s="186">
        <f ca="1">IF(B80&lt;=ORÇAMENTO.MáximoListaCrono,MATCH(B80,ORÇAMENTO.ListaCrono,0),NA())</f>
        <v>158</v>
      </c>
      <c r="G80" s="186" t="str">
        <f t="shared" ref="G80" ca="1" si="136">IF(AND($F81&lt;&gt;-1,$S80&gt;0),"F","")</f>
        <v/>
      </c>
      <c r="H80" s="190" t="str" cm="1">
        <f t="array" aca="1" ref="H80" ca="1">IF(OR(S80=0,S80=""),"Linha",IF(AND(OR(ACOMPANHAMENTO="PLE",$R80&lt;&gt;2),$F81=0),"Linha",ROUND(1-SUM(U80:AG80),4)))</f>
        <v>Linha</v>
      </c>
      <c r="I80" s="191" t="str">
        <f ca="1">IF($F81=0,OFFSET(ORÇAMENTO!O$15,$F80,0),IF($F81&lt;&gt;-1,OFFSET(QCI!$D$13,$F81,0),""))</f>
        <v>1.22.</v>
      </c>
      <c r="J80" s="192" t="str">
        <f ca="1">IF($F81=0,OFFSET(ORÇAMENTO!R$15,$F80,0),IF($F81&lt;&gt;-1,OFFSET(QCI!$G$13,$F81,0),""))</f>
        <v>FUNDAÇÃO</v>
      </c>
      <c r="K80" s="192"/>
      <c r="L80" s="192"/>
      <c r="M80" s="193">
        <f ca="1">IF($F81=0,OFFSET(ORÇAMENTO!C$15,$F80,0),1)</f>
        <v>2</v>
      </c>
      <c r="N80" s="194">
        <f ca="1">IF($F81=-1,0,IF(N$13&lt;=$M80,IF(ISERROR(MATCH(N$13,OFFSET($M80,1,0,ROW($M$101)-ROW($M80)-1),0)),ROW($M$101)-ROW($M80)-1,MATCH(N$13,OFFSET($M80,1,0,ROW($M$101)-ROW($M80)-1),0)-1),0))</f>
        <v>20</v>
      </c>
      <c r="O80" s="194">
        <f ca="1">IF($F81=-1,0,IF(O$13&lt;=$M80,IF(ISERROR(MATCH(O$13,OFFSET($M80,1,0,ROW($M$101)-ROW($M80)-1),0)),ROW($M$101)-ROW($M80)-1,MATCH(O$13,OFFSET($M80,1,0,ROW($M$101)-ROW($M80)-1),0)-1),0))</f>
        <v>2</v>
      </c>
      <c r="P80" s="194">
        <f ca="1">IF($F81=-1,0,IF(P$13&lt;=$M80,IF(ISERROR(MATCH(P$13,OFFSET($M80,1,0,ROW($M$101)-ROW($M80)-1),0)),ROW($M$101)-ROW($M80)-1,MATCH(P$13,OFFSET($M80,1,0,ROW($M$101)-ROW($M80)-1),0)-1),0))</f>
        <v>0</v>
      </c>
      <c r="Q80" s="194">
        <f ca="1">IF($F81=-1,0,IF(Q$13&lt;=$M80,IF(ISERROR(MATCH(Q$13,OFFSET($M80,1,0,ROW($M$101)-ROW($M80)-1),0)),ROW($M$101)-ROW($M80)-1,MATCH(Q$13,OFFSET($M80,1,0,ROW($M$101)-ROW($M80)-1),0)-1),0))</f>
        <v>0</v>
      </c>
      <c r="R80" s="194">
        <f t="shared" ref="R80" ca="1" si="137">MIN(OFFSET(M80,0,1,,M80))</f>
        <v>2</v>
      </c>
      <c r="S80" s="195">
        <f ca="1">IF($F81=0,OFFSET(ORÇAMENTO!X$15,$F80,0),IF($F81&lt;&gt;-1,OFFSET(QCI!$O$13,$F81,0),""))</f>
        <v>0</v>
      </c>
      <c r="T80" s="196" t="s">
        <v>786</v>
      </c>
      <c r="U80" s="189" cm="1">
        <f t="array" aca="1" ref="U80" ca="1">IF(AND($R80=2,ACOMPANHAMENTO="BM"),ROUND(U81,4),U82/$S80)</f>
        <v>0</v>
      </c>
      <c r="V80" s="189" cm="1">
        <f t="array" aca="1" ref="V80" ca="1">IF(AND($R80=2,ACOMPANHAMENTO="BM"),ROUND(V81,4),V82/$S80)</f>
        <v>0</v>
      </c>
      <c r="W80" s="189" cm="1">
        <f t="array" aca="1" ref="W80" ca="1">IF(AND($R80=2,ACOMPANHAMENTO="BM"),ROUND(W81,4),W82/$S80)</f>
        <v>0.5</v>
      </c>
      <c r="X80" s="189" cm="1">
        <f t="array" aca="1" ref="X80" ca="1">IF(AND($R80=2,ACOMPANHAMENTO="BM"),ROUND(X81,4),X82/$S80)</f>
        <v>0.5</v>
      </c>
      <c r="Y80" s="189" cm="1">
        <f t="array" aca="1" ref="Y80" ca="1">IF(AND($R80=2,ACOMPANHAMENTO="BM"),ROUND(Y81,4),Y82/$S80)</f>
        <v>0</v>
      </c>
      <c r="Z80" s="189" cm="1">
        <f t="array" aca="1" ref="Z80" ca="1">IF(AND($R80=2,ACOMPANHAMENTO="BM"),ROUND(Z81,4),Z82/$S80)</f>
        <v>0</v>
      </c>
      <c r="AA80" s="189" cm="1">
        <f t="array" aca="1" ref="AA80" ca="1">IF(AND($R80=2,ACOMPANHAMENTO="BM"),ROUND(AA81,4),AA82/$S80)</f>
        <v>0</v>
      </c>
      <c r="AB80" s="189" cm="1">
        <f t="array" aca="1" ref="AB80" ca="1">IF(AND($R80=2,ACOMPANHAMENTO="BM"),ROUND(AB81,4),AB82/$S80)</f>
        <v>0</v>
      </c>
      <c r="AC80" s="189" cm="1">
        <f t="array" aca="1" ref="AC80" ca="1">IF(AND($R80=2,ACOMPANHAMENTO="BM"),ROUND(AC81,4),AC82/$S80)</f>
        <v>0</v>
      </c>
      <c r="AD80" s="189" cm="1">
        <f t="array" aca="1" ref="AD80" ca="1">IF(AND($R80=2,ACOMPANHAMENTO="BM"),ROUND(AD81,4),AD82/$S80)</f>
        <v>0</v>
      </c>
      <c r="AE80" s="189" cm="1">
        <f t="array" aca="1" ref="AE80" ca="1">IF(AND($R80=2,ACOMPANHAMENTO="BM"),ROUND(AE81,4),AE82/$S80)</f>
        <v>0</v>
      </c>
      <c r="AF80" s="189" cm="1">
        <f t="array" aca="1" ref="AF80" ca="1">IF(AND($R80=2,ACOMPANHAMENTO="BM"),ROUND(AF81,4),AF82/$S80)</f>
        <v>0</v>
      </c>
      <c r="AG80" s="535"/>
    </row>
    <row r="81" spans="1:33" ht="12.75" customHeight="1" x14ac:dyDescent="0.2">
      <c r="E81" s="588"/>
      <c r="F81" s="186">
        <f ca="1">IF(ISERROR(F80),IF(1+COUNTIF($M$13:OFFSET(M80,-1,0),1)&lt;=MAX(QCI!$D$13:$D$15),1+COUNTIF($M$13:OFFSET(M80,-1,0),1),-1),0)</f>
        <v>0</v>
      </c>
      <c r="G81" s="186" t="str" cm="1">
        <f t="array" aca="1" ref="G81" ca="1">IF(ACOMPANHAMENTO="BM",OFFSET(G81,-1,0),"")</f>
        <v/>
      </c>
      <c r="H81" s="197" t="str" cm="1">
        <f t="array" aca="1" ref="H81" ca="1">IF(OR(S80=0,S80=""),"vazia",IF(AND(OR(ACOMPANHAMENTO="PLE",$R80&lt;&gt;2),$F81=0),"calculada","--&gt;"))</f>
        <v>vazia</v>
      </c>
      <c r="I81" s="198"/>
      <c r="J81" s="199" t="str">
        <f t="shared" ref="J81" ca="1" si="138">IF(AND(H80&lt;&gt;0,ISNUMBER(H80)),"PREENCHA ESTA LINHA --&gt;","")</f>
        <v/>
      </c>
      <c r="K81" s="199"/>
      <c r="L81" s="199"/>
      <c r="M81" s="200"/>
      <c r="N81" s="200"/>
      <c r="O81" s="200"/>
      <c r="P81" s="200"/>
      <c r="Q81" s="200"/>
      <c r="R81" s="200"/>
      <c r="S81" s="201"/>
      <c r="T81" s="202"/>
      <c r="U81" s="588"/>
      <c r="V81" s="588"/>
      <c r="W81" s="588">
        <v>0.5</v>
      </c>
      <c r="X81" s="588">
        <v>0.5</v>
      </c>
      <c r="Y81" s="588"/>
      <c r="Z81" s="588"/>
      <c r="AA81" s="588"/>
      <c r="AB81" s="588"/>
      <c r="AC81" s="588"/>
      <c r="AD81" s="588"/>
      <c r="AE81" s="588"/>
      <c r="AF81" s="588"/>
      <c r="AG81" s="535"/>
    </row>
    <row r="82" spans="1:33" ht="12.75" hidden="1" customHeight="1" x14ac:dyDescent="0.2">
      <c r="D82" s="534"/>
      <c r="E82" s="203" cm="1">
        <f t="array" aca="1" ref="E82" ca="1">IF($R80=2,
         IF(AND(ACOMPANHAMENTO="PLE",ISNUMBER($F80)),
                SUMIF((OFFSET(CÁLCULO!$AM$15:$AW$15,$F80,0,OFFSET(ORÇAMENTO!$D$15,CRONO!$F80,0))),CRONO!E$12,OFFSET(CÁLCULO!$AB$15:$AL$15,$F80,0,OFFSET(ORÇAMENTO!$D$15,CRONO!$F80,0)))
                +IF(AND($F82&lt;&gt;"",$F82&lt;&gt;0),
                        SUMIF(CÁLCULO!$AM$15:$AW$231,CRONO!E$12,CÁLCULO!$AB$15:$AL$231)/(ORÇAMENTO!$X$15-_xlfn.SINGLE(CÁLCULO.TotalAdmLocal))*CRONO!$F82,
                        0),
                 E81*$S80),
          SUMIF(OFFSET($S82,1,0,$R80-2),($M80+1)&amp;"$",OFFSET(E82,1,0,$R80-2)))</f>
        <v>0</v>
      </c>
      <c r="F82" s="186" t="str">
        <f ca="1">IF(OR($R80&lt;&gt;2,AUTOEVENTO&lt;&gt;"manual",$F81&gt;0),"",
        IF(Import.TipoArredondamento="Tradicional",
              SUMIF(OFFSET(CÁLCULO!$M$15,CRONO!$F80,0,OFFSET(ORÇAMENTO!$D$15,CRONO!$F80,0)),1,OFFSET(ORÇAMENTO!$X$15,CRONO!$F80,0,OFFSET(ORÇAMENTO!$D$15,CRONO!$F80,0))),
              0))</f>
        <v/>
      </c>
      <c r="H82" s="672"/>
      <c r="S82" s="205" t="str">
        <f t="shared" ref="S82" ca="1" si="139">M80&amp;"$"</f>
        <v>2$</v>
      </c>
      <c r="T82" s="206"/>
      <c r="U82" s="203" cm="1">
        <f t="array" aca="1" ref="U82" ca="1">IF($R80=2,
         IF(AND(ACOMPANHAMENTO="PLE",ISNUMBER($F80)),
                SUMIF((OFFSET(CÁLCULO!$AM$15:$AW$15,$F80,0,OFFSET(ORÇAMENTO!$D$15,CRONO!$F80,0))),CRONO!U$12,OFFSET(CÁLCULO!$AB$15:$AL$15,$F80,0,OFFSET(ORÇAMENTO!$D$15,CRONO!$F80,0)))
                +IF(AND($F82&lt;&gt;"",$F82&lt;&gt;0),
                        SUMIF(CÁLCULO!$AM$15:$AW$231,CRONO!U$12,CÁLCULO!$AB$15:$AL$231)/(ORÇAMENTO!$X$15-_xlfn.SINGLE(CÁLCULO.TotalAdmLocal))*CRONO!$F82,
                        0),
                 U81*$S80),
          SUMIF(OFFSET($S82,1,0,$R80-2),($M80+1)&amp;"$",OFFSET(U82,1,0,$R80-2)))</f>
        <v>0</v>
      </c>
      <c r="V82" s="203" cm="1">
        <f t="array" aca="1" ref="V82" ca="1">IF($R80=2,
         IF(AND(ACOMPANHAMENTO="PLE",ISNUMBER($F80)),
                SUMIF((OFFSET(CÁLCULO!$AM$15:$AW$15,$F80,0,OFFSET(ORÇAMENTO!$D$15,CRONO!$F80,0))),CRONO!V$12,OFFSET(CÁLCULO!$AB$15:$AL$15,$F80,0,OFFSET(ORÇAMENTO!$D$15,CRONO!$F80,0)))
                +IF(AND($F82&lt;&gt;"",$F82&lt;&gt;0),
                        SUMIF(CÁLCULO!$AM$15:$AW$231,CRONO!V$12,CÁLCULO!$AB$15:$AL$231)/(ORÇAMENTO!$X$15-_xlfn.SINGLE(CÁLCULO.TotalAdmLocal))*CRONO!$F82,
                        0),
                 V81*$S80),
          SUMIF(OFFSET($S82,1,0,$R80-2),($M80+1)&amp;"$",OFFSET(V82,1,0,$R80-2)))</f>
        <v>0</v>
      </c>
      <c r="W82" s="203" cm="1">
        <f t="array" aca="1" ref="W82" ca="1">IF($R80=2,
         IF(AND(ACOMPANHAMENTO="PLE",ISNUMBER($F80)),
                SUMIF((OFFSET(CÁLCULO!$AM$15:$AW$15,$F80,0,OFFSET(ORÇAMENTO!$D$15,CRONO!$F80,0))),CRONO!W$12,OFFSET(CÁLCULO!$AB$15:$AL$15,$F80,0,OFFSET(ORÇAMENTO!$D$15,CRONO!$F80,0)))
                +IF(AND($F82&lt;&gt;"",$F82&lt;&gt;0),
                        SUMIF(CÁLCULO!$AM$15:$AW$231,CRONO!W$12,CÁLCULO!$AB$15:$AL$231)/(ORÇAMENTO!$X$15-_xlfn.SINGLE(CÁLCULO.TotalAdmLocal))*CRONO!$F82,
                        0),
                 W81*$S80),
          SUMIF(OFFSET($S82,1,0,$R80-2),($M80+1)&amp;"$",OFFSET(W82,1,0,$R80-2)))</f>
        <v>0</v>
      </c>
      <c r="X82" s="203" cm="1">
        <f t="array" aca="1" ref="X82" ca="1">IF($R80=2,
         IF(AND(ACOMPANHAMENTO="PLE",ISNUMBER($F80)),
                SUMIF((OFFSET(CÁLCULO!$AM$15:$AW$15,$F80,0,OFFSET(ORÇAMENTO!$D$15,CRONO!$F80,0))),CRONO!X$12,OFFSET(CÁLCULO!$AB$15:$AL$15,$F80,0,OFFSET(ORÇAMENTO!$D$15,CRONO!$F80,0)))
                +IF(AND($F82&lt;&gt;"",$F82&lt;&gt;0),
                        SUMIF(CÁLCULO!$AM$15:$AW$231,CRONO!X$12,CÁLCULO!$AB$15:$AL$231)/(ORÇAMENTO!$X$15-_xlfn.SINGLE(CÁLCULO.TotalAdmLocal))*CRONO!$F82,
                        0),
                 X81*$S80),
          SUMIF(OFFSET($S82,1,0,$R80-2),($M80+1)&amp;"$",OFFSET(X82,1,0,$R80-2)))</f>
        <v>0</v>
      </c>
      <c r="Y82" s="203" cm="1">
        <f t="array" aca="1" ref="Y82" ca="1">IF($R80=2,
         IF(AND(ACOMPANHAMENTO="PLE",ISNUMBER($F80)),
                SUMIF((OFFSET(CÁLCULO!$AM$15:$AW$15,$F80,0,OFFSET(ORÇAMENTO!$D$15,CRONO!$F80,0))),CRONO!Y$12,OFFSET(CÁLCULO!$AB$15:$AL$15,$F80,0,OFFSET(ORÇAMENTO!$D$15,CRONO!$F80,0)))
                +IF(AND($F82&lt;&gt;"",$F82&lt;&gt;0),
                        SUMIF(CÁLCULO!$AM$15:$AW$231,CRONO!Y$12,CÁLCULO!$AB$15:$AL$231)/(ORÇAMENTO!$X$15-_xlfn.SINGLE(CÁLCULO.TotalAdmLocal))*CRONO!$F82,
                        0),
                 Y81*$S80),
          SUMIF(OFFSET($S82,1,0,$R80-2),($M80+1)&amp;"$",OFFSET(Y82,1,0,$R80-2)))</f>
        <v>0</v>
      </c>
      <c r="Z82" s="203" cm="1">
        <f t="array" aca="1" ref="Z82" ca="1">IF($R80=2,
         IF(AND(ACOMPANHAMENTO="PLE",ISNUMBER($F80)),
                SUMIF((OFFSET(CÁLCULO!$AM$15:$AW$15,$F80,0,OFFSET(ORÇAMENTO!$D$15,CRONO!$F80,0))),CRONO!Z$12,OFFSET(CÁLCULO!$AB$15:$AL$15,$F80,0,OFFSET(ORÇAMENTO!$D$15,CRONO!$F80,0)))
                +IF(AND($F82&lt;&gt;"",$F82&lt;&gt;0),
                        SUMIF(CÁLCULO!$AM$15:$AW$231,CRONO!Z$12,CÁLCULO!$AB$15:$AL$231)/(ORÇAMENTO!$X$15-_xlfn.SINGLE(CÁLCULO.TotalAdmLocal))*CRONO!$F82,
                        0),
                 Z81*$S80),
          SUMIF(OFFSET($S82,1,0,$R80-2),($M80+1)&amp;"$",OFFSET(Z82,1,0,$R80-2)))</f>
        <v>0</v>
      </c>
      <c r="AA82" s="203" cm="1">
        <f t="array" aca="1" ref="AA82" ca="1">IF($R80=2,
         IF(AND(ACOMPANHAMENTO="PLE",ISNUMBER($F80)),
                SUMIF((OFFSET(CÁLCULO!$AM$15:$AW$15,$F80,0,OFFSET(ORÇAMENTO!$D$15,CRONO!$F80,0))),CRONO!AA$12,OFFSET(CÁLCULO!$AB$15:$AL$15,$F80,0,OFFSET(ORÇAMENTO!$D$15,CRONO!$F80,0)))
                +IF(AND($F82&lt;&gt;"",$F82&lt;&gt;0),
                        SUMIF(CÁLCULO!$AM$15:$AW$231,CRONO!AA$12,CÁLCULO!$AB$15:$AL$231)/(ORÇAMENTO!$X$15-_xlfn.SINGLE(CÁLCULO.TotalAdmLocal))*CRONO!$F82,
                        0),
                 AA81*$S80),
          SUMIF(OFFSET($S82,1,0,$R80-2),($M80+1)&amp;"$",OFFSET(AA82,1,0,$R80-2)))</f>
        <v>0</v>
      </c>
      <c r="AB82" s="203" cm="1">
        <f t="array" aca="1" ref="AB82" ca="1">IF($R80=2,
         IF(AND(ACOMPANHAMENTO="PLE",ISNUMBER($F80)),
                SUMIF((OFFSET(CÁLCULO!$AM$15:$AW$15,$F80,0,OFFSET(ORÇAMENTO!$D$15,CRONO!$F80,0))),CRONO!AB$12,OFFSET(CÁLCULO!$AB$15:$AL$15,$F80,0,OFFSET(ORÇAMENTO!$D$15,CRONO!$F80,0)))
                +IF(AND($F82&lt;&gt;"",$F82&lt;&gt;0),
                        SUMIF(CÁLCULO!$AM$15:$AW$231,CRONO!AB$12,CÁLCULO!$AB$15:$AL$231)/(ORÇAMENTO!$X$15-_xlfn.SINGLE(CÁLCULO.TotalAdmLocal))*CRONO!$F82,
                        0),
                 AB81*$S80),
          SUMIF(OFFSET($S82,1,0,$R80-2),($M80+1)&amp;"$",OFFSET(AB82,1,0,$R80-2)))</f>
        <v>0</v>
      </c>
      <c r="AC82" s="203" cm="1">
        <f t="array" aca="1" ref="AC82" ca="1">IF($R80=2,
         IF(AND(ACOMPANHAMENTO="PLE",ISNUMBER($F80)),
                SUMIF((OFFSET(CÁLCULO!$AM$15:$AW$15,$F80,0,OFFSET(ORÇAMENTO!$D$15,CRONO!$F80,0))),CRONO!AC$12,OFFSET(CÁLCULO!$AB$15:$AL$15,$F80,0,OFFSET(ORÇAMENTO!$D$15,CRONO!$F80,0)))
                +IF(AND($F82&lt;&gt;"",$F82&lt;&gt;0),
                        SUMIF(CÁLCULO!$AM$15:$AW$231,CRONO!AC$12,CÁLCULO!$AB$15:$AL$231)/(ORÇAMENTO!$X$15-_xlfn.SINGLE(CÁLCULO.TotalAdmLocal))*CRONO!$F82,
                        0),
                 AC81*$S80),
          SUMIF(OFFSET($S82,1,0,$R80-2),($M80+1)&amp;"$",OFFSET(AC82,1,0,$R80-2)))</f>
        <v>0</v>
      </c>
      <c r="AD82" s="203" cm="1">
        <f t="array" aca="1" ref="AD82" ca="1">IF($R80=2,
         IF(AND(ACOMPANHAMENTO="PLE",ISNUMBER($F80)),
                SUMIF((OFFSET(CÁLCULO!$AM$15:$AW$15,$F80,0,OFFSET(ORÇAMENTO!$D$15,CRONO!$F80,0))),CRONO!AD$12,OFFSET(CÁLCULO!$AB$15:$AL$15,$F80,0,OFFSET(ORÇAMENTO!$D$15,CRONO!$F80,0)))
                +IF(AND($F82&lt;&gt;"",$F82&lt;&gt;0),
                        SUMIF(CÁLCULO!$AM$15:$AW$231,CRONO!AD$12,CÁLCULO!$AB$15:$AL$231)/(ORÇAMENTO!$X$15-_xlfn.SINGLE(CÁLCULO.TotalAdmLocal))*CRONO!$F82,
                        0),
                 AD81*$S80),
          SUMIF(OFFSET($S82,1,0,$R80-2),($M80+1)&amp;"$",OFFSET(AD82,1,0,$R80-2)))</f>
        <v>0</v>
      </c>
      <c r="AE82" s="203" cm="1">
        <f t="array" aca="1" ref="AE82" ca="1">IF($R80=2,
         IF(AND(ACOMPANHAMENTO="PLE",ISNUMBER($F80)),
                SUMIF((OFFSET(CÁLCULO!$AM$15:$AW$15,$F80,0,OFFSET(ORÇAMENTO!$D$15,CRONO!$F80,0))),CRONO!AE$12,OFFSET(CÁLCULO!$AB$15:$AL$15,$F80,0,OFFSET(ORÇAMENTO!$D$15,CRONO!$F80,0)))
                +IF(AND($F82&lt;&gt;"",$F82&lt;&gt;0),
                        SUMIF(CÁLCULO!$AM$15:$AW$231,CRONO!AE$12,CÁLCULO!$AB$15:$AL$231)/(ORÇAMENTO!$X$15-_xlfn.SINGLE(CÁLCULO.TotalAdmLocal))*CRONO!$F82,
                        0),
                 AE81*$S80),
          SUMIF(OFFSET($S82,1,0,$R80-2),($M80+1)&amp;"$",OFFSET(AE82,1,0,$R80-2)))</f>
        <v>0</v>
      </c>
      <c r="AF82" s="203" cm="1">
        <f t="array" aca="1" ref="AF82" ca="1">IF($R80=2,
         IF(AND(ACOMPANHAMENTO="PLE",ISNUMBER($F80)),
                SUMIF((OFFSET(CÁLCULO!$AM$15:$AW$15,$F80,0,OFFSET(ORÇAMENTO!$D$15,CRONO!$F80,0))),CRONO!AF$12,OFFSET(CÁLCULO!$AB$15:$AL$15,$F80,0,OFFSET(ORÇAMENTO!$D$15,CRONO!$F80,0)))
                +IF(AND($F82&lt;&gt;"",$F82&lt;&gt;0),
                        SUMIF(CÁLCULO!$AM$15:$AW$231,CRONO!AF$12,CÁLCULO!$AB$15:$AL$231)/(ORÇAMENTO!$X$15-_xlfn.SINGLE(CÁLCULO.TotalAdmLocal))*CRONO!$F82,
                        0),
                 AF81*$S80),
          SUMIF(OFFSET($S82,1,0,$R80-2),($M80+1)&amp;"$",OFFSET(AF82,1,0,$R80-2)))</f>
        <v>0</v>
      </c>
      <c r="AG82" s="535"/>
    </row>
    <row r="83" spans="1:33" x14ac:dyDescent="0.2">
      <c r="A83" s="187" t="str">
        <f t="shared" ref="A83" ca="1" si="140">IF($M83&gt;1,_xlfn.CONCAT($I83," ",$J83),"")</f>
        <v>1.23. PISO</v>
      </c>
      <c r="B83" s="186">
        <f t="shared" ref="B83" ca="1" si="141">OFFSET(B83,-3,0)+1</f>
        <v>24</v>
      </c>
      <c r="C83" s="186">
        <f ca="1">IF($R83&lt;&gt;2,0,IF($S83=0,1,IF(F84&gt;0,OFFSET(QCI!$M$13,SUBSTITUTE(F84,".",""),0),OFFSET(ORÇAMENTO!$AA$15,CRONO!$F83,0))/$S83))</f>
        <v>1</v>
      </c>
      <c r="D83" s="186">
        <f ca="1">IF($R83&lt;&gt;2,0,IF($S83=0,1,IF(F84&gt;0,OFFSET(QCI!$N$13,SUBSTITUTE(F84,".",""),0),OFFSET(ORÇAMENTO!$AB$15,CRONO!$F83,0))/$S83))</f>
        <v>1</v>
      </c>
      <c r="E83" s="189" cm="1">
        <f t="array" aca="1" ref="E83" ca="1">IF(AND($R83=2,ACOMPANHAMENTO="BM"),ROUND(E84,4),E85/$S83)</f>
        <v>0</v>
      </c>
      <c r="F83" s="186">
        <f ca="1">IF(B83&lt;=ORÇAMENTO.MáximoListaCrono,MATCH(B83,ORÇAMENTO.ListaCrono,0),NA())</f>
        <v>175</v>
      </c>
      <c r="G83" s="186" t="str">
        <f t="shared" ref="G83" ca="1" si="142">IF(AND($F84&lt;&gt;-1,$S83&gt;0),"F","")</f>
        <v/>
      </c>
      <c r="H83" s="190" t="str" cm="1">
        <f t="array" aca="1" ref="H83" ca="1">IF(OR(S83=0,S83=""),"Linha",IF(AND(OR(ACOMPANHAMENTO="PLE",$R83&lt;&gt;2),$F84=0),"Linha",ROUND(1-SUM(U83:AG83),4)))</f>
        <v>Linha</v>
      </c>
      <c r="I83" s="191" t="str">
        <f ca="1">IF($F84=0,OFFSET(ORÇAMENTO!O$15,$F83,0),IF($F84&lt;&gt;-1,OFFSET(QCI!$D$13,$F84,0),""))</f>
        <v>1.23.</v>
      </c>
      <c r="J83" s="192" t="str">
        <f ca="1">IF($F84=0,OFFSET(ORÇAMENTO!R$15,$F83,0),IF($F84&lt;&gt;-1,OFFSET(QCI!$G$13,$F84,0),""))</f>
        <v>PISO</v>
      </c>
      <c r="K83" s="192"/>
      <c r="L83" s="192"/>
      <c r="M83" s="193">
        <f ca="1">IF($F84=0,OFFSET(ORÇAMENTO!C$15,$F83,0),1)</f>
        <v>2</v>
      </c>
      <c r="N83" s="194">
        <f ca="1">IF($F84=-1,0,IF(N$13&lt;=$M83,IF(ISERROR(MATCH(N$13,OFFSET($M83,1,0,ROW($M$101)-ROW($M83)-1),0)),ROW($M$101)-ROW($M83)-1,MATCH(N$13,OFFSET($M83,1,0,ROW($M$101)-ROW($M83)-1),0)-1),0))</f>
        <v>17</v>
      </c>
      <c r="O83" s="194">
        <f ca="1">IF($F84=-1,0,IF(O$13&lt;=$M83,IF(ISERROR(MATCH(O$13,OFFSET($M83,1,0,ROW($M$101)-ROW($M83)-1),0)),ROW($M$101)-ROW($M83)-1,MATCH(O$13,OFFSET($M83,1,0,ROW($M$101)-ROW($M83)-1),0)-1),0))</f>
        <v>2</v>
      </c>
      <c r="P83" s="194">
        <f ca="1">IF($F84=-1,0,IF(P$13&lt;=$M83,IF(ISERROR(MATCH(P$13,OFFSET($M83,1,0,ROW($M$101)-ROW($M83)-1),0)),ROW($M$101)-ROW($M83)-1,MATCH(P$13,OFFSET($M83,1,0,ROW($M$101)-ROW($M83)-1),0)-1),0))</f>
        <v>0</v>
      </c>
      <c r="Q83" s="194">
        <f ca="1">IF($F84=-1,0,IF(Q$13&lt;=$M83,IF(ISERROR(MATCH(Q$13,OFFSET($M83,1,0,ROW($M$101)-ROW($M83)-1),0)),ROW($M$101)-ROW($M83)-1,MATCH(Q$13,OFFSET($M83,1,0,ROW($M$101)-ROW($M83)-1),0)-1),0))</f>
        <v>0</v>
      </c>
      <c r="R83" s="194">
        <f t="shared" ref="R83" ca="1" si="143">MIN(OFFSET(M83,0,1,,M83))</f>
        <v>2</v>
      </c>
      <c r="S83" s="195">
        <f ca="1">IF($F84=0,OFFSET(ORÇAMENTO!X$15,$F83,0),IF($F84&lt;&gt;-1,OFFSET(QCI!$O$13,$F84,0),""))</f>
        <v>0</v>
      </c>
      <c r="T83" s="196" t="s">
        <v>786</v>
      </c>
      <c r="U83" s="189" cm="1">
        <f t="array" aca="1" ref="U83" ca="1">IF(AND($R83=2,ACOMPANHAMENTO="BM"),ROUND(U84,4),U85/$S83)</f>
        <v>0</v>
      </c>
      <c r="V83" s="189" cm="1">
        <f t="array" aca="1" ref="V83" ca="1">IF(AND($R83=2,ACOMPANHAMENTO="BM"),ROUND(V84,4),V85/$S83)</f>
        <v>0</v>
      </c>
      <c r="W83" s="189" cm="1">
        <f t="array" aca="1" ref="W83" ca="1">IF(AND($R83=2,ACOMPANHAMENTO="BM"),ROUND(W84,4),W85/$S83)</f>
        <v>0</v>
      </c>
      <c r="X83" s="189" cm="1">
        <f t="array" aca="1" ref="X83" ca="1">IF(AND($R83=2,ACOMPANHAMENTO="BM"),ROUND(X84,4),X85/$S83)</f>
        <v>0.5</v>
      </c>
      <c r="Y83" s="189" cm="1">
        <f t="array" aca="1" ref="Y83" ca="1">IF(AND($R83=2,ACOMPANHAMENTO="BM"),ROUND(Y84,4),Y85/$S83)</f>
        <v>0.5</v>
      </c>
      <c r="Z83" s="189" cm="1">
        <f t="array" aca="1" ref="Z83" ca="1">IF(AND($R83=2,ACOMPANHAMENTO="BM"),ROUND(Z84,4),Z85/$S83)</f>
        <v>0</v>
      </c>
      <c r="AA83" s="189" cm="1">
        <f t="array" aca="1" ref="AA83" ca="1">IF(AND($R83=2,ACOMPANHAMENTO="BM"),ROUND(AA84,4),AA85/$S83)</f>
        <v>0</v>
      </c>
      <c r="AB83" s="189" cm="1">
        <f t="array" aca="1" ref="AB83" ca="1">IF(AND($R83=2,ACOMPANHAMENTO="BM"),ROUND(AB84,4),AB85/$S83)</f>
        <v>0</v>
      </c>
      <c r="AC83" s="189" cm="1">
        <f t="array" aca="1" ref="AC83" ca="1">IF(AND($R83=2,ACOMPANHAMENTO="BM"),ROUND(AC84,4),AC85/$S83)</f>
        <v>0</v>
      </c>
      <c r="AD83" s="189" cm="1">
        <f t="array" aca="1" ref="AD83" ca="1">IF(AND($R83=2,ACOMPANHAMENTO="BM"),ROUND(AD84,4),AD85/$S83)</f>
        <v>0</v>
      </c>
      <c r="AE83" s="189" cm="1">
        <f t="array" aca="1" ref="AE83" ca="1">IF(AND($R83=2,ACOMPANHAMENTO="BM"),ROUND(AE84,4),AE85/$S83)</f>
        <v>0</v>
      </c>
      <c r="AF83" s="189" cm="1">
        <f t="array" aca="1" ref="AF83" ca="1">IF(AND($R83=2,ACOMPANHAMENTO="BM"),ROUND(AF84,4),AF85/$S83)</f>
        <v>0</v>
      </c>
      <c r="AG83" s="535"/>
    </row>
    <row r="84" spans="1:33" ht="12.75" customHeight="1" x14ac:dyDescent="0.2">
      <c r="E84" s="588"/>
      <c r="F84" s="186">
        <f ca="1">IF(ISERROR(F83),IF(1+COUNTIF($M$13:OFFSET(M83,-1,0),1)&lt;=MAX(QCI!$D$13:$D$15),1+COUNTIF($M$13:OFFSET(M83,-1,0),1),-1),0)</f>
        <v>0</v>
      </c>
      <c r="G84" s="186" t="str" cm="1">
        <f t="array" aca="1" ref="G84" ca="1">IF(ACOMPANHAMENTO="BM",OFFSET(G84,-1,0),"")</f>
        <v/>
      </c>
      <c r="H84" s="197" t="str" cm="1">
        <f t="array" aca="1" ref="H84" ca="1">IF(OR(S83=0,S83=""),"vazia",IF(AND(OR(ACOMPANHAMENTO="PLE",$R83&lt;&gt;2),$F84=0),"calculada","--&gt;"))</f>
        <v>vazia</v>
      </c>
      <c r="I84" s="198"/>
      <c r="J84" s="199" t="str">
        <f t="shared" ref="J84" ca="1" si="144">IF(AND(H83&lt;&gt;0,ISNUMBER(H83)),"PREENCHA ESTA LINHA --&gt;","")</f>
        <v/>
      </c>
      <c r="K84" s="199"/>
      <c r="L84" s="199"/>
      <c r="M84" s="200"/>
      <c r="N84" s="200"/>
      <c r="O84" s="200"/>
      <c r="P84" s="200"/>
      <c r="Q84" s="200"/>
      <c r="R84" s="200"/>
      <c r="S84" s="201"/>
      <c r="T84" s="202"/>
      <c r="U84" s="588"/>
      <c r="V84" s="588"/>
      <c r="W84" s="588"/>
      <c r="X84" s="588">
        <v>0.5</v>
      </c>
      <c r="Y84" s="588">
        <v>0.5</v>
      </c>
      <c r="Z84" s="588"/>
      <c r="AA84" s="588"/>
      <c r="AB84" s="588"/>
      <c r="AC84" s="588"/>
      <c r="AD84" s="588"/>
      <c r="AE84" s="588"/>
      <c r="AF84" s="588"/>
      <c r="AG84" s="535"/>
    </row>
    <row r="85" spans="1:33" ht="12.75" hidden="1" customHeight="1" x14ac:dyDescent="0.2">
      <c r="D85" s="534"/>
      <c r="E85" s="203" cm="1">
        <f t="array" aca="1" ref="E85" ca="1">IF($R83=2,
         IF(AND(ACOMPANHAMENTO="PLE",ISNUMBER($F83)),
                SUMIF((OFFSET(CÁLCULO!$AM$15:$AW$15,$F83,0,OFFSET(ORÇAMENTO!$D$15,CRONO!$F83,0))),CRONO!E$12,OFFSET(CÁLCULO!$AB$15:$AL$15,$F83,0,OFFSET(ORÇAMENTO!$D$15,CRONO!$F83,0)))
                +IF(AND($F85&lt;&gt;"",$F85&lt;&gt;0),
                        SUMIF(CÁLCULO!$AM$15:$AW$231,CRONO!E$12,CÁLCULO!$AB$15:$AL$231)/(ORÇAMENTO!$X$15-_xlfn.SINGLE(CÁLCULO.TotalAdmLocal))*CRONO!$F85,
                        0),
                 E84*$S83),
          SUMIF(OFFSET($S85,1,0,$R83-2),($M83+1)&amp;"$",OFFSET(E85,1,0,$R83-2)))</f>
        <v>0</v>
      </c>
      <c r="F85" s="186" t="str">
        <f ca="1">IF(OR($R83&lt;&gt;2,AUTOEVENTO&lt;&gt;"manual",$F84&gt;0),"",
        IF(Import.TipoArredondamento="Tradicional",
              SUMIF(OFFSET(CÁLCULO!$M$15,CRONO!$F83,0,OFFSET(ORÇAMENTO!$D$15,CRONO!$F83,0)),1,OFFSET(ORÇAMENTO!$X$15,CRONO!$F83,0,OFFSET(ORÇAMENTO!$D$15,CRONO!$F83,0))),
              0))</f>
        <v/>
      </c>
      <c r="H85" s="672"/>
      <c r="S85" s="205" t="str">
        <f t="shared" ref="S85" ca="1" si="145">M83&amp;"$"</f>
        <v>2$</v>
      </c>
      <c r="T85" s="206"/>
      <c r="U85" s="203" cm="1">
        <f t="array" aca="1" ref="U85" ca="1">IF($R83=2,
         IF(AND(ACOMPANHAMENTO="PLE",ISNUMBER($F83)),
                SUMIF((OFFSET(CÁLCULO!$AM$15:$AW$15,$F83,0,OFFSET(ORÇAMENTO!$D$15,CRONO!$F83,0))),CRONO!U$12,OFFSET(CÁLCULO!$AB$15:$AL$15,$F83,0,OFFSET(ORÇAMENTO!$D$15,CRONO!$F83,0)))
                +IF(AND($F85&lt;&gt;"",$F85&lt;&gt;0),
                        SUMIF(CÁLCULO!$AM$15:$AW$231,CRONO!U$12,CÁLCULO!$AB$15:$AL$231)/(ORÇAMENTO!$X$15-_xlfn.SINGLE(CÁLCULO.TotalAdmLocal))*CRONO!$F85,
                        0),
                 U84*$S83),
          SUMIF(OFFSET($S85,1,0,$R83-2),($M83+1)&amp;"$",OFFSET(U85,1,0,$R83-2)))</f>
        <v>0</v>
      </c>
      <c r="V85" s="203" cm="1">
        <f t="array" aca="1" ref="V85" ca="1">IF($R83=2,
         IF(AND(ACOMPANHAMENTO="PLE",ISNUMBER($F83)),
                SUMIF((OFFSET(CÁLCULO!$AM$15:$AW$15,$F83,0,OFFSET(ORÇAMENTO!$D$15,CRONO!$F83,0))),CRONO!V$12,OFFSET(CÁLCULO!$AB$15:$AL$15,$F83,0,OFFSET(ORÇAMENTO!$D$15,CRONO!$F83,0)))
                +IF(AND($F85&lt;&gt;"",$F85&lt;&gt;0),
                        SUMIF(CÁLCULO!$AM$15:$AW$231,CRONO!V$12,CÁLCULO!$AB$15:$AL$231)/(ORÇAMENTO!$X$15-_xlfn.SINGLE(CÁLCULO.TotalAdmLocal))*CRONO!$F85,
                        0),
                 V84*$S83),
          SUMIF(OFFSET($S85,1,0,$R83-2),($M83+1)&amp;"$",OFFSET(V85,1,0,$R83-2)))</f>
        <v>0</v>
      </c>
      <c r="W85" s="203" cm="1">
        <f t="array" aca="1" ref="W85" ca="1">IF($R83=2,
         IF(AND(ACOMPANHAMENTO="PLE",ISNUMBER($F83)),
                SUMIF((OFFSET(CÁLCULO!$AM$15:$AW$15,$F83,0,OFFSET(ORÇAMENTO!$D$15,CRONO!$F83,0))),CRONO!W$12,OFFSET(CÁLCULO!$AB$15:$AL$15,$F83,0,OFFSET(ORÇAMENTO!$D$15,CRONO!$F83,0)))
                +IF(AND($F85&lt;&gt;"",$F85&lt;&gt;0),
                        SUMIF(CÁLCULO!$AM$15:$AW$231,CRONO!W$12,CÁLCULO!$AB$15:$AL$231)/(ORÇAMENTO!$X$15-_xlfn.SINGLE(CÁLCULO.TotalAdmLocal))*CRONO!$F85,
                        0),
                 W84*$S83),
          SUMIF(OFFSET($S85,1,0,$R83-2),($M83+1)&amp;"$",OFFSET(W85,1,0,$R83-2)))</f>
        <v>0</v>
      </c>
      <c r="X85" s="203" cm="1">
        <f t="array" aca="1" ref="X85" ca="1">IF($R83=2,
         IF(AND(ACOMPANHAMENTO="PLE",ISNUMBER($F83)),
                SUMIF((OFFSET(CÁLCULO!$AM$15:$AW$15,$F83,0,OFFSET(ORÇAMENTO!$D$15,CRONO!$F83,0))),CRONO!X$12,OFFSET(CÁLCULO!$AB$15:$AL$15,$F83,0,OFFSET(ORÇAMENTO!$D$15,CRONO!$F83,0)))
                +IF(AND($F85&lt;&gt;"",$F85&lt;&gt;0),
                        SUMIF(CÁLCULO!$AM$15:$AW$231,CRONO!X$12,CÁLCULO!$AB$15:$AL$231)/(ORÇAMENTO!$X$15-_xlfn.SINGLE(CÁLCULO.TotalAdmLocal))*CRONO!$F85,
                        0),
                 X84*$S83),
          SUMIF(OFFSET($S85,1,0,$R83-2),($M83+1)&amp;"$",OFFSET(X85,1,0,$R83-2)))</f>
        <v>0</v>
      </c>
      <c r="Y85" s="203" cm="1">
        <f t="array" aca="1" ref="Y85" ca="1">IF($R83=2,
         IF(AND(ACOMPANHAMENTO="PLE",ISNUMBER($F83)),
                SUMIF((OFFSET(CÁLCULO!$AM$15:$AW$15,$F83,0,OFFSET(ORÇAMENTO!$D$15,CRONO!$F83,0))),CRONO!Y$12,OFFSET(CÁLCULO!$AB$15:$AL$15,$F83,0,OFFSET(ORÇAMENTO!$D$15,CRONO!$F83,0)))
                +IF(AND($F85&lt;&gt;"",$F85&lt;&gt;0),
                        SUMIF(CÁLCULO!$AM$15:$AW$231,CRONO!Y$12,CÁLCULO!$AB$15:$AL$231)/(ORÇAMENTO!$X$15-_xlfn.SINGLE(CÁLCULO.TotalAdmLocal))*CRONO!$F85,
                        0),
                 Y84*$S83),
          SUMIF(OFFSET($S85,1,0,$R83-2),($M83+1)&amp;"$",OFFSET(Y85,1,0,$R83-2)))</f>
        <v>0</v>
      </c>
      <c r="Z85" s="203" cm="1">
        <f t="array" aca="1" ref="Z85" ca="1">IF($R83=2,
         IF(AND(ACOMPANHAMENTO="PLE",ISNUMBER($F83)),
                SUMIF((OFFSET(CÁLCULO!$AM$15:$AW$15,$F83,0,OFFSET(ORÇAMENTO!$D$15,CRONO!$F83,0))),CRONO!Z$12,OFFSET(CÁLCULO!$AB$15:$AL$15,$F83,0,OFFSET(ORÇAMENTO!$D$15,CRONO!$F83,0)))
                +IF(AND($F85&lt;&gt;"",$F85&lt;&gt;0),
                        SUMIF(CÁLCULO!$AM$15:$AW$231,CRONO!Z$12,CÁLCULO!$AB$15:$AL$231)/(ORÇAMENTO!$X$15-_xlfn.SINGLE(CÁLCULO.TotalAdmLocal))*CRONO!$F85,
                        0),
                 Z84*$S83),
          SUMIF(OFFSET($S85,1,0,$R83-2),($M83+1)&amp;"$",OFFSET(Z85,1,0,$R83-2)))</f>
        <v>0</v>
      </c>
      <c r="AA85" s="203" cm="1">
        <f t="array" aca="1" ref="AA85" ca="1">IF($R83=2,
         IF(AND(ACOMPANHAMENTO="PLE",ISNUMBER($F83)),
                SUMIF((OFFSET(CÁLCULO!$AM$15:$AW$15,$F83,0,OFFSET(ORÇAMENTO!$D$15,CRONO!$F83,0))),CRONO!AA$12,OFFSET(CÁLCULO!$AB$15:$AL$15,$F83,0,OFFSET(ORÇAMENTO!$D$15,CRONO!$F83,0)))
                +IF(AND($F85&lt;&gt;"",$F85&lt;&gt;0),
                        SUMIF(CÁLCULO!$AM$15:$AW$231,CRONO!AA$12,CÁLCULO!$AB$15:$AL$231)/(ORÇAMENTO!$X$15-_xlfn.SINGLE(CÁLCULO.TotalAdmLocal))*CRONO!$F85,
                        0),
                 AA84*$S83),
          SUMIF(OFFSET($S85,1,0,$R83-2),($M83+1)&amp;"$",OFFSET(AA85,1,0,$R83-2)))</f>
        <v>0</v>
      </c>
      <c r="AB85" s="203" cm="1">
        <f t="array" aca="1" ref="AB85" ca="1">IF($R83=2,
         IF(AND(ACOMPANHAMENTO="PLE",ISNUMBER($F83)),
                SUMIF((OFFSET(CÁLCULO!$AM$15:$AW$15,$F83,0,OFFSET(ORÇAMENTO!$D$15,CRONO!$F83,0))),CRONO!AB$12,OFFSET(CÁLCULO!$AB$15:$AL$15,$F83,0,OFFSET(ORÇAMENTO!$D$15,CRONO!$F83,0)))
                +IF(AND($F85&lt;&gt;"",$F85&lt;&gt;0),
                        SUMIF(CÁLCULO!$AM$15:$AW$231,CRONO!AB$12,CÁLCULO!$AB$15:$AL$231)/(ORÇAMENTO!$X$15-_xlfn.SINGLE(CÁLCULO.TotalAdmLocal))*CRONO!$F85,
                        0),
                 AB84*$S83),
          SUMIF(OFFSET($S85,1,0,$R83-2),($M83+1)&amp;"$",OFFSET(AB85,1,0,$R83-2)))</f>
        <v>0</v>
      </c>
      <c r="AC85" s="203" cm="1">
        <f t="array" aca="1" ref="AC85" ca="1">IF($R83=2,
         IF(AND(ACOMPANHAMENTO="PLE",ISNUMBER($F83)),
                SUMIF((OFFSET(CÁLCULO!$AM$15:$AW$15,$F83,0,OFFSET(ORÇAMENTO!$D$15,CRONO!$F83,0))),CRONO!AC$12,OFFSET(CÁLCULO!$AB$15:$AL$15,$F83,0,OFFSET(ORÇAMENTO!$D$15,CRONO!$F83,0)))
                +IF(AND($F85&lt;&gt;"",$F85&lt;&gt;0),
                        SUMIF(CÁLCULO!$AM$15:$AW$231,CRONO!AC$12,CÁLCULO!$AB$15:$AL$231)/(ORÇAMENTO!$X$15-_xlfn.SINGLE(CÁLCULO.TotalAdmLocal))*CRONO!$F85,
                        0),
                 AC84*$S83),
          SUMIF(OFFSET($S85,1,0,$R83-2),($M83+1)&amp;"$",OFFSET(AC85,1,0,$R83-2)))</f>
        <v>0</v>
      </c>
      <c r="AD85" s="203" cm="1">
        <f t="array" aca="1" ref="AD85" ca="1">IF($R83=2,
         IF(AND(ACOMPANHAMENTO="PLE",ISNUMBER($F83)),
                SUMIF((OFFSET(CÁLCULO!$AM$15:$AW$15,$F83,0,OFFSET(ORÇAMENTO!$D$15,CRONO!$F83,0))),CRONO!AD$12,OFFSET(CÁLCULO!$AB$15:$AL$15,$F83,0,OFFSET(ORÇAMENTO!$D$15,CRONO!$F83,0)))
                +IF(AND($F85&lt;&gt;"",$F85&lt;&gt;0),
                        SUMIF(CÁLCULO!$AM$15:$AW$231,CRONO!AD$12,CÁLCULO!$AB$15:$AL$231)/(ORÇAMENTO!$X$15-_xlfn.SINGLE(CÁLCULO.TotalAdmLocal))*CRONO!$F85,
                        0),
                 AD84*$S83),
          SUMIF(OFFSET($S85,1,0,$R83-2),($M83+1)&amp;"$",OFFSET(AD85,1,0,$R83-2)))</f>
        <v>0</v>
      </c>
      <c r="AE85" s="203" cm="1">
        <f t="array" aca="1" ref="AE85" ca="1">IF($R83=2,
         IF(AND(ACOMPANHAMENTO="PLE",ISNUMBER($F83)),
                SUMIF((OFFSET(CÁLCULO!$AM$15:$AW$15,$F83,0,OFFSET(ORÇAMENTO!$D$15,CRONO!$F83,0))),CRONO!AE$12,OFFSET(CÁLCULO!$AB$15:$AL$15,$F83,0,OFFSET(ORÇAMENTO!$D$15,CRONO!$F83,0)))
                +IF(AND($F85&lt;&gt;"",$F85&lt;&gt;0),
                        SUMIF(CÁLCULO!$AM$15:$AW$231,CRONO!AE$12,CÁLCULO!$AB$15:$AL$231)/(ORÇAMENTO!$X$15-_xlfn.SINGLE(CÁLCULO.TotalAdmLocal))*CRONO!$F85,
                        0),
                 AE84*$S83),
          SUMIF(OFFSET($S85,1,0,$R83-2),($M83+1)&amp;"$",OFFSET(AE85,1,0,$R83-2)))</f>
        <v>0</v>
      </c>
      <c r="AF85" s="203" cm="1">
        <f t="array" aca="1" ref="AF85" ca="1">IF($R83=2,
         IF(AND(ACOMPANHAMENTO="PLE",ISNUMBER($F83)),
                SUMIF((OFFSET(CÁLCULO!$AM$15:$AW$15,$F83,0,OFFSET(ORÇAMENTO!$D$15,CRONO!$F83,0))),CRONO!AF$12,OFFSET(CÁLCULO!$AB$15:$AL$15,$F83,0,OFFSET(ORÇAMENTO!$D$15,CRONO!$F83,0)))
                +IF(AND($F85&lt;&gt;"",$F85&lt;&gt;0),
                        SUMIF(CÁLCULO!$AM$15:$AW$231,CRONO!AF$12,CÁLCULO!$AB$15:$AL$231)/(ORÇAMENTO!$X$15-_xlfn.SINGLE(CÁLCULO.TotalAdmLocal))*CRONO!$F85,
                        0),
                 AF84*$S83),
          SUMIF(OFFSET($S85,1,0,$R83-2),($M83+1)&amp;"$",OFFSET(AF85,1,0,$R83-2)))</f>
        <v>0</v>
      </c>
      <c r="AG85" s="535"/>
    </row>
    <row r="86" spans="1:33" x14ac:dyDescent="0.2">
      <c r="A86" s="187" t="str">
        <f t="shared" ref="A86" ca="1" si="146">IF($M86&gt;1,_xlfn.CONCAT($I86," ",$J86),"")</f>
        <v>1.24. ESTRUTURA</v>
      </c>
      <c r="B86" s="186">
        <f t="shared" ref="B86" ca="1" si="147">OFFSET(B86,-3,0)+1</f>
        <v>25</v>
      </c>
      <c r="C86" s="186">
        <f ca="1">IF($R86&lt;&gt;2,0,IF($S86=0,1,IF(F87&gt;0,OFFSET(QCI!$M$13,SUBSTITUTE(F87,".",""),0),OFFSET(ORÇAMENTO!$AA$15,CRONO!$F86,0))/$S86))</f>
        <v>1</v>
      </c>
      <c r="D86" s="186">
        <f ca="1">IF($R86&lt;&gt;2,0,IF($S86=0,1,IF(F87&gt;0,OFFSET(QCI!$N$13,SUBSTITUTE(F87,".",""),0),OFFSET(ORÇAMENTO!$AB$15,CRONO!$F86,0))/$S86))</f>
        <v>1</v>
      </c>
      <c r="E86" s="189" cm="1">
        <f t="array" aca="1" ref="E86" ca="1">IF(AND($R86=2,ACOMPANHAMENTO="BM"),ROUND(E87,4),E88/$S86)</f>
        <v>0</v>
      </c>
      <c r="F86" s="186">
        <f ca="1">IF(B86&lt;=ORÇAMENTO.MáximoListaCrono,MATCH(B86,ORÇAMENTO.ListaCrono,0),NA())</f>
        <v>180</v>
      </c>
      <c r="G86" s="186" t="str">
        <f t="shared" ref="G86" ca="1" si="148">IF(AND($F87&lt;&gt;-1,$S86&gt;0),"F","")</f>
        <v/>
      </c>
      <c r="H86" s="190" t="str" cm="1">
        <f t="array" aca="1" ref="H86" ca="1">IF(OR(S86=0,S86=""),"Linha",IF(AND(OR(ACOMPANHAMENTO="PLE",$R86&lt;&gt;2),$F87=0),"Linha",ROUND(1-SUM(U86:AG86),4)))</f>
        <v>Linha</v>
      </c>
      <c r="I86" s="191" t="str">
        <f ca="1">IF($F87=0,OFFSET(ORÇAMENTO!O$15,$F86,0),IF($F87&lt;&gt;-1,OFFSET(QCI!$D$13,$F87,0),""))</f>
        <v>1.24.</v>
      </c>
      <c r="J86" s="192" t="str">
        <f ca="1">IF($F87=0,OFFSET(ORÇAMENTO!R$15,$F86,0),IF($F87&lt;&gt;-1,OFFSET(QCI!$G$13,$F87,0),""))</f>
        <v>ESTRUTURA</v>
      </c>
      <c r="K86" s="192"/>
      <c r="L86" s="192"/>
      <c r="M86" s="193">
        <f ca="1">IF($F87=0,OFFSET(ORÇAMENTO!C$15,$F86,0),1)</f>
        <v>2</v>
      </c>
      <c r="N86" s="194">
        <f ca="1">IF($F87=-1,0,IF(N$13&lt;=$M86,IF(ISERROR(MATCH(N$13,OFFSET($M86,1,0,ROW($M$101)-ROW($M86)-1),0)),ROW($M$101)-ROW($M86)-1,MATCH(N$13,OFFSET($M86,1,0,ROW($M$101)-ROW($M86)-1),0)-1),0))</f>
        <v>14</v>
      </c>
      <c r="O86" s="194">
        <f ca="1">IF($F87=-1,0,IF(O$13&lt;=$M86,IF(ISERROR(MATCH(O$13,OFFSET($M86,1,0,ROW($M$101)-ROW($M86)-1),0)),ROW($M$101)-ROW($M86)-1,MATCH(O$13,OFFSET($M86,1,0,ROW($M$101)-ROW($M86)-1),0)-1),0))</f>
        <v>2</v>
      </c>
      <c r="P86" s="194">
        <f ca="1">IF($F87=-1,0,IF(P$13&lt;=$M86,IF(ISERROR(MATCH(P$13,OFFSET($M86,1,0,ROW($M$101)-ROW($M86)-1),0)),ROW($M$101)-ROW($M86)-1,MATCH(P$13,OFFSET($M86,1,0,ROW($M$101)-ROW($M86)-1),0)-1),0))</f>
        <v>0</v>
      </c>
      <c r="Q86" s="194">
        <f ca="1">IF($F87=-1,0,IF(Q$13&lt;=$M86,IF(ISERROR(MATCH(Q$13,OFFSET($M86,1,0,ROW($M$101)-ROW($M86)-1),0)),ROW($M$101)-ROW($M86)-1,MATCH(Q$13,OFFSET($M86,1,0,ROW($M$101)-ROW($M86)-1),0)-1),0))</f>
        <v>0</v>
      </c>
      <c r="R86" s="194">
        <f t="shared" ref="R86" ca="1" si="149">MIN(OFFSET(M86,0,1,,M86))</f>
        <v>2</v>
      </c>
      <c r="S86" s="195">
        <f ca="1">IF($F87=0,OFFSET(ORÇAMENTO!X$15,$F86,0),IF($F87&lt;&gt;-1,OFFSET(QCI!$O$13,$F87,0),""))</f>
        <v>0</v>
      </c>
      <c r="T86" s="196" t="s">
        <v>786</v>
      </c>
      <c r="U86" s="189" cm="1">
        <f t="array" aca="1" ref="U86" ca="1">IF(AND($R86=2,ACOMPANHAMENTO="BM"),ROUND(U87,4),U88/$S86)</f>
        <v>0</v>
      </c>
      <c r="V86" s="189" cm="1">
        <f t="array" aca="1" ref="V86" ca="1">IF(AND($R86=2,ACOMPANHAMENTO="BM"),ROUND(V87,4),V88/$S86)</f>
        <v>0</v>
      </c>
      <c r="W86" s="189" cm="1">
        <f t="array" aca="1" ref="W86" ca="1">IF(AND($R86=2,ACOMPANHAMENTO="BM"),ROUND(W87,4),W88/$S86)</f>
        <v>0</v>
      </c>
      <c r="X86" s="189" cm="1">
        <f t="array" aca="1" ref="X86" ca="1">IF(AND($R86=2,ACOMPANHAMENTO="BM"),ROUND(X87,4),X88/$S86)</f>
        <v>0.25</v>
      </c>
      <c r="Y86" s="189" cm="1">
        <f t="array" aca="1" ref="Y86" ca="1">IF(AND($R86=2,ACOMPANHAMENTO="BM"),ROUND(Y87,4),Y88/$S86)</f>
        <v>0.75</v>
      </c>
      <c r="Z86" s="189" cm="1">
        <f t="array" aca="1" ref="Z86" ca="1">IF(AND($R86=2,ACOMPANHAMENTO="BM"),ROUND(Z87,4),Z88/$S86)</f>
        <v>0</v>
      </c>
      <c r="AA86" s="189" cm="1">
        <f t="array" aca="1" ref="AA86" ca="1">IF(AND($R86=2,ACOMPANHAMENTO="BM"),ROUND(AA87,4),AA88/$S86)</f>
        <v>0</v>
      </c>
      <c r="AB86" s="189" cm="1">
        <f t="array" aca="1" ref="AB86" ca="1">IF(AND($R86=2,ACOMPANHAMENTO="BM"),ROUND(AB87,4),AB88/$S86)</f>
        <v>0</v>
      </c>
      <c r="AC86" s="189" cm="1">
        <f t="array" aca="1" ref="AC86" ca="1">IF(AND($R86=2,ACOMPANHAMENTO="BM"),ROUND(AC87,4),AC88/$S86)</f>
        <v>0</v>
      </c>
      <c r="AD86" s="189" cm="1">
        <f t="array" aca="1" ref="AD86" ca="1">IF(AND($R86=2,ACOMPANHAMENTO="BM"),ROUND(AD87,4),AD88/$S86)</f>
        <v>0</v>
      </c>
      <c r="AE86" s="189" cm="1">
        <f t="array" aca="1" ref="AE86" ca="1">IF(AND($R86=2,ACOMPANHAMENTO="BM"),ROUND(AE87,4),AE88/$S86)</f>
        <v>0</v>
      </c>
      <c r="AF86" s="189" cm="1">
        <f t="array" aca="1" ref="AF86" ca="1">IF(AND($R86=2,ACOMPANHAMENTO="BM"),ROUND(AF87,4),AF88/$S86)</f>
        <v>0</v>
      </c>
      <c r="AG86" s="535"/>
    </row>
    <row r="87" spans="1:33" ht="12.75" customHeight="1" x14ac:dyDescent="0.2">
      <c r="E87" s="588"/>
      <c r="F87" s="186">
        <f ca="1">IF(ISERROR(F86),IF(1+COUNTIF($M$13:OFFSET(M86,-1,0),1)&lt;=MAX(QCI!$D$13:$D$15),1+COUNTIF($M$13:OFFSET(M86,-1,0),1),-1),0)</f>
        <v>0</v>
      </c>
      <c r="G87" s="186" t="str" cm="1">
        <f t="array" aca="1" ref="G87" ca="1">IF(ACOMPANHAMENTO="BM",OFFSET(G87,-1,0),"")</f>
        <v/>
      </c>
      <c r="H87" s="197" t="str" cm="1">
        <f t="array" aca="1" ref="H87" ca="1">IF(OR(S86=0,S86=""),"vazia",IF(AND(OR(ACOMPANHAMENTO="PLE",$R86&lt;&gt;2),$F87=0),"calculada","--&gt;"))</f>
        <v>vazia</v>
      </c>
      <c r="I87" s="198"/>
      <c r="J87" s="199" t="str">
        <f t="shared" ref="J87" ca="1" si="150">IF(AND(H86&lt;&gt;0,ISNUMBER(H86)),"PREENCHA ESTA LINHA --&gt;","")</f>
        <v/>
      </c>
      <c r="K87" s="199"/>
      <c r="L87" s="199"/>
      <c r="M87" s="200"/>
      <c r="N87" s="200"/>
      <c r="O87" s="200"/>
      <c r="P87" s="200"/>
      <c r="Q87" s="200"/>
      <c r="R87" s="200"/>
      <c r="S87" s="201"/>
      <c r="T87" s="202"/>
      <c r="U87" s="588"/>
      <c r="V87" s="588"/>
      <c r="W87" s="588"/>
      <c r="X87" s="588">
        <v>0.25</v>
      </c>
      <c r="Y87" s="588">
        <v>0.75</v>
      </c>
      <c r="Z87" s="588"/>
      <c r="AA87" s="588"/>
      <c r="AB87" s="588"/>
      <c r="AC87" s="588"/>
      <c r="AD87" s="588"/>
      <c r="AE87" s="588"/>
      <c r="AF87" s="588"/>
      <c r="AG87" s="535"/>
    </row>
    <row r="88" spans="1:33" ht="12.75" hidden="1" customHeight="1" x14ac:dyDescent="0.2">
      <c r="D88" s="534"/>
      <c r="E88" s="203" cm="1">
        <f t="array" aca="1" ref="E88" ca="1">IF($R86=2,
         IF(AND(ACOMPANHAMENTO="PLE",ISNUMBER($F86)),
                SUMIF((OFFSET(CÁLCULO!$AM$15:$AW$15,$F86,0,OFFSET(ORÇAMENTO!$D$15,CRONO!$F86,0))),CRONO!E$12,OFFSET(CÁLCULO!$AB$15:$AL$15,$F86,0,OFFSET(ORÇAMENTO!$D$15,CRONO!$F86,0)))
                +IF(AND($F88&lt;&gt;"",$F88&lt;&gt;0),
                        SUMIF(CÁLCULO!$AM$15:$AW$231,CRONO!E$12,CÁLCULO!$AB$15:$AL$231)/(ORÇAMENTO!$X$15-_xlfn.SINGLE(CÁLCULO.TotalAdmLocal))*CRONO!$F88,
                        0),
                 E87*$S86),
          SUMIF(OFFSET($S88,1,0,$R86-2),($M86+1)&amp;"$",OFFSET(E88,1,0,$R86-2)))</f>
        <v>0</v>
      </c>
      <c r="F88" s="186" t="str">
        <f ca="1">IF(OR($R86&lt;&gt;2,AUTOEVENTO&lt;&gt;"manual",$F87&gt;0),"",
        IF(Import.TipoArredondamento="Tradicional",
              SUMIF(OFFSET(CÁLCULO!$M$15,CRONO!$F86,0,OFFSET(ORÇAMENTO!$D$15,CRONO!$F86,0)),1,OFFSET(ORÇAMENTO!$X$15,CRONO!$F86,0,OFFSET(ORÇAMENTO!$D$15,CRONO!$F86,0))),
              0))</f>
        <v/>
      </c>
      <c r="H88" s="672"/>
      <c r="S88" s="205" t="str">
        <f t="shared" ref="S88" ca="1" si="151">M86&amp;"$"</f>
        <v>2$</v>
      </c>
      <c r="T88" s="206"/>
      <c r="U88" s="203" cm="1">
        <f t="array" aca="1" ref="U88" ca="1">IF($R86=2,
         IF(AND(ACOMPANHAMENTO="PLE",ISNUMBER($F86)),
                SUMIF((OFFSET(CÁLCULO!$AM$15:$AW$15,$F86,0,OFFSET(ORÇAMENTO!$D$15,CRONO!$F86,0))),CRONO!U$12,OFFSET(CÁLCULO!$AB$15:$AL$15,$F86,0,OFFSET(ORÇAMENTO!$D$15,CRONO!$F86,0)))
                +IF(AND($F88&lt;&gt;"",$F88&lt;&gt;0),
                        SUMIF(CÁLCULO!$AM$15:$AW$231,CRONO!U$12,CÁLCULO!$AB$15:$AL$231)/(ORÇAMENTO!$X$15-_xlfn.SINGLE(CÁLCULO.TotalAdmLocal))*CRONO!$F88,
                        0),
                 U87*$S86),
          SUMIF(OFFSET($S88,1,0,$R86-2),($M86+1)&amp;"$",OFFSET(U88,1,0,$R86-2)))</f>
        <v>0</v>
      </c>
      <c r="V88" s="203" cm="1">
        <f t="array" aca="1" ref="V88" ca="1">IF($R86=2,
         IF(AND(ACOMPANHAMENTO="PLE",ISNUMBER($F86)),
                SUMIF((OFFSET(CÁLCULO!$AM$15:$AW$15,$F86,0,OFFSET(ORÇAMENTO!$D$15,CRONO!$F86,0))),CRONO!V$12,OFFSET(CÁLCULO!$AB$15:$AL$15,$F86,0,OFFSET(ORÇAMENTO!$D$15,CRONO!$F86,0)))
                +IF(AND($F88&lt;&gt;"",$F88&lt;&gt;0),
                        SUMIF(CÁLCULO!$AM$15:$AW$231,CRONO!V$12,CÁLCULO!$AB$15:$AL$231)/(ORÇAMENTO!$X$15-_xlfn.SINGLE(CÁLCULO.TotalAdmLocal))*CRONO!$F88,
                        0),
                 V87*$S86),
          SUMIF(OFFSET($S88,1,0,$R86-2),($M86+1)&amp;"$",OFFSET(V88,1,0,$R86-2)))</f>
        <v>0</v>
      </c>
      <c r="W88" s="203" cm="1">
        <f t="array" aca="1" ref="W88" ca="1">IF($R86=2,
         IF(AND(ACOMPANHAMENTO="PLE",ISNUMBER($F86)),
                SUMIF((OFFSET(CÁLCULO!$AM$15:$AW$15,$F86,0,OFFSET(ORÇAMENTO!$D$15,CRONO!$F86,0))),CRONO!W$12,OFFSET(CÁLCULO!$AB$15:$AL$15,$F86,0,OFFSET(ORÇAMENTO!$D$15,CRONO!$F86,0)))
                +IF(AND($F88&lt;&gt;"",$F88&lt;&gt;0),
                        SUMIF(CÁLCULO!$AM$15:$AW$231,CRONO!W$12,CÁLCULO!$AB$15:$AL$231)/(ORÇAMENTO!$X$15-_xlfn.SINGLE(CÁLCULO.TotalAdmLocal))*CRONO!$F88,
                        0),
                 W87*$S86),
          SUMIF(OFFSET($S88,1,0,$R86-2),($M86+1)&amp;"$",OFFSET(W88,1,0,$R86-2)))</f>
        <v>0</v>
      </c>
      <c r="X88" s="203" cm="1">
        <f t="array" aca="1" ref="X88" ca="1">IF($R86=2,
         IF(AND(ACOMPANHAMENTO="PLE",ISNUMBER($F86)),
                SUMIF((OFFSET(CÁLCULO!$AM$15:$AW$15,$F86,0,OFFSET(ORÇAMENTO!$D$15,CRONO!$F86,0))),CRONO!X$12,OFFSET(CÁLCULO!$AB$15:$AL$15,$F86,0,OFFSET(ORÇAMENTO!$D$15,CRONO!$F86,0)))
                +IF(AND($F88&lt;&gt;"",$F88&lt;&gt;0),
                        SUMIF(CÁLCULO!$AM$15:$AW$231,CRONO!X$12,CÁLCULO!$AB$15:$AL$231)/(ORÇAMENTO!$X$15-_xlfn.SINGLE(CÁLCULO.TotalAdmLocal))*CRONO!$F88,
                        0),
                 X87*$S86),
          SUMIF(OFFSET($S88,1,0,$R86-2),($M86+1)&amp;"$",OFFSET(X88,1,0,$R86-2)))</f>
        <v>0</v>
      </c>
      <c r="Y88" s="203" cm="1">
        <f t="array" aca="1" ref="Y88" ca="1">IF($R86=2,
         IF(AND(ACOMPANHAMENTO="PLE",ISNUMBER($F86)),
                SUMIF((OFFSET(CÁLCULO!$AM$15:$AW$15,$F86,0,OFFSET(ORÇAMENTO!$D$15,CRONO!$F86,0))),CRONO!Y$12,OFFSET(CÁLCULO!$AB$15:$AL$15,$F86,0,OFFSET(ORÇAMENTO!$D$15,CRONO!$F86,0)))
                +IF(AND($F88&lt;&gt;"",$F88&lt;&gt;0),
                        SUMIF(CÁLCULO!$AM$15:$AW$231,CRONO!Y$12,CÁLCULO!$AB$15:$AL$231)/(ORÇAMENTO!$X$15-_xlfn.SINGLE(CÁLCULO.TotalAdmLocal))*CRONO!$F88,
                        0),
                 Y87*$S86),
          SUMIF(OFFSET($S88,1,0,$R86-2),($M86+1)&amp;"$",OFFSET(Y88,1,0,$R86-2)))</f>
        <v>0</v>
      </c>
      <c r="Z88" s="203" cm="1">
        <f t="array" aca="1" ref="Z88" ca="1">IF($R86=2,
         IF(AND(ACOMPANHAMENTO="PLE",ISNUMBER($F86)),
                SUMIF((OFFSET(CÁLCULO!$AM$15:$AW$15,$F86,0,OFFSET(ORÇAMENTO!$D$15,CRONO!$F86,0))),CRONO!Z$12,OFFSET(CÁLCULO!$AB$15:$AL$15,$F86,0,OFFSET(ORÇAMENTO!$D$15,CRONO!$F86,0)))
                +IF(AND($F88&lt;&gt;"",$F88&lt;&gt;0),
                        SUMIF(CÁLCULO!$AM$15:$AW$231,CRONO!Z$12,CÁLCULO!$AB$15:$AL$231)/(ORÇAMENTO!$X$15-_xlfn.SINGLE(CÁLCULO.TotalAdmLocal))*CRONO!$F88,
                        0),
                 Z87*$S86),
          SUMIF(OFFSET($S88,1,0,$R86-2),($M86+1)&amp;"$",OFFSET(Z88,1,0,$R86-2)))</f>
        <v>0</v>
      </c>
      <c r="AA88" s="203" cm="1">
        <f t="array" aca="1" ref="AA88" ca="1">IF($R86=2,
         IF(AND(ACOMPANHAMENTO="PLE",ISNUMBER($F86)),
                SUMIF((OFFSET(CÁLCULO!$AM$15:$AW$15,$F86,0,OFFSET(ORÇAMENTO!$D$15,CRONO!$F86,0))),CRONO!AA$12,OFFSET(CÁLCULO!$AB$15:$AL$15,$F86,0,OFFSET(ORÇAMENTO!$D$15,CRONO!$F86,0)))
                +IF(AND($F88&lt;&gt;"",$F88&lt;&gt;0),
                        SUMIF(CÁLCULO!$AM$15:$AW$231,CRONO!AA$12,CÁLCULO!$AB$15:$AL$231)/(ORÇAMENTO!$X$15-_xlfn.SINGLE(CÁLCULO.TotalAdmLocal))*CRONO!$F88,
                        0),
                 AA87*$S86),
          SUMIF(OFFSET($S88,1,0,$R86-2),($M86+1)&amp;"$",OFFSET(AA88,1,0,$R86-2)))</f>
        <v>0</v>
      </c>
      <c r="AB88" s="203" cm="1">
        <f t="array" aca="1" ref="AB88" ca="1">IF($R86=2,
         IF(AND(ACOMPANHAMENTO="PLE",ISNUMBER($F86)),
                SUMIF((OFFSET(CÁLCULO!$AM$15:$AW$15,$F86,0,OFFSET(ORÇAMENTO!$D$15,CRONO!$F86,0))),CRONO!AB$12,OFFSET(CÁLCULO!$AB$15:$AL$15,$F86,0,OFFSET(ORÇAMENTO!$D$15,CRONO!$F86,0)))
                +IF(AND($F88&lt;&gt;"",$F88&lt;&gt;0),
                        SUMIF(CÁLCULO!$AM$15:$AW$231,CRONO!AB$12,CÁLCULO!$AB$15:$AL$231)/(ORÇAMENTO!$X$15-_xlfn.SINGLE(CÁLCULO.TotalAdmLocal))*CRONO!$F88,
                        0),
                 AB87*$S86),
          SUMIF(OFFSET($S88,1,0,$R86-2),($M86+1)&amp;"$",OFFSET(AB88,1,0,$R86-2)))</f>
        <v>0</v>
      </c>
      <c r="AC88" s="203" cm="1">
        <f t="array" aca="1" ref="AC88" ca="1">IF($R86=2,
         IF(AND(ACOMPANHAMENTO="PLE",ISNUMBER($F86)),
                SUMIF((OFFSET(CÁLCULO!$AM$15:$AW$15,$F86,0,OFFSET(ORÇAMENTO!$D$15,CRONO!$F86,0))),CRONO!AC$12,OFFSET(CÁLCULO!$AB$15:$AL$15,$F86,0,OFFSET(ORÇAMENTO!$D$15,CRONO!$F86,0)))
                +IF(AND($F88&lt;&gt;"",$F88&lt;&gt;0),
                        SUMIF(CÁLCULO!$AM$15:$AW$231,CRONO!AC$12,CÁLCULO!$AB$15:$AL$231)/(ORÇAMENTO!$X$15-_xlfn.SINGLE(CÁLCULO.TotalAdmLocal))*CRONO!$F88,
                        0),
                 AC87*$S86),
          SUMIF(OFFSET($S88,1,0,$R86-2),($M86+1)&amp;"$",OFFSET(AC88,1,0,$R86-2)))</f>
        <v>0</v>
      </c>
      <c r="AD88" s="203" cm="1">
        <f t="array" aca="1" ref="AD88" ca="1">IF($R86=2,
         IF(AND(ACOMPANHAMENTO="PLE",ISNUMBER($F86)),
                SUMIF((OFFSET(CÁLCULO!$AM$15:$AW$15,$F86,0,OFFSET(ORÇAMENTO!$D$15,CRONO!$F86,0))),CRONO!AD$12,OFFSET(CÁLCULO!$AB$15:$AL$15,$F86,0,OFFSET(ORÇAMENTO!$D$15,CRONO!$F86,0)))
                +IF(AND($F88&lt;&gt;"",$F88&lt;&gt;0),
                        SUMIF(CÁLCULO!$AM$15:$AW$231,CRONO!AD$12,CÁLCULO!$AB$15:$AL$231)/(ORÇAMENTO!$X$15-_xlfn.SINGLE(CÁLCULO.TotalAdmLocal))*CRONO!$F88,
                        0),
                 AD87*$S86),
          SUMIF(OFFSET($S88,1,0,$R86-2),($M86+1)&amp;"$",OFFSET(AD88,1,0,$R86-2)))</f>
        <v>0</v>
      </c>
      <c r="AE88" s="203" cm="1">
        <f t="array" aca="1" ref="AE88" ca="1">IF($R86=2,
         IF(AND(ACOMPANHAMENTO="PLE",ISNUMBER($F86)),
                SUMIF((OFFSET(CÁLCULO!$AM$15:$AW$15,$F86,0,OFFSET(ORÇAMENTO!$D$15,CRONO!$F86,0))),CRONO!AE$12,OFFSET(CÁLCULO!$AB$15:$AL$15,$F86,0,OFFSET(ORÇAMENTO!$D$15,CRONO!$F86,0)))
                +IF(AND($F88&lt;&gt;"",$F88&lt;&gt;0),
                        SUMIF(CÁLCULO!$AM$15:$AW$231,CRONO!AE$12,CÁLCULO!$AB$15:$AL$231)/(ORÇAMENTO!$X$15-_xlfn.SINGLE(CÁLCULO.TotalAdmLocal))*CRONO!$F88,
                        0),
                 AE87*$S86),
          SUMIF(OFFSET($S88,1,0,$R86-2),($M86+1)&amp;"$",OFFSET(AE88,1,0,$R86-2)))</f>
        <v>0</v>
      </c>
      <c r="AF88" s="203" cm="1">
        <f t="array" aca="1" ref="AF88" ca="1">IF($R86=2,
         IF(AND(ACOMPANHAMENTO="PLE",ISNUMBER($F86)),
                SUMIF((OFFSET(CÁLCULO!$AM$15:$AW$15,$F86,0,OFFSET(ORÇAMENTO!$D$15,CRONO!$F86,0))),CRONO!AF$12,OFFSET(CÁLCULO!$AB$15:$AL$15,$F86,0,OFFSET(ORÇAMENTO!$D$15,CRONO!$F86,0)))
                +IF(AND($F88&lt;&gt;"",$F88&lt;&gt;0),
                        SUMIF(CÁLCULO!$AM$15:$AW$231,CRONO!AF$12,CÁLCULO!$AB$15:$AL$231)/(ORÇAMENTO!$X$15-_xlfn.SINGLE(CÁLCULO.TotalAdmLocal))*CRONO!$F88,
                        0),
                 AF87*$S86),
          SUMIF(OFFSET($S88,1,0,$R86-2),($M86+1)&amp;"$",OFFSET(AF88,1,0,$R86-2)))</f>
        <v>0</v>
      </c>
      <c r="AG88" s="535"/>
    </row>
    <row r="89" spans="1:33" x14ac:dyDescent="0.2">
      <c r="A89" s="187" t="str">
        <f t="shared" ref="A89" ca="1" si="152">IF($M89&gt;1,_xlfn.CONCAT($I89," ",$J89),"")</f>
        <v>1.25. PAREDE DE CONTENÇÃO ARMADA</v>
      </c>
      <c r="B89" s="186">
        <f t="shared" ref="B89" ca="1" si="153">OFFSET(B89,-3,0)+1</f>
        <v>26</v>
      </c>
      <c r="C89" s="186">
        <f ca="1">IF($R89&lt;&gt;2,0,IF($S89=0,1,IF(F90&gt;0,OFFSET(QCI!$M$13,SUBSTITUTE(F90,".",""),0),OFFSET(ORÇAMENTO!$AA$15,CRONO!$F89,0))/$S89))</f>
        <v>1</v>
      </c>
      <c r="D89" s="186">
        <f ca="1">IF($R89&lt;&gt;2,0,IF($S89=0,1,IF(F90&gt;0,OFFSET(QCI!$N$13,SUBSTITUTE(F90,".",""),0),OFFSET(ORÇAMENTO!$AB$15,CRONO!$F89,0))/$S89))</f>
        <v>1</v>
      </c>
      <c r="E89" s="189" cm="1">
        <f t="array" aca="1" ref="E89" ca="1">IF(AND($R89=2,ACOMPANHAMENTO="BM"),ROUND(E90,4),E91/$S89)</f>
        <v>0</v>
      </c>
      <c r="F89" s="186">
        <f ca="1">IF(B89&lt;=ORÇAMENTO.MáximoListaCrono,MATCH(B89,ORÇAMENTO.ListaCrono,0),NA())</f>
        <v>185</v>
      </c>
      <c r="G89" s="186" t="str">
        <f t="shared" ref="G89" ca="1" si="154">IF(AND($F90&lt;&gt;-1,$S89&gt;0),"F","")</f>
        <v/>
      </c>
      <c r="H89" s="190" t="str" cm="1">
        <f t="array" aca="1" ref="H89" ca="1">IF(OR(S89=0,S89=""),"Linha",IF(AND(OR(ACOMPANHAMENTO="PLE",$R89&lt;&gt;2),$F90=0),"Linha",ROUND(1-SUM(U89:AG89),4)))</f>
        <v>Linha</v>
      </c>
      <c r="I89" s="191" t="str">
        <f ca="1">IF($F90=0,OFFSET(ORÇAMENTO!O$15,$F89,0),IF($F90&lt;&gt;-1,OFFSET(QCI!$D$13,$F90,0),""))</f>
        <v>1.25.</v>
      </c>
      <c r="J89" s="192" t="str">
        <f ca="1">IF($F90=0,OFFSET(ORÇAMENTO!R$15,$F89,0),IF($F90&lt;&gt;-1,OFFSET(QCI!$G$13,$F90,0),""))</f>
        <v>PAREDE DE CONTENÇÃO ARMADA</v>
      </c>
      <c r="K89" s="192"/>
      <c r="L89" s="192"/>
      <c r="M89" s="193">
        <f ca="1">IF($F90=0,OFFSET(ORÇAMENTO!C$15,$F89,0),1)</f>
        <v>2</v>
      </c>
      <c r="N89" s="194">
        <f ca="1">IF($F90=-1,0,IF(N$13&lt;=$M89,IF(ISERROR(MATCH(N$13,OFFSET($M89,1,0,ROW($M$101)-ROW($M89)-1),0)),ROW($M$101)-ROW($M89)-1,MATCH(N$13,OFFSET($M89,1,0,ROW($M$101)-ROW($M89)-1),0)-1),0))</f>
        <v>11</v>
      </c>
      <c r="O89" s="194">
        <f ca="1">IF($F90=-1,0,IF(O$13&lt;=$M89,IF(ISERROR(MATCH(O$13,OFFSET($M89,1,0,ROW($M$101)-ROW($M89)-1),0)),ROW($M$101)-ROW($M89)-1,MATCH(O$13,OFFSET($M89,1,0,ROW($M$101)-ROW($M89)-1),0)-1),0))</f>
        <v>2</v>
      </c>
      <c r="P89" s="194">
        <f ca="1">IF($F90=-1,0,IF(P$13&lt;=$M89,IF(ISERROR(MATCH(P$13,OFFSET($M89,1,0,ROW($M$101)-ROW($M89)-1),0)),ROW($M$101)-ROW($M89)-1,MATCH(P$13,OFFSET($M89,1,0,ROW($M$101)-ROW($M89)-1),0)-1),0))</f>
        <v>0</v>
      </c>
      <c r="Q89" s="194">
        <f ca="1">IF($F90=-1,0,IF(Q$13&lt;=$M89,IF(ISERROR(MATCH(Q$13,OFFSET($M89,1,0,ROW($M$101)-ROW($M89)-1),0)),ROW($M$101)-ROW($M89)-1,MATCH(Q$13,OFFSET($M89,1,0,ROW($M$101)-ROW($M89)-1),0)-1),0))</f>
        <v>0</v>
      </c>
      <c r="R89" s="194">
        <f t="shared" ref="R89" ca="1" si="155">MIN(OFFSET(M89,0,1,,M89))</f>
        <v>2</v>
      </c>
      <c r="S89" s="195">
        <f ca="1">IF($F90=0,OFFSET(ORÇAMENTO!X$15,$F89,0),IF($F90&lt;&gt;-1,OFFSET(QCI!$O$13,$F90,0),""))</f>
        <v>0</v>
      </c>
      <c r="T89" s="196" t="s">
        <v>786</v>
      </c>
      <c r="U89" s="189" cm="1">
        <f t="array" aca="1" ref="U89" ca="1">IF(AND($R89=2,ACOMPANHAMENTO="BM"),ROUND(U90,4),U91/$S89)</f>
        <v>0</v>
      </c>
      <c r="V89" s="189" cm="1">
        <f t="array" aca="1" ref="V89" ca="1">IF(AND($R89=2,ACOMPANHAMENTO="BM"),ROUND(V90,4),V91/$S89)</f>
        <v>0.3</v>
      </c>
      <c r="W89" s="189" cm="1">
        <f t="array" aca="1" ref="W89" ca="1">IF(AND($R89=2,ACOMPANHAMENTO="BM"),ROUND(W90,4),W91/$S89)</f>
        <v>0.3</v>
      </c>
      <c r="X89" s="189" cm="1">
        <f t="array" aca="1" ref="X89" ca="1">IF(AND($R89=2,ACOMPANHAMENTO="BM"),ROUND(X90,4),X91/$S89)</f>
        <v>0</v>
      </c>
      <c r="Y89" s="189" cm="1">
        <f t="array" aca="1" ref="Y89" ca="1">IF(AND($R89=2,ACOMPANHAMENTO="BM"),ROUND(Y90,4),Y91/$S89)</f>
        <v>0</v>
      </c>
      <c r="Z89" s="189" cm="1">
        <f t="array" aca="1" ref="Z89" ca="1">IF(AND($R89=2,ACOMPANHAMENTO="BM"),ROUND(Z90,4),Z91/$S89)</f>
        <v>0.4</v>
      </c>
      <c r="AA89" s="189" cm="1">
        <f t="array" aca="1" ref="AA89" ca="1">IF(AND($R89=2,ACOMPANHAMENTO="BM"),ROUND(AA90,4),AA91/$S89)</f>
        <v>0</v>
      </c>
      <c r="AB89" s="189" cm="1">
        <f t="array" aca="1" ref="AB89" ca="1">IF(AND($R89=2,ACOMPANHAMENTO="BM"),ROUND(AB90,4),AB91/$S89)</f>
        <v>0</v>
      </c>
      <c r="AC89" s="189" cm="1">
        <f t="array" aca="1" ref="AC89" ca="1">IF(AND($R89=2,ACOMPANHAMENTO="BM"),ROUND(AC90,4),AC91/$S89)</f>
        <v>0</v>
      </c>
      <c r="AD89" s="189" cm="1">
        <f t="array" aca="1" ref="AD89" ca="1">IF(AND($R89=2,ACOMPANHAMENTO="BM"),ROUND(AD90,4),AD91/$S89)</f>
        <v>0</v>
      </c>
      <c r="AE89" s="189" cm="1">
        <f t="array" aca="1" ref="AE89" ca="1">IF(AND($R89=2,ACOMPANHAMENTO="BM"),ROUND(AE90,4),AE91/$S89)</f>
        <v>0</v>
      </c>
      <c r="AF89" s="189" cm="1">
        <f t="array" aca="1" ref="AF89" ca="1">IF(AND($R89=2,ACOMPANHAMENTO="BM"),ROUND(AF90,4),AF91/$S89)</f>
        <v>0</v>
      </c>
      <c r="AG89" s="535"/>
    </row>
    <row r="90" spans="1:33" ht="12.75" customHeight="1" x14ac:dyDescent="0.2">
      <c r="E90" s="588"/>
      <c r="F90" s="186">
        <f ca="1">IF(ISERROR(F89),IF(1+COUNTIF($M$13:OFFSET(M89,-1,0),1)&lt;=MAX(QCI!$D$13:$D$15),1+COUNTIF($M$13:OFFSET(M89,-1,0),1),-1),0)</f>
        <v>0</v>
      </c>
      <c r="G90" s="186" t="str" cm="1">
        <f t="array" aca="1" ref="G90" ca="1">IF(ACOMPANHAMENTO="BM",OFFSET(G90,-1,0),"")</f>
        <v/>
      </c>
      <c r="H90" s="197" t="str" cm="1">
        <f t="array" aca="1" ref="H90" ca="1">IF(OR(S89=0,S89=""),"vazia",IF(AND(OR(ACOMPANHAMENTO="PLE",$R89&lt;&gt;2),$F90=0),"calculada","--&gt;"))</f>
        <v>vazia</v>
      </c>
      <c r="I90" s="198"/>
      <c r="J90" s="199" t="str">
        <f t="shared" ref="J90" ca="1" si="156">IF(AND(H89&lt;&gt;0,ISNUMBER(H89)),"PREENCHA ESTA LINHA --&gt;","")</f>
        <v/>
      </c>
      <c r="K90" s="199"/>
      <c r="L90" s="199"/>
      <c r="M90" s="200"/>
      <c r="N90" s="200"/>
      <c r="O90" s="200"/>
      <c r="P90" s="200"/>
      <c r="Q90" s="200"/>
      <c r="R90" s="200"/>
      <c r="S90" s="201"/>
      <c r="T90" s="202"/>
      <c r="U90" s="588"/>
      <c r="V90" s="588">
        <v>0.3</v>
      </c>
      <c r="W90" s="588">
        <v>0.3</v>
      </c>
      <c r="X90" s="588"/>
      <c r="Y90" s="588"/>
      <c r="Z90" s="588">
        <v>0.4</v>
      </c>
      <c r="AA90" s="588"/>
      <c r="AB90" s="588"/>
      <c r="AC90" s="588"/>
      <c r="AD90" s="588"/>
      <c r="AE90" s="588"/>
      <c r="AF90" s="588"/>
      <c r="AG90" s="535"/>
    </row>
    <row r="91" spans="1:33" ht="12.75" hidden="1" customHeight="1" x14ac:dyDescent="0.2">
      <c r="D91" s="534"/>
      <c r="E91" s="203" cm="1">
        <f t="array" aca="1" ref="E91" ca="1">IF($R89=2,
         IF(AND(ACOMPANHAMENTO="PLE",ISNUMBER($F89)),
                SUMIF((OFFSET(CÁLCULO!$AM$15:$AW$15,$F89,0,OFFSET(ORÇAMENTO!$D$15,CRONO!$F89,0))),CRONO!E$12,OFFSET(CÁLCULO!$AB$15:$AL$15,$F89,0,OFFSET(ORÇAMENTO!$D$15,CRONO!$F89,0)))
                +IF(AND($F91&lt;&gt;"",$F91&lt;&gt;0),
                        SUMIF(CÁLCULO!$AM$15:$AW$231,CRONO!E$12,CÁLCULO!$AB$15:$AL$231)/(ORÇAMENTO!$X$15-_xlfn.SINGLE(CÁLCULO.TotalAdmLocal))*CRONO!$F91,
                        0),
                 E90*$S89),
          SUMIF(OFFSET($S91,1,0,$R89-2),($M89+1)&amp;"$",OFFSET(E91,1,0,$R89-2)))</f>
        <v>0</v>
      </c>
      <c r="F91" s="186" t="str">
        <f ca="1">IF(OR($R89&lt;&gt;2,AUTOEVENTO&lt;&gt;"manual",$F90&gt;0),"",
        IF(Import.TipoArredondamento="Tradicional",
              SUMIF(OFFSET(CÁLCULO!$M$15,CRONO!$F89,0,OFFSET(ORÇAMENTO!$D$15,CRONO!$F89,0)),1,OFFSET(ORÇAMENTO!$X$15,CRONO!$F89,0,OFFSET(ORÇAMENTO!$D$15,CRONO!$F89,0))),
              0))</f>
        <v/>
      </c>
      <c r="H91" s="672"/>
      <c r="S91" s="205" t="str">
        <f t="shared" ref="S91" ca="1" si="157">M89&amp;"$"</f>
        <v>2$</v>
      </c>
      <c r="T91" s="206"/>
      <c r="U91" s="203" cm="1">
        <f t="array" aca="1" ref="U91" ca="1">IF($R89=2,
         IF(AND(ACOMPANHAMENTO="PLE",ISNUMBER($F89)),
                SUMIF((OFFSET(CÁLCULO!$AM$15:$AW$15,$F89,0,OFFSET(ORÇAMENTO!$D$15,CRONO!$F89,0))),CRONO!U$12,OFFSET(CÁLCULO!$AB$15:$AL$15,$F89,0,OFFSET(ORÇAMENTO!$D$15,CRONO!$F89,0)))
                +IF(AND($F91&lt;&gt;"",$F91&lt;&gt;0),
                        SUMIF(CÁLCULO!$AM$15:$AW$231,CRONO!U$12,CÁLCULO!$AB$15:$AL$231)/(ORÇAMENTO!$X$15-_xlfn.SINGLE(CÁLCULO.TotalAdmLocal))*CRONO!$F91,
                        0),
                 U90*$S89),
          SUMIF(OFFSET($S91,1,0,$R89-2),($M89+1)&amp;"$",OFFSET(U91,1,0,$R89-2)))</f>
        <v>0</v>
      </c>
      <c r="V91" s="203" cm="1">
        <f t="array" aca="1" ref="V91" ca="1">IF($R89=2,
         IF(AND(ACOMPANHAMENTO="PLE",ISNUMBER($F89)),
                SUMIF((OFFSET(CÁLCULO!$AM$15:$AW$15,$F89,0,OFFSET(ORÇAMENTO!$D$15,CRONO!$F89,0))),CRONO!V$12,OFFSET(CÁLCULO!$AB$15:$AL$15,$F89,0,OFFSET(ORÇAMENTO!$D$15,CRONO!$F89,0)))
                +IF(AND($F91&lt;&gt;"",$F91&lt;&gt;0),
                        SUMIF(CÁLCULO!$AM$15:$AW$231,CRONO!V$12,CÁLCULO!$AB$15:$AL$231)/(ORÇAMENTO!$X$15-_xlfn.SINGLE(CÁLCULO.TotalAdmLocal))*CRONO!$F91,
                        0),
                 V90*$S89),
          SUMIF(OFFSET($S91,1,0,$R89-2),($M89+1)&amp;"$",OFFSET(V91,1,0,$R89-2)))</f>
        <v>0</v>
      </c>
      <c r="W91" s="203" cm="1">
        <f t="array" aca="1" ref="W91" ca="1">IF($R89=2,
         IF(AND(ACOMPANHAMENTO="PLE",ISNUMBER($F89)),
                SUMIF((OFFSET(CÁLCULO!$AM$15:$AW$15,$F89,0,OFFSET(ORÇAMENTO!$D$15,CRONO!$F89,0))),CRONO!W$12,OFFSET(CÁLCULO!$AB$15:$AL$15,$F89,0,OFFSET(ORÇAMENTO!$D$15,CRONO!$F89,0)))
                +IF(AND($F91&lt;&gt;"",$F91&lt;&gt;0),
                        SUMIF(CÁLCULO!$AM$15:$AW$231,CRONO!W$12,CÁLCULO!$AB$15:$AL$231)/(ORÇAMENTO!$X$15-_xlfn.SINGLE(CÁLCULO.TotalAdmLocal))*CRONO!$F91,
                        0),
                 W90*$S89),
          SUMIF(OFFSET($S91,1,0,$R89-2),($M89+1)&amp;"$",OFFSET(W91,1,0,$R89-2)))</f>
        <v>0</v>
      </c>
      <c r="X91" s="203" cm="1">
        <f t="array" aca="1" ref="X91" ca="1">IF($R89=2,
         IF(AND(ACOMPANHAMENTO="PLE",ISNUMBER($F89)),
                SUMIF((OFFSET(CÁLCULO!$AM$15:$AW$15,$F89,0,OFFSET(ORÇAMENTO!$D$15,CRONO!$F89,0))),CRONO!X$12,OFFSET(CÁLCULO!$AB$15:$AL$15,$F89,0,OFFSET(ORÇAMENTO!$D$15,CRONO!$F89,0)))
                +IF(AND($F91&lt;&gt;"",$F91&lt;&gt;0),
                        SUMIF(CÁLCULO!$AM$15:$AW$231,CRONO!X$12,CÁLCULO!$AB$15:$AL$231)/(ORÇAMENTO!$X$15-_xlfn.SINGLE(CÁLCULO.TotalAdmLocal))*CRONO!$F91,
                        0),
                 X90*$S89),
          SUMIF(OFFSET($S91,1,0,$R89-2),($M89+1)&amp;"$",OFFSET(X91,1,0,$R89-2)))</f>
        <v>0</v>
      </c>
      <c r="Y91" s="203" cm="1">
        <f t="array" aca="1" ref="Y91" ca="1">IF($R89=2,
         IF(AND(ACOMPANHAMENTO="PLE",ISNUMBER($F89)),
                SUMIF((OFFSET(CÁLCULO!$AM$15:$AW$15,$F89,0,OFFSET(ORÇAMENTO!$D$15,CRONO!$F89,0))),CRONO!Y$12,OFFSET(CÁLCULO!$AB$15:$AL$15,$F89,0,OFFSET(ORÇAMENTO!$D$15,CRONO!$F89,0)))
                +IF(AND($F91&lt;&gt;"",$F91&lt;&gt;0),
                        SUMIF(CÁLCULO!$AM$15:$AW$231,CRONO!Y$12,CÁLCULO!$AB$15:$AL$231)/(ORÇAMENTO!$X$15-_xlfn.SINGLE(CÁLCULO.TotalAdmLocal))*CRONO!$F91,
                        0),
                 Y90*$S89),
          SUMIF(OFFSET($S91,1,0,$R89-2),($M89+1)&amp;"$",OFFSET(Y91,1,0,$R89-2)))</f>
        <v>0</v>
      </c>
      <c r="Z91" s="203" cm="1">
        <f t="array" aca="1" ref="Z91" ca="1">IF($R89=2,
         IF(AND(ACOMPANHAMENTO="PLE",ISNUMBER($F89)),
                SUMIF((OFFSET(CÁLCULO!$AM$15:$AW$15,$F89,0,OFFSET(ORÇAMENTO!$D$15,CRONO!$F89,0))),CRONO!Z$12,OFFSET(CÁLCULO!$AB$15:$AL$15,$F89,0,OFFSET(ORÇAMENTO!$D$15,CRONO!$F89,0)))
                +IF(AND($F91&lt;&gt;"",$F91&lt;&gt;0),
                        SUMIF(CÁLCULO!$AM$15:$AW$231,CRONO!Z$12,CÁLCULO!$AB$15:$AL$231)/(ORÇAMENTO!$X$15-_xlfn.SINGLE(CÁLCULO.TotalAdmLocal))*CRONO!$F91,
                        0),
                 Z90*$S89),
          SUMIF(OFFSET($S91,1,0,$R89-2),($M89+1)&amp;"$",OFFSET(Z91,1,0,$R89-2)))</f>
        <v>0</v>
      </c>
      <c r="AA91" s="203" cm="1">
        <f t="array" aca="1" ref="AA91" ca="1">IF($R89=2,
         IF(AND(ACOMPANHAMENTO="PLE",ISNUMBER($F89)),
                SUMIF((OFFSET(CÁLCULO!$AM$15:$AW$15,$F89,0,OFFSET(ORÇAMENTO!$D$15,CRONO!$F89,0))),CRONO!AA$12,OFFSET(CÁLCULO!$AB$15:$AL$15,$F89,0,OFFSET(ORÇAMENTO!$D$15,CRONO!$F89,0)))
                +IF(AND($F91&lt;&gt;"",$F91&lt;&gt;0),
                        SUMIF(CÁLCULO!$AM$15:$AW$231,CRONO!AA$12,CÁLCULO!$AB$15:$AL$231)/(ORÇAMENTO!$X$15-_xlfn.SINGLE(CÁLCULO.TotalAdmLocal))*CRONO!$F91,
                        0),
                 AA90*$S89),
          SUMIF(OFFSET($S91,1,0,$R89-2),($M89+1)&amp;"$",OFFSET(AA91,1,0,$R89-2)))</f>
        <v>0</v>
      </c>
      <c r="AB91" s="203" cm="1">
        <f t="array" aca="1" ref="AB91" ca="1">IF($R89=2,
         IF(AND(ACOMPANHAMENTO="PLE",ISNUMBER($F89)),
                SUMIF((OFFSET(CÁLCULO!$AM$15:$AW$15,$F89,0,OFFSET(ORÇAMENTO!$D$15,CRONO!$F89,0))),CRONO!AB$12,OFFSET(CÁLCULO!$AB$15:$AL$15,$F89,0,OFFSET(ORÇAMENTO!$D$15,CRONO!$F89,0)))
                +IF(AND($F91&lt;&gt;"",$F91&lt;&gt;0),
                        SUMIF(CÁLCULO!$AM$15:$AW$231,CRONO!AB$12,CÁLCULO!$AB$15:$AL$231)/(ORÇAMENTO!$X$15-_xlfn.SINGLE(CÁLCULO.TotalAdmLocal))*CRONO!$F91,
                        0),
                 AB90*$S89),
          SUMIF(OFFSET($S91,1,0,$R89-2),($M89+1)&amp;"$",OFFSET(AB91,1,0,$R89-2)))</f>
        <v>0</v>
      </c>
      <c r="AC91" s="203" cm="1">
        <f t="array" aca="1" ref="AC91" ca="1">IF($R89=2,
         IF(AND(ACOMPANHAMENTO="PLE",ISNUMBER($F89)),
                SUMIF((OFFSET(CÁLCULO!$AM$15:$AW$15,$F89,0,OFFSET(ORÇAMENTO!$D$15,CRONO!$F89,0))),CRONO!AC$12,OFFSET(CÁLCULO!$AB$15:$AL$15,$F89,0,OFFSET(ORÇAMENTO!$D$15,CRONO!$F89,0)))
                +IF(AND($F91&lt;&gt;"",$F91&lt;&gt;0),
                        SUMIF(CÁLCULO!$AM$15:$AW$231,CRONO!AC$12,CÁLCULO!$AB$15:$AL$231)/(ORÇAMENTO!$X$15-_xlfn.SINGLE(CÁLCULO.TotalAdmLocal))*CRONO!$F91,
                        0),
                 AC90*$S89),
          SUMIF(OFFSET($S91,1,0,$R89-2),($M89+1)&amp;"$",OFFSET(AC91,1,0,$R89-2)))</f>
        <v>0</v>
      </c>
      <c r="AD91" s="203" cm="1">
        <f t="array" aca="1" ref="AD91" ca="1">IF($R89=2,
         IF(AND(ACOMPANHAMENTO="PLE",ISNUMBER($F89)),
                SUMIF((OFFSET(CÁLCULO!$AM$15:$AW$15,$F89,0,OFFSET(ORÇAMENTO!$D$15,CRONO!$F89,0))),CRONO!AD$12,OFFSET(CÁLCULO!$AB$15:$AL$15,$F89,0,OFFSET(ORÇAMENTO!$D$15,CRONO!$F89,0)))
                +IF(AND($F91&lt;&gt;"",$F91&lt;&gt;0),
                        SUMIF(CÁLCULO!$AM$15:$AW$231,CRONO!AD$12,CÁLCULO!$AB$15:$AL$231)/(ORÇAMENTO!$X$15-_xlfn.SINGLE(CÁLCULO.TotalAdmLocal))*CRONO!$F91,
                        0),
                 AD90*$S89),
          SUMIF(OFFSET($S91,1,0,$R89-2),($M89+1)&amp;"$",OFFSET(AD91,1,0,$R89-2)))</f>
        <v>0</v>
      </c>
      <c r="AE91" s="203" cm="1">
        <f t="array" aca="1" ref="AE91" ca="1">IF($R89=2,
         IF(AND(ACOMPANHAMENTO="PLE",ISNUMBER($F89)),
                SUMIF((OFFSET(CÁLCULO!$AM$15:$AW$15,$F89,0,OFFSET(ORÇAMENTO!$D$15,CRONO!$F89,0))),CRONO!AE$12,OFFSET(CÁLCULO!$AB$15:$AL$15,$F89,0,OFFSET(ORÇAMENTO!$D$15,CRONO!$F89,0)))
                +IF(AND($F91&lt;&gt;"",$F91&lt;&gt;0),
                        SUMIF(CÁLCULO!$AM$15:$AW$231,CRONO!AE$12,CÁLCULO!$AB$15:$AL$231)/(ORÇAMENTO!$X$15-_xlfn.SINGLE(CÁLCULO.TotalAdmLocal))*CRONO!$F91,
                        0),
                 AE90*$S89),
          SUMIF(OFFSET($S91,1,0,$R89-2),($M89+1)&amp;"$",OFFSET(AE91,1,0,$R89-2)))</f>
        <v>0</v>
      </c>
      <c r="AF91" s="203" cm="1">
        <f t="array" aca="1" ref="AF91" ca="1">IF($R89=2,
         IF(AND(ACOMPANHAMENTO="PLE",ISNUMBER($F89)),
                SUMIF((OFFSET(CÁLCULO!$AM$15:$AW$15,$F89,0,OFFSET(ORÇAMENTO!$D$15,CRONO!$F89,0))),CRONO!AF$12,OFFSET(CÁLCULO!$AB$15:$AL$15,$F89,0,OFFSET(ORÇAMENTO!$D$15,CRONO!$F89,0)))
                +IF(AND($F91&lt;&gt;"",$F91&lt;&gt;0),
                        SUMIF(CÁLCULO!$AM$15:$AW$231,CRONO!AF$12,CÁLCULO!$AB$15:$AL$231)/(ORÇAMENTO!$X$15-_xlfn.SINGLE(CÁLCULO.TotalAdmLocal))*CRONO!$F91,
                        0),
                 AF90*$S89),
          SUMIF(OFFSET($S91,1,0,$R89-2),($M89+1)&amp;"$",OFFSET(AF91,1,0,$R89-2)))</f>
        <v>0</v>
      </c>
      <c r="AG91" s="535"/>
    </row>
    <row r="92" spans="1:33" x14ac:dyDescent="0.2">
      <c r="A92" s="187" t="str">
        <f t="shared" ref="A92" ca="1" si="158">IF($M92&gt;1,_xlfn.CONCAT($I92," ",$J92),"")</f>
        <v>1.26. LAJE COBERTURA</v>
      </c>
      <c r="B92" s="186">
        <f t="shared" ref="B92" ca="1" si="159">OFFSET(B92,-3,0)+1</f>
        <v>27</v>
      </c>
      <c r="C92" s="186">
        <f ca="1">IF($R92&lt;&gt;2,0,IF($S92=0,1,IF(F93&gt;0,OFFSET(QCI!$M$13,SUBSTITUTE(F93,".",""),0),OFFSET(ORÇAMENTO!$AA$15,CRONO!$F92,0))/$S92))</f>
        <v>1</v>
      </c>
      <c r="D92" s="186">
        <f ca="1">IF($R92&lt;&gt;2,0,IF($S92=0,1,IF(F93&gt;0,OFFSET(QCI!$N$13,SUBSTITUTE(F93,".",""),0),OFFSET(ORÇAMENTO!$AB$15,CRONO!$F92,0))/$S92))</f>
        <v>1</v>
      </c>
      <c r="E92" s="189" cm="1">
        <f t="array" aca="1" ref="E92" ca="1">IF(AND($R92=2,ACOMPANHAMENTO="BM"),ROUND(E93,4),E94/$S92)</f>
        <v>0</v>
      </c>
      <c r="F92" s="186">
        <f ca="1">IF(B92&lt;=ORÇAMENTO.MáximoListaCrono,MATCH(B92,ORÇAMENTO.ListaCrono,0),NA())</f>
        <v>191</v>
      </c>
      <c r="G92" s="186" t="str">
        <f t="shared" ref="G92" ca="1" si="160">IF(AND($F93&lt;&gt;-1,$S92&gt;0),"F","")</f>
        <v/>
      </c>
      <c r="H92" s="190" t="str" cm="1">
        <f t="array" aca="1" ref="H92" ca="1">IF(OR(S92=0,S92=""),"Linha",IF(AND(OR(ACOMPANHAMENTO="PLE",$R92&lt;&gt;2),$F93=0),"Linha",ROUND(1-SUM(U92:AG92),4)))</f>
        <v>Linha</v>
      </c>
      <c r="I92" s="191" t="str">
        <f ca="1">IF($F93=0,OFFSET(ORÇAMENTO!O$15,$F92,0),IF($F93&lt;&gt;-1,OFFSET(QCI!$D$13,$F93,0),""))</f>
        <v>1.26.</v>
      </c>
      <c r="J92" s="192" t="str">
        <f ca="1">IF($F93=0,OFFSET(ORÇAMENTO!R$15,$F92,0),IF($F93&lt;&gt;-1,OFFSET(QCI!$G$13,$F93,0),""))</f>
        <v>LAJE COBERTURA</v>
      </c>
      <c r="K92" s="192"/>
      <c r="L92" s="192"/>
      <c r="M92" s="193">
        <f ca="1">IF($F93=0,OFFSET(ORÇAMENTO!C$15,$F92,0),1)</f>
        <v>2</v>
      </c>
      <c r="N92" s="194">
        <f ca="1">IF($F93=-1,0,IF(N$13&lt;=$M92,IF(ISERROR(MATCH(N$13,OFFSET($M92,1,0,ROW($M$101)-ROW($M92)-1),0)),ROW($M$101)-ROW($M92)-1,MATCH(N$13,OFFSET($M92,1,0,ROW($M$101)-ROW($M92)-1),0)-1),0))</f>
        <v>8</v>
      </c>
      <c r="O92" s="194">
        <f ca="1">IF($F93=-1,0,IF(O$13&lt;=$M92,IF(ISERROR(MATCH(O$13,OFFSET($M92,1,0,ROW($M$101)-ROW($M92)-1),0)),ROW($M$101)-ROW($M92)-1,MATCH(O$13,OFFSET($M92,1,0,ROW($M$101)-ROW($M92)-1),0)-1),0))</f>
        <v>2</v>
      </c>
      <c r="P92" s="194">
        <f ca="1">IF($F93=-1,0,IF(P$13&lt;=$M92,IF(ISERROR(MATCH(P$13,OFFSET($M92,1,0,ROW($M$101)-ROW($M92)-1),0)),ROW($M$101)-ROW($M92)-1,MATCH(P$13,OFFSET($M92,1,0,ROW($M$101)-ROW($M92)-1),0)-1),0))</f>
        <v>0</v>
      </c>
      <c r="Q92" s="194">
        <f ca="1">IF($F93=-1,0,IF(Q$13&lt;=$M92,IF(ISERROR(MATCH(Q$13,OFFSET($M92,1,0,ROW($M$101)-ROW($M92)-1),0)),ROW($M$101)-ROW($M92)-1,MATCH(Q$13,OFFSET($M92,1,0,ROW($M$101)-ROW($M92)-1),0)-1),0))</f>
        <v>0</v>
      </c>
      <c r="R92" s="194">
        <f t="shared" ref="R92" ca="1" si="161">MIN(OFFSET(M92,0,1,,M92))</f>
        <v>2</v>
      </c>
      <c r="S92" s="195">
        <f ca="1">IF($F93=0,OFFSET(ORÇAMENTO!X$15,$F92,0),IF($F93&lt;&gt;-1,OFFSET(QCI!$O$13,$F93,0),""))</f>
        <v>0</v>
      </c>
      <c r="T92" s="196" t="s">
        <v>786</v>
      </c>
      <c r="U92" s="189" cm="1">
        <f t="array" aca="1" ref="U92" ca="1">IF(AND($R92=2,ACOMPANHAMENTO="BM"),ROUND(U93,4),U94/$S92)</f>
        <v>0</v>
      </c>
      <c r="V92" s="189" cm="1">
        <f t="array" aca="1" ref="V92" ca="1">IF(AND($R92=2,ACOMPANHAMENTO="BM"),ROUND(V93,4),V94/$S92)</f>
        <v>0.25</v>
      </c>
      <c r="W92" s="189" cm="1">
        <f t="array" aca="1" ref="W92" ca="1">IF(AND($R92=2,ACOMPANHAMENTO="BM"),ROUND(W93,4),W94/$S92)</f>
        <v>0</v>
      </c>
      <c r="X92" s="189" cm="1">
        <f t="array" aca="1" ref="X92" ca="1">IF(AND($R92=2,ACOMPANHAMENTO="BM"),ROUND(X93,4),X94/$S92)</f>
        <v>0.75</v>
      </c>
      <c r="Y92" s="189" cm="1">
        <f t="array" aca="1" ref="Y92" ca="1">IF(AND($R92=2,ACOMPANHAMENTO="BM"),ROUND(Y93,4),Y94/$S92)</f>
        <v>0</v>
      </c>
      <c r="Z92" s="189" cm="1">
        <f t="array" aca="1" ref="Z92" ca="1">IF(AND($R92=2,ACOMPANHAMENTO="BM"),ROUND(Z93,4),Z94/$S92)</f>
        <v>0</v>
      </c>
      <c r="AA92" s="189" cm="1">
        <f t="array" aca="1" ref="AA92" ca="1">IF(AND($R92=2,ACOMPANHAMENTO="BM"),ROUND(AA93,4),AA94/$S92)</f>
        <v>0</v>
      </c>
      <c r="AB92" s="189" cm="1">
        <f t="array" aca="1" ref="AB92" ca="1">IF(AND($R92=2,ACOMPANHAMENTO="BM"),ROUND(AB93,4),AB94/$S92)</f>
        <v>0</v>
      </c>
      <c r="AC92" s="189" cm="1">
        <f t="array" aca="1" ref="AC92" ca="1">IF(AND($R92=2,ACOMPANHAMENTO="BM"),ROUND(AC93,4),AC94/$S92)</f>
        <v>0</v>
      </c>
      <c r="AD92" s="189" cm="1">
        <f t="array" aca="1" ref="AD92" ca="1">IF(AND($R92=2,ACOMPANHAMENTO="BM"),ROUND(AD93,4),AD94/$S92)</f>
        <v>0</v>
      </c>
      <c r="AE92" s="189" cm="1">
        <f t="array" aca="1" ref="AE92" ca="1">IF(AND($R92=2,ACOMPANHAMENTO="BM"),ROUND(AE93,4),AE94/$S92)</f>
        <v>0</v>
      </c>
      <c r="AF92" s="189" cm="1">
        <f t="array" aca="1" ref="AF92" ca="1">IF(AND($R92=2,ACOMPANHAMENTO="BM"),ROUND(AF93,4),AF94/$S92)</f>
        <v>0</v>
      </c>
      <c r="AG92" s="535"/>
    </row>
    <row r="93" spans="1:33" ht="12.75" customHeight="1" x14ac:dyDescent="0.2">
      <c r="E93" s="588"/>
      <c r="F93" s="186">
        <f ca="1">IF(ISERROR(F92),IF(1+COUNTIF($M$13:OFFSET(M92,-1,0),1)&lt;=MAX(QCI!$D$13:$D$15),1+COUNTIF($M$13:OFFSET(M92,-1,0),1),-1),0)</f>
        <v>0</v>
      </c>
      <c r="G93" s="186" t="str" cm="1">
        <f t="array" aca="1" ref="G93" ca="1">IF(ACOMPANHAMENTO="BM",OFFSET(G93,-1,0),"")</f>
        <v/>
      </c>
      <c r="H93" s="197" t="str" cm="1">
        <f t="array" aca="1" ref="H93" ca="1">IF(OR(S92=0,S92=""),"vazia",IF(AND(OR(ACOMPANHAMENTO="PLE",$R92&lt;&gt;2),$F93=0),"calculada","--&gt;"))</f>
        <v>vazia</v>
      </c>
      <c r="I93" s="198"/>
      <c r="J93" s="199" t="str">
        <f t="shared" ref="J93" ca="1" si="162">IF(AND(H92&lt;&gt;0,ISNUMBER(H92)),"PREENCHA ESTA LINHA --&gt;","")</f>
        <v/>
      </c>
      <c r="K93" s="199"/>
      <c r="L93" s="199"/>
      <c r="M93" s="200"/>
      <c r="N93" s="200"/>
      <c r="O93" s="200"/>
      <c r="P93" s="200"/>
      <c r="Q93" s="200"/>
      <c r="R93" s="200"/>
      <c r="S93" s="201"/>
      <c r="T93" s="202"/>
      <c r="U93" s="588"/>
      <c r="V93" s="588">
        <v>0.25</v>
      </c>
      <c r="W93" s="588"/>
      <c r="X93" s="588">
        <v>0.75</v>
      </c>
      <c r="Y93" s="588"/>
      <c r="Z93" s="588"/>
      <c r="AA93" s="588"/>
      <c r="AB93" s="588"/>
      <c r="AC93" s="588"/>
      <c r="AD93" s="588"/>
      <c r="AE93" s="588"/>
      <c r="AF93" s="588"/>
      <c r="AG93" s="535"/>
    </row>
    <row r="94" spans="1:33" ht="12.75" hidden="1" customHeight="1" x14ac:dyDescent="0.2">
      <c r="D94" s="534"/>
      <c r="E94" s="203" cm="1">
        <f t="array" aca="1" ref="E94" ca="1">IF($R92=2,
         IF(AND(ACOMPANHAMENTO="PLE",ISNUMBER($F92)),
                SUMIF((OFFSET(CÁLCULO!$AM$15:$AW$15,$F92,0,OFFSET(ORÇAMENTO!$D$15,CRONO!$F92,0))),CRONO!E$12,OFFSET(CÁLCULO!$AB$15:$AL$15,$F92,0,OFFSET(ORÇAMENTO!$D$15,CRONO!$F92,0)))
                +IF(AND($F94&lt;&gt;"",$F94&lt;&gt;0),
                        SUMIF(CÁLCULO!$AM$15:$AW$231,CRONO!E$12,CÁLCULO!$AB$15:$AL$231)/(ORÇAMENTO!$X$15-_xlfn.SINGLE(CÁLCULO.TotalAdmLocal))*CRONO!$F94,
                        0),
                 E93*$S92),
          SUMIF(OFFSET($S94,1,0,$R92-2),($M92+1)&amp;"$",OFFSET(E94,1,0,$R92-2)))</f>
        <v>0</v>
      </c>
      <c r="F94" s="186" t="str">
        <f ca="1">IF(OR($R92&lt;&gt;2,AUTOEVENTO&lt;&gt;"manual",$F93&gt;0),"",
        IF(Import.TipoArredondamento="Tradicional",
              SUMIF(OFFSET(CÁLCULO!$M$15,CRONO!$F92,0,OFFSET(ORÇAMENTO!$D$15,CRONO!$F92,0)),1,OFFSET(ORÇAMENTO!$X$15,CRONO!$F92,0,OFFSET(ORÇAMENTO!$D$15,CRONO!$F92,0))),
              0))</f>
        <v/>
      </c>
      <c r="H94" s="672"/>
      <c r="S94" s="205" t="str">
        <f t="shared" ref="S94" ca="1" si="163">M92&amp;"$"</f>
        <v>2$</v>
      </c>
      <c r="T94" s="206"/>
      <c r="U94" s="203" cm="1">
        <f t="array" aca="1" ref="U94" ca="1">IF($R92=2,
         IF(AND(ACOMPANHAMENTO="PLE",ISNUMBER($F92)),
                SUMIF((OFFSET(CÁLCULO!$AM$15:$AW$15,$F92,0,OFFSET(ORÇAMENTO!$D$15,CRONO!$F92,0))),CRONO!U$12,OFFSET(CÁLCULO!$AB$15:$AL$15,$F92,0,OFFSET(ORÇAMENTO!$D$15,CRONO!$F92,0)))
                +IF(AND($F94&lt;&gt;"",$F94&lt;&gt;0),
                        SUMIF(CÁLCULO!$AM$15:$AW$231,CRONO!U$12,CÁLCULO!$AB$15:$AL$231)/(ORÇAMENTO!$X$15-_xlfn.SINGLE(CÁLCULO.TotalAdmLocal))*CRONO!$F94,
                        0),
                 U93*$S92),
          SUMIF(OFFSET($S94,1,0,$R92-2),($M92+1)&amp;"$",OFFSET(U94,1,0,$R92-2)))</f>
        <v>0</v>
      </c>
      <c r="V94" s="203" cm="1">
        <f t="array" aca="1" ref="V94" ca="1">IF($R92=2,
         IF(AND(ACOMPANHAMENTO="PLE",ISNUMBER($F92)),
                SUMIF((OFFSET(CÁLCULO!$AM$15:$AW$15,$F92,0,OFFSET(ORÇAMENTO!$D$15,CRONO!$F92,0))),CRONO!V$12,OFFSET(CÁLCULO!$AB$15:$AL$15,$F92,0,OFFSET(ORÇAMENTO!$D$15,CRONO!$F92,0)))
                +IF(AND($F94&lt;&gt;"",$F94&lt;&gt;0),
                        SUMIF(CÁLCULO!$AM$15:$AW$231,CRONO!V$12,CÁLCULO!$AB$15:$AL$231)/(ORÇAMENTO!$X$15-_xlfn.SINGLE(CÁLCULO.TotalAdmLocal))*CRONO!$F94,
                        0),
                 V93*$S92),
          SUMIF(OFFSET($S94,1,0,$R92-2),($M92+1)&amp;"$",OFFSET(V94,1,0,$R92-2)))</f>
        <v>0</v>
      </c>
      <c r="W94" s="203" cm="1">
        <f t="array" aca="1" ref="W94" ca="1">IF($R92=2,
         IF(AND(ACOMPANHAMENTO="PLE",ISNUMBER($F92)),
                SUMIF((OFFSET(CÁLCULO!$AM$15:$AW$15,$F92,0,OFFSET(ORÇAMENTO!$D$15,CRONO!$F92,0))),CRONO!W$12,OFFSET(CÁLCULO!$AB$15:$AL$15,$F92,0,OFFSET(ORÇAMENTO!$D$15,CRONO!$F92,0)))
                +IF(AND($F94&lt;&gt;"",$F94&lt;&gt;0),
                        SUMIF(CÁLCULO!$AM$15:$AW$231,CRONO!W$12,CÁLCULO!$AB$15:$AL$231)/(ORÇAMENTO!$X$15-_xlfn.SINGLE(CÁLCULO.TotalAdmLocal))*CRONO!$F94,
                        0),
                 W93*$S92),
          SUMIF(OFFSET($S94,1,0,$R92-2),($M92+1)&amp;"$",OFFSET(W94,1,0,$R92-2)))</f>
        <v>0</v>
      </c>
      <c r="X94" s="203" cm="1">
        <f t="array" aca="1" ref="X94" ca="1">IF($R92=2,
         IF(AND(ACOMPANHAMENTO="PLE",ISNUMBER($F92)),
                SUMIF((OFFSET(CÁLCULO!$AM$15:$AW$15,$F92,0,OFFSET(ORÇAMENTO!$D$15,CRONO!$F92,0))),CRONO!X$12,OFFSET(CÁLCULO!$AB$15:$AL$15,$F92,0,OFFSET(ORÇAMENTO!$D$15,CRONO!$F92,0)))
                +IF(AND($F94&lt;&gt;"",$F94&lt;&gt;0),
                        SUMIF(CÁLCULO!$AM$15:$AW$231,CRONO!X$12,CÁLCULO!$AB$15:$AL$231)/(ORÇAMENTO!$X$15-_xlfn.SINGLE(CÁLCULO.TotalAdmLocal))*CRONO!$F94,
                        0),
                 X93*$S92),
          SUMIF(OFFSET($S94,1,0,$R92-2),($M92+1)&amp;"$",OFFSET(X94,1,0,$R92-2)))</f>
        <v>0</v>
      </c>
      <c r="Y94" s="203" cm="1">
        <f t="array" aca="1" ref="Y94" ca="1">IF($R92=2,
         IF(AND(ACOMPANHAMENTO="PLE",ISNUMBER($F92)),
                SUMIF((OFFSET(CÁLCULO!$AM$15:$AW$15,$F92,0,OFFSET(ORÇAMENTO!$D$15,CRONO!$F92,0))),CRONO!Y$12,OFFSET(CÁLCULO!$AB$15:$AL$15,$F92,0,OFFSET(ORÇAMENTO!$D$15,CRONO!$F92,0)))
                +IF(AND($F94&lt;&gt;"",$F94&lt;&gt;0),
                        SUMIF(CÁLCULO!$AM$15:$AW$231,CRONO!Y$12,CÁLCULO!$AB$15:$AL$231)/(ORÇAMENTO!$X$15-_xlfn.SINGLE(CÁLCULO.TotalAdmLocal))*CRONO!$F94,
                        0),
                 Y93*$S92),
          SUMIF(OFFSET($S94,1,0,$R92-2),($M92+1)&amp;"$",OFFSET(Y94,1,0,$R92-2)))</f>
        <v>0</v>
      </c>
      <c r="Z94" s="203" cm="1">
        <f t="array" aca="1" ref="Z94" ca="1">IF($R92=2,
         IF(AND(ACOMPANHAMENTO="PLE",ISNUMBER($F92)),
                SUMIF((OFFSET(CÁLCULO!$AM$15:$AW$15,$F92,0,OFFSET(ORÇAMENTO!$D$15,CRONO!$F92,0))),CRONO!Z$12,OFFSET(CÁLCULO!$AB$15:$AL$15,$F92,0,OFFSET(ORÇAMENTO!$D$15,CRONO!$F92,0)))
                +IF(AND($F94&lt;&gt;"",$F94&lt;&gt;0),
                        SUMIF(CÁLCULO!$AM$15:$AW$231,CRONO!Z$12,CÁLCULO!$AB$15:$AL$231)/(ORÇAMENTO!$X$15-_xlfn.SINGLE(CÁLCULO.TotalAdmLocal))*CRONO!$F94,
                        0),
                 Z93*$S92),
          SUMIF(OFFSET($S94,1,0,$R92-2),($M92+1)&amp;"$",OFFSET(Z94,1,0,$R92-2)))</f>
        <v>0</v>
      </c>
      <c r="AA94" s="203" cm="1">
        <f t="array" aca="1" ref="AA94" ca="1">IF($R92=2,
         IF(AND(ACOMPANHAMENTO="PLE",ISNUMBER($F92)),
                SUMIF((OFFSET(CÁLCULO!$AM$15:$AW$15,$F92,0,OFFSET(ORÇAMENTO!$D$15,CRONO!$F92,0))),CRONO!AA$12,OFFSET(CÁLCULO!$AB$15:$AL$15,$F92,0,OFFSET(ORÇAMENTO!$D$15,CRONO!$F92,0)))
                +IF(AND($F94&lt;&gt;"",$F94&lt;&gt;0),
                        SUMIF(CÁLCULO!$AM$15:$AW$231,CRONO!AA$12,CÁLCULO!$AB$15:$AL$231)/(ORÇAMENTO!$X$15-_xlfn.SINGLE(CÁLCULO.TotalAdmLocal))*CRONO!$F94,
                        0),
                 AA93*$S92),
          SUMIF(OFFSET($S94,1,0,$R92-2),($M92+1)&amp;"$",OFFSET(AA94,1,0,$R92-2)))</f>
        <v>0</v>
      </c>
      <c r="AB94" s="203" cm="1">
        <f t="array" aca="1" ref="AB94" ca="1">IF($R92=2,
         IF(AND(ACOMPANHAMENTO="PLE",ISNUMBER($F92)),
                SUMIF((OFFSET(CÁLCULO!$AM$15:$AW$15,$F92,0,OFFSET(ORÇAMENTO!$D$15,CRONO!$F92,0))),CRONO!AB$12,OFFSET(CÁLCULO!$AB$15:$AL$15,$F92,0,OFFSET(ORÇAMENTO!$D$15,CRONO!$F92,0)))
                +IF(AND($F94&lt;&gt;"",$F94&lt;&gt;0),
                        SUMIF(CÁLCULO!$AM$15:$AW$231,CRONO!AB$12,CÁLCULO!$AB$15:$AL$231)/(ORÇAMENTO!$X$15-_xlfn.SINGLE(CÁLCULO.TotalAdmLocal))*CRONO!$F94,
                        0),
                 AB93*$S92),
          SUMIF(OFFSET($S94,1,0,$R92-2),($M92+1)&amp;"$",OFFSET(AB94,1,0,$R92-2)))</f>
        <v>0</v>
      </c>
      <c r="AC94" s="203" cm="1">
        <f t="array" aca="1" ref="AC94" ca="1">IF($R92=2,
         IF(AND(ACOMPANHAMENTO="PLE",ISNUMBER($F92)),
                SUMIF((OFFSET(CÁLCULO!$AM$15:$AW$15,$F92,0,OFFSET(ORÇAMENTO!$D$15,CRONO!$F92,0))),CRONO!AC$12,OFFSET(CÁLCULO!$AB$15:$AL$15,$F92,0,OFFSET(ORÇAMENTO!$D$15,CRONO!$F92,0)))
                +IF(AND($F94&lt;&gt;"",$F94&lt;&gt;0),
                        SUMIF(CÁLCULO!$AM$15:$AW$231,CRONO!AC$12,CÁLCULO!$AB$15:$AL$231)/(ORÇAMENTO!$X$15-_xlfn.SINGLE(CÁLCULO.TotalAdmLocal))*CRONO!$F94,
                        0),
                 AC93*$S92),
          SUMIF(OFFSET($S94,1,0,$R92-2),($M92+1)&amp;"$",OFFSET(AC94,1,0,$R92-2)))</f>
        <v>0</v>
      </c>
      <c r="AD94" s="203" cm="1">
        <f t="array" aca="1" ref="AD94" ca="1">IF($R92=2,
         IF(AND(ACOMPANHAMENTO="PLE",ISNUMBER($F92)),
                SUMIF((OFFSET(CÁLCULO!$AM$15:$AW$15,$F92,0,OFFSET(ORÇAMENTO!$D$15,CRONO!$F92,0))),CRONO!AD$12,OFFSET(CÁLCULO!$AB$15:$AL$15,$F92,0,OFFSET(ORÇAMENTO!$D$15,CRONO!$F92,0)))
                +IF(AND($F94&lt;&gt;"",$F94&lt;&gt;0),
                        SUMIF(CÁLCULO!$AM$15:$AW$231,CRONO!AD$12,CÁLCULO!$AB$15:$AL$231)/(ORÇAMENTO!$X$15-_xlfn.SINGLE(CÁLCULO.TotalAdmLocal))*CRONO!$F94,
                        0),
                 AD93*$S92),
          SUMIF(OFFSET($S94,1,0,$R92-2),($M92+1)&amp;"$",OFFSET(AD94,1,0,$R92-2)))</f>
        <v>0</v>
      </c>
      <c r="AE94" s="203" cm="1">
        <f t="array" aca="1" ref="AE94" ca="1">IF($R92=2,
         IF(AND(ACOMPANHAMENTO="PLE",ISNUMBER($F92)),
                SUMIF((OFFSET(CÁLCULO!$AM$15:$AW$15,$F92,0,OFFSET(ORÇAMENTO!$D$15,CRONO!$F92,0))),CRONO!AE$12,OFFSET(CÁLCULO!$AB$15:$AL$15,$F92,0,OFFSET(ORÇAMENTO!$D$15,CRONO!$F92,0)))
                +IF(AND($F94&lt;&gt;"",$F94&lt;&gt;0),
                        SUMIF(CÁLCULO!$AM$15:$AW$231,CRONO!AE$12,CÁLCULO!$AB$15:$AL$231)/(ORÇAMENTO!$X$15-_xlfn.SINGLE(CÁLCULO.TotalAdmLocal))*CRONO!$F94,
                        0),
                 AE93*$S92),
          SUMIF(OFFSET($S94,1,0,$R92-2),($M92+1)&amp;"$",OFFSET(AE94,1,0,$R92-2)))</f>
        <v>0</v>
      </c>
      <c r="AF94" s="203" cm="1">
        <f t="array" aca="1" ref="AF94" ca="1">IF($R92=2,
         IF(AND(ACOMPANHAMENTO="PLE",ISNUMBER($F92)),
                SUMIF((OFFSET(CÁLCULO!$AM$15:$AW$15,$F92,0,OFFSET(ORÇAMENTO!$D$15,CRONO!$F92,0))),CRONO!AF$12,OFFSET(CÁLCULO!$AB$15:$AL$15,$F92,0,OFFSET(ORÇAMENTO!$D$15,CRONO!$F92,0)))
                +IF(AND($F94&lt;&gt;"",$F94&lt;&gt;0),
                        SUMIF(CÁLCULO!$AM$15:$AW$231,CRONO!AF$12,CÁLCULO!$AB$15:$AL$231)/(ORÇAMENTO!$X$15-_xlfn.SINGLE(CÁLCULO.TotalAdmLocal))*CRONO!$F94,
                        0),
                 AF93*$S92),
          SUMIF(OFFSET($S94,1,0,$R92-2),($M92+1)&amp;"$",OFFSET(AF94,1,0,$R92-2)))</f>
        <v>0</v>
      </c>
      <c r="AG94" s="535"/>
    </row>
    <row r="95" spans="1:33" x14ac:dyDescent="0.2">
      <c r="A95" s="187" t="str">
        <f t="shared" ref="A95" ca="1" si="164">IF($M95&gt;1,_xlfn.CONCAT($I95," ",$J95),"")</f>
        <v>1.27. DIVERSOS</v>
      </c>
      <c r="B95" s="186">
        <f t="shared" ref="B95" ca="1" si="165">OFFSET(B95,-3,0)+1</f>
        <v>28</v>
      </c>
      <c r="C95" s="186">
        <f ca="1">IF($R95&lt;&gt;2,0,IF($S95=0,1,IF(F96&gt;0,OFFSET(QCI!$M$13,SUBSTITUTE(F96,".",""),0),OFFSET(ORÇAMENTO!$AA$15,CRONO!$F95,0))/$S95))</f>
        <v>1</v>
      </c>
      <c r="D95" s="186">
        <f ca="1">IF($R95&lt;&gt;2,0,IF($S95=0,1,IF(F96&gt;0,OFFSET(QCI!$N$13,SUBSTITUTE(F96,".",""),0),OFFSET(ORÇAMENTO!$AB$15,CRONO!$F95,0))/$S95))</f>
        <v>1</v>
      </c>
      <c r="E95" s="189" cm="1">
        <f t="array" aca="1" ref="E95" ca="1">IF(AND($R95=2,ACOMPANHAMENTO="BM"),ROUND(E96,4),E97/$S95)</f>
        <v>0</v>
      </c>
      <c r="F95" s="186">
        <f ca="1">IF(B95&lt;=ORÇAMENTO.MáximoListaCrono,MATCH(B95,ORÇAMENTO.ListaCrono,0),NA())</f>
        <v>195</v>
      </c>
      <c r="G95" s="186" t="str">
        <f t="shared" ref="G95" ca="1" si="166">IF(AND($F96&lt;&gt;-1,$S95&gt;0),"F","")</f>
        <v/>
      </c>
      <c r="H95" s="190" t="str" cm="1">
        <f t="array" aca="1" ref="H95" ca="1">IF(OR(S95=0,S95=""),"Linha",IF(AND(OR(ACOMPANHAMENTO="PLE",$R95&lt;&gt;2),$F96=0),"Linha",ROUND(1-SUM(U95:AG95),4)))</f>
        <v>Linha</v>
      </c>
      <c r="I95" s="191" t="str">
        <f ca="1">IF($F96=0,OFFSET(ORÇAMENTO!O$15,$F95,0),IF($F96&lt;&gt;-1,OFFSET(QCI!$D$13,$F96,0),""))</f>
        <v>1.27.</v>
      </c>
      <c r="J95" s="192" t="str">
        <f ca="1">IF($F96=0,OFFSET(ORÇAMENTO!R$15,$F95,0),IF($F96&lt;&gt;-1,OFFSET(QCI!$G$13,$F96,0),""))</f>
        <v>DIVERSOS</v>
      </c>
      <c r="K95" s="192"/>
      <c r="L95" s="192"/>
      <c r="M95" s="193">
        <f ca="1">IF($F96=0,OFFSET(ORÇAMENTO!C$15,$F95,0),1)</f>
        <v>2</v>
      </c>
      <c r="N95" s="194">
        <f ca="1">IF($F96=-1,0,IF(N$13&lt;=$M95,IF(ISERROR(MATCH(N$13,OFFSET($M95,1,0,ROW($M$101)-ROW($M95)-1),0)),ROW($M$101)-ROW($M95)-1,MATCH(N$13,OFFSET($M95,1,0,ROW($M$101)-ROW($M95)-1),0)-1),0))</f>
        <v>5</v>
      </c>
      <c r="O95" s="194">
        <f ca="1">IF($F96=-1,0,IF(O$13&lt;=$M95,IF(ISERROR(MATCH(O$13,OFFSET($M95,1,0,ROW($M$101)-ROW($M95)-1),0)),ROW($M$101)-ROW($M95)-1,MATCH(O$13,OFFSET($M95,1,0,ROW($M$101)-ROW($M95)-1),0)-1),0))</f>
        <v>2</v>
      </c>
      <c r="P95" s="194">
        <f ca="1">IF($F96=-1,0,IF(P$13&lt;=$M95,IF(ISERROR(MATCH(P$13,OFFSET($M95,1,0,ROW($M$101)-ROW($M95)-1),0)),ROW($M$101)-ROW($M95)-1,MATCH(P$13,OFFSET($M95,1,0,ROW($M$101)-ROW($M95)-1),0)-1),0))</f>
        <v>0</v>
      </c>
      <c r="Q95" s="194">
        <f ca="1">IF($F96=-1,0,IF(Q$13&lt;=$M95,IF(ISERROR(MATCH(Q$13,OFFSET($M95,1,0,ROW($M$101)-ROW($M95)-1),0)),ROW($M$101)-ROW($M95)-1,MATCH(Q$13,OFFSET($M95,1,0,ROW($M$101)-ROW($M95)-1),0)-1),0))</f>
        <v>0</v>
      </c>
      <c r="R95" s="194">
        <f t="shared" ref="R95" ca="1" si="167">MIN(OFFSET(M95,0,1,,M95))</f>
        <v>2</v>
      </c>
      <c r="S95" s="195">
        <f ca="1">IF($F96=0,OFFSET(ORÇAMENTO!X$15,$F95,0),IF($F96&lt;&gt;-1,OFFSET(QCI!$O$13,$F96,0),""))</f>
        <v>0</v>
      </c>
      <c r="T95" s="196" t="s">
        <v>786</v>
      </c>
      <c r="U95" s="189" cm="1">
        <f t="array" aca="1" ref="U95" ca="1">IF(AND($R95=2,ACOMPANHAMENTO="BM"),ROUND(U96,4),U97/$S95)</f>
        <v>0</v>
      </c>
      <c r="V95" s="189" cm="1">
        <f t="array" aca="1" ref="V95" ca="1">IF(AND($R95=2,ACOMPANHAMENTO="BM"),ROUND(V96,4),V97/$S95)</f>
        <v>0</v>
      </c>
      <c r="W95" s="189" cm="1">
        <f t="array" aca="1" ref="W95" ca="1">IF(AND($R95=2,ACOMPANHAMENTO="BM"),ROUND(W96,4),W97/$S95)</f>
        <v>0</v>
      </c>
      <c r="X95" s="189" cm="1">
        <f t="array" aca="1" ref="X95" ca="1">IF(AND($R95=2,ACOMPANHAMENTO="BM"),ROUND(X96,4),X97/$S95)</f>
        <v>0.7</v>
      </c>
      <c r="Y95" s="189" cm="1">
        <f t="array" aca="1" ref="Y95" ca="1">IF(AND($R95=2,ACOMPANHAMENTO="BM"),ROUND(Y96,4),Y97/$S95)</f>
        <v>0.3</v>
      </c>
      <c r="Z95" s="189" cm="1">
        <f t="array" aca="1" ref="Z95" ca="1">IF(AND($R95=2,ACOMPANHAMENTO="BM"),ROUND(Z96,4),Z97/$S95)</f>
        <v>0</v>
      </c>
      <c r="AA95" s="189" cm="1">
        <f t="array" aca="1" ref="AA95" ca="1">IF(AND($R95=2,ACOMPANHAMENTO="BM"),ROUND(AA96,4),AA97/$S95)</f>
        <v>0</v>
      </c>
      <c r="AB95" s="189" cm="1">
        <f t="array" aca="1" ref="AB95" ca="1">IF(AND($R95=2,ACOMPANHAMENTO="BM"),ROUND(AB96,4),AB97/$S95)</f>
        <v>0</v>
      </c>
      <c r="AC95" s="189" cm="1">
        <f t="array" aca="1" ref="AC95" ca="1">IF(AND($R95=2,ACOMPANHAMENTO="BM"),ROUND(AC96,4),AC97/$S95)</f>
        <v>0</v>
      </c>
      <c r="AD95" s="189" cm="1">
        <f t="array" aca="1" ref="AD95" ca="1">IF(AND($R95=2,ACOMPANHAMENTO="BM"),ROUND(AD96,4),AD97/$S95)</f>
        <v>0</v>
      </c>
      <c r="AE95" s="189" cm="1">
        <f t="array" aca="1" ref="AE95" ca="1">IF(AND($R95=2,ACOMPANHAMENTO="BM"),ROUND(AE96,4),AE97/$S95)</f>
        <v>0</v>
      </c>
      <c r="AF95" s="189" cm="1">
        <f t="array" aca="1" ref="AF95" ca="1">IF(AND($R95=2,ACOMPANHAMENTO="BM"),ROUND(AF96,4),AF97/$S95)</f>
        <v>0</v>
      </c>
      <c r="AG95" s="535"/>
    </row>
    <row r="96" spans="1:33" ht="12.75" customHeight="1" x14ac:dyDescent="0.2">
      <c r="E96" s="588"/>
      <c r="F96" s="186">
        <f ca="1">IF(ISERROR(F95),IF(1+COUNTIF($M$13:OFFSET(M95,-1,0),1)&lt;=MAX(QCI!$D$13:$D$15),1+COUNTIF($M$13:OFFSET(M95,-1,0),1),-1),0)</f>
        <v>0</v>
      </c>
      <c r="G96" s="186" t="str" cm="1">
        <f t="array" aca="1" ref="G96" ca="1">IF(ACOMPANHAMENTO="BM",OFFSET(G96,-1,0),"")</f>
        <v/>
      </c>
      <c r="H96" s="197" t="str" cm="1">
        <f t="array" aca="1" ref="H96" ca="1">IF(OR(S95=0,S95=""),"vazia",IF(AND(OR(ACOMPANHAMENTO="PLE",$R95&lt;&gt;2),$F96=0),"calculada","--&gt;"))</f>
        <v>vazia</v>
      </c>
      <c r="I96" s="198"/>
      <c r="J96" s="199" t="str">
        <f t="shared" ref="J96" ca="1" si="168">IF(AND(H95&lt;&gt;0,ISNUMBER(H95)),"PREENCHA ESTA LINHA --&gt;","")</f>
        <v/>
      </c>
      <c r="K96" s="199"/>
      <c r="L96" s="199"/>
      <c r="M96" s="200"/>
      <c r="N96" s="200"/>
      <c r="O96" s="200"/>
      <c r="P96" s="200"/>
      <c r="Q96" s="200"/>
      <c r="R96" s="200"/>
      <c r="S96" s="201"/>
      <c r="T96" s="202"/>
      <c r="U96" s="588"/>
      <c r="V96" s="588"/>
      <c r="W96" s="588"/>
      <c r="X96" s="588">
        <v>0.7</v>
      </c>
      <c r="Y96" s="588">
        <v>0.3</v>
      </c>
      <c r="Z96" s="588"/>
      <c r="AA96" s="588"/>
      <c r="AB96" s="588"/>
      <c r="AC96" s="588"/>
      <c r="AD96" s="588"/>
      <c r="AE96" s="588"/>
      <c r="AF96" s="588"/>
      <c r="AG96" s="535"/>
    </row>
    <row r="97" spans="1:33" ht="12.75" hidden="1" customHeight="1" x14ac:dyDescent="0.2">
      <c r="D97" s="534"/>
      <c r="E97" s="203" cm="1">
        <f t="array" aca="1" ref="E97" ca="1">IF($R95=2,
         IF(AND(ACOMPANHAMENTO="PLE",ISNUMBER($F95)),
                SUMIF((OFFSET(CÁLCULO!$AM$15:$AW$15,$F95,0,OFFSET(ORÇAMENTO!$D$15,CRONO!$F95,0))),CRONO!E$12,OFFSET(CÁLCULO!$AB$15:$AL$15,$F95,0,OFFSET(ORÇAMENTO!$D$15,CRONO!$F95,0)))
                +IF(AND($F97&lt;&gt;"",$F97&lt;&gt;0),
                        SUMIF(CÁLCULO!$AM$15:$AW$231,CRONO!E$12,CÁLCULO!$AB$15:$AL$231)/(ORÇAMENTO!$X$15-_xlfn.SINGLE(CÁLCULO.TotalAdmLocal))*CRONO!$F97,
                        0),
                 E96*$S95),
          SUMIF(OFFSET($S97,1,0,$R95-2),($M95+1)&amp;"$",OFFSET(E97,1,0,$R95-2)))</f>
        <v>0</v>
      </c>
      <c r="F97" s="186" t="str">
        <f ca="1">IF(OR($R95&lt;&gt;2,AUTOEVENTO&lt;&gt;"manual",$F96&gt;0),"",
        IF(Import.TipoArredondamento="Tradicional",
              SUMIF(OFFSET(CÁLCULO!$M$15,CRONO!$F95,0,OFFSET(ORÇAMENTO!$D$15,CRONO!$F95,0)),1,OFFSET(ORÇAMENTO!$X$15,CRONO!$F95,0,OFFSET(ORÇAMENTO!$D$15,CRONO!$F95,0))),
              0))</f>
        <v/>
      </c>
      <c r="H97" s="672"/>
      <c r="S97" s="205" t="str">
        <f t="shared" ref="S97" ca="1" si="169">M95&amp;"$"</f>
        <v>2$</v>
      </c>
      <c r="T97" s="206"/>
      <c r="U97" s="203" cm="1">
        <f t="array" aca="1" ref="U97" ca="1">IF($R95=2,
         IF(AND(ACOMPANHAMENTO="PLE",ISNUMBER($F95)),
                SUMIF((OFFSET(CÁLCULO!$AM$15:$AW$15,$F95,0,OFFSET(ORÇAMENTO!$D$15,CRONO!$F95,0))),CRONO!U$12,OFFSET(CÁLCULO!$AB$15:$AL$15,$F95,0,OFFSET(ORÇAMENTO!$D$15,CRONO!$F95,0)))
                +IF(AND($F97&lt;&gt;"",$F97&lt;&gt;0),
                        SUMIF(CÁLCULO!$AM$15:$AW$231,CRONO!U$12,CÁLCULO!$AB$15:$AL$231)/(ORÇAMENTO!$X$15-_xlfn.SINGLE(CÁLCULO.TotalAdmLocal))*CRONO!$F97,
                        0),
                 U96*$S95),
          SUMIF(OFFSET($S97,1,0,$R95-2),($M95+1)&amp;"$",OFFSET(U97,1,0,$R95-2)))</f>
        <v>0</v>
      </c>
      <c r="V97" s="203" cm="1">
        <f t="array" aca="1" ref="V97" ca="1">IF($R95=2,
         IF(AND(ACOMPANHAMENTO="PLE",ISNUMBER($F95)),
                SUMIF((OFFSET(CÁLCULO!$AM$15:$AW$15,$F95,0,OFFSET(ORÇAMENTO!$D$15,CRONO!$F95,0))),CRONO!V$12,OFFSET(CÁLCULO!$AB$15:$AL$15,$F95,0,OFFSET(ORÇAMENTO!$D$15,CRONO!$F95,0)))
                +IF(AND($F97&lt;&gt;"",$F97&lt;&gt;0),
                        SUMIF(CÁLCULO!$AM$15:$AW$231,CRONO!V$12,CÁLCULO!$AB$15:$AL$231)/(ORÇAMENTO!$X$15-_xlfn.SINGLE(CÁLCULO.TotalAdmLocal))*CRONO!$F97,
                        0),
                 V96*$S95),
          SUMIF(OFFSET($S97,1,0,$R95-2),($M95+1)&amp;"$",OFFSET(V97,1,0,$R95-2)))</f>
        <v>0</v>
      </c>
      <c r="W97" s="203" cm="1">
        <f t="array" aca="1" ref="W97" ca="1">IF($R95=2,
         IF(AND(ACOMPANHAMENTO="PLE",ISNUMBER($F95)),
                SUMIF((OFFSET(CÁLCULO!$AM$15:$AW$15,$F95,0,OFFSET(ORÇAMENTO!$D$15,CRONO!$F95,0))),CRONO!W$12,OFFSET(CÁLCULO!$AB$15:$AL$15,$F95,0,OFFSET(ORÇAMENTO!$D$15,CRONO!$F95,0)))
                +IF(AND($F97&lt;&gt;"",$F97&lt;&gt;0),
                        SUMIF(CÁLCULO!$AM$15:$AW$231,CRONO!W$12,CÁLCULO!$AB$15:$AL$231)/(ORÇAMENTO!$X$15-_xlfn.SINGLE(CÁLCULO.TotalAdmLocal))*CRONO!$F97,
                        0),
                 W96*$S95),
          SUMIF(OFFSET($S97,1,0,$R95-2),($M95+1)&amp;"$",OFFSET(W97,1,0,$R95-2)))</f>
        <v>0</v>
      </c>
      <c r="X97" s="203" cm="1">
        <f t="array" aca="1" ref="X97" ca="1">IF($R95=2,
         IF(AND(ACOMPANHAMENTO="PLE",ISNUMBER($F95)),
                SUMIF((OFFSET(CÁLCULO!$AM$15:$AW$15,$F95,0,OFFSET(ORÇAMENTO!$D$15,CRONO!$F95,0))),CRONO!X$12,OFFSET(CÁLCULO!$AB$15:$AL$15,$F95,0,OFFSET(ORÇAMENTO!$D$15,CRONO!$F95,0)))
                +IF(AND($F97&lt;&gt;"",$F97&lt;&gt;0),
                        SUMIF(CÁLCULO!$AM$15:$AW$231,CRONO!X$12,CÁLCULO!$AB$15:$AL$231)/(ORÇAMENTO!$X$15-_xlfn.SINGLE(CÁLCULO.TotalAdmLocal))*CRONO!$F97,
                        0),
                 X96*$S95),
          SUMIF(OFFSET($S97,1,0,$R95-2),($M95+1)&amp;"$",OFFSET(X97,1,0,$R95-2)))</f>
        <v>0</v>
      </c>
      <c r="Y97" s="203" cm="1">
        <f t="array" aca="1" ref="Y97" ca="1">IF($R95=2,
         IF(AND(ACOMPANHAMENTO="PLE",ISNUMBER($F95)),
                SUMIF((OFFSET(CÁLCULO!$AM$15:$AW$15,$F95,0,OFFSET(ORÇAMENTO!$D$15,CRONO!$F95,0))),CRONO!Y$12,OFFSET(CÁLCULO!$AB$15:$AL$15,$F95,0,OFFSET(ORÇAMENTO!$D$15,CRONO!$F95,0)))
                +IF(AND($F97&lt;&gt;"",$F97&lt;&gt;0),
                        SUMIF(CÁLCULO!$AM$15:$AW$231,CRONO!Y$12,CÁLCULO!$AB$15:$AL$231)/(ORÇAMENTO!$X$15-_xlfn.SINGLE(CÁLCULO.TotalAdmLocal))*CRONO!$F97,
                        0),
                 Y96*$S95),
          SUMIF(OFFSET($S97,1,0,$R95-2),($M95+1)&amp;"$",OFFSET(Y97,1,0,$R95-2)))</f>
        <v>0</v>
      </c>
      <c r="Z97" s="203" cm="1">
        <f t="array" aca="1" ref="Z97" ca="1">IF($R95=2,
         IF(AND(ACOMPANHAMENTO="PLE",ISNUMBER($F95)),
                SUMIF((OFFSET(CÁLCULO!$AM$15:$AW$15,$F95,0,OFFSET(ORÇAMENTO!$D$15,CRONO!$F95,0))),CRONO!Z$12,OFFSET(CÁLCULO!$AB$15:$AL$15,$F95,0,OFFSET(ORÇAMENTO!$D$15,CRONO!$F95,0)))
                +IF(AND($F97&lt;&gt;"",$F97&lt;&gt;0),
                        SUMIF(CÁLCULO!$AM$15:$AW$231,CRONO!Z$12,CÁLCULO!$AB$15:$AL$231)/(ORÇAMENTO!$X$15-_xlfn.SINGLE(CÁLCULO.TotalAdmLocal))*CRONO!$F97,
                        0),
                 Z96*$S95),
          SUMIF(OFFSET($S97,1,0,$R95-2),($M95+1)&amp;"$",OFFSET(Z97,1,0,$R95-2)))</f>
        <v>0</v>
      </c>
      <c r="AA97" s="203" cm="1">
        <f t="array" aca="1" ref="AA97" ca="1">IF($R95=2,
         IF(AND(ACOMPANHAMENTO="PLE",ISNUMBER($F95)),
                SUMIF((OFFSET(CÁLCULO!$AM$15:$AW$15,$F95,0,OFFSET(ORÇAMENTO!$D$15,CRONO!$F95,0))),CRONO!AA$12,OFFSET(CÁLCULO!$AB$15:$AL$15,$F95,0,OFFSET(ORÇAMENTO!$D$15,CRONO!$F95,0)))
                +IF(AND($F97&lt;&gt;"",$F97&lt;&gt;0),
                        SUMIF(CÁLCULO!$AM$15:$AW$231,CRONO!AA$12,CÁLCULO!$AB$15:$AL$231)/(ORÇAMENTO!$X$15-_xlfn.SINGLE(CÁLCULO.TotalAdmLocal))*CRONO!$F97,
                        0),
                 AA96*$S95),
          SUMIF(OFFSET($S97,1,0,$R95-2),($M95+1)&amp;"$",OFFSET(AA97,1,0,$R95-2)))</f>
        <v>0</v>
      </c>
      <c r="AB97" s="203" cm="1">
        <f t="array" aca="1" ref="AB97" ca="1">IF($R95=2,
         IF(AND(ACOMPANHAMENTO="PLE",ISNUMBER($F95)),
                SUMIF((OFFSET(CÁLCULO!$AM$15:$AW$15,$F95,0,OFFSET(ORÇAMENTO!$D$15,CRONO!$F95,0))),CRONO!AB$12,OFFSET(CÁLCULO!$AB$15:$AL$15,$F95,0,OFFSET(ORÇAMENTO!$D$15,CRONO!$F95,0)))
                +IF(AND($F97&lt;&gt;"",$F97&lt;&gt;0),
                        SUMIF(CÁLCULO!$AM$15:$AW$231,CRONO!AB$12,CÁLCULO!$AB$15:$AL$231)/(ORÇAMENTO!$X$15-_xlfn.SINGLE(CÁLCULO.TotalAdmLocal))*CRONO!$F97,
                        0),
                 AB96*$S95),
          SUMIF(OFFSET($S97,1,0,$R95-2),($M95+1)&amp;"$",OFFSET(AB97,1,0,$R95-2)))</f>
        <v>0</v>
      </c>
      <c r="AC97" s="203" cm="1">
        <f t="array" aca="1" ref="AC97" ca="1">IF($R95=2,
         IF(AND(ACOMPANHAMENTO="PLE",ISNUMBER($F95)),
                SUMIF((OFFSET(CÁLCULO!$AM$15:$AW$15,$F95,0,OFFSET(ORÇAMENTO!$D$15,CRONO!$F95,0))),CRONO!AC$12,OFFSET(CÁLCULO!$AB$15:$AL$15,$F95,0,OFFSET(ORÇAMENTO!$D$15,CRONO!$F95,0)))
                +IF(AND($F97&lt;&gt;"",$F97&lt;&gt;0),
                        SUMIF(CÁLCULO!$AM$15:$AW$231,CRONO!AC$12,CÁLCULO!$AB$15:$AL$231)/(ORÇAMENTO!$X$15-_xlfn.SINGLE(CÁLCULO.TotalAdmLocal))*CRONO!$F97,
                        0),
                 AC96*$S95),
          SUMIF(OFFSET($S97,1,0,$R95-2),($M95+1)&amp;"$",OFFSET(AC97,1,0,$R95-2)))</f>
        <v>0</v>
      </c>
      <c r="AD97" s="203" cm="1">
        <f t="array" aca="1" ref="AD97" ca="1">IF($R95=2,
         IF(AND(ACOMPANHAMENTO="PLE",ISNUMBER($F95)),
                SUMIF((OFFSET(CÁLCULO!$AM$15:$AW$15,$F95,0,OFFSET(ORÇAMENTO!$D$15,CRONO!$F95,0))),CRONO!AD$12,OFFSET(CÁLCULO!$AB$15:$AL$15,$F95,0,OFFSET(ORÇAMENTO!$D$15,CRONO!$F95,0)))
                +IF(AND($F97&lt;&gt;"",$F97&lt;&gt;0),
                        SUMIF(CÁLCULO!$AM$15:$AW$231,CRONO!AD$12,CÁLCULO!$AB$15:$AL$231)/(ORÇAMENTO!$X$15-_xlfn.SINGLE(CÁLCULO.TotalAdmLocal))*CRONO!$F97,
                        0),
                 AD96*$S95),
          SUMIF(OFFSET($S97,1,0,$R95-2),($M95+1)&amp;"$",OFFSET(AD97,1,0,$R95-2)))</f>
        <v>0</v>
      </c>
      <c r="AE97" s="203" cm="1">
        <f t="array" aca="1" ref="AE97" ca="1">IF($R95=2,
         IF(AND(ACOMPANHAMENTO="PLE",ISNUMBER($F95)),
                SUMIF((OFFSET(CÁLCULO!$AM$15:$AW$15,$F95,0,OFFSET(ORÇAMENTO!$D$15,CRONO!$F95,0))),CRONO!AE$12,OFFSET(CÁLCULO!$AB$15:$AL$15,$F95,0,OFFSET(ORÇAMENTO!$D$15,CRONO!$F95,0)))
                +IF(AND($F97&lt;&gt;"",$F97&lt;&gt;0),
                        SUMIF(CÁLCULO!$AM$15:$AW$231,CRONO!AE$12,CÁLCULO!$AB$15:$AL$231)/(ORÇAMENTO!$X$15-_xlfn.SINGLE(CÁLCULO.TotalAdmLocal))*CRONO!$F97,
                        0),
                 AE96*$S95),
          SUMIF(OFFSET($S97,1,0,$R95-2),($M95+1)&amp;"$",OFFSET(AE97,1,0,$R95-2)))</f>
        <v>0</v>
      </c>
      <c r="AF97" s="203" cm="1">
        <f t="array" aca="1" ref="AF97" ca="1">IF($R95=2,
         IF(AND(ACOMPANHAMENTO="PLE",ISNUMBER($F95)),
                SUMIF((OFFSET(CÁLCULO!$AM$15:$AW$15,$F95,0,OFFSET(ORÇAMENTO!$D$15,CRONO!$F95,0))),CRONO!AF$12,OFFSET(CÁLCULO!$AB$15:$AL$15,$F95,0,OFFSET(ORÇAMENTO!$D$15,CRONO!$F95,0)))
                +IF(AND($F97&lt;&gt;"",$F97&lt;&gt;0),
                        SUMIF(CÁLCULO!$AM$15:$AW$231,CRONO!AF$12,CÁLCULO!$AB$15:$AL$231)/(ORÇAMENTO!$X$15-_xlfn.SINGLE(CÁLCULO.TotalAdmLocal))*CRONO!$F97,
                        0),
                 AF96*$S95),
          SUMIF(OFFSET($S97,1,0,$R95-2),($M95+1)&amp;"$",OFFSET(AF97,1,0,$R95-2)))</f>
        <v>0</v>
      </c>
      <c r="AG97" s="535"/>
    </row>
    <row r="98" spans="1:33" x14ac:dyDescent="0.2">
      <c r="A98" s="187" t="str">
        <f t="shared" ref="A98" ca="1" si="170">IF($M98&gt;1,_xlfn.CONCAT($I98," ",$J98),"")</f>
        <v>1.28. REVESTIMENTO, IMPERMEABILIZAÇÃO E PINTURA</v>
      </c>
      <c r="B98" s="186">
        <f t="shared" ref="B98" ca="1" si="171">OFFSET(B98,-3,0)+1</f>
        <v>29</v>
      </c>
      <c r="C98" s="186">
        <f ca="1">IF($R98&lt;&gt;2,0,IF($S98=0,1,IF(F99&gt;0,OFFSET(QCI!$M$13,SUBSTITUTE(F99,".",""),0),OFFSET(ORÇAMENTO!$AA$15,CRONO!$F98,0))/$S98))</f>
        <v>1</v>
      </c>
      <c r="D98" s="186">
        <f ca="1">IF($R98&lt;&gt;2,0,IF($S98=0,1,IF(F99&gt;0,OFFSET(QCI!$N$13,SUBSTITUTE(F99,".",""),0),OFFSET(ORÇAMENTO!$AB$15,CRONO!$F98,0))/$S98))</f>
        <v>1</v>
      </c>
      <c r="E98" s="189" cm="1">
        <f t="array" aca="1" ref="E98" ca="1">IF(AND($R98=2,ACOMPANHAMENTO="BM"),ROUND(E99,4),E100/$S98)</f>
        <v>0</v>
      </c>
      <c r="F98" s="186">
        <f ca="1">IF(B98&lt;=ORÇAMENTO.MáximoListaCrono,MATCH(B98,ORÇAMENTO.ListaCrono,0),NA())</f>
        <v>203</v>
      </c>
      <c r="G98" s="186" t="str">
        <f t="shared" ref="G98" ca="1" si="172">IF(AND($F99&lt;&gt;-1,$S98&gt;0),"F","")</f>
        <v/>
      </c>
      <c r="H98" s="190" t="str" cm="1">
        <f t="array" aca="1" ref="H98" ca="1">IF(OR(S98=0,S98=""),"Linha",IF(AND(OR(ACOMPANHAMENTO="PLE",$R98&lt;&gt;2),$F99=0),"Linha",ROUND(1-SUM(U98:AG98),4)))</f>
        <v>Linha</v>
      </c>
      <c r="I98" s="191" t="str">
        <f ca="1">IF($F99=0,OFFSET(ORÇAMENTO!O$15,$F98,0),IF($F99&lt;&gt;-1,OFFSET(QCI!$D$13,$F99,0),""))</f>
        <v>1.28.</v>
      </c>
      <c r="J98" s="192" t="str">
        <f ca="1">IF($F99=0,OFFSET(ORÇAMENTO!R$15,$F98,0),IF($F99&lt;&gt;-1,OFFSET(QCI!$G$13,$F99,0),""))</f>
        <v>REVESTIMENTO, IMPERMEABILIZAÇÃO E PINTURA</v>
      </c>
      <c r="K98" s="192"/>
      <c r="L98" s="192"/>
      <c r="M98" s="193">
        <f ca="1">IF($F99=0,OFFSET(ORÇAMENTO!C$15,$F98,0),1)</f>
        <v>2</v>
      </c>
      <c r="N98" s="194">
        <f ca="1">IF($F99=-1,0,IF(N$13&lt;=$M98,IF(ISERROR(MATCH(N$13,OFFSET($M98,1,0,ROW($M$101)-ROW($M98)-1),0)),ROW($M$101)-ROW($M98)-1,MATCH(N$13,OFFSET($M98,1,0,ROW($M$101)-ROW($M98)-1),0)-1),0))</f>
        <v>2</v>
      </c>
      <c r="O98" s="194">
        <f ca="1">IF($F99=-1,0,IF(O$13&lt;=$M98,IF(ISERROR(MATCH(O$13,OFFSET($M98,1,0,ROW($M$101)-ROW($M98)-1),0)),ROW($M$101)-ROW($M98)-1,MATCH(O$13,OFFSET($M98,1,0,ROW($M$101)-ROW($M98)-1),0)-1),0))</f>
        <v>2</v>
      </c>
      <c r="P98" s="194">
        <f ca="1">IF($F99=-1,0,IF(P$13&lt;=$M98,IF(ISERROR(MATCH(P$13,OFFSET($M98,1,0,ROW($M$101)-ROW($M98)-1),0)),ROW($M$101)-ROW($M98)-1,MATCH(P$13,OFFSET($M98,1,0,ROW($M$101)-ROW($M98)-1),0)-1),0))</f>
        <v>0</v>
      </c>
      <c r="Q98" s="194">
        <f ca="1">IF($F99=-1,0,IF(Q$13&lt;=$M98,IF(ISERROR(MATCH(Q$13,OFFSET($M98,1,0,ROW($M$101)-ROW($M98)-1),0)),ROW($M$101)-ROW($M98)-1,MATCH(Q$13,OFFSET($M98,1,0,ROW($M$101)-ROW($M98)-1),0)-1),0))</f>
        <v>0</v>
      </c>
      <c r="R98" s="194">
        <f t="shared" ref="R98" ca="1" si="173">MIN(OFFSET(M98,0,1,,M98))</f>
        <v>2</v>
      </c>
      <c r="S98" s="195">
        <f ca="1">IF($F99=0,OFFSET(ORÇAMENTO!X$15,$F98,0),IF($F99&lt;&gt;-1,OFFSET(QCI!$O$13,$F99,0),""))</f>
        <v>0</v>
      </c>
      <c r="T98" s="196" t="s">
        <v>786</v>
      </c>
      <c r="U98" s="189" cm="1">
        <f t="array" aca="1" ref="U98" ca="1">IF(AND($R98=2,ACOMPANHAMENTO="BM"),ROUND(U99,4),U100/$S98)</f>
        <v>0.2</v>
      </c>
      <c r="V98" s="189" cm="1">
        <f t="array" aca="1" ref="V98" ca="1">IF(AND($R98=2,ACOMPANHAMENTO="BM"),ROUND(V99,4),V100/$S98)</f>
        <v>0.1</v>
      </c>
      <c r="W98" s="189" cm="1">
        <f t="array" aca="1" ref="W98" ca="1">IF(AND($R98=2,ACOMPANHAMENTO="BM"),ROUND(W99,4),W100/$S98)</f>
        <v>0.1</v>
      </c>
      <c r="X98" s="189" cm="1">
        <f t="array" aca="1" ref="X98" ca="1">IF(AND($R98=2,ACOMPANHAMENTO="BM"),ROUND(X99,4),X100/$S98)</f>
        <v>0.1</v>
      </c>
      <c r="Y98" s="189" cm="1">
        <f t="array" aca="1" ref="Y98" ca="1">IF(AND($R98=2,ACOMPANHAMENTO="BM"),ROUND(Y99,4),Y100/$S98)</f>
        <v>0.1</v>
      </c>
      <c r="Z98" s="189" cm="1">
        <f t="array" aca="1" ref="Z98" ca="1">IF(AND($R98=2,ACOMPANHAMENTO="BM"),ROUND(Z99,4),Z100/$S98)</f>
        <v>0.1</v>
      </c>
      <c r="AA98" s="189" cm="1">
        <f t="array" aca="1" ref="AA98" ca="1">IF(AND($R98=2,ACOMPANHAMENTO="BM"),ROUND(AA99,4),AA100/$S98)</f>
        <v>0.1</v>
      </c>
      <c r="AB98" s="189" cm="1">
        <f t="array" aca="1" ref="AB98" ca="1">IF(AND($R98=2,ACOMPANHAMENTO="BM"),ROUND(AB99,4),AB100/$S98)</f>
        <v>0.2</v>
      </c>
      <c r="AC98" s="189" cm="1">
        <f t="array" aca="1" ref="AC98" ca="1">IF(AND($R98=2,ACOMPANHAMENTO="BM"),ROUND(AC99,4),AC100/$S98)</f>
        <v>0</v>
      </c>
      <c r="AD98" s="189" cm="1">
        <f t="array" aca="1" ref="AD98" ca="1">IF(AND($R98=2,ACOMPANHAMENTO="BM"),ROUND(AD99,4),AD100/$S98)</f>
        <v>0</v>
      </c>
      <c r="AE98" s="189" cm="1">
        <f t="array" aca="1" ref="AE98" ca="1">IF(AND($R98=2,ACOMPANHAMENTO="BM"),ROUND(AE99,4),AE100/$S98)</f>
        <v>0</v>
      </c>
      <c r="AF98" s="189" cm="1">
        <f t="array" aca="1" ref="AF98" ca="1">IF(AND($R98=2,ACOMPANHAMENTO="BM"),ROUND(AF99,4),AF100/$S98)</f>
        <v>0</v>
      </c>
      <c r="AG98" s="535"/>
    </row>
    <row r="99" spans="1:33" ht="12.75" customHeight="1" x14ac:dyDescent="0.2">
      <c r="E99" s="588"/>
      <c r="F99" s="186">
        <f ca="1">IF(ISERROR(F98),IF(1+COUNTIF($M$13:OFFSET(M98,-1,0),1)&lt;=MAX(QCI!$D$13:$D$15),1+COUNTIF($M$13:OFFSET(M98,-1,0),1),-1),0)</f>
        <v>0</v>
      </c>
      <c r="G99" s="186" t="str" cm="1">
        <f t="array" aca="1" ref="G99" ca="1">IF(ACOMPANHAMENTO="BM",OFFSET(G99,-1,0),"")</f>
        <v/>
      </c>
      <c r="H99" s="197" t="str" cm="1">
        <f t="array" aca="1" ref="H99" ca="1">IF(OR(S98=0,S98=""),"vazia",IF(AND(OR(ACOMPANHAMENTO="PLE",$R98&lt;&gt;2),$F99=0),"calculada","--&gt;"))</f>
        <v>vazia</v>
      </c>
      <c r="I99" s="198"/>
      <c r="J99" s="199" t="str">
        <f t="shared" ref="J99" ca="1" si="174">IF(AND(H98&lt;&gt;0,ISNUMBER(H98)),"PREENCHA ESTA LINHA --&gt;","")</f>
        <v/>
      </c>
      <c r="K99" s="199"/>
      <c r="L99" s="199"/>
      <c r="M99" s="200"/>
      <c r="N99" s="200"/>
      <c r="O99" s="200"/>
      <c r="P99" s="200"/>
      <c r="Q99" s="200"/>
      <c r="R99" s="200"/>
      <c r="S99" s="201"/>
      <c r="T99" s="202"/>
      <c r="U99" s="588">
        <v>0.2</v>
      </c>
      <c r="V99" s="588">
        <v>0.1</v>
      </c>
      <c r="W99" s="588">
        <v>0.1</v>
      </c>
      <c r="X99" s="588">
        <v>0.1</v>
      </c>
      <c r="Y99" s="588">
        <v>0.1</v>
      </c>
      <c r="Z99" s="588">
        <v>0.1</v>
      </c>
      <c r="AA99" s="588">
        <v>0.1</v>
      </c>
      <c r="AB99" s="588">
        <v>0.2</v>
      </c>
      <c r="AC99" s="588"/>
      <c r="AD99" s="588"/>
      <c r="AE99" s="588"/>
      <c r="AF99" s="588"/>
      <c r="AG99" s="535"/>
    </row>
    <row r="100" spans="1:33" ht="12.75" hidden="1" customHeight="1" x14ac:dyDescent="0.2">
      <c r="D100" s="534"/>
      <c r="E100" s="203" cm="1">
        <f t="array" aca="1" ref="E100" ca="1">IF($R98=2,
         IF(AND(ACOMPANHAMENTO="PLE",ISNUMBER($F98)),
                SUMIF((OFFSET(CÁLCULO!$AM$15:$AW$15,$F98,0,OFFSET(ORÇAMENTO!$D$15,CRONO!$F98,0))),CRONO!E$12,OFFSET(CÁLCULO!$AB$15:$AL$15,$F98,0,OFFSET(ORÇAMENTO!$D$15,CRONO!$F98,0)))
                +IF(AND($F100&lt;&gt;"",$F100&lt;&gt;0),
                        SUMIF(CÁLCULO!$AM$15:$AW$231,CRONO!E$12,CÁLCULO!$AB$15:$AL$231)/(ORÇAMENTO!$X$15-_xlfn.SINGLE(CÁLCULO.TotalAdmLocal))*CRONO!$F100,
                        0),
                 E99*$S98),
          SUMIF(OFFSET($S100,1,0,$R98-2),($M98+1)&amp;"$",OFFSET(E100,1,0,$R98-2)))</f>
        <v>0</v>
      </c>
      <c r="F100" s="186" t="str">
        <f ca="1">IF(OR($R98&lt;&gt;2,AUTOEVENTO&lt;&gt;"manual",$F99&gt;0),"",
        IF(Import.TipoArredondamento="Tradicional",
              SUMIF(OFFSET(CÁLCULO!$M$15,CRONO!$F98,0,OFFSET(ORÇAMENTO!$D$15,CRONO!$F98,0)),1,OFFSET(ORÇAMENTO!$X$15,CRONO!$F98,0,OFFSET(ORÇAMENTO!$D$15,CRONO!$F98,0))),
              0))</f>
        <v/>
      </c>
      <c r="H100" s="672"/>
      <c r="S100" s="205" t="str">
        <f t="shared" ref="S100" ca="1" si="175">M98&amp;"$"</f>
        <v>2$</v>
      </c>
      <c r="T100" s="206"/>
      <c r="U100" s="203" cm="1">
        <f t="array" aca="1" ref="U100" ca="1">IF($R98=2,
         IF(AND(ACOMPANHAMENTO="PLE",ISNUMBER($F98)),
                SUMIF((OFFSET(CÁLCULO!$AM$15:$AW$15,$F98,0,OFFSET(ORÇAMENTO!$D$15,CRONO!$F98,0))),CRONO!U$12,OFFSET(CÁLCULO!$AB$15:$AL$15,$F98,0,OFFSET(ORÇAMENTO!$D$15,CRONO!$F98,0)))
                +IF(AND($F100&lt;&gt;"",$F100&lt;&gt;0),
                        SUMIF(CÁLCULO!$AM$15:$AW$231,CRONO!U$12,CÁLCULO!$AB$15:$AL$231)/(ORÇAMENTO!$X$15-_xlfn.SINGLE(CÁLCULO.TotalAdmLocal))*CRONO!$F100,
                        0),
                 U99*$S98),
          SUMIF(OFFSET($S100,1,0,$R98-2),($M98+1)&amp;"$",OFFSET(U100,1,0,$R98-2)))</f>
        <v>0</v>
      </c>
      <c r="V100" s="203" cm="1">
        <f t="array" aca="1" ref="V100" ca="1">IF($R98=2,
         IF(AND(ACOMPANHAMENTO="PLE",ISNUMBER($F98)),
                SUMIF((OFFSET(CÁLCULO!$AM$15:$AW$15,$F98,0,OFFSET(ORÇAMENTO!$D$15,CRONO!$F98,0))),CRONO!V$12,OFFSET(CÁLCULO!$AB$15:$AL$15,$F98,0,OFFSET(ORÇAMENTO!$D$15,CRONO!$F98,0)))
                +IF(AND($F100&lt;&gt;"",$F100&lt;&gt;0),
                        SUMIF(CÁLCULO!$AM$15:$AW$231,CRONO!V$12,CÁLCULO!$AB$15:$AL$231)/(ORÇAMENTO!$X$15-_xlfn.SINGLE(CÁLCULO.TotalAdmLocal))*CRONO!$F100,
                        0),
                 V99*$S98),
          SUMIF(OFFSET($S100,1,0,$R98-2),($M98+1)&amp;"$",OFFSET(V100,1,0,$R98-2)))</f>
        <v>0</v>
      </c>
      <c r="W100" s="203" cm="1">
        <f t="array" aca="1" ref="W100" ca="1">IF($R98=2,
         IF(AND(ACOMPANHAMENTO="PLE",ISNUMBER($F98)),
                SUMIF((OFFSET(CÁLCULO!$AM$15:$AW$15,$F98,0,OFFSET(ORÇAMENTO!$D$15,CRONO!$F98,0))),CRONO!W$12,OFFSET(CÁLCULO!$AB$15:$AL$15,$F98,0,OFFSET(ORÇAMENTO!$D$15,CRONO!$F98,0)))
                +IF(AND($F100&lt;&gt;"",$F100&lt;&gt;0),
                        SUMIF(CÁLCULO!$AM$15:$AW$231,CRONO!W$12,CÁLCULO!$AB$15:$AL$231)/(ORÇAMENTO!$X$15-_xlfn.SINGLE(CÁLCULO.TotalAdmLocal))*CRONO!$F100,
                        0),
                 W99*$S98),
          SUMIF(OFFSET($S100,1,0,$R98-2),($M98+1)&amp;"$",OFFSET(W100,1,0,$R98-2)))</f>
        <v>0</v>
      </c>
      <c r="X100" s="203" cm="1">
        <f t="array" aca="1" ref="X100" ca="1">IF($R98=2,
         IF(AND(ACOMPANHAMENTO="PLE",ISNUMBER($F98)),
                SUMIF((OFFSET(CÁLCULO!$AM$15:$AW$15,$F98,0,OFFSET(ORÇAMENTO!$D$15,CRONO!$F98,0))),CRONO!X$12,OFFSET(CÁLCULO!$AB$15:$AL$15,$F98,0,OFFSET(ORÇAMENTO!$D$15,CRONO!$F98,0)))
                +IF(AND($F100&lt;&gt;"",$F100&lt;&gt;0),
                        SUMIF(CÁLCULO!$AM$15:$AW$231,CRONO!X$12,CÁLCULO!$AB$15:$AL$231)/(ORÇAMENTO!$X$15-_xlfn.SINGLE(CÁLCULO.TotalAdmLocal))*CRONO!$F100,
                        0),
                 X99*$S98),
          SUMIF(OFFSET($S100,1,0,$R98-2),($M98+1)&amp;"$",OFFSET(X100,1,0,$R98-2)))</f>
        <v>0</v>
      </c>
      <c r="Y100" s="203" cm="1">
        <f t="array" aca="1" ref="Y100" ca="1">IF($R98=2,
         IF(AND(ACOMPANHAMENTO="PLE",ISNUMBER($F98)),
                SUMIF((OFFSET(CÁLCULO!$AM$15:$AW$15,$F98,0,OFFSET(ORÇAMENTO!$D$15,CRONO!$F98,0))),CRONO!Y$12,OFFSET(CÁLCULO!$AB$15:$AL$15,$F98,0,OFFSET(ORÇAMENTO!$D$15,CRONO!$F98,0)))
                +IF(AND($F100&lt;&gt;"",$F100&lt;&gt;0),
                        SUMIF(CÁLCULO!$AM$15:$AW$231,CRONO!Y$12,CÁLCULO!$AB$15:$AL$231)/(ORÇAMENTO!$X$15-_xlfn.SINGLE(CÁLCULO.TotalAdmLocal))*CRONO!$F100,
                        0),
                 Y99*$S98),
          SUMIF(OFFSET($S100,1,0,$R98-2),($M98+1)&amp;"$",OFFSET(Y100,1,0,$R98-2)))</f>
        <v>0</v>
      </c>
      <c r="Z100" s="203" cm="1">
        <f t="array" aca="1" ref="Z100" ca="1">IF($R98=2,
         IF(AND(ACOMPANHAMENTO="PLE",ISNUMBER($F98)),
                SUMIF((OFFSET(CÁLCULO!$AM$15:$AW$15,$F98,0,OFFSET(ORÇAMENTO!$D$15,CRONO!$F98,0))),CRONO!Z$12,OFFSET(CÁLCULO!$AB$15:$AL$15,$F98,0,OFFSET(ORÇAMENTO!$D$15,CRONO!$F98,0)))
                +IF(AND($F100&lt;&gt;"",$F100&lt;&gt;0),
                        SUMIF(CÁLCULO!$AM$15:$AW$231,CRONO!Z$12,CÁLCULO!$AB$15:$AL$231)/(ORÇAMENTO!$X$15-_xlfn.SINGLE(CÁLCULO.TotalAdmLocal))*CRONO!$F100,
                        0),
                 Z99*$S98),
          SUMIF(OFFSET($S100,1,0,$R98-2),($M98+1)&amp;"$",OFFSET(Z100,1,0,$R98-2)))</f>
        <v>0</v>
      </c>
      <c r="AA100" s="203" cm="1">
        <f t="array" aca="1" ref="AA100" ca="1">IF($R98=2,
         IF(AND(ACOMPANHAMENTO="PLE",ISNUMBER($F98)),
                SUMIF((OFFSET(CÁLCULO!$AM$15:$AW$15,$F98,0,OFFSET(ORÇAMENTO!$D$15,CRONO!$F98,0))),CRONO!AA$12,OFFSET(CÁLCULO!$AB$15:$AL$15,$F98,0,OFFSET(ORÇAMENTO!$D$15,CRONO!$F98,0)))
                +IF(AND($F100&lt;&gt;"",$F100&lt;&gt;0),
                        SUMIF(CÁLCULO!$AM$15:$AW$231,CRONO!AA$12,CÁLCULO!$AB$15:$AL$231)/(ORÇAMENTO!$X$15-_xlfn.SINGLE(CÁLCULO.TotalAdmLocal))*CRONO!$F100,
                        0),
                 AA99*$S98),
          SUMIF(OFFSET($S100,1,0,$R98-2),($M98+1)&amp;"$",OFFSET(AA100,1,0,$R98-2)))</f>
        <v>0</v>
      </c>
      <c r="AB100" s="203" cm="1">
        <f t="array" aca="1" ref="AB100" ca="1">IF($R98=2,
         IF(AND(ACOMPANHAMENTO="PLE",ISNUMBER($F98)),
                SUMIF((OFFSET(CÁLCULO!$AM$15:$AW$15,$F98,0,OFFSET(ORÇAMENTO!$D$15,CRONO!$F98,0))),CRONO!AB$12,OFFSET(CÁLCULO!$AB$15:$AL$15,$F98,0,OFFSET(ORÇAMENTO!$D$15,CRONO!$F98,0)))
                +IF(AND($F100&lt;&gt;"",$F100&lt;&gt;0),
                        SUMIF(CÁLCULO!$AM$15:$AW$231,CRONO!AB$12,CÁLCULO!$AB$15:$AL$231)/(ORÇAMENTO!$X$15-_xlfn.SINGLE(CÁLCULO.TotalAdmLocal))*CRONO!$F100,
                        0),
                 AB99*$S98),
          SUMIF(OFFSET($S100,1,0,$R98-2),($M98+1)&amp;"$",OFFSET(AB100,1,0,$R98-2)))</f>
        <v>0</v>
      </c>
      <c r="AC100" s="203" cm="1">
        <f t="array" aca="1" ref="AC100" ca="1">IF($R98=2,
         IF(AND(ACOMPANHAMENTO="PLE",ISNUMBER($F98)),
                SUMIF((OFFSET(CÁLCULO!$AM$15:$AW$15,$F98,0,OFFSET(ORÇAMENTO!$D$15,CRONO!$F98,0))),CRONO!AC$12,OFFSET(CÁLCULO!$AB$15:$AL$15,$F98,0,OFFSET(ORÇAMENTO!$D$15,CRONO!$F98,0)))
                +IF(AND($F100&lt;&gt;"",$F100&lt;&gt;0),
                        SUMIF(CÁLCULO!$AM$15:$AW$231,CRONO!AC$12,CÁLCULO!$AB$15:$AL$231)/(ORÇAMENTO!$X$15-_xlfn.SINGLE(CÁLCULO.TotalAdmLocal))*CRONO!$F100,
                        0),
                 AC99*$S98),
          SUMIF(OFFSET($S100,1,0,$R98-2),($M98+1)&amp;"$",OFFSET(AC100,1,0,$R98-2)))</f>
        <v>0</v>
      </c>
      <c r="AD100" s="203" cm="1">
        <f t="array" aca="1" ref="AD100" ca="1">IF($R98=2,
         IF(AND(ACOMPANHAMENTO="PLE",ISNUMBER($F98)),
                SUMIF((OFFSET(CÁLCULO!$AM$15:$AW$15,$F98,0,OFFSET(ORÇAMENTO!$D$15,CRONO!$F98,0))),CRONO!AD$12,OFFSET(CÁLCULO!$AB$15:$AL$15,$F98,0,OFFSET(ORÇAMENTO!$D$15,CRONO!$F98,0)))
                +IF(AND($F100&lt;&gt;"",$F100&lt;&gt;0),
                        SUMIF(CÁLCULO!$AM$15:$AW$231,CRONO!AD$12,CÁLCULO!$AB$15:$AL$231)/(ORÇAMENTO!$X$15-_xlfn.SINGLE(CÁLCULO.TotalAdmLocal))*CRONO!$F100,
                        0),
                 AD99*$S98),
          SUMIF(OFFSET($S100,1,0,$R98-2),($M98+1)&amp;"$",OFFSET(AD100,1,0,$R98-2)))</f>
        <v>0</v>
      </c>
      <c r="AE100" s="203" cm="1">
        <f t="array" aca="1" ref="AE100" ca="1">IF($R98=2,
         IF(AND(ACOMPANHAMENTO="PLE",ISNUMBER($F98)),
                SUMIF((OFFSET(CÁLCULO!$AM$15:$AW$15,$F98,0,OFFSET(ORÇAMENTO!$D$15,CRONO!$F98,0))),CRONO!AE$12,OFFSET(CÁLCULO!$AB$15:$AL$15,$F98,0,OFFSET(ORÇAMENTO!$D$15,CRONO!$F98,0)))
                +IF(AND($F100&lt;&gt;"",$F100&lt;&gt;0),
                        SUMIF(CÁLCULO!$AM$15:$AW$231,CRONO!AE$12,CÁLCULO!$AB$15:$AL$231)/(ORÇAMENTO!$X$15-_xlfn.SINGLE(CÁLCULO.TotalAdmLocal))*CRONO!$F100,
                        0),
                 AE99*$S98),
          SUMIF(OFFSET($S100,1,0,$R98-2),($M98+1)&amp;"$",OFFSET(AE100,1,0,$R98-2)))</f>
        <v>0</v>
      </c>
      <c r="AF100" s="203" cm="1">
        <f t="array" aca="1" ref="AF100" ca="1">IF($R98=2,
         IF(AND(ACOMPANHAMENTO="PLE",ISNUMBER($F98)),
                SUMIF((OFFSET(CÁLCULO!$AM$15:$AW$15,$F98,0,OFFSET(ORÇAMENTO!$D$15,CRONO!$F98,0))),CRONO!AF$12,OFFSET(CÁLCULO!$AB$15:$AL$15,$F98,0,OFFSET(ORÇAMENTO!$D$15,CRONO!$F98,0)))
                +IF(AND($F100&lt;&gt;"",$F100&lt;&gt;0),
                        SUMIF(CÁLCULO!$AM$15:$AW$231,CRONO!AF$12,CÁLCULO!$AB$15:$AL$231)/(ORÇAMENTO!$X$15-_xlfn.SINGLE(CÁLCULO.TotalAdmLocal))*CRONO!$F100,
                        0),
                 AF99*$S98),
          SUMIF(OFFSET($S100,1,0,$R98-2),($M98+1)&amp;"$",OFFSET(AF100,1,0,$R98-2)))</f>
        <v>0</v>
      </c>
      <c r="AG100" s="535"/>
    </row>
    <row r="101" spans="1:33" ht="5.0999999999999996" customHeight="1" x14ac:dyDescent="0.2">
      <c r="E101" s="641"/>
      <c r="G101" s="186" t="s">
        <v>537</v>
      </c>
      <c r="H101" s="433"/>
      <c r="I101" s="642"/>
      <c r="J101" s="643"/>
      <c r="K101" s="643"/>
      <c r="L101" s="643"/>
      <c r="M101" s="644" t="s">
        <v>798</v>
      </c>
      <c r="N101" s="644"/>
      <c r="O101" s="644"/>
      <c r="P101" s="644"/>
      <c r="Q101" s="644"/>
      <c r="R101" s="644"/>
      <c r="S101" s="645"/>
      <c r="T101" s="645"/>
      <c r="U101" s="643"/>
      <c r="V101" s="643"/>
      <c r="W101" s="643"/>
      <c r="X101" s="643"/>
      <c r="Y101" s="643"/>
      <c r="Z101" s="643"/>
      <c r="AA101" s="643"/>
      <c r="AB101" s="643"/>
      <c r="AC101" s="643"/>
      <c r="AD101" s="643"/>
      <c r="AE101" s="643"/>
      <c r="AF101" s="643"/>
      <c r="AG101" s="535"/>
    </row>
    <row r="102" spans="1:33" ht="12.75" customHeight="1" x14ac:dyDescent="0.2">
      <c r="E102" s="529" t="e">
        <f ca="1">E106/$R$102</f>
        <v>#DIV/0!</v>
      </c>
      <c r="G102" s="186" t="s">
        <v>537</v>
      </c>
      <c r="I102" s="823" t="str">
        <f ca="1">"Total:    R$ "&amp;TEXT(R102,"#.##0,00")</f>
        <v>Total:    R$ 0,00</v>
      </c>
      <c r="J102" s="823"/>
      <c r="K102" s="823"/>
      <c r="L102" s="228"/>
      <c r="R102" s="229">
        <f ca="1">SUMIF(M12:M101,1,S12:S101)</f>
        <v>0</v>
      </c>
      <c r="S102" s="230"/>
      <c r="T102" s="231" t="s">
        <v>799</v>
      </c>
      <c r="U102" s="529" t="e">
        <f t="shared" ref="U102:AF102" ca="1" si="176">ROUND(U106,2)/$R$102</f>
        <v>#DIV/0!</v>
      </c>
      <c r="V102" s="529" t="e">
        <f t="shared" ca="1" si="176"/>
        <v>#DIV/0!</v>
      </c>
      <c r="W102" s="529" t="e">
        <f t="shared" ca="1" si="176"/>
        <v>#DIV/0!</v>
      </c>
      <c r="X102" s="529" t="e">
        <f t="shared" ca="1" si="176"/>
        <v>#DIV/0!</v>
      </c>
      <c r="Y102" s="529" t="e">
        <f t="shared" ca="1" si="176"/>
        <v>#DIV/0!</v>
      </c>
      <c r="Z102" s="529" t="e">
        <f t="shared" ca="1" si="176"/>
        <v>#DIV/0!</v>
      </c>
      <c r="AA102" s="529" t="e">
        <f t="shared" ca="1" si="176"/>
        <v>#DIV/0!</v>
      </c>
      <c r="AB102" s="529" t="e">
        <f t="shared" ca="1" si="176"/>
        <v>#DIV/0!</v>
      </c>
      <c r="AC102" s="529" t="e">
        <f t="shared" ca="1" si="176"/>
        <v>#DIV/0!</v>
      </c>
      <c r="AD102" s="529" t="e">
        <f t="shared" ca="1" si="176"/>
        <v>#DIV/0!</v>
      </c>
      <c r="AE102" s="529" t="e">
        <f t="shared" ca="1" si="176"/>
        <v>#DIV/0!</v>
      </c>
      <c r="AF102" s="540" t="e">
        <f t="shared" ca="1" si="176"/>
        <v>#DIV/0!</v>
      </c>
      <c r="AG102" s="535"/>
    </row>
    <row r="103" spans="1:33" ht="15" customHeight="1" x14ac:dyDescent="0.2">
      <c r="E103" s="232">
        <f ca="1">IF(E$12=1,ROUND(E108,2),ROUND(E108,2)-ROUND(D108,2))</f>
        <v>0</v>
      </c>
      <c r="G103" s="186" t="s">
        <v>537</v>
      </c>
      <c r="I103" s="823"/>
      <c r="J103" s="823"/>
      <c r="K103" s="823"/>
      <c r="L103" s="233"/>
      <c r="R103" s="229"/>
      <c r="S103" s="234"/>
      <c r="T103" s="235" t="str">
        <f>IF(import.recurso="FGTS","Financiamento:","Repasse:")</f>
        <v>Financiamento:</v>
      </c>
      <c r="U103" s="232">
        <f t="shared" ref="U103:AF103" ca="1" si="177">IF(U$12=1,ROUND(U108,2),ROUND(U108,2)-ROUND(T108,2))</f>
        <v>0</v>
      </c>
      <c r="V103" s="232">
        <f t="shared" ca="1" si="177"/>
        <v>0</v>
      </c>
      <c r="W103" s="232">
        <f t="shared" ca="1" si="177"/>
        <v>0</v>
      </c>
      <c r="X103" s="232">
        <f t="shared" ca="1" si="177"/>
        <v>0</v>
      </c>
      <c r="Y103" s="232">
        <f t="shared" ca="1" si="177"/>
        <v>0</v>
      </c>
      <c r="Z103" s="232">
        <f t="shared" ca="1" si="177"/>
        <v>0</v>
      </c>
      <c r="AA103" s="232">
        <f t="shared" ca="1" si="177"/>
        <v>0</v>
      </c>
      <c r="AB103" s="232">
        <f t="shared" ca="1" si="177"/>
        <v>0</v>
      </c>
      <c r="AC103" s="232">
        <f t="shared" ca="1" si="177"/>
        <v>0</v>
      </c>
      <c r="AD103" s="232">
        <f t="shared" ca="1" si="177"/>
        <v>0</v>
      </c>
      <c r="AE103" s="232">
        <f t="shared" ca="1" si="177"/>
        <v>0</v>
      </c>
      <c r="AF103" s="232">
        <f t="shared" ca="1" si="177"/>
        <v>0</v>
      </c>
      <c r="AG103" s="535"/>
    </row>
    <row r="104" spans="1:33" ht="12.75" customHeight="1" x14ac:dyDescent="0.2">
      <c r="E104" s="530">
        <f ca="1">IF(E$12=1,ROUND(E109,2),ROUND(E109,2)-ROUND(D109,2))</f>
        <v>0</v>
      </c>
      <c r="G104" s="186" t="s">
        <v>537</v>
      </c>
      <c r="I104" s="236"/>
      <c r="L104" s="237" t="s">
        <v>800</v>
      </c>
      <c r="R104" s="229"/>
      <c r="S104" s="238"/>
      <c r="T104" s="239" t="s">
        <v>801</v>
      </c>
      <c r="U104" s="530">
        <f t="shared" ref="U104:AF104" ca="1" si="178">IF(U$12=1,ROUND(U109,2),ROUND(U109,2)-ROUND(T109,2))</f>
        <v>0</v>
      </c>
      <c r="V104" s="530">
        <f t="shared" ca="1" si="178"/>
        <v>0</v>
      </c>
      <c r="W104" s="530">
        <f t="shared" ca="1" si="178"/>
        <v>0</v>
      </c>
      <c r="X104" s="530">
        <f t="shared" ca="1" si="178"/>
        <v>0</v>
      </c>
      <c r="Y104" s="530">
        <f t="shared" ca="1" si="178"/>
        <v>0</v>
      </c>
      <c r="Z104" s="530">
        <f t="shared" ca="1" si="178"/>
        <v>0</v>
      </c>
      <c r="AA104" s="530">
        <f t="shared" ca="1" si="178"/>
        <v>0</v>
      </c>
      <c r="AB104" s="530">
        <f t="shared" ca="1" si="178"/>
        <v>0</v>
      </c>
      <c r="AC104" s="530">
        <f t="shared" ca="1" si="178"/>
        <v>0</v>
      </c>
      <c r="AD104" s="530">
        <f t="shared" ca="1" si="178"/>
        <v>0</v>
      </c>
      <c r="AE104" s="530">
        <f t="shared" ca="1" si="178"/>
        <v>0</v>
      </c>
      <c r="AF104" s="530">
        <f t="shared" ca="1" si="178"/>
        <v>0</v>
      </c>
      <c r="AG104" s="535"/>
    </row>
    <row r="105" spans="1:33" x14ac:dyDescent="0.2">
      <c r="E105" s="240">
        <f ca="1">IF(E$12=1,ROUND(E110,2),ROUND(E110,2)-ROUND(D110,2))</f>
        <v>0</v>
      </c>
      <c r="G105" s="186" t="s">
        <v>537</v>
      </c>
      <c r="I105" s="236"/>
      <c r="L105" s="237"/>
      <c r="R105" s="229"/>
      <c r="S105" s="241"/>
      <c r="T105" s="242" t="s">
        <v>802</v>
      </c>
      <c r="U105" s="240">
        <f t="shared" ref="U105:AF105" ca="1" si="179">IF(U$12=1,ROUND(U110,2),ROUND(U110,2)-ROUND(T110,2))</f>
        <v>0</v>
      </c>
      <c r="V105" s="240">
        <f t="shared" ca="1" si="179"/>
        <v>0</v>
      </c>
      <c r="W105" s="240">
        <f t="shared" ca="1" si="179"/>
        <v>0</v>
      </c>
      <c r="X105" s="240">
        <f t="shared" ca="1" si="179"/>
        <v>0</v>
      </c>
      <c r="Y105" s="240">
        <f t="shared" ca="1" si="179"/>
        <v>0</v>
      </c>
      <c r="Z105" s="240">
        <f t="shared" ca="1" si="179"/>
        <v>0</v>
      </c>
      <c r="AA105" s="240">
        <f t="shared" ca="1" si="179"/>
        <v>0</v>
      </c>
      <c r="AB105" s="240">
        <f t="shared" ca="1" si="179"/>
        <v>0</v>
      </c>
      <c r="AC105" s="240">
        <f t="shared" ca="1" si="179"/>
        <v>0</v>
      </c>
      <c r="AD105" s="240">
        <f t="shared" ca="1" si="179"/>
        <v>0</v>
      </c>
      <c r="AE105" s="240">
        <f t="shared" ca="1" si="179"/>
        <v>0</v>
      </c>
      <c r="AF105" s="240">
        <f t="shared" ca="1" si="179"/>
        <v>0</v>
      </c>
      <c r="AG105" s="535"/>
    </row>
    <row r="106" spans="1:33" x14ac:dyDescent="0.2">
      <c r="E106" s="531">
        <f ca="1">IF(E$12=1,ROUND(E111,2),ROUND(E111,2)-ROUND(D111,2))</f>
        <v>0</v>
      </c>
      <c r="G106" s="186" t="s">
        <v>537</v>
      </c>
      <c r="H106" s="537"/>
      <c r="L106" s="243"/>
      <c r="S106" s="244"/>
      <c r="T106" s="245" t="s">
        <v>803</v>
      </c>
      <c r="U106" s="531">
        <f t="shared" ref="U106:AF106" ca="1" si="180">IF(U$12=1,ROUND(U111,2),ROUND(U111,2)-ROUND(T111,2))</f>
        <v>0</v>
      </c>
      <c r="V106" s="531">
        <f t="shared" ca="1" si="180"/>
        <v>0</v>
      </c>
      <c r="W106" s="531">
        <f t="shared" ca="1" si="180"/>
        <v>0</v>
      </c>
      <c r="X106" s="531">
        <f t="shared" ca="1" si="180"/>
        <v>0</v>
      </c>
      <c r="Y106" s="531">
        <f t="shared" ca="1" si="180"/>
        <v>0</v>
      </c>
      <c r="Z106" s="531">
        <f t="shared" ca="1" si="180"/>
        <v>0</v>
      </c>
      <c r="AA106" s="531">
        <f t="shared" ca="1" si="180"/>
        <v>0</v>
      </c>
      <c r="AB106" s="531">
        <f t="shared" ca="1" si="180"/>
        <v>0</v>
      </c>
      <c r="AC106" s="531">
        <f t="shared" ca="1" si="180"/>
        <v>0</v>
      </c>
      <c r="AD106" s="531">
        <f t="shared" ca="1" si="180"/>
        <v>0</v>
      </c>
      <c r="AE106" s="531">
        <f t="shared" ca="1" si="180"/>
        <v>0</v>
      </c>
      <c r="AF106" s="531">
        <f t="shared" ca="1" si="180"/>
        <v>0</v>
      </c>
      <c r="AG106" s="535"/>
    </row>
    <row r="107" spans="1:33" x14ac:dyDescent="0.2">
      <c r="E107" s="529" t="e">
        <f ca="1">ROUND(ROUND(E111,2)/$R$102,4)</f>
        <v>#DIV/0!</v>
      </c>
      <c r="G107" s="186" t="s">
        <v>537</v>
      </c>
      <c r="L107" s="228"/>
      <c r="S107" s="230"/>
      <c r="T107" s="231" t="s">
        <v>799</v>
      </c>
      <c r="U107" s="529" t="e">
        <f t="shared" ref="U107:AF107" ca="1" si="181">ROUND(ROUND(U111,2)/$R$102,4)</f>
        <v>#DIV/0!</v>
      </c>
      <c r="V107" s="529" t="e">
        <f t="shared" ca="1" si="181"/>
        <v>#DIV/0!</v>
      </c>
      <c r="W107" s="529" t="e">
        <f t="shared" ca="1" si="181"/>
        <v>#DIV/0!</v>
      </c>
      <c r="X107" s="529" t="e">
        <f t="shared" ca="1" si="181"/>
        <v>#DIV/0!</v>
      </c>
      <c r="Y107" s="529" t="e">
        <f t="shared" ca="1" si="181"/>
        <v>#DIV/0!</v>
      </c>
      <c r="Z107" s="529" t="e">
        <f t="shared" ca="1" si="181"/>
        <v>#DIV/0!</v>
      </c>
      <c r="AA107" s="529" t="e">
        <f t="shared" ca="1" si="181"/>
        <v>#DIV/0!</v>
      </c>
      <c r="AB107" s="529" t="e">
        <f t="shared" ca="1" si="181"/>
        <v>#DIV/0!</v>
      </c>
      <c r="AC107" s="529" t="e">
        <f t="shared" ca="1" si="181"/>
        <v>#DIV/0!</v>
      </c>
      <c r="AD107" s="529" t="e">
        <f t="shared" ca="1" si="181"/>
        <v>#DIV/0!</v>
      </c>
      <c r="AE107" s="529" t="e">
        <f t="shared" ca="1" si="181"/>
        <v>#DIV/0!</v>
      </c>
      <c r="AF107" s="529" t="e">
        <f t="shared" ca="1" si="181"/>
        <v>#DIV/0!</v>
      </c>
      <c r="AG107" s="535"/>
    </row>
    <row r="108" spans="1:33" x14ac:dyDescent="0.2">
      <c r="E108" s="232">
        <f ca="1">ROUND(E111-E110-E109,2)</f>
        <v>0</v>
      </c>
      <c r="G108" s="186" t="s">
        <v>537</v>
      </c>
      <c r="L108" s="233"/>
      <c r="S108" s="234"/>
      <c r="T108" s="235" t="str">
        <f>IF(import.recurso="FGTS","Financiamento:","Repasse:")</f>
        <v>Financiamento:</v>
      </c>
      <c r="U108" s="232">
        <f t="shared" ref="U108:AF108" ca="1" si="182">ROUND(U111-U110-U109,2)</f>
        <v>0</v>
      </c>
      <c r="V108" s="232">
        <f t="shared" ca="1" si="182"/>
        <v>0</v>
      </c>
      <c r="W108" s="232">
        <f t="shared" ca="1" si="182"/>
        <v>0</v>
      </c>
      <c r="X108" s="232">
        <f t="shared" ca="1" si="182"/>
        <v>0</v>
      </c>
      <c r="Y108" s="232">
        <f t="shared" ca="1" si="182"/>
        <v>0</v>
      </c>
      <c r="Z108" s="232">
        <f t="shared" ca="1" si="182"/>
        <v>0</v>
      </c>
      <c r="AA108" s="232">
        <f t="shared" ca="1" si="182"/>
        <v>0</v>
      </c>
      <c r="AB108" s="232">
        <f t="shared" ca="1" si="182"/>
        <v>0</v>
      </c>
      <c r="AC108" s="232">
        <f t="shared" ca="1" si="182"/>
        <v>0</v>
      </c>
      <c r="AD108" s="232">
        <f t="shared" ca="1" si="182"/>
        <v>0</v>
      </c>
      <c r="AE108" s="232">
        <f t="shared" ca="1" si="182"/>
        <v>0</v>
      </c>
      <c r="AF108" s="232">
        <f t="shared" ca="1" si="182"/>
        <v>0</v>
      </c>
      <c r="AG108" s="535"/>
    </row>
    <row r="109" spans="1:33" x14ac:dyDescent="0.2">
      <c r="E109" s="530" cm="1">
        <f t="array" aca="1" ref="E109" ca="1">IF(E$12=1,0,OFFSET(E109,0,-1))+SUM((OFFSET($C$13,1,0):OFFSET($C$101,-3,0))*IF(ISNUMBER(OFFSET(E$11,5,0):OFFSET(E$101,-1,0)),OFFSET(E$11,5,0):OFFSET(E$101,-1,0),0))</f>
        <v>0</v>
      </c>
      <c r="G109" s="186" t="s">
        <v>537</v>
      </c>
      <c r="L109" s="237" t="s">
        <v>804</v>
      </c>
      <c r="S109" s="238"/>
      <c r="T109" s="239" t="s">
        <v>801</v>
      </c>
      <c r="U109" s="530" cm="1">
        <f t="array" aca="1" ref="U109" ca="1">IF(U$12=1,0,OFFSET(U109,0,-1))+SUM((OFFSET($C$13,1,0):OFFSET($C$101,-3,0))*IF(ISNUMBER(OFFSET(U$11,5,0):OFFSET(U$101,-1,0)),OFFSET(U$11,5,0):OFFSET(U$101,-1,0),0))</f>
        <v>0</v>
      </c>
      <c r="V109" s="530" cm="1">
        <f t="array" aca="1" ref="V109" ca="1">IF(V$12=1,0,OFFSET(V109,0,-1))+SUM((OFFSET($C$13,1,0):OFFSET($C$101,-3,0))*IF(ISNUMBER(OFFSET(V$11,5,0):OFFSET(V$101,-1,0)),OFFSET(V$11,5,0):OFFSET(V$101,-1,0),0))</f>
        <v>0</v>
      </c>
      <c r="W109" s="530" cm="1">
        <f t="array" aca="1" ref="W109" ca="1">IF(W$12=1,0,OFFSET(W109,0,-1))+SUM((OFFSET($C$13,1,0):OFFSET($C$101,-3,0))*IF(ISNUMBER(OFFSET(W$11,5,0):OFFSET(W$101,-1,0)),OFFSET(W$11,5,0):OFFSET(W$101,-1,0),0))</f>
        <v>0</v>
      </c>
      <c r="X109" s="530" cm="1">
        <f t="array" aca="1" ref="X109" ca="1">IF(X$12=1,0,OFFSET(X109,0,-1))+SUM((OFFSET($C$13,1,0):OFFSET($C$101,-3,0))*IF(ISNUMBER(OFFSET(X$11,5,0):OFFSET(X$101,-1,0)),OFFSET(X$11,5,0):OFFSET(X$101,-1,0),0))</f>
        <v>0</v>
      </c>
      <c r="Y109" s="530" cm="1">
        <f t="array" aca="1" ref="Y109" ca="1">IF(Y$12=1,0,OFFSET(Y109,0,-1))+SUM((OFFSET($C$13,1,0):OFFSET($C$101,-3,0))*IF(ISNUMBER(OFFSET(Y$11,5,0):OFFSET(Y$101,-1,0)),OFFSET(Y$11,5,0):OFFSET(Y$101,-1,0),0))</f>
        <v>0</v>
      </c>
      <c r="Z109" s="530" cm="1">
        <f t="array" aca="1" ref="Z109" ca="1">IF(Z$12=1,0,OFFSET(Z109,0,-1))+SUM((OFFSET($C$13,1,0):OFFSET($C$101,-3,0))*IF(ISNUMBER(OFFSET(Z$11,5,0):OFFSET(Z$101,-1,0)),OFFSET(Z$11,5,0):OFFSET(Z$101,-1,0),0))</f>
        <v>0</v>
      </c>
      <c r="AA109" s="530" cm="1">
        <f t="array" aca="1" ref="AA109" ca="1">IF(AA$12=1,0,OFFSET(AA109,0,-1))+SUM((OFFSET($C$13,1,0):OFFSET($C$101,-3,0))*IF(ISNUMBER(OFFSET(AA$11,5,0):OFFSET(AA$101,-1,0)),OFFSET(AA$11,5,0):OFFSET(AA$101,-1,0),0))</f>
        <v>0</v>
      </c>
      <c r="AB109" s="530" cm="1">
        <f t="array" aca="1" ref="AB109" ca="1">IF(AB$12=1,0,OFFSET(AB109,0,-1))+SUM((OFFSET($C$13,1,0):OFFSET($C$101,-3,0))*IF(ISNUMBER(OFFSET(AB$11,5,0):OFFSET(AB$101,-1,0)),OFFSET(AB$11,5,0):OFFSET(AB$101,-1,0),0))</f>
        <v>0</v>
      </c>
      <c r="AC109" s="530" cm="1">
        <f t="array" aca="1" ref="AC109" ca="1">IF(AC$12=1,0,OFFSET(AC109,0,-1))+SUM((OFFSET($C$13,1,0):OFFSET($C$101,-3,0))*IF(ISNUMBER(OFFSET(AC$11,5,0):OFFSET(AC$101,-1,0)),OFFSET(AC$11,5,0):OFFSET(AC$101,-1,0),0))</f>
        <v>0</v>
      </c>
      <c r="AD109" s="530" cm="1">
        <f t="array" aca="1" ref="AD109" ca="1">IF(AD$12=1,0,OFFSET(AD109,0,-1))+SUM((OFFSET($C$13,1,0):OFFSET($C$101,-3,0))*IF(ISNUMBER(OFFSET(AD$11,5,0):OFFSET(AD$101,-1,0)),OFFSET(AD$11,5,0):OFFSET(AD$101,-1,0),0))</f>
        <v>0</v>
      </c>
      <c r="AE109" s="530" cm="1">
        <f t="array" aca="1" ref="AE109" ca="1">IF(AE$12=1,0,OFFSET(AE109,0,-1))+SUM((OFFSET($C$13,1,0):OFFSET($C$101,-3,0))*IF(ISNUMBER(OFFSET(AE$11,5,0):OFFSET(AE$101,-1,0)),OFFSET(AE$11,5,0):OFFSET(AE$101,-1,0),0))</f>
        <v>0</v>
      </c>
      <c r="AF109" s="530" cm="1">
        <f t="array" aca="1" ref="AF109" ca="1">IF(AF$12=1,0,OFFSET(AF109,0,-1))+SUM((OFFSET($C$13,1,0):OFFSET($C$101,-3,0))*IF(ISNUMBER(OFFSET(AF$11,5,0):OFFSET(AF$101,-1,0)),OFFSET(AF$11,5,0):OFFSET(AF$101,-1,0),0))</f>
        <v>0</v>
      </c>
      <c r="AG109" s="535"/>
    </row>
    <row r="110" spans="1:33" x14ac:dyDescent="0.2">
      <c r="E110" s="240" cm="1">
        <f t="array" aca="1" ref="E110" ca="1">IF(E$12=1,0,OFFSET(E110,0,-1))+SUM((OFFSET($D$13,1,0):OFFSET($D$101,-3,0))*IF(ISNUMBER(OFFSET(E$11,5,0):OFFSET(E$101,-1,0)),OFFSET(E$11,5,0):OFFSET(E$101,-1,0),0))</f>
        <v>0</v>
      </c>
      <c r="G110" s="186" t="s">
        <v>537</v>
      </c>
      <c r="L110" s="237"/>
      <c r="S110" s="241"/>
      <c r="T110" s="242" t="s">
        <v>802</v>
      </c>
      <c r="U110" s="240" cm="1">
        <f t="array" aca="1" ref="U110" ca="1">IF(U$12=1,0,OFFSET(U110,0,-1))+SUM((OFFSET($D$13,1,0):OFFSET($D$101,-3,0))*IF(ISNUMBER(OFFSET(U$11,5,0):OFFSET(U$101,-1,0)),OFFSET(U$11,5,0):OFFSET(U$101,-1,0),0))</f>
        <v>0</v>
      </c>
      <c r="V110" s="240" cm="1">
        <f t="array" aca="1" ref="V110" ca="1">IF(V$12=1,0,OFFSET(V110,0,-1))+SUM((OFFSET($D$13,1,0):OFFSET($D$101,-3,0))*IF(ISNUMBER(OFFSET(V$11,5,0):OFFSET(V$101,-1,0)),OFFSET(V$11,5,0):OFFSET(V$101,-1,0),0))</f>
        <v>0</v>
      </c>
      <c r="W110" s="240" cm="1">
        <f t="array" aca="1" ref="W110" ca="1">IF(W$12=1,0,OFFSET(W110,0,-1))+SUM((OFFSET($D$13,1,0):OFFSET($D$101,-3,0))*IF(ISNUMBER(OFFSET(W$11,5,0):OFFSET(W$101,-1,0)),OFFSET(W$11,5,0):OFFSET(W$101,-1,0),0))</f>
        <v>0</v>
      </c>
      <c r="X110" s="240" cm="1">
        <f t="array" aca="1" ref="X110" ca="1">IF(X$12=1,0,OFFSET(X110,0,-1))+SUM((OFFSET($D$13,1,0):OFFSET($D$101,-3,0))*IF(ISNUMBER(OFFSET(X$11,5,0):OFFSET(X$101,-1,0)),OFFSET(X$11,5,0):OFFSET(X$101,-1,0),0))</f>
        <v>0</v>
      </c>
      <c r="Y110" s="240" cm="1">
        <f t="array" aca="1" ref="Y110" ca="1">IF(Y$12=1,0,OFFSET(Y110,0,-1))+SUM((OFFSET($D$13,1,0):OFFSET($D$101,-3,0))*IF(ISNUMBER(OFFSET(Y$11,5,0):OFFSET(Y$101,-1,0)),OFFSET(Y$11,5,0):OFFSET(Y$101,-1,0),0))</f>
        <v>0</v>
      </c>
      <c r="Z110" s="240" cm="1">
        <f t="array" aca="1" ref="Z110" ca="1">IF(Z$12=1,0,OFFSET(Z110,0,-1))+SUM((OFFSET($D$13,1,0):OFFSET($D$101,-3,0))*IF(ISNUMBER(OFFSET(Z$11,5,0):OFFSET(Z$101,-1,0)),OFFSET(Z$11,5,0):OFFSET(Z$101,-1,0),0))</f>
        <v>0</v>
      </c>
      <c r="AA110" s="240" cm="1">
        <f t="array" aca="1" ref="AA110" ca="1">IF(AA$12=1,0,OFFSET(AA110,0,-1))+SUM((OFFSET($D$13,1,0):OFFSET($D$101,-3,0))*IF(ISNUMBER(OFFSET(AA$11,5,0):OFFSET(AA$101,-1,0)),OFFSET(AA$11,5,0):OFFSET(AA$101,-1,0),0))</f>
        <v>0</v>
      </c>
      <c r="AB110" s="240" cm="1">
        <f t="array" aca="1" ref="AB110" ca="1">IF(AB$12=1,0,OFFSET(AB110,0,-1))+SUM((OFFSET($D$13,1,0):OFFSET($D$101,-3,0))*IF(ISNUMBER(OFFSET(AB$11,5,0):OFFSET(AB$101,-1,0)),OFFSET(AB$11,5,0):OFFSET(AB$101,-1,0),0))</f>
        <v>0</v>
      </c>
      <c r="AC110" s="240" cm="1">
        <f t="array" aca="1" ref="AC110" ca="1">IF(AC$12=1,0,OFFSET(AC110,0,-1))+SUM((OFFSET($D$13,1,0):OFFSET($D$101,-3,0))*IF(ISNUMBER(OFFSET(AC$11,5,0):OFFSET(AC$101,-1,0)),OFFSET(AC$11,5,0):OFFSET(AC$101,-1,0),0))</f>
        <v>0</v>
      </c>
      <c r="AD110" s="240" cm="1">
        <f t="array" aca="1" ref="AD110" ca="1">IF(AD$12=1,0,OFFSET(AD110,0,-1))+SUM((OFFSET($D$13,1,0):OFFSET($D$101,-3,0))*IF(ISNUMBER(OFFSET(AD$11,5,0):OFFSET(AD$101,-1,0)),OFFSET(AD$11,5,0):OFFSET(AD$101,-1,0),0))</f>
        <v>0</v>
      </c>
      <c r="AE110" s="240" cm="1">
        <f t="array" aca="1" ref="AE110" ca="1">IF(AE$12=1,0,OFFSET(AE110,0,-1))+SUM((OFFSET($D$13,1,0):OFFSET($D$101,-3,0))*IF(ISNUMBER(OFFSET(AE$11,5,0):OFFSET(AE$101,-1,0)),OFFSET(AE$11,5,0):OFFSET(AE$101,-1,0),0))</f>
        <v>0</v>
      </c>
      <c r="AF110" s="240" cm="1">
        <f t="array" aca="1" ref="AF110" ca="1">IF(AF$12=1,0,OFFSET(AF110,0,-1))+SUM((OFFSET($D$13,1,0):OFFSET($D$101,-3,0))*IF(ISNUMBER(OFFSET(AF$11,5,0):OFFSET(AF$101,-1,0)),OFFSET(AF$11,5,0):OFFSET(AF$101,-1,0),0))</f>
        <v>0</v>
      </c>
      <c r="AG110" s="535"/>
    </row>
    <row r="111" spans="1:33" ht="13.5" thickBot="1" x14ac:dyDescent="0.25">
      <c r="D111" s="534"/>
      <c r="E111" s="532">
        <f ca="1">SUMIF($S$12:$S$101,"1$",E12:E101)+IF(E$12&gt;1,OFFSET(E111,0,-1),0)</f>
        <v>0</v>
      </c>
      <c r="G111" s="186" t="s">
        <v>537</v>
      </c>
      <c r="H111" s="523" t="str" cm="1">
        <f t="array" ref="H111">IF(ACOMPANHAMENTO="BM","Selecione o Macrosserviço da Administração Local:","")</f>
        <v>Selecione o Macrosserviço da Administração Local:</v>
      </c>
      <c r="I111"/>
      <c r="L111" s="237"/>
      <c r="S111" s="238"/>
      <c r="T111" s="527" t="s">
        <v>803</v>
      </c>
      <c r="U111" s="532">
        <f t="shared" ref="U111:AF111" ca="1" si="183">SUMIF($S$12:$S$101,"1$",U12:U101)+IF(U$12&gt;1,OFFSET(U111,0,-1),0)</f>
        <v>0</v>
      </c>
      <c r="V111" s="532">
        <f t="shared" ca="1" si="183"/>
        <v>0</v>
      </c>
      <c r="W111" s="532">
        <f t="shared" ca="1" si="183"/>
        <v>0</v>
      </c>
      <c r="X111" s="532">
        <f t="shared" ca="1" si="183"/>
        <v>0</v>
      </c>
      <c r="Y111" s="532">
        <f t="shared" ca="1" si="183"/>
        <v>0</v>
      </c>
      <c r="Z111" s="532">
        <f t="shared" ca="1" si="183"/>
        <v>0</v>
      </c>
      <c r="AA111" s="532">
        <f t="shared" ca="1" si="183"/>
        <v>0</v>
      </c>
      <c r="AB111" s="532">
        <f t="shared" ca="1" si="183"/>
        <v>0</v>
      </c>
      <c r="AC111" s="532">
        <f t="shared" ca="1" si="183"/>
        <v>0</v>
      </c>
      <c r="AD111" s="532">
        <f t="shared" ca="1" si="183"/>
        <v>0</v>
      </c>
      <c r="AE111" s="532">
        <f t="shared" ca="1" si="183"/>
        <v>0</v>
      </c>
      <c r="AF111" s="541">
        <f t="shared" ca="1" si="183"/>
        <v>0</v>
      </c>
      <c r="AG111" s="535"/>
    </row>
    <row r="112" spans="1:33" ht="13.5" thickBot="1" x14ac:dyDescent="0.25">
      <c r="D112" s="534"/>
      <c r="E112" s="533" t="str">
        <f ca="1">IF($F$112="","",
  IF(ACOMPANHAMENTO="PLE",
     IF(AUTOEVENTO="Manual",
         IF(AdmLocal="Automática",
              E107,
              SUMIF(OFFSET(CRONOPLE!$F$14,CRONOPLE!$A$8+1,1,1,OFFSET(CRONOPLE!$AF$12,0,-1)),"&lt;="&amp;E$12,OFFSET(EVENTOS!$G$14,CRONOPLE!$A$8+1,1,1,OFFSET(CRONOPLE!$AF$12,0,-1)))/OFFSET(EVENTOS!$G$14,CRONOPLE!$A$8+1,-1)),
         SUMIFS(OFFSET(CÁLCULO!$AA$15,$F$112,1,OFFSET(ORÇAMENTO!$D$15,$F$112,0),CÁLCULO.FrentesPreenchidas),OFFSET(CÁLCULO!$AL$15,$F$112,1,OFFSET(ORÇAMENTO!$D$15,$F$112,0),CÁLCULO.FrentesPreenchidas),"&lt;="&amp;E$12)/OFFSET(ORÇAMENTO!$X$15,$F$112,0)),
     IF(ACOMPANHAMENTO="BM",SUM(OFFSET($T$13,$F$112+2,1,1,E$12))/OFFSET($S$13,$F$112,0),"")))</f>
        <v/>
      </c>
      <c r="F112" s="186" t="str">
        <f>IF(ACOMPANHAMENTO="PLE",
    IF(AUTOEVENTO="Manual",
        IF(AdmLocal="Automática",1,IF(CRONOPLE!$D$8&lt;&gt;"","",MATCH(Import.EventoAdmLocal,EVENTOS!$B$15:$B$65,0))),
        IF(CRONOPLE!$D$8&lt;&gt;"","",CRONOPLE!$A$10)),
    IF($H$113&lt;&gt;"","",MATCH(Import.MacrosserviçoAdmLocal,$A$13:$A$101,0)-1))</f>
        <v/>
      </c>
      <c r="G112" s="186" t="s">
        <v>537</v>
      </c>
      <c r="H112" s="776"/>
      <c r="I112" s="818"/>
      <c r="J112" s="777"/>
      <c r="L112" s="243"/>
      <c r="S112" s="526"/>
      <c r="T112" s="528" t="s">
        <v>805</v>
      </c>
      <c r="U112" s="533" t="str">
        <f ca="1">IF($F$112="","",
  IF(ACOMPANHAMENTO="PLE",
     IF(AUTOEVENTO="Manual",
         IF(AdmLocal="Automática",
              U107,
              SUMIF(OFFSET(CRONOPLE!$F$14,CRONOPLE!$A$8+1,1,1,OFFSET(CRONOPLE!$AF$12,0,-1)),"&lt;="&amp;U$12,OFFSET(EVENTOS!$G$14,CRONOPLE!$A$8+1,1,1,OFFSET(CRONOPLE!$AF$12,0,-1)))/OFFSET(EVENTOS!$G$14,CRONOPLE!$A$8+1,-1)),
         SUMIFS(OFFSET(CÁLCULO!$AA$15,$F$112,1,OFFSET(ORÇAMENTO!$D$15,$F$112,0),CÁLCULO.FrentesPreenchidas),OFFSET(CÁLCULO!$AL$15,$F$112,1,OFFSET(ORÇAMENTO!$D$15,$F$112,0),CÁLCULO.FrentesPreenchidas),"&lt;="&amp;U$12)/OFFSET(ORÇAMENTO!$X$15,$F$112,0)),
     IF(ACOMPANHAMENTO="BM",SUM(OFFSET($T$13,$F$112+2,1,1,U$12))/OFFSET($S$13,$F$112,0),"")))</f>
        <v/>
      </c>
      <c r="V112" s="533" t="str">
        <f ca="1">IF($F$112="","",
  IF(ACOMPANHAMENTO="PLE",
     IF(AUTOEVENTO="Manual",
         IF(AdmLocal="Automática",
              V107,
              SUMIF(OFFSET(CRONOPLE!$F$14,CRONOPLE!$A$8+1,1,1,OFFSET(CRONOPLE!$AF$12,0,-1)),"&lt;="&amp;V$12,OFFSET(EVENTOS!$G$14,CRONOPLE!$A$8+1,1,1,OFFSET(CRONOPLE!$AF$12,0,-1)))/OFFSET(EVENTOS!$G$14,CRONOPLE!$A$8+1,-1)),
         SUMIFS(OFFSET(CÁLCULO!$AA$15,$F$112,1,OFFSET(ORÇAMENTO!$D$15,$F$112,0),CÁLCULO.FrentesPreenchidas),OFFSET(CÁLCULO!$AL$15,$F$112,1,OFFSET(ORÇAMENTO!$D$15,$F$112,0),CÁLCULO.FrentesPreenchidas),"&lt;="&amp;V$12)/OFFSET(ORÇAMENTO!$X$15,$F$112,0)),
     IF(ACOMPANHAMENTO="BM",SUM(OFFSET($T$13,$F$112+2,1,1,V$12))/OFFSET($S$13,$F$112,0),"")))</f>
        <v/>
      </c>
      <c r="W112" s="533" t="str">
        <f ca="1">IF($F$112="","",
  IF(ACOMPANHAMENTO="PLE",
     IF(AUTOEVENTO="Manual",
         IF(AdmLocal="Automática",
              W107,
              SUMIF(OFFSET(CRONOPLE!$F$14,CRONOPLE!$A$8+1,1,1,OFFSET(CRONOPLE!$AF$12,0,-1)),"&lt;="&amp;W$12,OFFSET(EVENTOS!$G$14,CRONOPLE!$A$8+1,1,1,OFFSET(CRONOPLE!$AF$12,0,-1)))/OFFSET(EVENTOS!$G$14,CRONOPLE!$A$8+1,-1)),
         SUMIFS(OFFSET(CÁLCULO!$AA$15,$F$112,1,OFFSET(ORÇAMENTO!$D$15,$F$112,0),CÁLCULO.FrentesPreenchidas),OFFSET(CÁLCULO!$AL$15,$F$112,1,OFFSET(ORÇAMENTO!$D$15,$F$112,0),CÁLCULO.FrentesPreenchidas),"&lt;="&amp;W$12)/OFFSET(ORÇAMENTO!$X$15,$F$112,0)),
     IF(ACOMPANHAMENTO="BM",SUM(OFFSET($T$13,$F$112+2,1,1,W$12))/OFFSET($S$13,$F$112,0),"")))</f>
        <v/>
      </c>
      <c r="X112" s="533" t="str">
        <f ca="1">IF($F$112="","",
  IF(ACOMPANHAMENTO="PLE",
     IF(AUTOEVENTO="Manual",
         IF(AdmLocal="Automática",
              X107,
              SUMIF(OFFSET(CRONOPLE!$F$14,CRONOPLE!$A$8+1,1,1,OFFSET(CRONOPLE!$AF$12,0,-1)),"&lt;="&amp;X$12,OFFSET(EVENTOS!$G$14,CRONOPLE!$A$8+1,1,1,OFFSET(CRONOPLE!$AF$12,0,-1)))/OFFSET(EVENTOS!$G$14,CRONOPLE!$A$8+1,-1)),
         SUMIFS(OFFSET(CÁLCULO!$AA$15,$F$112,1,OFFSET(ORÇAMENTO!$D$15,$F$112,0),CÁLCULO.FrentesPreenchidas),OFFSET(CÁLCULO!$AL$15,$F$112,1,OFFSET(ORÇAMENTO!$D$15,$F$112,0),CÁLCULO.FrentesPreenchidas),"&lt;="&amp;X$12)/OFFSET(ORÇAMENTO!$X$15,$F$112,0)),
     IF(ACOMPANHAMENTO="BM",SUM(OFFSET($T$13,$F$112+2,1,1,X$12))/OFFSET($S$13,$F$112,0),"")))</f>
        <v/>
      </c>
      <c r="Y112" s="533" t="str">
        <f ca="1">IF($F$112="","",
  IF(ACOMPANHAMENTO="PLE",
     IF(AUTOEVENTO="Manual",
         IF(AdmLocal="Automática",
              Y107,
              SUMIF(OFFSET(CRONOPLE!$F$14,CRONOPLE!$A$8+1,1,1,OFFSET(CRONOPLE!$AF$12,0,-1)),"&lt;="&amp;Y$12,OFFSET(EVENTOS!$G$14,CRONOPLE!$A$8+1,1,1,OFFSET(CRONOPLE!$AF$12,0,-1)))/OFFSET(EVENTOS!$G$14,CRONOPLE!$A$8+1,-1)),
         SUMIFS(OFFSET(CÁLCULO!$AA$15,$F$112,1,OFFSET(ORÇAMENTO!$D$15,$F$112,0),CÁLCULO.FrentesPreenchidas),OFFSET(CÁLCULO!$AL$15,$F$112,1,OFFSET(ORÇAMENTO!$D$15,$F$112,0),CÁLCULO.FrentesPreenchidas),"&lt;="&amp;Y$12)/OFFSET(ORÇAMENTO!$X$15,$F$112,0)),
     IF(ACOMPANHAMENTO="BM",SUM(OFFSET($T$13,$F$112+2,1,1,Y$12))/OFFSET($S$13,$F$112,0),"")))</f>
        <v/>
      </c>
      <c r="Z112" s="533" t="str">
        <f ca="1">IF($F$112="","",
  IF(ACOMPANHAMENTO="PLE",
     IF(AUTOEVENTO="Manual",
         IF(AdmLocal="Automática",
              Z107,
              SUMIF(OFFSET(CRONOPLE!$F$14,CRONOPLE!$A$8+1,1,1,OFFSET(CRONOPLE!$AF$12,0,-1)),"&lt;="&amp;Z$12,OFFSET(EVENTOS!$G$14,CRONOPLE!$A$8+1,1,1,OFFSET(CRONOPLE!$AF$12,0,-1)))/OFFSET(EVENTOS!$G$14,CRONOPLE!$A$8+1,-1)),
         SUMIFS(OFFSET(CÁLCULO!$AA$15,$F$112,1,OFFSET(ORÇAMENTO!$D$15,$F$112,0),CÁLCULO.FrentesPreenchidas),OFFSET(CÁLCULO!$AL$15,$F$112,1,OFFSET(ORÇAMENTO!$D$15,$F$112,0),CÁLCULO.FrentesPreenchidas),"&lt;="&amp;Z$12)/OFFSET(ORÇAMENTO!$X$15,$F$112,0)),
     IF(ACOMPANHAMENTO="BM",SUM(OFFSET($T$13,$F$112+2,1,1,Z$12))/OFFSET($S$13,$F$112,0),"")))</f>
        <v/>
      </c>
      <c r="AA112" s="533" t="str">
        <f ca="1">IF($F$112="","",
  IF(ACOMPANHAMENTO="PLE",
     IF(AUTOEVENTO="Manual",
         IF(AdmLocal="Automática",
              AA107,
              SUMIF(OFFSET(CRONOPLE!$F$14,CRONOPLE!$A$8+1,1,1,OFFSET(CRONOPLE!$AF$12,0,-1)),"&lt;="&amp;AA$12,OFFSET(EVENTOS!$G$14,CRONOPLE!$A$8+1,1,1,OFFSET(CRONOPLE!$AF$12,0,-1)))/OFFSET(EVENTOS!$G$14,CRONOPLE!$A$8+1,-1)),
         SUMIFS(OFFSET(CÁLCULO!$AA$15,$F$112,1,OFFSET(ORÇAMENTO!$D$15,$F$112,0),CÁLCULO.FrentesPreenchidas),OFFSET(CÁLCULO!$AL$15,$F$112,1,OFFSET(ORÇAMENTO!$D$15,$F$112,0),CÁLCULO.FrentesPreenchidas),"&lt;="&amp;AA$12)/OFFSET(ORÇAMENTO!$X$15,$F$112,0)),
     IF(ACOMPANHAMENTO="BM",SUM(OFFSET($T$13,$F$112+2,1,1,AA$12))/OFFSET($S$13,$F$112,0),"")))</f>
        <v/>
      </c>
      <c r="AB112" s="533" t="str">
        <f ca="1">IF($F$112="","",
  IF(ACOMPANHAMENTO="PLE",
     IF(AUTOEVENTO="Manual",
         IF(AdmLocal="Automática",
              AB107,
              SUMIF(OFFSET(CRONOPLE!$F$14,CRONOPLE!$A$8+1,1,1,OFFSET(CRONOPLE!$AF$12,0,-1)),"&lt;="&amp;AB$12,OFFSET(EVENTOS!$G$14,CRONOPLE!$A$8+1,1,1,OFFSET(CRONOPLE!$AF$12,0,-1)))/OFFSET(EVENTOS!$G$14,CRONOPLE!$A$8+1,-1)),
         SUMIFS(OFFSET(CÁLCULO!$AA$15,$F$112,1,OFFSET(ORÇAMENTO!$D$15,$F$112,0),CÁLCULO.FrentesPreenchidas),OFFSET(CÁLCULO!$AL$15,$F$112,1,OFFSET(ORÇAMENTO!$D$15,$F$112,0),CÁLCULO.FrentesPreenchidas),"&lt;="&amp;AB$12)/OFFSET(ORÇAMENTO!$X$15,$F$112,0)),
     IF(ACOMPANHAMENTO="BM",SUM(OFFSET($T$13,$F$112+2,1,1,AB$12))/OFFSET($S$13,$F$112,0),"")))</f>
        <v/>
      </c>
      <c r="AC112" s="533" t="str">
        <f ca="1">IF($F$112="","",
  IF(ACOMPANHAMENTO="PLE",
     IF(AUTOEVENTO="Manual",
         IF(AdmLocal="Automática",
              AC107,
              SUMIF(OFFSET(CRONOPLE!$F$14,CRONOPLE!$A$8+1,1,1,OFFSET(CRONOPLE!$AF$12,0,-1)),"&lt;="&amp;AC$12,OFFSET(EVENTOS!$G$14,CRONOPLE!$A$8+1,1,1,OFFSET(CRONOPLE!$AF$12,0,-1)))/OFFSET(EVENTOS!$G$14,CRONOPLE!$A$8+1,-1)),
         SUMIFS(OFFSET(CÁLCULO!$AA$15,$F$112,1,OFFSET(ORÇAMENTO!$D$15,$F$112,0),CÁLCULO.FrentesPreenchidas),OFFSET(CÁLCULO!$AL$15,$F$112,1,OFFSET(ORÇAMENTO!$D$15,$F$112,0),CÁLCULO.FrentesPreenchidas),"&lt;="&amp;AC$12)/OFFSET(ORÇAMENTO!$X$15,$F$112,0)),
     IF(ACOMPANHAMENTO="BM",SUM(OFFSET($T$13,$F$112+2,1,1,AC$12))/OFFSET($S$13,$F$112,0),"")))</f>
        <v/>
      </c>
      <c r="AD112" s="533" t="str">
        <f ca="1">IF($F$112="","",
  IF(ACOMPANHAMENTO="PLE",
     IF(AUTOEVENTO="Manual",
         IF(AdmLocal="Automática",
              AD107,
              SUMIF(OFFSET(CRONOPLE!$F$14,CRONOPLE!$A$8+1,1,1,OFFSET(CRONOPLE!$AF$12,0,-1)),"&lt;="&amp;AD$12,OFFSET(EVENTOS!$G$14,CRONOPLE!$A$8+1,1,1,OFFSET(CRONOPLE!$AF$12,0,-1)))/OFFSET(EVENTOS!$G$14,CRONOPLE!$A$8+1,-1)),
         SUMIFS(OFFSET(CÁLCULO!$AA$15,$F$112,1,OFFSET(ORÇAMENTO!$D$15,$F$112,0),CÁLCULO.FrentesPreenchidas),OFFSET(CÁLCULO!$AL$15,$F$112,1,OFFSET(ORÇAMENTO!$D$15,$F$112,0),CÁLCULO.FrentesPreenchidas),"&lt;="&amp;AD$12)/OFFSET(ORÇAMENTO!$X$15,$F$112,0)),
     IF(ACOMPANHAMENTO="BM",SUM(OFFSET($T$13,$F$112+2,1,1,AD$12))/OFFSET($S$13,$F$112,0),"")))</f>
        <v/>
      </c>
      <c r="AE112" s="533" t="str">
        <f ca="1">IF($F$112="","",
  IF(ACOMPANHAMENTO="PLE",
     IF(AUTOEVENTO="Manual",
         IF(AdmLocal="Automática",
              AE107,
              SUMIF(OFFSET(CRONOPLE!$F$14,CRONOPLE!$A$8+1,1,1,OFFSET(CRONOPLE!$AF$12,0,-1)),"&lt;="&amp;AE$12,OFFSET(EVENTOS!$G$14,CRONOPLE!$A$8+1,1,1,OFFSET(CRONOPLE!$AF$12,0,-1)))/OFFSET(EVENTOS!$G$14,CRONOPLE!$A$8+1,-1)),
         SUMIFS(OFFSET(CÁLCULO!$AA$15,$F$112,1,OFFSET(ORÇAMENTO!$D$15,$F$112,0),CÁLCULO.FrentesPreenchidas),OFFSET(CÁLCULO!$AL$15,$F$112,1,OFFSET(ORÇAMENTO!$D$15,$F$112,0),CÁLCULO.FrentesPreenchidas),"&lt;="&amp;AE$12)/OFFSET(ORÇAMENTO!$X$15,$F$112,0)),
     IF(ACOMPANHAMENTO="BM",SUM(OFFSET($T$13,$F$112+2,1,1,AE$12))/OFFSET($S$13,$F$112,0),"")))</f>
        <v/>
      </c>
      <c r="AF112" s="533" t="str">
        <f ca="1">IF($F$112="","",
  IF(ACOMPANHAMENTO="PLE",
     IF(AUTOEVENTO="Manual",
         IF(AdmLocal="Automática",
              AF107,
              SUMIF(OFFSET(CRONOPLE!$F$14,CRONOPLE!$A$8+1,1,1,OFFSET(CRONOPLE!$AF$12,0,-1)),"&lt;="&amp;AF$12,OFFSET(EVENTOS!$G$14,CRONOPLE!$A$8+1,1,1,OFFSET(CRONOPLE!$AF$12,0,-1)))/OFFSET(EVENTOS!$G$14,CRONOPLE!$A$8+1,-1)),
         SUMIFS(OFFSET(CÁLCULO!$AA$15,$F$112,1,OFFSET(ORÇAMENTO!$D$15,$F$112,0),CÁLCULO.FrentesPreenchidas),OFFSET(CÁLCULO!$AL$15,$F$112,1,OFFSET(ORÇAMENTO!$D$15,$F$112,0),CÁLCULO.FrentesPreenchidas),"&lt;="&amp;AF$12)/OFFSET(ORÇAMENTO!$X$15,$F$112,0)),
     IF(ACOMPANHAMENTO="BM",SUM(OFFSET($T$13,$F$112+2,1,1,AF$12))/OFFSET($S$13,$F$112,0),"")))</f>
        <v/>
      </c>
      <c r="AG112" s="535"/>
    </row>
    <row r="113" spans="7:33" ht="17.100000000000001" customHeight="1" x14ac:dyDescent="0.25">
      <c r="G113" s="186" t="s">
        <v>537</v>
      </c>
      <c r="H113" s="572" t="str" cm="1">
        <f t="array" ref="H113">IF(AND(ACOMPANHAMENTO="BM",$H$112=""),"↑ Não foi indicado o Macrosserviço de Administração Local","")</f>
        <v>↑ Não foi indicado o Macrosserviço de Administração Local</v>
      </c>
      <c r="T113" s="584" t="str">
        <f ca="1">IF(COUNTIF(U113:AG113,"%Adm&gt;%Global")&gt;0,"Verificar proporcionalidade da Administração Local","")</f>
        <v/>
      </c>
      <c r="U113" s="536" t="str">
        <f ca="1">IF(U112="","",IF(ROUND(U112,4)&gt;ROUND(U107,4),"%Adm&gt;%Global",""))</f>
        <v/>
      </c>
      <c r="V113" s="536" t="str">
        <f t="shared" ref="V113:AG113" ca="1" si="184">IF(V112="","",IF(ROUND(V112,4)&gt;ROUND(V107,4),"%Adm&gt;%Global",""))</f>
        <v/>
      </c>
      <c r="W113" s="536" t="str">
        <f t="shared" ca="1" si="184"/>
        <v/>
      </c>
      <c r="X113" s="536" t="str">
        <f t="shared" ca="1" si="184"/>
        <v/>
      </c>
      <c r="Y113" s="536" t="str">
        <f t="shared" ca="1" si="184"/>
        <v/>
      </c>
      <c r="Z113" s="536" t="str">
        <f t="shared" ca="1" si="184"/>
        <v/>
      </c>
      <c r="AA113" s="536" t="str">
        <f t="shared" ca="1" si="184"/>
        <v/>
      </c>
      <c r="AB113" s="536" t="str">
        <f t="shared" ca="1" si="184"/>
        <v/>
      </c>
      <c r="AC113" s="536" t="str">
        <f t="shared" ca="1" si="184"/>
        <v/>
      </c>
      <c r="AD113" s="536" t="str">
        <f t="shared" ca="1" si="184"/>
        <v/>
      </c>
      <c r="AE113" s="536" t="str">
        <f t="shared" ca="1" si="184"/>
        <v/>
      </c>
      <c r="AF113" s="536" t="str">
        <f t="shared" ca="1" si="184"/>
        <v/>
      </c>
      <c r="AG113" s="536" t="str">
        <f t="shared" si="184"/>
        <v/>
      </c>
    </row>
    <row r="114" spans="7:33" ht="32.25" customHeight="1" x14ac:dyDescent="0.2">
      <c r="G114" s="186" t="s">
        <v>537</v>
      </c>
      <c r="I114" s="764" t="str">
        <f>Import.Município</f>
        <v>PASSOS/MG</v>
      </c>
      <c r="J114" s="764"/>
      <c r="K114" s="764"/>
      <c r="L114" s="764"/>
      <c r="M114" s="764"/>
      <c r="N114" s="764"/>
      <c r="O114" s="764"/>
      <c r="P114" s="764"/>
      <c r="Q114" s="764"/>
      <c r="R114" s="764"/>
      <c r="S114" s="764"/>
      <c r="AA114" s="461"/>
      <c r="AB114" s="461"/>
      <c r="AC114" s="461"/>
      <c r="AD114" s="461"/>
      <c r="AE114" s="463"/>
      <c r="AF114" s="463"/>
    </row>
    <row r="115" spans="7:33" x14ac:dyDescent="0.2">
      <c r="G115" s="186" t="s">
        <v>537</v>
      </c>
      <c r="I115" s="9" t="s">
        <v>694</v>
      </c>
      <c r="J115"/>
      <c r="K115"/>
      <c r="L115"/>
      <c r="AA115" s="182" t="s">
        <v>697</v>
      </c>
      <c r="AB115" s="182"/>
      <c r="AC115" s="182"/>
      <c r="AD115" s="182"/>
      <c r="AE115" s="186"/>
      <c r="AF115" s="186"/>
    </row>
    <row r="116" spans="7:33" x14ac:dyDescent="0.2">
      <c r="G116" s="186" t="s">
        <v>537</v>
      </c>
      <c r="I116"/>
      <c r="J116"/>
      <c r="K116"/>
      <c r="L116"/>
      <c r="AA116" s="399" t="str">
        <f t="array" aca="1" ref="AA116:AA118" ca="1">OFFSET(Import.RespOrçamento,0,-1) &amp; " " &amp; Import.RespOrçamento</f>
        <v>Nome: LUCAS REZENDE CARVALHO</v>
      </c>
      <c r="AC116"/>
      <c r="AD116" s="79"/>
      <c r="AE116" s="186"/>
      <c r="AF116" s="186"/>
    </row>
    <row r="117" spans="7:33" x14ac:dyDescent="0.2">
      <c r="G117" s="186" t="s">
        <v>537</v>
      </c>
      <c r="I117" s="817">
        <f>DADOS!$C$25</f>
        <v>45945</v>
      </c>
      <c r="J117" s="817"/>
      <c r="K117" s="817"/>
      <c r="L117" s="181"/>
      <c r="M117" s="246"/>
      <c r="N117" s="246"/>
      <c r="O117" s="246"/>
      <c r="P117" s="246"/>
      <c r="Q117" s="246"/>
      <c r="R117" s="246"/>
      <c r="S117" s="247"/>
      <c r="AA117" s="399" t="str">
        <f ca="1"/>
        <v>CREA/CAU: 126.061/D</v>
      </c>
      <c r="AC117" s="79"/>
      <c r="AD117" s="79"/>
      <c r="AE117" s="186"/>
      <c r="AF117" s="186"/>
    </row>
    <row r="118" spans="7:33" x14ac:dyDescent="0.2">
      <c r="G118" s="186" t="s">
        <v>537</v>
      </c>
      <c r="I118" s="9" t="s">
        <v>695</v>
      </c>
      <c r="J118"/>
      <c r="K118"/>
      <c r="L118"/>
      <c r="AA118" s="399" t="str">
        <f ca="1"/>
        <v>ART/RRT: MG20253685005</v>
      </c>
      <c r="AC118" s="79"/>
      <c r="AD118" s="79"/>
      <c r="AE118" s="186"/>
      <c r="AF118" s="186"/>
    </row>
  </sheetData>
  <sheetProtection algorithmName="SHA-512" hashValue="imFW7CBRPQbm4GJbV694+yPg4Ez3kGQrK2/nPJC96hZePi2Ya2eZyDZQS8lJ0B7sU780R1bkFOdZfJZ4lKOnIw==" saltValue="h8Mj1TreetCquSrs3ekKvA==" spinCount="100000" sheet="1" objects="1" scenarios="1" autoFilter="0"/>
  <autoFilter ref="G13:G118" xr:uid="{00000000-0009-0000-0000-000007000000}">
    <filterColumn colId="0">
      <filters>
        <filter val="F"/>
      </filters>
    </filterColumn>
  </autoFilter>
  <mergeCells count="18">
    <mergeCell ref="T12:T13"/>
    <mergeCell ref="L8:T8"/>
    <mergeCell ref="U8:Y8"/>
    <mergeCell ref="K10:T11"/>
    <mergeCell ref="I102:K103"/>
    <mergeCell ref="H12:H13"/>
    <mergeCell ref="I12:I13"/>
    <mergeCell ref="J12:J13"/>
    <mergeCell ref="I117:K117"/>
    <mergeCell ref="I114:S114"/>
    <mergeCell ref="H112:J112"/>
    <mergeCell ref="S12:S13"/>
    <mergeCell ref="G8:G11"/>
    <mergeCell ref="I8:J8"/>
    <mergeCell ref="H7:H9"/>
    <mergeCell ref="AE4:AF4"/>
    <mergeCell ref="AE5:AF5"/>
    <mergeCell ref="Z8:AE8"/>
  </mergeCells>
  <phoneticPr fontId="38" type="noConversion"/>
  <conditionalFormatting sqref="U12:U13">
    <cfRule type="expression" dxfId="371" priority="11683" stopIfTrue="1">
      <formula>NOT(ISNUMBER(T$12))</formula>
    </cfRule>
  </conditionalFormatting>
  <conditionalFormatting sqref="E2 U2:AF2">
    <cfRule type="expression" dxfId="370" priority="11684" stopIfTrue="1">
      <formula>AND(ISNUMBER($H1),$H1&lt;&gt;0)</formula>
    </cfRule>
  </conditionalFormatting>
  <conditionalFormatting sqref="I2:S2">
    <cfRule type="expression" dxfId="369" priority="11685" stopIfTrue="1">
      <formula>$M1=2</formula>
    </cfRule>
    <cfRule type="expression" dxfId="368" priority="11686" stopIfTrue="1">
      <formula>AND($M1=1,$S1&lt;&gt;"")</formula>
    </cfRule>
  </conditionalFormatting>
  <conditionalFormatting sqref="I1:S1">
    <cfRule type="expression" dxfId="367" priority="11687" stopIfTrue="1">
      <formula>$M1=2</formula>
    </cfRule>
    <cfRule type="expression" dxfId="366" priority="11688" stopIfTrue="1">
      <formula>AND($M1=1,$S1&lt;&gt;"")</formula>
    </cfRule>
  </conditionalFormatting>
  <conditionalFormatting sqref="E102 E104 E106:E107 E109 E111 U111:AF111 U102:AF102 U104:AF104 U106:AF107 U109:AF109">
    <cfRule type="expression" dxfId="365" priority="11689" stopIfTrue="1">
      <formula>D$107=1</formula>
    </cfRule>
  </conditionalFormatting>
  <conditionalFormatting sqref="E103 E105 E108 E110 E112 U103:AF103 U105:AF105 U108:AF108 U110:AF110 U112:AF112">
    <cfRule type="expression" dxfId="364" priority="11690" stopIfTrue="1">
      <formula>D$107=1</formula>
    </cfRule>
  </conditionalFormatting>
  <conditionalFormatting sqref="AF7:AF8">
    <cfRule type="expression" dxfId="363" priority="11694" stopIfTrue="1">
      <formula>OR(TIPOORCAMENTO&lt;&gt;"Licitado",QCI.ExisteManual)</formula>
    </cfRule>
  </conditionalFormatting>
  <conditionalFormatting sqref="Z7:AE8">
    <cfRule type="expression" dxfId="362" priority="11682" stopIfTrue="1">
      <formula>QCI.ExisteManual</formula>
    </cfRule>
  </conditionalFormatting>
  <conditionalFormatting sqref="H2">
    <cfRule type="expression" dxfId="361" priority="7828">
      <formula>AND(H1&lt;&gt;0,ISNUMBER(H1))</formula>
    </cfRule>
  </conditionalFormatting>
  <conditionalFormatting sqref="E112 U112:AF112">
    <cfRule type="expression" dxfId="360" priority="7819">
      <formula>ROUND(E112,4)&gt;ROUND(E107,4)</formula>
    </cfRule>
  </conditionalFormatting>
  <conditionalFormatting sqref="H1">
    <cfRule type="expression" dxfId="359" priority="7818">
      <formula>AND(H1&lt;&gt;0,ISNUMBER(H1))</formula>
    </cfRule>
  </conditionalFormatting>
  <conditionalFormatting sqref="H112:J112">
    <cfRule type="expression" dxfId="358" priority="7817">
      <formula>$H$111=""</formula>
    </cfRule>
  </conditionalFormatting>
  <conditionalFormatting sqref="E112">
    <cfRule type="expression" dxfId="357" priority="7810" stopIfTrue="1">
      <formula>D$107=1</formula>
    </cfRule>
  </conditionalFormatting>
  <conditionalFormatting sqref="E1">
    <cfRule type="expression" dxfId="356" priority="7807" stopIfTrue="1">
      <formula>E1&lt;&gt;0</formula>
    </cfRule>
  </conditionalFormatting>
  <conditionalFormatting sqref="E2">
    <cfRule type="expression" dxfId="355" priority="7806">
      <formula>AND(_xlfn.SINGLE(ACOMPANHAMENTO)="BM",E2&gt;ROUND(E2,4))</formula>
    </cfRule>
  </conditionalFormatting>
  <conditionalFormatting sqref="E112">
    <cfRule type="expression" dxfId="354" priority="7805" stopIfTrue="1">
      <formula>D$107=1</formula>
    </cfRule>
  </conditionalFormatting>
  <conditionalFormatting sqref="U1:AF1">
    <cfRule type="expression" dxfId="353" priority="7804" stopIfTrue="1">
      <formula>U1&lt;&gt;0</formula>
    </cfRule>
  </conditionalFormatting>
  <conditionalFormatting sqref="U2:AF2">
    <cfRule type="expression" dxfId="352" priority="7803">
      <formula>AND(_xlfn.SINGLE(ACOMPANHAMENTO)="BM",U2&gt;ROUND(U2,4))</formula>
    </cfRule>
  </conditionalFormatting>
  <conditionalFormatting sqref="E15 E18 E21 U15:AF15 U18:AF18 U21:AF21">
    <cfRule type="expression" dxfId="351" priority="183" stopIfTrue="1">
      <formula>AND(ISNUMBER($H14),$H14&lt;&gt;0)</formula>
    </cfRule>
  </conditionalFormatting>
  <conditionalFormatting sqref="I15:S15 I18:S18 I21:S21">
    <cfRule type="expression" dxfId="350" priority="184" stopIfTrue="1">
      <formula>$M14=2</formula>
    </cfRule>
    <cfRule type="expression" dxfId="349" priority="185" stopIfTrue="1">
      <formula>AND($M14=1,$S14&lt;&gt;"")</formula>
    </cfRule>
  </conditionalFormatting>
  <conditionalFormatting sqref="I14:S14 I17:S17 I20:S20">
    <cfRule type="expression" dxfId="348" priority="186" stopIfTrue="1">
      <formula>$M14=2</formula>
    </cfRule>
    <cfRule type="expression" dxfId="347" priority="187" stopIfTrue="1">
      <formula>AND($M14=1,$S14&lt;&gt;"")</formula>
    </cfRule>
  </conditionalFormatting>
  <conditionalFormatting sqref="H15 H18 H21">
    <cfRule type="expression" dxfId="346" priority="182">
      <formula>AND(H14&lt;&gt;0,ISNUMBER(H14))</formula>
    </cfRule>
  </conditionalFormatting>
  <conditionalFormatting sqref="H14 H17 H20">
    <cfRule type="expression" dxfId="345" priority="181">
      <formula>AND(H14&lt;&gt;0,ISNUMBER(H14))</formula>
    </cfRule>
  </conditionalFormatting>
  <conditionalFormatting sqref="E14 E17 E20">
    <cfRule type="expression" dxfId="344" priority="180" stopIfTrue="1">
      <formula>E14&lt;&gt;0</formula>
    </cfRule>
  </conditionalFormatting>
  <conditionalFormatting sqref="E15 E18 E21">
    <cfRule type="expression" dxfId="343" priority="179">
      <formula>AND(_xlfn.SINGLE(ACOMPANHAMENTO)="BM",E15&gt;ROUND(E15,4))</formula>
    </cfRule>
  </conditionalFormatting>
  <conditionalFormatting sqref="U14:AF14 U17:AF17 U20:AF20">
    <cfRule type="expression" dxfId="342" priority="178" stopIfTrue="1">
      <formula>U14&lt;&gt;0</formula>
    </cfRule>
  </conditionalFormatting>
  <conditionalFormatting sqref="U15:AF15 U18:AF18 U21:AF21">
    <cfRule type="expression" dxfId="341" priority="177">
      <formula>AND(_xlfn.SINGLE(ACOMPANHAMENTO)="BM",U15&gt;ROUND(U15,4))</formula>
    </cfRule>
  </conditionalFormatting>
  <conditionalFormatting sqref="E24 E27 E30 U24:AF24 U27:AF27 U30:AF30">
    <cfRule type="expression" dxfId="340" priority="172" stopIfTrue="1">
      <formula>AND(ISNUMBER($H23),$H23&lt;&gt;0)</formula>
    </cfRule>
  </conditionalFormatting>
  <conditionalFormatting sqref="I24:S24 I27:S27 I30:S30">
    <cfRule type="expression" dxfId="339" priority="173" stopIfTrue="1">
      <formula>$M23=2</formula>
    </cfRule>
    <cfRule type="expression" dxfId="338" priority="174" stopIfTrue="1">
      <formula>AND($M23=1,$S23&lt;&gt;"")</formula>
    </cfRule>
  </conditionalFormatting>
  <conditionalFormatting sqref="I23:S23 I26:S26 I29:S29">
    <cfRule type="expression" dxfId="337" priority="175" stopIfTrue="1">
      <formula>$M23=2</formula>
    </cfRule>
    <cfRule type="expression" dxfId="336" priority="176" stopIfTrue="1">
      <formula>AND($M23=1,$S23&lt;&gt;"")</formula>
    </cfRule>
  </conditionalFormatting>
  <conditionalFormatting sqref="H24 H27 H30">
    <cfRule type="expression" dxfId="335" priority="171">
      <formula>AND(H23&lt;&gt;0,ISNUMBER(H23))</formula>
    </cfRule>
  </conditionalFormatting>
  <conditionalFormatting sqref="H23 H26 H29">
    <cfRule type="expression" dxfId="334" priority="170">
      <formula>AND(H23&lt;&gt;0,ISNUMBER(H23))</formula>
    </cfRule>
  </conditionalFormatting>
  <conditionalFormatting sqref="E23 E26 E29">
    <cfRule type="expression" dxfId="333" priority="169" stopIfTrue="1">
      <formula>E23&lt;&gt;0</formula>
    </cfRule>
  </conditionalFormatting>
  <conditionalFormatting sqref="E24 E27 E30">
    <cfRule type="expression" dxfId="332" priority="168">
      <formula>AND(_xlfn.SINGLE(ACOMPANHAMENTO)="BM",E24&gt;ROUND(E24,4))</formula>
    </cfRule>
  </conditionalFormatting>
  <conditionalFormatting sqref="U23:AF23 U26:AF26 U29:AF29">
    <cfRule type="expression" dxfId="331" priority="167" stopIfTrue="1">
      <formula>U23&lt;&gt;0</formula>
    </cfRule>
  </conditionalFormatting>
  <conditionalFormatting sqref="U24:AF24 U27:AF27 U30:AF30">
    <cfRule type="expression" dxfId="330" priority="166">
      <formula>AND(_xlfn.SINGLE(ACOMPANHAMENTO)="BM",U24&gt;ROUND(U24,4))</formula>
    </cfRule>
  </conditionalFormatting>
  <conditionalFormatting sqref="E33 E36 E39 U33:AF33 U36:AF36 U39:AF39">
    <cfRule type="expression" dxfId="329" priority="161" stopIfTrue="1">
      <formula>AND(ISNUMBER($H32),$H32&lt;&gt;0)</formula>
    </cfRule>
  </conditionalFormatting>
  <conditionalFormatting sqref="I33:S33 I36:S36 I39:S39">
    <cfRule type="expression" dxfId="328" priority="162" stopIfTrue="1">
      <formula>$M32=2</formula>
    </cfRule>
    <cfRule type="expression" dxfId="327" priority="163" stopIfTrue="1">
      <formula>AND($M32=1,$S32&lt;&gt;"")</formula>
    </cfRule>
  </conditionalFormatting>
  <conditionalFormatting sqref="I32:S32 I35:S35 I38:S38">
    <cfRule type="expression" dxfId="326" priority="164" stopIfTrue="1">
      <formula>$M32=2</formula>
    </cfRule>
    <cfRule type="expression" dxfId="325" priority="165" stopIfTrue="1">
      <formula>AND($M32=1,$S32&lt;&gt;"")</formula>
    </cfRule>
  </conditionalFormatting>
  <conditionalFormatting sqref="H33 H36 H39">
    <cfRule type="expression" dxfId="324" priority="160">
      <formula>AND(H32&lt;&gt;0,ISNUMBER(H32))</formula>
    </cfRule>
  </conditionalFormatting>
  <conditionalFormatting sqref="H32 H35 H38">
    <cfRule type="expression" dxfId="323" priority="159">
      <formula>AND(H32&lt;&gt;0,ISNUMBER(H32))</formula>
    </cfRule>
  </conditionalFormatting>
  <conditionalFormatting sqref="E32 E35 E38">
    <cfRule type="expression" dxfId="322" priority="158" stopIfTrue="1">
      <formula>E32&lt;&gt;0</formula>
    </cfRule>
  </conditionalFormatting>
  <conditionalFormatting sqref="E33 E36 E39">
    <cfRule type="expression" dxfId="321" priority="157">
      <formula>AND(_xlfn.SINGLE(ACOMPANHAMENTO)="BM",E33&gt;ROUND(E33,4))</formula>
    </cfRule>
  </conditionalFormatting>
  <conditionalFormatting sqref="U32:AF32 U35:AF35 U38:AF38">
    <cfRule type="expression" dxfId="320" priority="156" stopIfTrue="1">
      <formula>U32&lt;&gt;0</formula>
    </cfRule>
  </conditionalFormatting>
  <conditionalFormatting sqref="U33:AF33 U36:AF36 U39:AF39">
    <cfRule type="expression" dxfId="319" priority="155">
      <formula>AND(_xlfn.SINGLE(ACOMPANHAMENTO)="BM",U33&gt;ROUND(U33,4))</formula>
    </cfRule>
  </conditionalFormatting>
  <conditionalFormatting sqref="E42 E45 E48 U42:AF42 U45:AF45 U48:AF48">
    <cfRule type="expression" dxfId="318" priority="150" stopIfTrue="1">
      <formula>AND(ISNUMBER($H41),$H41&lt;&gt;0)</formula>
    </cfRule>
  </conditionalFormatting>
  <conditionalFormatting sqref="I42:S42 I45:S45 I48:S48">
    <cfRule type="expression" dxfId="317" priority="151" stopIfTrue="1">
      <formula>$M41=2</formula>
    </cfRule>
    <cfRule type="expression" dxfId="316" priority="152" stopIfTrue="1">
      <formula>AND($M41=1,$S41&lt;&gt;"")</formula>
    </cfRule>
  </conditionalFormatting>
  <conditionalFormatting sqref="I41:S41 I44:S44 I47:S47">
    <cfRule type="expression" dxfId="315" priority="153" stopIfTrue="1">
      <formula>$M41=2</formula>
    </cfRule>
    <cfRule type="expression" dxfId="314" priority="154" stopIfTrue="1">
      <formula>AND($M41=1,$S41&lt;&gt;"")</formula>
    </cfRule>
  </conditionalFormatting>
  <conditionalFormatting sqref="H42 H45 H48">
    <cfRule type="expression" dxfId="313" priority="149">
      <formula>AND(H41&lt;&gt;0,ISNUMBER(H41))</formula>
    </cfRule>
  </conditionalFormatting>
  <conditionalFormatting sqref="H41 H44 H47">
    <cfRule type="expression" dxfId="312" priority="148">
      <formula>AND(H41&lt;&gt;0,ISNUMBER(H41))</formula>
    </cfRule>
  </conditionalFormatting>
  <conditionalFormatting sqref="E41 E44 E47">
    <cfRule type="expression" dxfId="311" priority="147" stopIfTrue="1">
      <formula>E41&lt;&gt;0</formula>
    </cfRule>
  </conditionalFormatting>
  <conditionalFormatting sqref="E42 E45 E48">
    <cfRule type="expression" dxfId="310" priority="146">
      <formula>AND(_xlfn.SINGLE(ACOMPANHAMENTO)="BM",E42&gt;ROUND(E42,4))</formula>
    </cfRule>
  </conditionalFormatting>
  <conditionalFormatting sqref="U41:AF41 U44:AF44 U47:AF47">
    <cfRule type="expression" dxfId="309" priority="145" stopIfTrue="1">
      <formula>U41&lt;&gt;0</formula>
    </cfRule>
  </conditionalFormatting>
  <conditionalFormatting sqref="U42:AF42 U45:AF45 U48:AF48">
    <cfRule type="expression" dxfId="308" priority="144">
      <formula>AND(_xlfn.SINGLE(ACOMPANHAMENTO)="BM",U42&gt;ROUND(U42,4))</formula>
    </cfRule>
  </conditionalFormatting>
  <conditionalFormatting sqref="E51 E54 E57 U51:AF51 U54:AF54 U57:AF57">
    <cfRule type="expression" dxfId="307" priority="139" stopIfTrue="1">
      <formula>AND(ISNUMBER($H50),$H50&lt;&gt;0)</formula>
    </cfRule>
  </conditionalFormatting>
  <conditionalFormatting sqref="I51:S51 I54:S54 I57:S57">
    <cfRule type="expression" dxfId="306" priority="140" stopIfTrue="1">
      <formula>$M50=2</formula>
    </cfRule>
    <cfRule type="expression" dxfId="305" priority="141" stopIfTrue="1">
      <formula>AND($M50=1,$S50&lt;&gt;"")</formula>
    </cfRule>
  </conditionalFormatting>
  <conditionalFormatting sqref="I50:S50 I53:S53 I56:S56">
    <cfRule type="expression" dxfId="304" priority="142" stopIfTrue="1">
      <formula>$M50=2</formula>
    </cfRule>
    <cfRule type="expression" dxfId="303" priority="143" stopIfTrue="1">
      <formula>AND($M50=1,$S50&lt;&gt;"")</formula>
    </cfRule>
  </conditionalFormatting>
  <conditionalFormatting sqref="H51 H54 H57">
    <cfRule type="expression" dxfId="302" priority="138">
      <formula>AND(H50&lt;&gt;0,ISNUMBER(H50))</formula>
    </cfRule>
  </conditionalFormatting>
  <conditionalFormatting sqref="H50 H53 H56">
    <cfRule type="expression" dxfId="301" priority="137">
      <formula>AND(H50&lt;&gt;0,ISNUMBER(H50))</formula>
    </cfRule>
  </conditionalFormatting>
  <conditionalFormatting sqref="E50 E53 E56">
    <cfRule type="expression" dxfId="300" priority="136" stopIfTrue="1">
      <formula>E50&lt;&gt;0</formula>
    </cfRule>
  </conditionalFormatting>
  <conditionalFormatting sqref="E51 E54 E57">
    <cfRule type="expression" dxfId="299" priority="135">
      <formula>AND(_xlfn.SINGLE(ACOMPANHAMENTO)="BM",E51&gt;ROUND(E51,4))</formula>
    </cfRule>
  </conditionalFormatting>
  <conditionalFormatting sqref="U50:AF50 U53:AF53 U56:AF56">
    <cfRule type="expression" dxfId="298" priority="134" stopIfTrue="1">
      <formula>U50&lt;&gt;0</formula>
    </cfRule>
  </conditionalFormatting>
  <conditionalFormatting sqref="U51:AF51 U54:AF54 U57:AF57">
    <cfRule type="expression" dxfId="297" priority="133">
      <formula>AND(_xlfn.SINGLE(ACOMPANHAMENTO)="BM",U51&gt;ROUND(U51,4))</formula>
    </cfRule>
  </conditionalFormatting>
  <conditionalFormatting sqref="E60 E63 E66 U60:AF60 U63:AF63 U66:AF66">
    <cfRule type="expression" dxfId="296" priority="128" stopIfTrue="1">
      <formula>AND(ISNUMBER($H59),$H59&lt;&gt;0)</formula>
    </cfRule>
  </conditionalFormatting>
  <conditionalFormatting sqref="I60:S60 I63:S63 I66:S66">
    <cfRule type="expression" dxfId="295" priority="129" stopIfTrue="1">
      <formula>$M59=2</formula>
    </cfRule>
    <cfRule type="expression" dxfId="294" priority="130" stopIfTrue="1">
      <formula>AND($M59=1,$S59&lt;&gt;"")</formula>
    </cfRule>
  </conditionalFormatting>
  <conditionalFormatting sqref="I59:S59 I62:S62 I65:S65">
    <cfRule type="expression" dxfId="293" priority="131" stopIfTrue="1">
      <formula>$M59=2</formula>
    </cfRule>
    <cfRule type="expression" dxfId="292" priority="132" stopIfTrue="1">
      <formula>AND($M59=1,$S59&lt;&gt;"")</formula>
    </cfRule>
  </conditionalFormatting>
  <conditionalFormatting sqref="H60 H63 H66">
    <cfRule type="expression" dxfId="291" priority="127">
      <formula>AND(H59&lt;&gt;0,ISNUMBER(H59))</formula>
    </cfRule>
  </conditionalFormatting>
  <conditionalFormatting sqref="H59 H62 H65">
    <cfRule type="expression" dxfId="290" priority="126">
      <formula>AND(H59&lt;&gt;0,ISNUMBER(H59))</formula>
    </cfRule>
  </conditionalFormatting>
  <conditionalFormatting sqref="E59 E62 E65">
    <cfRule type="expression" dxfId="289" priority="125" stopIfTrue="1">
      <formula>E59&lt;&gt;0</formula>
    </cfRule>
  </conditionalFormatting>
  <conditionalFormatting sqref="E60 E63 E66">
    <cfRule type="expression" dxfId="288" priority="124">
      <formula>AND(_xlfn.SINGLE(ACOMPANHAMENTO)="BM",E60&gt;ROUND(E60,4))</formula>
    </cfRule>
  </conditionalFormatting>
  <conditionalFormatting sqref="U59:AF59 U62:AF62 U65:AF65">
    <cfRule type="expression" dxfId="287" priority="123" stopIfTrue="1">
      <formula>U59&lt;&gt;0</formula>
    </cfRule>
  </conditionalFormatting>
  <conditionalFormatting sqref="U60:AF60 U63:AF63 U66:AF66">
    <cfRule type="expression" dxfId="286" priority="122">
      <formula>AND(_xlfn.SINGLE(ACOMPANHAMENTO)="BM",U60&gt;ROUND(U60,4))</formula>
    </cfRule>
  </conditionalFormatting>
  <conditionalFormatting sqref="E69 E72 E75 U69:AF69 U72:AF72 U75:AF75">
    <cfRule type="expression" dxfId="285" priority="117" stopIfTrue="1">
      <formula>AND(ISNUMBER($H68),$H68&lt;&gt;0)</formula>
    </cfRule>
  </conditionalFormatting>
  <conditionalFormatting sqref="I69:S69 I72:S72 I75:S75">
    <cfRule type="expression" dxfId="284" priority="118" stopIfTrue="1">
      <formula>$M68=2</formula>
    </cfRule>
    <cfRule type="expression" dxfId="283" priority="119" stopIfTrue="1">
      <formula>AND($M68=1,$S68&lt;&gt;"")</formula>
    </cfRule>
  </conditionalFormatting>
  <conditionalFormatting sqref="I68:S68 I71:S71 I74:S74">
    <cfRule type="expression" dxfId="282" priority="120" stopIfTrue="1">
      <formula>$M68=2</formula>
    </cfRule>
    <cfRule type="expression" dxfId="281" priority="121" stopIfTrue="1">
      <formula>AND($M68=1,$S68&lt;&gt;"")</formula>
    </cfRule>
  </conditionalFormatting>
  <conditionalFormatting sqref="H69 H72 H75">
    <cfRule type="expression" dxfId="280" priority="116">
      <formula>AND(H68&lt;&gt;0,ISNUMBER(H68))</formula>
    </cfRule>
  </conditionalFormatting>
  <conditionalFormatting sqref="H68 H71 H74">
    <cfRule type="expression" dxfId="279" priority="115">
      <formula>AND(H68&lt;&gt;0,ISNUMBER(H68))</formula>
    </cfRule>
  </conditionalFormatting>
  <conditionalFormatting sqref="E68 E71 E74">
    <cfRule type="expression" dxfId="278" priority="114" stopIfTrue="1">
      <formula>E68&lt;&gt;0</formula>
    </cfRule>
  </conditionalFormatting>
  <conditionalFormatting sqref="E69 E72 E75">
    <cfRule type="expression" dxfId="277" priority="113">
      <formula>AND(_xlfn.SINGLE(ACOMPANHAMENTO)="BM",E69&gt;ROUND(E69,4))</formula>
    </cfRule>
  </conditionalFormatting>
  <conditionalFormatting sqref="U68:AF68 U71:AF71 U74:AF74">
    <cfRule type="expression" dxfId="276" priority="112" stopIfTrue="1">
      <formula>U68&lt;&gt;0</formula>
    </cfRule>
  </conditionalFormatting>
  <conditionalFormatting sqref="U69:AF69 U72:AF72 U75:AF75">
    <cfRule type="expression" dxfId="275" priority="111">
      <formula>AND(_xlfn.SINGLE(ACOMPANHAMENTO)="BM",U69&gt;ROUND(U69,4))</formula>
    </cfRule>
  </conditionalFormatting>
  <conditionalFormatting sqref="E78 E81 E84 U78:AF78 U81:AF81 U84:AF84">
    <cfRule type="expression" dxfId="274" priority="106" stopIfTrue="1">
      <formula>AND(ISNUMBER($H77),$H77&lt;&gt;0)</formula>
    </cfRule>
  </conditionalFormatting>
  <conditionalFormatting sqref="I78:S78 I81:S81 I84:S84">
    <cfRule type="expression" dxfId="273" priority="107" stopIfTrue="1">
      <formula>$M77=2</formula>
    </cfRule>
    <cfRule type="expression" dxfId="272" priority="108" stopIfTrue="1">
      <formula>AND($M77=1,$S77&lt;&gt;"")</formula>
    </cfRule>
  </conditionalFormatting>
  <conditionalFormatting sqref="I77:S77 I80:S80 I83:S83">
    <cfRule type="expression" dxfId="271" priority="109" stopIfTrue="1">
      <formula>$M77=2</formula>
    </cfRule>
    <cfRule type="expression" dxfId="270" priority="110" stopIfTrue="1">
      <formula>AND($M77=1,$S77&lt;&gt;"")</formula>
    </cfRule>
  </conditionalFormatting>
  <conditionalFormatting sqref="H78 H81 H84">
    <cfRule type="expression" dxfId="269" priority="105">
      <formula>AND(H77&lt;&gt;0,ISNUMBER(H77))</formula>
    </cfRule>
  </conditionalFormatting>
  <conditionalFormatting sqref="H77 H80 H83">
    <cfRule type="expression" dxfId="268" priority="104">
      <formula>AND(H77&lt;&gt;0,ISNUMBER(H77))</formula>
    </cfRule>
  </conditionalFormatting>
  <conditionalFormatting sqref="E77 E80 E83">
    <cfRule type="expression" dxfId="267" priority="103" stopIfTrue="1">
      <formula>E77&lt;&gt;0</formula>
    </cfRule>
  </conditionalFormatting>
  <conditionalFormatting sqref="E78 E81 E84">
    <cfRule type="expression" dxfId="266" priority="102">
      <formula>AND(_xlfn.SINGLE(ACOMPANHAMENTO)="BM",E78&gt;ROUND(E78,4))</formula>
    </cfRule>
  </conditionalFormatting>
  <conditionalFormatting sqref="U77:AF77 U80:AF80 U83:AF83">
    <cfRule type="expression" dxfId="265" priority="101" stopIfTrue="1">
      <formula>U77&lt;&gt;0</formula>
    </cfRule>
  </conditionalFormatting>
  <conditionalFormatting sqref="U78:AF78 U81:AF81 U84:AF84">
    <cfRule type="expression" dxfId="264" priority="100">
      <formula>AND(_xlfn.SINGLE(ACOMPANHAMENTO)="BM",U78&gt;ROUND(U78,4))</formula>
    </cfRule>
  </conditionalFormatting>
  <conditionalFormatting sqref="E87 E90 E93 U87:AF87 U90:AF90 U93:AF93">
    <cfRule type="expression" dxfId="263" priority="95" stopIfTrue="1">
      <formula>AND(ISNUMBER($H86),$H86&lt;&gt;0)</formula>
    </cfRule>
  </conditionalFormatting>
  <conditionalFormatting sqref="I87:S87 I90:S90 I93:S93">
    <cfRule type="expression" dxfId="262" priority="96" stopIfTrue="1">
      <formula>$M86=2</formula>
    </cfRule>
    <cfRule type="expression" dxfId="261" priority="97" stopIfTrue="1">
      <formula>AND($M86=1,$S86&lt;&gt;"")</formula>
    </cfRule>
  </conditionalFormatting>
  <conditionalFormatting sqref="I86:S86 I89:S89 I92:S92">
    <cfRule type="expression" dxfId="260" priority="98" stopIfTrue="1">
      <formula>$M86=2</formula>
    </cfRule>
    <cfRule type="expression" dxfId="259" priority="99" stopIfTrue="1">
      <formula>AND($M86=1,$S86&lt;&gt;"")</formula>
    </cfRule>
  </conditionalFormatting>
  <conditionalFormatting sqref="H87 H90 H93">
    <cfRule type="expression" dxfId="258" priority="94">
      <formula>AND(H86&lt;&gt;0,ISNUMBER(H86))</formula>
    </cfRule>
  </conditionalFormatting>
  <conditionalFormatting sqref="H86 H89 H92">
    <cfRule type="expression" dxfId="257" priority="93">
      <formula>AND(H86&lt;&gt;0,ISNUMBER(H86))</formula>
    </cfRule>
  </conditionalFormatting>
  <conditionalFormatting sqref="E86 E89 E92">
    <cfRule type="expression" dxfId="256" priority="92" stopIfTrue="1">
      <formula>E86&lt;&gt;0</formula>
    </cfRule>
  </conditionalFormatting>
  <conditionalFormatting sqref="E87 E90 E93">
    <cfRule type="expression" dxfId="255" priority="91">
      <formula>AND(_xlfn.SINGLE(ACOMPANHAMENTO)="BM",E87&gt;ROUND(E87,4))</formula>
    </cfRule>
  </conditionalFormatting>
  <conditionalFormatting sqref="U86:AF86 U89:AF89 U92:AF92">
    <cfRule type="expression" dxfId="254" priority="90" stopIfTrue="1">
      <formula>U86&lt;&gt;0</formula>
    </cfRule>
  </conditionalFormatting>
  <conditionalFormatting sqref="U87:AF87 U90:AF90 U93:AF93">
    <cfRule type="expression" dxfId="253" priority="89">
      <formula>AND(_xlfn.SINGLE(ACOMPANHAMENTO)="BM",U87&gt;ROUND(U87,4))</formula>
    </cfRule>
  </conditionalFormatting>
  <conditionalFormatting sqref="E96 E99 U96:AF96 U99:AF99">
    <cfRule type="expression" dxfId="252" priority="84" stopIfTrue="1">
      <formula>AND(ISNUMBER($H95),$H95&lt;&gt;0)</formula>
    </cfRule>
  </conditionalFormatting>
  <conditionalFormatting sqref="I96:S96 I99:S99">
    <cfRule type="expression" dxfId="251" priority="85" stopIfTrue="1">
      <formula>$M95=2</formula>
    </cfRule>
    <cfRule type="expression" dxfId="250" priority="86" stopIfTrue="1">
      <formula>AND($M95=1,$S95&lt;&gt;"")</formula>
    </cfRule>
  </conditionalFormatting>
  <conditionalFormatting sqref="I95:S95 I98:S98">
    <cfRule type="expression" dxfId="249" priority="87" stopIfTrue="1">
      <formula>$M95=2</formula>
    </cfRule>
    <cfRule type="expression" dxfId="248" priority="88" stopIfTrue="1">
      <formula>AND($M95=1,$S95&lt;&gt;"")</formula>
    </cfRule>
  </conditionalFormatting>
  <conditionalFormatting sqref="H96 H99">
    <cfRule type="expression" dxfId="247" priority="83">
      <formula>AND(H95&lt;&gt;0,ISNUMBER(H95))</formula>
    </cfRule>
  </conditionalFormatting>
  <conditionalFormatting sqref="H95 H98">
    <cfRule type="expression" dxfId="246" priority="82">
      <formula>AND(H95&lt;&gt;0,ISNUMBER(H95))</formula>
    </cfRule>
  </conditionalFormatting>
  <conditionalFormatting sqref="E95 E98">
    <cfRule type="expression" dxfId="245" priority="81" stopIfTrue="1">
      <formula>E95&lt;&gt;0</formula>
    </cfRule>
  </conditionalFormatting>
  <conditionalFormatting sqref="E96 E99">
    <cfRule type="expression" dxfId="244" priority="80">
      <formula>AND(_xlfn.SINGLE(ACOMPANHAMENTO)="BM",E96&gt;ROUND(E96,4))</formula>
    </cfRule>
  </conditionalFormatting>
  <conditionalFormatting sqref="U95:AF95 U98:AF98">
    <cfRule type="expression" dxfId="243" priority="79" stopIfTrue="1">
      <formula>U95&lt;&gt;0</formula>
    </cfRule>
  </conditionalFormatting>
  <conditionalFormatting sqref="U96:AF96 U99:AF99">
    <cfRule type="expression" dxfId="242" priority="78">
      <formula>AND(_xlfn.SINGLE(ACOMPANHAMENTO)="BM",U96&gt;ROUND(U96,4))</formula>
    </cfRule>
  </conditionalFormatting>
  <dataValidations xWindow="671" yWindow="819" count="6">
    <dataValidation type="list" allowBlank="1" showErrorMessage="1" errorTitle="Obrigatório:" error="Selecione o nível (2, 3 ou 4) do agrupador a exibir no cronograma." sqref="H10" xr:uid="{00000000-0002-0000-0700-000000000000}">
      <formula1>"2,3,4"</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E95 E98 U95:AF95 U98:AF98"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E81 E84 U78:AG78 U81:AG81 U84:AG84 E87 E90 E93 U87:AG87 U90:AG90 U93:AG93 E96 E99 U96:AG96 U99:AG99"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12:J112" xr:uid="{248F12C1-5C2E-4989-A04F-CE4BB609793B}">
      <formula1>$A$13:$A$101</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&amp;LPMv3.12&amp;R&amp;P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28"/>
  <sheetViews>
    <sheetView showGridLines="0" zoomScale="85" zoomScaleNormal="85" zoomScaleSheetLayoutView="90" workbookViewId="0">
      <pane xSplit="7" ySplit="13" topLeftCell="I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F1" s="273" t="s">
        <v>806</v>
      </c>
      <c r="I1" s="8"/>
      <c r="J1" s="8"/>
      <c r="O1" s="493" t="s">
        <v>758</v>
      </c>
      <c r="P1" s="86"/>
    </row>
    <row r="2" spans="1:31" x14ac:dyDescent="0.2">
      <c r="Z2" t="s">
        <v>807</v>
      </c>
      <c r="AA2" s="89" t="s">
        <v>808</v>
      </c>
      <c r="AB2" s="77"/>
    </row>
    <row r="3" spans="1:31" x14ac:dyDescent="0.2">
      <c r="D3" s="731" t="s">
        <v>651</v>
      </c>
      <c r="E3" s="731"/>
      <c r="F3" s="88" t="s">
        <v>708</v>
      </c>
      <c r="G3" s="731" t="s">
        <v>653</v>
      </c>
      <c r="H3" s="731"/>
      <c r="I3" s="731"/>
      <c r="J3" s="824" t="s">
        <v>809</v>
      </c>
      <c r="K3" s="824"/>
      <c r="L3" s="824"/>
      <c r="M3" s="825" t="s">
        <v>810</v>
      </c>
      <c r="N3" s="825"/>
      <c r="O3" s="825"/>
      <c r="Z3" s="103">
        <f ca="1">MAX(Z7:AB7)</f>
        <v>0.05</v>
      </c>
      <c r="AA3" s="274">
        <f ca="1">IF(OR($O$15=ORÇAMENTO.SumINVMANUAL+QCI.SumINVMANUAL,$O$15=0),0,MIN(MAX(0,($Z$3*$O$15-ORÇAMENTO.SumCPMANUAL-QCI.SumCPMANUAL)/($O$15-ORÇAMENTO.SumINVMANUAL-QCI.SumINVMANUAL)),1))</f>
        <v>0</v>
      </c>
      <c r="AB3" s="93"/>
    </row>
    <row r="4" spans="1:31" x14ac:dyDescent="0.2">
      <c r="D4" s="728" t="str">
        <f>Import.CR</f>
        <v>0639.998-99</v>
      </c>
      <c r="E4" s="728"/>
      <c r="F4" s="56" t="str">
        <f>Import.TransfereGOV</f>
        <v>56000003291</v>
      </c>
      <c r="G4" s="728" t="str">
        <f>Import.Proponente</f>
        <v>PREFEITURA MUNICIPAL DE PASSOS/MG</v>
      </c>
      <c r="H4" s="728"/>
      <c r="I4" s="728"/>
      <c r="J4" s="826" t="str">
        <f>Import.Município</f>
        <v>PASSOS/MG</v>
      </c>
      <c r="K4" s="826"/>
      <c r="L4" s="826"/>
      <c r="M4" s="825"/>
      <c r="N4" s="825"/>
      <c r="O4" s="825"/>
      <c r="R4" s="130"/>
      <c r="Z4" s="93"/>
      <c r="AA4" s="93"/>
      <c r="AB4" s="93"/>
    </row>
    <row r="5" spans="1:31" ht="5.0999999999999996" customHeight="1" x14ac:dyDescent="0.2">
      <c r="M5" s="266"/>
      <c r="O5" s="4"/>
    </row>
    <row r="6" spans="1:31" x14ac:dyDescent="0.2">
      <c r="D6" s="731" t="s">
        <v>709</v>
      </c>
      <c r="E6" s="731"/>
      <c r="F6" s="731"/>
      <c r="G6" s="731"/>
      <c r="H6" s="731"/>
      <c r="I6" s="731"/>
      <c r="J6" s="731"/>
      <c r="K6" s="731"/>
      <c r="L6" s="275" t="s">
        <v>716</v>
      </c>
      <c r="M6" s="88" t="str">
        <f>IF(import.recurso="FGTS","FINANCIAMENTO","REPASSE")</f>
        <v>FINANCIAMENTO</v>
      </c>
      <c r="N6" s="88" t="s">
        <v>811</v>
      </c>
      <c r="O6" s="88" t="s">
        <v>812</v>
      </c>
      <c r="Z6" t="s">
        <v>813</v>
      </c>
      <c r="AA6" t="s">
        <v>814</v>
      </c>
      <c r="AB6" t="s">
        <v>815</v>
      </c>
    </row>
    <row r="7" spans="1:31" ht="12.75" customHeight="1" x14ac:dyDescent="0.2">
      <c r="C7" s="757" t="s">
        <v>656</v>
      </c>
      <c r="D7" s="728" t="str">
        <f>Import.Apelido</f>
        <v>AMPLIAÇÃO DO SISTEMA DE ESGOTAMENTO SANITÁRIO</v>
      </c>
      <c r="E7" s="728"/>
      <c r="F7" s="728"/>
      <c r="G7" s="728"/>
      <c r="H7" s="728"/>
      <c r="I7" s="728"/>
      <c r="J7" s="728"/>
      <c r="K7" s="728"/>
      <c r="L7" s="276" t="str">
        <f>import.recurso</f>
        <v>FGTS</v>
      </c>
      <c r="M7" s="277">
        <f>Import.Repasse</f>
        <v>5819655.71</v>
      </c>
      <c r="N7" s="277">
        <f>Import.Contrapartida</f>
        <v>306297.67</v>
      </c>
      <c r="O7" s="277">
        <f>M7+N7</f>
        <v>6125953.3799999999</v>
      </c>
      <c r="Z7" s="103">
        <f>ROUND(Import.CPMinPerc,4)</f>
        <v>0.05</v>
      </c>
      <c r="AA7" s="103">
        <f ca="1">IF($O$15=0,0,Import.CPMinAbsoluta/$O$15)</f>
        <v>0</v>
      </c>
      <c r="AB7" s="103">
        <f ca="1">IF($O$15=0,0,($O$15-$AB$15-Import.Repasse)/($O$15))</f>
        <v>0</v>
      </c>
    </row>
    <row r="8" spans="1:31" x14ac:dyDescent="0.2">
      <c r="C8" s="757"/>
      <c r="D8" s="93"/>
      <c r="E8" s="93"/>
      <c r="F8" s="278"/>
      <c r="G8" s="93"/>
      <c r="H8" s="93"/>
      <c r="I8" s="93"/>
      <c r="J8" s="93"/>
      <c r="K8" s="93"/>
      <c r="L8" s="93"/>
      <c r="M8" s="93"/>
      <c r="N8" s="93"/>
      <c r="O8" s="93"/>
    </row>
    <row r="9" spans="1:31" ht="12.75" customHeight="1" x14ac:dyDescent="0.2">
      <c r="C9" s="757"/>
      <c r="G9" s="830" t="str">
        <f ca="1">IF($T$11&lt;&gt;"","PREENCHIMENTO INCOMPLETO DA TABELA AUXILIAR DO QCI",
  IF($G$11&lt;&gt;"","PREENCHIMENTO INCOMPLETO DA TABELA PRINCIPAL DO QCI",
  IF(AND($O$15&gt;0,$M$16&gt;Import.CPMaxPerc,Import.CPMaxPerc&gt;0),"ERRO: CONTRAPARTIDA MAIOR QUE A MÁXIMA",
  IF(OR(AND($O$15&gt;0,$M$16&lt;QCI!$Z$7),$M$15&lt;ROUND(Import.CPMinAbsoluta,2)),"ERRO: CONTRAPARTIDA MENOR QUE A MÍNIMA",
  IF(OR($L$10&lt;0,$M$10&lt;0),"ERRO: SALDO NEGATIVO",
  IF(COUNTIF($L$13:$L$15,"&lt;0")&gt;0,"ERRO: VALORES DE REPASSE NEGATIVOS",
  IF(OFFSET($A$15,-1,0)&lt;OFFSET(ORÇAMENTO!$E$231,-1,0),"ERRO: NÚMERO DE LINHAS DO QCI INSUFICIENTE. CLIQUE NO BOTÃO ADICIONAR LINHAS",
  "")))))))</f>
        <v>ERRO: CONTRAPARTIDA MENOR QUE A MÍNIMA</v>
      </c>
      <c r="H9" s="830"/>
      <c r="I9" s="513"/>
      <c r="J9" s="512"/>
      <c r="K9" s="829" t="s">
        <v>816</v>
      </c>
      <c r="L9" s="279" t="str">
        <f>$L$13</f>
        <v>Financiamento (R$)</v>
      </c>
      <c r="M9" s="279" t="s">
        <v>742</v>
      </c>
      <c r="AD9" s="827"/>
      <c r="AE9" s="827"/>
    </row>
    <row r="10" spans="1:31" ht="12.75" customHeight="1" x14ac:dyDescent="0.2">
      <c r="A10" s="831" t="s">
        <v>817</v>
      </c>
      <c r="C10" s="757"/>
      <c r="G10" s="830"/>
      <c r="H10" s="830"/>
      <c r="I10" s="513"/>
      <c r="J10" s="512"/>
      <c r="K10" s="829"/>
      <c r="L10" s="280">
        <f ca="1">Import.Repasse-L15</f>
        <v>5819655.71</v>
      </c>
      <c r="M10" s="281">
        <f ca="1">Import.Contrapartida-M15</f>
        <v>306297.67</v>
      </c>
      <c r="Z10" s="771" t="s">
        <v>722</v>
      </c>
      <c r="AA10" s="771"/>
      <c r="AB10" s="771"/>
      <c r="AD10" s="827" t="s">
        <v>818</v>
      </c>
      <c r="AE10" s="827"/>
    </row>
    <row r="11" spans="1:31" ht="20.100000000000001" customHeight="1" x14ac:dyDescent="0.25">
      <c r="A11" s="831"/>
      <c r="C11" s="757"/>
      <c r="G11" s="583" t="str">
        <f ca="1">IF(COUNTIF($P$13:$P$15,"ITEM")&gt;0,"Falta definir o ITEM de Investimento da Meta "&amp;INDEX($D$13:$D$15,MATCH("ITEM",$P$13:$P$15,0)),
  IF(COUNTIF($P$13:$P$15,"SUBITEM")&gt;0,"Falta definir o SUBITEM de Investimento da Meta "&amp;INDEX($D$13:$D$15,MATCH("SUBITEM",$P$13:$P$15,0)),
  IF(COUNTIF($P$13:$P$15,"SITUAÇÃO")&gt;0,"Falta definir a SITUAÇÃO do Investimento da Meta "&amp;INDEX($D$13:$D$15,MATCH("SITUAÇÃO",$P$13:$P$15,0)),
  IF(COUNTIF($P$13:$P$15,"QUANT.")&gt;0,"Falta preencher a QUANTIDADE da Meta "&amp;INDEX($D$13:$D$15,MATCH("QUANT.",$P$13:$P$15,0)),
  ""))))</f>
        <v/>
      </c>
      <c r="T11" s="522" t="str">
        <f>IF(COUNTIF($S$13:$S$15,"► LOTE")&gt;0,"Falta preencher o LOTE/CTEF da Meta "&amp;INDEX($D$13:$D$15,MATCH("► LOTE",$S$13:$S$15,0)),
  IF(COUNTIF($S$13:$S$15,"► INVEST")&gt;0,"Falta preencher o valor do INVESTIMENTO da Meta "&amp;INDEX($D$13:$D$15,MATCH("► INVEST",$S$13:$S$15,0)),
  IF(COUNTIF($S$13:$S$15,"► DIV")&gt;0,"Falta definir a DIVISÃO do Investimento da Meta "&amp;INDEX($D$13:$D$15,MATCH("► DIV",$S$13:$S$15,0)),
  IF(COUNTIF($S$13:$S$15,"► CP")&gt;0,"Falta preencher o valor da CONTRAPARTIDA da Meta "&amp;INDEX($D$13:$D$15,MATCH("► CP",$S$13:$S$15,0)),
  IF(COUNTIF($S$13:$S$15,"► OU")&gt;0,"Falta preencher o valor de OUTROS recursos da Meta "&amp;INDEX($D$13:$D$15,MATCH("► OU",$S$13:$S$15,0)),
  "")))))</f>
        <v/>
      </c>
      <c r="Z11" s="111" t="s">
        <v>819</v>
      </c>
      <c r="AA11" s="111" t="s">
        <v>742</v>
      </c>
      <c r="AB11" s="112" t="s">
        <v>743</v>
      </c>
    </row>
    <row r="12" spans="1:31" ht="30" hidden="1" customHeight="1" x14ac:dyDescent="0.2">
      <c r="A12">
        <f ca="1">IF(NOT(ISBLANK(QCI.DescManual)),OFFSET(A12,-1,0),D12)</f>
        <v>-1</v>
      </c>
      <c r="B12" t="str">
        <f ca="1">IF(NOT(ISBLANK(QCI.DescManual)),IF(QCI.Divisao="Calculado","Manual","SemiAuto"),IF(ISERROR(MATCH($A12,ORÇAMENTO!$E$15:$E$231,0)),"Branco","Automático"))</f>
        <v>Branco</v>
      </c>
      <c r="C12" t="str">
        <f ca="1">IF(O12&gt;0,"F","")</f>
        <v/>
      </c>
      <c r="D12" s="282">
        <f>ROW()-ROW($D$13)</f>
        <v>-1</v>
      </c>
      <c r="E12" s="119"/>
      <c r="F12" s="119"/>
      <c r="G12" s="164" t="str">
        <f ca="1">IF(OR($B12="Manual",$B12="SemiAuto"),QCI.DescManual,IF($B12="Automático",INDEX(ORÇAMENTO!$R$15:$R$231,MATCH($A12,ORÇAMENTO!$E$15:$E$231,0)),""))</f>
        <v/>
      </c>
      <c r="H12" s="119"/>
      <c r="I12" s="465"/>
      <c r="J12" s="283" t="str">
        <f ca="1">IF(AND(ISBLANK(E12),ISBLANK(F12)),"",VLOOKUP($F12,OFFSET(DADOS!$A$2,1,MATCH(QCI!$E12,DADOS!$2:$2,0)-1,100,50),2,FALSE))</f>
        <v/>
      </c>
      <c r="K12" s="464" t="str">
        <f ca="1">IF(OR($B12="Manual",$B12="SemiAuto"),QCI.LoteManual,IF($B12="Automático",IF(TIPOORCAMENTO="Licitado",Import.CTEF,"LOTE 1"),""))</f>
        <v/>
      </c>
      <c r="L12" s="284">
        <f ca="1">ROUND($O12,2)-ROUND($M12,2)-ROUND($N12,2)</f>
        <v>0</v>
      </c>
      <c r="M12" s="285">
        <f ca="1">ROUND($AA12,2)-ROUND($AE12,2)</f>
        <v>0</v>
      </c>
      <c r="N12" s="286">
        <f ca="1">ROUND($AB12,2)</f>
        <v>0</v>
      </c>
      <c r="O12" s="287">
        <f ca="1">IF($B12="Branco",0,IF(OR($B12="Manual",$B12="SemiAuto"),QCI.InvManual,INDEX(ORÇAMENTO!X$15:X$231,MATCH($A12,ORÇAMENTO!$E$15:$E$231,0))))</f>
        <v>0</v>
      </c>
      <c r="P12" s="578" t="str">
        <f ca="1">IF(O12=0,"",
  IF(E12="","ITEM",
  IF(F12="","SUBITEM",
  IF(H12="","SITUAÇÃO",
  IF(I12=0,"QUANT.","")))))</f>
        <v/>
      </c>
      <c r="R12" s="466"/>
      <c r="S12" s="579" t="str">
        <f>IF(R12="","",
  IF(T12=0,"► LOTE",
  IF(U12=0,"► INVEST",
  IF(V12=0,"► DIV",
  IF(AND(V12="Calculado",W12=""),"► CP",
  IF(AND(V12="Calculado",X12=""),"► OU",""))))))</f>
        <v/>
      </c>
      <c r="T12" s="467"/>
      <c r="U12" s="580"/>
      <c r="V12" s="468" t="s">
        <v>820</v>
      </c>
      <c r="W12" s="581"/>
      <c r="X12" s="582"/>
      <c r="Z12">
        <f ca="1">$O12-$AA12-$AB12</f>
        <v>0</v>
      </c>
      <c r="AA12">
        <f ca="1">IF($B12="Branco",0,IF($B12="Manual",QCI.CPManual,IF($B12="SemiAuto",ROUND(QCI!$AA$3*QCI.InvManual,2),INDEX(ORÇAMENTO!$AA$15:$AA$231,MATCH($A12,ORÇAMENTO!$E$15:$E$231,0)))))</f>
        <v>0</v>
      </c>
      <c r="AB12">
        <f ca="1">IF($B12="Branco",0,IF($B12="Manual",QCI.OutrosManual,IF($B12="SemiAuto",0,INDEX(ORÇAMENTO!$AB$15:$AB$231,MATCH($A12,ORÇAMENTO!$E$15:$E$231,0)))))</f>
        <v>0</v>
      </c>
      <c r="AD12" s="290" t="b">
        <f ca="1">AND($AA$3&gt;0,$AA$3&lt;1,$O12&gt;0,OR($B12="Automático",$B12="SemiAuto"),OR(QCI!$Z$3=QCI!$Z$7,QCI!$Z$3=QCI!$AA$7,QCI!$Z$3=QCI!$AB$7))</f>
        <v>0</v>
      </c>
      <c r="AE12" s="290">
        <f ca="1">IF(AND($AD12,$O12&gt;0,COUNTIF(OFFSET($AD12,1,0):$AD$15,TRUE)=0),CHOOSE(1+LOG(1+2*(QCI!$Z$3=QCI!$Z$7)+4*(QCI!$Z$3=QCI!$AA$7)+8*(QCI!$Z$3=QCI!$AB$7),2),0,$AA$15-ROUND(Import.CPMinPerc*$O$15,2),$AA$15-Import.CPMinAbsoluta,Import.Repasse-$Z$15),0)</f>
        <v>0</v>
      </c>
    </row>
    <row r="13" spans="1:31" ht="25.5" customHeight="1" x14ac:dyDescent="0.2">
      <c r="A13" s="86">
        <v>0</v>
      </c>
      <c r="B13" s="291" t="s">
        <v>821</v>
      </c>
      <c r="C13" s="107" t="s">
        <v>661</v>
      </c>
      <c r="D13" s="108" t="s">
        <v>702</v>
      </c>
      <c r="E13" s="108" t="s">
        <v>822</v>
      </c>
      <c r="F13" s="108" t="s">
        <v>823</v>
      </c>
      <c r="G13" s="108" t="s">
        <v>824</v>
      </c>
      <c r="H13" s="108" t="s">
        <v>670</v>
      </c>
      <c r="I13" s="108" t="s">
        <v>713</v>
      </c>
      <c r="J13" s="108" t="s">
        <v>825</v>
      </c>
      <c r="K13" s="108" t="s">
        <v>826</v>
      </c>
      <c r="L13" s="646" t="str">
        <f>IF(import.recurso="FGTS","Financiamento (R$)","Repasse (R$)")</f>
        <v>Financiamento (R$)</v>
      </c>
      <c r="M13" s="647" t="s">
        <v>827</v>
      </c>
      <c r="N13" s="292" t="s">
        <v>743</v>
      </c>
      <c r="O13" s="108" t="s">
        <v>828</v>
      </c>
      <c r="R13" s="293" t="s">
        <v>824</v>
      </c>
      <c r="T13" s="293" t="s">
        <v>826</v>
      </c>
      <c r="U13" s="160" t="s">
        <v>828</v>
      </c>
      <c r="V13" s="294" t="s">
        <v>829</v>
      </c>
      <c r="W13" s="159" t="s">
        <v>827</v>
      </c>
      <c r="X13" s="161" t="s">
        <v>743</v>
      </c>
    </row>
    <row r="14" spans="1:31" s="675" customFormat="1" ht="30" customHeight="1" x14ac:dyDescent="0.2">
      <c r="A14" s="675">
        <f t="shared" ref="A14" ca="1" si="0">IF(NOT(ISBLANK(QCI.DescManual)),OFFSET(A14,-1,0),D14)</f>
        <v>1</v>
      </c>
      <c r="B14" s="675" t="str">
        <f ca="1">IF(NOT(ISBLANK(QCI.DescManual)),IF(QCI.Divisao="Calculado","Manual","SemiAuto"),IF(ISERROR(MATCH($A14,ORÇAMENTO!$E$15:$E$231,0)),"Branco","Automático"))</f>
        <v>Automático</v>
      </c>
      <c r="C14" s="675" t="str">
        <f t="shared" ref="C14" ca="1" si="1">IF(O14&gt;0,"F","")</f>
        <v/>
      </c>
      <c r="D14" s="282">
        <f t="shared" ref="D14" si="2">ROW()-ROW($D$13)</f>
        <v>1</v>
      </c>
      <c r="E14" s="119" t="s">
        <v>105</v>
      </c>
      <c r="F14" s="119" t="s">
        <v>174</v>
      </c>
      <c r="G14" s="164" t="str">
        <f ca="1">IF(OR($B14="Manual",$B14="SemiAuto"),QCI.DescManual,IF($B14="Automático",INDEX(ORÇAMENTO!$R$15:$R$231,MATCH($A14,ORÇAMENTO!$E$15:$E$231,0)),""))</f>
        <v>ELEVATÓRIA DE ESGOTO BRUTO ACLIMAÇÃO, LINHA DE RECALQUE E EMISSÁRIO DE ESGOTO</v>
      </c>
      <c r="H14" s="119" t="s">
        <v>1096</v>
      </c>
      <c r="I14" s="465">
        <v>6262</v>
      </c>
      <c r="J14" s="283" t="str">
        <f ca="1">IF(AND(ISBLANK(E14),ISBLANK(F14)),"",VLOOKUP($F14,OFFSET(DADOS!$A$2,1,MATCH(QCI!$E14,DADOS!$2:$2,0)-1,100,50),2,FALSE))</f>
        <v>m</v>
      </c>
      <c r="K14" s="464" t="str">
        <f ca="1">IF(OR($B14="Manual",$B14="SemiAuto"),QCI.LoteManual,IF($B14="Automático",IF(TIPOORCAMENTO="Licitado",Import.CTEF,"LOTE 1"),""))</f>
        <v>LOTE 1</v>
      </c>
      <c r="L14" s="284">
        <f t="shared" ref="L14" ca="1" si="3">ROUND($O14,2)-ROUND($M14,2)-ROUND($N14,2)</f>
        <v>0</v>
      </c>
      <c r="M14" s="285">
        <f t="shared" ref="M14" ca="1" si="4">ROUND($AA14,2)-ROUND($AE14,2)</f>
        <v>0</v>
      </c>
      <c r="N14" s="286">
        <f t="shared" ref="N14" ca="1" si="5">ROUND($AB14,2)</f>
        <v>0</v>
      </c>
      <c r="O14" s="287">
        <f ca="1">IF($B14="Branco",0,IF(OR($B14="Manual",$B14="SemiAuto"),QCI.InvManual,INDEX(ORÇAMENTO!X$15:X$231,MATCH($A14,ORÇAMENTO!$E$15:$E$231,0))))</f>
        <v>0</v>
      </c>
      <c r="P14" s="578" t="str">
        <f t="shared" ref="P14" ca="1" si="6">IF(O14=0,"",
  IF(E14="","ITEM",
  IF(F14="","SUBITEM",
  IF(H14="","SITUAÇÃO",
  IF(I14=0,"QUANT.","")))))</f>
        <v/>
      </c>
      <c r="R14" s="466"/>
      <c r="S14" s="579" t="str">
        <f t="shared" ref="S14" si="7">IF(R14="","",
  IF(T14=0,"► LOTE",
  IF(U14=0,"► INVEST",
  IF(V14=0,"► DIV",
  IF(AND(V14="Calculado",W14=""),"► CP",
  IF(AND(V14="Calculado",X14=""),"► OU",""))))))</f>
        <v/>
      </c>
      <c r="T14" s="467"/>
      <c r="U14" s="580"/>
      <c r="V14" s="468" t="s">
        <v>820</v>
      </c>
      <c r="W14" s="581"/>
      <c r="X14" s="582"/>
      <c r="Z14" s="675">
        <f t="shared" ref="Z14" ca="1" si="8">$O14-$AA14-$AB14</f>
        <v>0</v>
      </c>
      <c r="AA14" s="675">
        <f ca="1">IF($B14="Branco",0,IF($B14="Manual",QCI.CPManual,IF($B14="SemiAuto",ROUND(QCI!$AA$3*QCI.InvManual,2),INDEX(ORÇAMENTO!$AA$15:$AA$231,MATCH($A14,ORÇAMENTO!$E$15:$E$231,0)))))</f>
        <v>0</v>
      </c>
      <c r="AB14" s="675">
        <f ca="1">IF($B14="Branco",0,IF($B14="Manual",QCI.OutrosManual,IF($B14="SemiAuto",0,INDEX(ORÇAMENTO!$AB$15:$AB$231,MATCH($A14,ORÇAMENTO!$E$15:$E$231,0)))))</f>
        <v>0</v>
      </c>
      <c r="AD14" s="290" t="b">
        <f ca="1">AND($AA$3&gt;0,$AA$3&lt;1,$O14&gt;0,OR($B14="Automático",$B14="SemiAuto"),OR(QCI!$Z$3=QCI!$Z$7,QCI!$Z$3=QCI!$AA$7,QCI!$Z$3=QCI!$AB$7))</f>
        <v>0</v>
      </c>
      <c r="AE14" s="290">
        <f ca="1">IF(AND($AD14,$O14&gt;0,COUNTIF(OFFSET($AD14,1,0):$AD$15,TRUE)=0),CHOOSE(1+LOG(1+2*(QCI!$Z$3=QCI!$Z$7)+4*(QCI!$Z$3=QCI!$AA$7)+8*(QCI!$Z$3=QCI!$AB$7),2),0,$AA$15-ROUND(Import.CPMinPerc*$O$15,2),$AA$15-Import.CPMinAbsoluta,Import.Repasse-$Z$15),0)</f>
        <v>0</v>
      </c>
    </row>
    <row r="15" spans="1:31" ht="15" x14ac:dyDescent="0.2">
      <c r="B15" t="s">
        <v>830</v>
      </c>
      <c r="C15" t="s">
        <v>537</v>
      </c>
      <c r="D15" s="295"/>
      <c r="E15" s="296"/>
      <c r="F15" s="296"/>
      <c r="G15" s="296"/>
      <c r="H15" s="296"/>
      <c r="I15" s="296"/>
      <c r="J15" s="296"/>
      <c r="K15" s="828" t="s">
        <v>831</v>
      </c>
      <c r="L15" s="297">
        <f ca="1">SUM(L13:OFFSET(L15,-1,0))</f>
        <v>0</v>
      </c>
      <c r="M15" s="298">
        <f ca="1">SUM(M13:OFFSET(M15,-1,0))</f>
        <v>0</v>
      </c>
      <c r="N15" s="299">
        <f ca="1">SUM(N13:OFFSET(N15,-1,0))</f>
        <v>0</v>
      </c>
      <c r="O15" s="300">
        <f ca="1">SUM(O13:OFFSET(O15,-1,0))</f>
        <v>0</v>
      </c>
      <c r="R15" s="301"/>
      <c r="T15" s="302"/>
      <c r="U15" s="303"/>
      <c r="V15" s="304"/>
      <c r="W15" s="305"/>
      <c r="X15" s="306"/>
      <c r="Z15" s="89">
        <f ca="1">SUMPRODUCT(ROUND(Z13:OFFSET(Z15,-1,0),2))</f>
        <v>0</v>
      </c>
      <c r="AA15" s="89">
        <f ca="1">SUMPRODUCT(ROUND(AA13:OFFSET(AA15,-1,0),2))</f>
        <v>0</v>
      </c>
      <c r="AB15" s="89">
        <f ca="1">SUM(AB13:OFFSET(AB15,-1,0))</f>
        <v>0</v>
      </c>
    </row>
    <row r="16" spans="1:31" x14ac:dyDescent="0.2">
      <c r="B16" t="s">
        <v>832</v>
      </c>
      <c r="C16" t="s">
        <v>537</v>
      </c>
      <c r="D16" s="307"/>
      <c r="E16" s="308"/>
      <c r="F16" s="308"/>
      <c r="G16" s="308"/>
      <c r="H16" s="308"/>
      <c r="I16" s="308"/>
      <c r="J16" s="308"/>
      <c r="K16" s="828"/>
      <c r="L16" s="309">
        <f ca="1">IF(ISERROR(L15/$O15),0,ROUND(L15/$O15,4))</f>
        <v>0</v>
      </c>
      <c r="M16" s="310">
        <f ca="1">IF(ISERROR(M15/$O15),0,ROUND(M15/$O15,4))</f>
        <v>0</v>
      </c>
      <c r="N16" s="311">
        <f ca="1">IF(ISERROR(N15/$O15),0,ROUND(N15/$O15,4))</f>
        <v>0</v>
      </c>
      <c r="O16" s="312">
        <f ca="1">IF(ISERROR(O15/$O15),0,ROUND(O15/$O15,4))</f>
        <v>0</v>
      </c>
      <c r="R16" s="313"/>
      <c r="T16" s="314"/>
      <c r="U16" s="315"/>
      <c r="V16" s="316"/>
      <c r="W16" s="317"/>
      <c r="X16" s="318"/>
    </row>
    <row r="18" spans="4:15" ht="14.25" x14ac:dyDescent="0.2">
      <c r="D18" s="136" t="s">
        <v>690</v>
      </c>
    </row>
    <row r="19" spans="4:15" ht="12.75" customHeight="1" x14ac:dyDescent="0.2">
      <c r="D19" s="762"/>
      <c r="E19" s="762"/>
      <c r="F19" s="762"/>
      <c r="G19" s="762"/>
      <c r="H19" s="762"/>
      <c r="I19" s="762"/>
      <c r="J19" s="762"/>
      <c r="K19" s="762"/>
      <c r="L19" s="762"/>
      <c r="M19" s="762"/>
      <c r="N19" s="762"/>
      <c r="O19" s="762"/>
    </row>
    <row r="20" spans="4:15" ht="12.75" customHeight="1" x14ac:dyDescent="0.2">
      <c r="D20" s="762"/>
      <c r="E20" s="762"/>
      <c r="F20" s="762"/>
      <c r="G20" s="762"/>
      <c r="H20" s="762"/>
      <c r="I20" s="762"/>
      <c r="J20" s="762"/>
      <c r="K20" s="762"/>
      <c r="L20" s="762"/>
      <c r="M20" s="762"/>
      <c r="N20" s="762"/>
      <c r="O20" s="762"/>
    </row>
    <row r="21" spans="4:15" ht="12.75" customHeight="1" x14ac:dyDescent="0.2">
      <c r="D21" s="762"/>
      <c r="E21" s="762"/>
      <c r="F21" s="762"/>
      <c r="G21" s="762"/>
      <c r="H21" s="762"/>
      <c r="I21" s="762"/>
      <c r="J21" s="762"/>
      <c r="K21" s="762"/>
      <c r="L21" s="762"/>
      <c r="M21" s="762"/>
      <c r="N21" s="762"/>
      <c r="O21" s="762"/>
    </row>
    <row r="24" spans="4:15" ht="15" x14ac:dyDescent="0.2">
      <c r="D24" s="764" t="str">
        <f>Import.Município</f>
        <v>PASSOS/MG</v>
      </c>
      <c r="E24" s="764"/>
      <c r="F24" s="764"/>
      <c r="I24" s="140"/>
      <c r="J24" s="140"/>
      <c r="K24" s="181"/>
      <c r="L24" s="181"/>
    </row>
    <row r="25" spans="4:15" x14ac:dyDescent="0.2">
      <c r="D25" s="9" t="s">
        <v>694</v>
      </c>
      <c r="I25" s="182" t="s">
        <v>833</v>
      </c>
      <c r="J25" s="182"/>
    </row>
    <row r="26" spans="4:15" x14ac:dyDescent="0.2">
      <c r="I26" s="77" t="str">
        <f>"Nome:" &amp;  " " &amp; DADOS!C28</f>
        <v>Nome: DIEGO RODRIGO OLIVEIRA</v>
      </c>
    </row>
    <row r="27" spans="4:15" x14ac:dyDescent="0.2">
      <c r="D27" s="758">
        <f>DADOS!$C$25</f>
        <v>45945</v>
      </c>
      <c r="E27" s="758"/>
      <c r="F27" s="758"/>
      <c r="I27" s="77" t="str">
        <f>"Cargo:"  &amp; " " &amp; DADOS!C29</f>
        <v>Cargo: PREFEITO MUNICIPAL</v>
      </c>
    </row>
    <row r="28" spans="4:15" x14ac:dyDescent="0.2">
      <c r="D28" s="141" t="s">
        <v>695</v>
      </c>
      <c r="E28" s="1"/>
      <c r="F28" s="1"/>
      <c r="K28" s="77"/>
      <c r="L28" s="78"/>
    </row>
  </sheetData>
  <sheetProtection algorithmName="SHA-512" hashValue="fl+B5x9s49ewjNewXfVJ4pXP+265GhAkOSSSiCv63OSCEdSlDDJrM3PITj9yn9w3JCSxGKL8v7qsivU1OhI5Og==" saltValue="h1EurHh4VxeZ9CQVFzwb4g==" spinCount="100000" sheet="1" objects="1" scenarios="1" autoFilter="0"/>
  <autoFilter ref="C13:C16" xr:uid="{00000000-0009-0000-0000-00000A000000}"/>
  <mergeCells count="20">
    <mergeCell ref="D6:K6"/>
    <mergeCell ref="A10:A11"/>
    <mergeCell ref="Z10:AB10"/>
    <mergeCell ref="D27:F27"/>
    <mergeCell ref="D19:O21"/>
    <mergeCell ref="D24:F24"/>
    <mergeCell ref="AD10:AE10"/>
    <mergeCell ref="K15:K16"/>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T14:V14">
    <cfRule type="expression" dxfId="241" priority="757" stopIfTrue="1">
      <formula>OR($B12="Automático",$B12="Branco")</formula>
    </cfRule>
  </conditionalFormatting>
  <conditionalFormatting sqref="L12 L14">
    <cfRule type="expression" dxfId="240" priority="758" stopIfTrue="1">
      <formula>OR(L12&lt;0,AND(L$13="Contrapartida Financeira (R$)",$B12="T%",OR(L12&lt;Import.CPMinPerc,AND(L12&gt;Import.CPMaxPerc,Import.CPMaxPerc&gt;0))),AND(L$13="Contrapartida Financeira (R$)",$B12="TR$",L12&lt;Import.CPMinAbsoluta))</formula>
    </cfRule>
  </conditionalFormatting>
  <conditionalFormatting sqref="W12:X12 W14:X14">
    <cfRule type="expression" dxfId="239" priority="759" stopIfTrue="1">
      <formula>OR($B12="Automático",$B12="Branco",$V12&lt;&gt;"Calculado")</formula>
    </cfRule>
  </conditionalFormatting>
  <conditionalFormatting sqref="M16">
    <cfRule type="expression" dxfId="238" priority="761" stopIfTrue="1">
      <formula>AND($G$9&lt;&gt;"",OR($M$16&lt;Import.CPMinPerc,$M$16&gt;Import.CPMaxPerc))</formula>
    </cfRule>
  </conditionalFormatting>
  <conditionalFormatting sqref="M15">
    <cfRule type="expression" dxfId="237" priority="762" stopIfTrue="1">
      <formula>AND($G$9&lt;&gt;"",$M$15&lt;Import.CPMinAbsoluta)</formula>
    </cfRule>
  </conditionalFormatting>
  <conditionalFormatting sqref="L10:M10">
    <cfRule type="cellIs" dxfId="236" priority="763" stopIfTrue="1" operator="lessThan">
      <formula>0</formula>
    </cfRule>
  </conditionalFormatting>
  <conditionalFormatting sqref="G12">
    <cfRule type="cellIs" dxfId="235" priority="764" stopIfTrue="1" operator="equal">
      <formula>"(digite a descrição aqui)"</formula>
    </cfRule>
  </conditionalFormatting>
  <conditionalFormatting sqref="G14">
    <cfRule type="cellIs" dxfId="234" priority="11" stopIfTrue="1" operator="equal">
      <formula>"(digite a descrição aqui)"</formula>
    </cfRule>
  </conditionalFormatting>
  <dataValidations count="9">
    <dataValidation type="decimal" operator="greaterThan" allowBlank="1" showErrorMessage="1" error="Digite apenas números decimais maiores do que 0." sqref="U12 U14" xr:uid="{00000000-0002-0000-0A00-000000000000}">
      <formula1>0</formula1>
      <formula2>0</formula2>
    </dataValidation>
    <dataValidation type="list" allowBlank="1" sqref="E12 E14" xr:uid="{00000000-0002-0000-0A00-000001000000}">
      <formula1>QCI.ItemInvestimento</formula1>
      <formula2>0</formula2>
    </dataValidation>
    <dataValidation type="list" allowBlank="1" sqref="F12 F14" xr:uid="{00000000-0002-0000-0A00-000002000000}">
      <formula1>QCI.SubItemInvestimento</formula1>
      <formula2>0</formula2>
    </dataValidation>
    <dataValidation type="list" allowBlank="1" sqref="H12 H14" xr:uid="{00000000-0002-0000-0A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 xr:uid="{00000000-0002-0000-0A00-000004000000}">
      <formula1>0</formula1>
      <formula2>0</formula2>
    </dataValidation>
    <dataValidation type="list" allowBlank="1" showErrorMessage="1" sqref="V12 V14" xr:uid="{00000000-0002-0000-0A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 xr:uid="{00000000-0002-0000-0A00-000007000000}">
      <formula1>0</formula1>
      <formula2>QCI.MaxOUManual</formula2>
    </dataValidation>
    <dataValidation allowBlank="1" showInputMessage="1" showErrorMessage="1" prompt="Preencha somente se a meta não fizer parte do Orçamento desta Plan. Mult." sqref="R12 R14" xr:uid="{00000000-0002-0000-0A00-000008000000}"/>
  </dataValidations>
  <pageMargins left="0.78740157480314998" right="0.78740157480314998" top="0.78740157480314998" bottom="0.78740157480314998" header="0.59055118110236204" footer="0.59055118110236204"/>
  <pageSetup paperSize="9" scale="63" firstPageNumber="0" fitToHeight="0" orientation="landscape" verticalDpi="300" r:id="rId1"/>
  <headerFooter alignWithMargins="0">
    <oddHeader>&amp;L_&amp;C&amp;14I</oddHeader>
    <oddFooter>&amp;LPMv3.12&amp;R&amp;P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idden="1" x14ac:dyDescent="0.2">
      <c r="A1" s="7" t="e">
        <f ca="1">IF(AUTOEVENTO="Manual",IF(OFFSET(EVENTOS!$F$14,PLE!$B1,0)&gt;0,"F",""),IF(PLE!B1&lt;=MAX(CÁLCULO!$M$15:$M$231),"F",""))</f>
        <v>#REF!</v>
      </c>
      <c r="B1" s="248" t="e">
        <f ca="1">OFFSET(B1,-1,0)+1</f>
        <v>#REF!</v>
      </c>
      <c r="C1" s="832" t="e">
        <f ca="1">IF(AUTOEVENTO="Manual",OFFSET(EVENTOS!$D$15,$B1-$B$15,0),IF(B1&lt;=MAX(CÁLCULO!$M$15:$M$231),VLOOKUP($B1,CÁLCULO!$M$15:$N$231,2,FALSE),0))</f>
        <v>#REF!</v>
      </c>
      <c r="D1" s="832"/>
      <c r="F1" s="249"/>
      <c r="H1" s="249"/>
      <c r="I1" s="249"/>
      <c r="J1" s="249"/>
      <c r="K1" s="249"/>
      <c r="L1" s="249"/>
      <c r="M1" s="249"/>
      <c r="N1" s="249"/>
      <c r="O1" s="249"/>
      <c r="P1" s="249"/>
      <c r="Q1" s="249"/>
      <c r="R1" s="249"/>
      <c r="S1" s="249"/>
      <c r="T1" s="249"/>
      <c r="U1" s="249"/>
      <c r="V1" s="249"/>
      <c r="W1" s="249"/>
      <c r="X1" s="249"/>
      <c r="Y1" s="249"/>
      <c r="Z1" s="249"/>
      <c r="AA1" s="249"/>
      <c r="AB1" s="249"/>
      <c r="AC1" s="249"/>
      <c r="AD1" s="249"/>
      <c r="AE1" s="249"/>
      <c r="AF1" s="249"/>
    </row>
    <row r="2" spans="1:33" hidden="1" x14ac:dyDescent="0.2">
      <c r="A2" s="7"/>
      <c r="B2" s="7"/>
      <c r="C2" s="12"/>
      <c r="D2" s="12"/>
      <c r="F2" s="439"/>
    </row>
    <row r="3" spans="1:33" ht="15.75" x14ac:dyDescent="0.25">
      <c r="H3" s="207" t="s">
        <v>834</v>
      </c>
      <c r="AD3" s="729" t="s">
        <v>645</v>
      </c>
      <c r="AE3" s="729"/>
      <c r="AF3" s="729"/>
    </row>
    <row r="4" spans="1:33" ht="15.75" x14ac:dyDescent="0.2">
      <c r="B4" s="82"/>
      <c r="C4" s="82"/>
      <c r="H4" s="83" t="str">
        <f>import.recurso</f>
        <v>FGTS</v>
      </c>
      <c r="AD4" s="730" t="s">
        <v>648</v>
      </c>
      <c r="AE4" s="730"/>
      <c r="AF4" s="730"/>
    </row>
    <row r="6" spans="1:33" x14ac:dyDescent="0.2">
      <c r="B6" s="209" t="s">
        <v>651</v>
      </c>
      <c r="C6" s="264"/>
      <c r="D6" s="211" t="s">
        <v>708</v>
      </c>
      <c r="E6" s="4"/>
      <c r="H6" s="212" t="s">
        <v>789</v>
      </c>
      <c r="I6" s="187"/>
      <c r="J6" s="187"/>
      <c r="K6" s="187"/>
      <c r="L6" s="186"/>
      <c r="M6" s="186"/>
      <c r="N6" s="265"/>
      <c r="O6" s="209" t="s">
        <v>759</v>
      </c>
      <c r="P6" s="213"/>
      <c r="R6" s="187"/>
      <c r="S6" s="187"/>
      <c r="T6" s="187"/>
      <c r="U6" s="210"/>
      <c r="V6" s="209" t="str">
        <f>IF(TIPOORCAMENTO="Licitado","NOME DA EMPRESA","DESCRIÇÃO DO LOTE")</f>
        <v>DESCRIÇÃO DO LOTE</v>
      </c>
      <c r="W6" s="187"/>
      <c r="X6" s="187"/>
      <c r="Y6" s="187"/>
      <c r="AD6" s="4"/>
      <c r="AE6" s="847" t="str">
        <f>IF(TIPOORCAMENTO="Licitado","Nº CTEF","")</f>
        <v/>
      </c>
      <c r="AF6" s="847"/>
    </row>
    <row r="7" spans="1:33" x14ac:dyDescent="0.2">
      <c r="B7" s="811" t="str">
        <f>Import.CR</f>
        <v>0639.998-99</v>
      </c>
      <c r="C7" s="811"/>
      <c r="D7" s="215" t="str">
        <f>Import.TransfereGOV</f>
        <v>56000003291</v>
      </c>
      <c r="E7" s="42"/>
      <c r="H7" s="821" t="str">
        <f>Import.Proponente</f>
        <v>PREFEITURA MUNICIPAL DE PASSOS/MG</v>
      </c>
      <c r="I7" s="821"/>
      <c r="J7" s="821"/>
      <c r="K7" s="821"/>
      <c r="L7" s="821"/>
      <c r="M7" s="821"/>
      <c r="N7" s="821"/>
      <c r="O7" s="811" t="str">
        <f>Import.Apelido</f>
        <v>AMPLIAÇÃO DO SISTEMA DE ESGOTAMENTO SANITÁRIO</v>
      </c>
      <c r="P7" s="811"/>
      <c r="Q7" s="811"/>
      <c r="R7" s="811"/>
      <c r="S7" s="811"/>
      <c r="T7" s="811"/>
      <c r="U7" s="811"/>
      <c r="V7" s="811" t="str">
        <f>IF(TIPOORCAMENTO="Licitado",Import.empresa,Import.DescLote)</f>
        <v>ELEVATÓRIA DE ESGOTO BRUTO ACLIMAÇÃO, LINHA DE RECALQUE E EMISSÁRIO DE ESGOTO</v>
      </c>
      <c r="W7" s="811"/>
      <c r="X7" s="811"/>
      <c r="Y7" s="811"/>
      <c r="Z7" s="811"/>
      <c r="AA7" s="811"/>
      <c r="AB7" s="811"/>
      <c r="AC7" s="811"/>
      <c r="AD7" s="811"/>
      <c r="AE7" s="848" t="str">
        <f>IF(TIPOORCAMENTO="Licitado",Import.CTEF,"")</f>
        <v/>
      </c>
      <c r="AF7" s="848"/>
      <c r="AG7" s="266"/>
    </row>
    <row r="9" spans="1:33" ht="15.75" x14ac:dyDescent="0.25">
      <c r="A9" s="166">
        <v>0</v>
      </c>
      <c r="B9" s="267"/>
      <c r="C9" s="267"/>
      <c r="I9" s="268" t="s">
        <v>835</v>
      </c>
      <c r="J9" s="850">
        <v>1</v>
      </c>
      <c r="K9" s="850"/>
      <c r="M9" s="268" t="s">
        <v>800</v>
      </c>
      <c r="N9" s="851" t="str">
        <f ca="1">TEXT(IF(PLE.Medicao=1,Import.DataInicioObra,OFFSET($H$68,0,1+(PLE.Medicao-$I$69)*2-2)+1),"dd/mm/aaaa")&amp;" a "&amp;TEXT(OFFSET($H$68,0,1+(PLE.Medicao-$I$69)*2),"dd/mm/aaaa")</f>
        <v>00/01/1900 a 00/01/1900</v>
      </c>
      <c r="O9" s="851"/>
      <c r="P9" s="851"/>
      <c r="Q9" s="851"/>
      <c r="R9" s="851"/>
      <c r="S9" s="851"/>
      <c r="T9" s="851"/>
      <c r="U9" s="269"/>
      <c r="X9" s="268" t="s">
        <v>836</v>
      </c>
      <c r="Y9" s="849" t="e">
        <f ca="1">OFFSET($I$69,1+8*(ROUNDUP(($J$9-0)/((COLUMN($AG$14)-COLUMN($G$14)-1)/25*12),0)-1),ROUNDDOWN((($J$9-0)-OFFSET($I$69,8*(ROUNDUP(($J$9-0)/((COLUMN($AG$14)-COLUMN($G$14)-1)/25*12),0)-1),0))*(2+1/12),0))</f>
        <v>#DIV/0!</v>
      </c>
      <c r="Z9" s="849"/>
      <c r="AD9" s="268" t="s">
        <v>837</v>
      </c>
      <c r="AE9" s="849" t="e">
        <f ca="1">OFFSET($I$69,3+8*(ROUNDUP(($J$9-0)/((COLUMN($AG$14)-COLUMN($G$14)-1)/25*12),0)-1),ROUNDDOWN((($J$9-0)-OFFSET($I$69,8*(ROUNDUP(($J$9-0)/((COLUMN($AG$14)-COLUMN($G$14)-1)/25*12),0)-1),0))*(2+1/12),0))</f>
        <v>#DIV/0!</v>
      </c>
      <c r="AF9" s="849"/>
    </row>
    <row r="11" spans="1:33" ht="65.25" customHeight="1" x14ac:dyDescent="0.2">
      <c r="A11" s="251" t="s">
        <v>838</v>
      </c>
      <c r="C11" s="846" t="e">
        <f ca="1">IF(_xlfn.SINGLE(TIPOORCAMENTO)="proposto","ALTERE O TIPO DE ORÇAMENTO NA ABA 'MENU' PARA LICITADO.",
 IF(_xlfn.SINGLE(ACOMPANHAMENTO)="BM","FOI SELECIONADO NA ABA 'MENU' O ACOMPANHAMENTO POR BM.",
 IF(AND(PLE.Medicao=1,DADOS!$C$47=0),"PREENCHER A DATA DE INÍCIO DA OBRA, NA ABA DADOS",
 IF($Y$9=0,"PREENCHER A MEDIÇÃO "&amp;PLE.Medicao,
 IF($H$68&lt;&gt;"",UPPER($H$68),
 IF($S$77&lt;&gt;"",UPPER($S$77),""))))))</f>
        <v>#NAME?</v>
      </c>
      <c r="D11" s="846"/>
      <c r="F11" s="253">
        <f ca="1">IF(F$12&gt;CÁLCULO.NúmeroDeFrentes,"",OFFSET(CÁLCULO!$P$12,0,F$12))</f>
        <v>0</v>
      </c>
      <c r="H11" s="253">
        <f ca="1">IF(H$12&gt;CÁLCULO.NúmeroDeFrentes,"",OFFSET(CÁLCULO!$P$12,0,H$12))</f>
        <v>0</v>
      </c>
      <c r="I11" s="253">
        <f ca="1">IF(I$12&gt;CÁLCULO.NúmeroDeFrentes,"",OFFSET(CÁLCULO!$P$12,0,I$12))</f>
        <v>0</v>
      </c>
      <c r="J11" s="253">
        <f ca="1">IF(J$12&gt;CÁLCULO.NúmeroDeFrentes,"",OFFSET(CÁLCULO!$P$12,0,J$12))</f>
        <v>0</v>
      </c>
      <c r="K11" s="253">
        <f ca="1">IF(K$12&gt;CÁLCULO.NúmeroDeFrentes,"",OFFSET(CÁLCULO!$P$12,0,K$12))</f>
        <v>0</v>
      </c>
      <c r="L11" s="253">
        <f ca="1">IF(L$12&gt;CÁLCULO.NúmeroDeFrentes,"",OFFSET(CÁLCULO!$P$12,0,L$12))</f>
        <v>0</v>
      </c>
      <c r="M11" s="253">
        <f ca="1">IF(M$12&gt;CÁLCULO.NúmeroDeFrentes,"",OFFSET(CÁLCULO!$P$12,0,M$12))</f>
        <v>0</v>
      </c>
      <c r="N11" s="253">
        <f ca="1">IF(N$12&gt;CÁLCULO.NúmeroDeFrentes,"",OFFSET(CÁLCULO!$P$12,0,N$12))</f>
        <v>0</v>
      </c>
      <c r="O11" s="253">
        <f ca="1">IF(O$12&gt;CÁLCULO.NúmeroDeFrentes,"",OFFSET(CÁLCULO!$P$12,0,O$12))</f>
        <v>0</v>
      </c>
      <c r="P11" s="253">
        <f ca="1">IF(P$12&gt;CÁLCULO.NúmeroDeFrentes,"",OFFSET(CÁLCULO!$P$12,0,P$12))</f>
        <v>0</v>
      </c>
      <c r="Q11" s="253">
        <f ca="1">IF(Q$12&gt;CÁLCULO.NúmeroDeFrentes,"",OFFSET(CÁLCULO!$P$12,0,Q$12))</f>
        <v>0</v>
      </c>
      <c r="R11" s="253" t="str">
        <f ca="1">IF(R$12&gt;CÁLCULO.NúmeroDeFrentes,"",OFFSET(CÁLCULO!$P$12,0,R$12))</f>
        <v/>
      </c>
      <c r="S11" s="253" t="str">
        <f ca="1">IF(S$12&gt;CÁLCULO.NúmeroDeFrentes,"",OFFSET(CÁLCULO!$P$12,0,S$12))</f>
        <v/>
      </c>
      <c r="T11" s="253" t="str">
        <f ca="1">IF(T$12&gt;CÁLCULO.NúmeroDeFrentes,"",OFFSET(CÁLCULO!$P$12,0,T$12))</f>
        <v/>
      </c>
      <c r="U11" s="253" t="str">
        <f ca="1">IF(U$12&gt;CÁLCULO.NúmeroDeFrentes,"",OFFSET(CÁLCULO!$P$12,0,U$12))</f>
        <v/>
      </c>
      <c r="V11" s="253" t="str">
        <f ca="1">IF(V$12&gt;CÁLCULO.NúmeroDeFrentes,"",OFFSET(CÁLCULO!$P$12,0,V$12))</f>
        <v/>
      </c>
      <c r="W11" s="253" t="str">
        <f ca="1">IF(W$12&gt;CÁLCULO.NúmeroDeFrentes,"",OFFSET(CÁLCULO!$P$12,0,W$12))</f>
        <v/>
      </c>
      <c r="X11" s="253" t="str">
        <f ca="1">IF(X$12&gt;CÁLCULO.NúmeroDeFrentes,"",OFFSET(CÁLCULO!$P$12,0,X$12))</f>
        <v/>
      </c>
      <c r="Y11" s="253" t="str">
        <f ca="1">IF(Y$12&gt;CÁLCULO.NúmeroDeFrentes,"",OFFSET(CÁLCULO!$P$12,0,Y$12))</f>
        <v/>
      </c>
      <c r="Z11" s="253" t="str">
        <f ca="1">IF(Z$12&gt;CÁLCULO.NúmeroDeFrentes,"",OFFSET(CÁLCULO!$P$12,0,Z$12))</f>
        <v/>
      </c>
      <c r="AA11" s="253" t="str">
        <f ca="1">IF(AA$12&gt;CÁLCULO.NúmeroDeFrentes,"",OFFSET(CÁLCULO!$P$12,0,AA$12))</f>
        <v/>
      </c>
      <c r="AB11" s="253" t="str">
        <f ca="1">IF(AB$12&gt;CÁLCULO.NúmeroDeFrentes,"",OFFSET(CÁLCULO!$P$12,0,AB$12))</f>
        <v/>
      </c>
      <c r="AC11" s="253" t="str">
        <f ca="1">IF(AC$12&gt;CÁLCULO.NúmeroDeFrentes,"",OFFSET(CÁLCULO!$P$12,0,AC$12))</f>
        <v/>
      </c>
      <c r="AD11" s="253" t="str">
        <f ca="1">IF(AD$12&gt;CÁLCULO.NúmeroDeFrentes,"",OFFSET(CÁLCULO!$P$12,0,AD$12))</f>
        <v/>
      </c>
      <c r="AE11" s="253" t="str">
        <f ca="1">IF(AE$12&gt;CÁLCULO.NúmeroDeFrentes,"",OFFSET(CÁLCULO!$P$12,0,AE$12))</f>
        <v/>
      </c>
      <c r="AF11" s="253" t="str">
        <f ca="1">IF(AF$12&gt;CÁLCULO.NúmeroDeFrentes,"",OFFSET(CÁLCULO!$P$12,0,AF$12))</f>
        <v/>
      </c>
    </row>
    <row r="12" spans="1:33" ht="12.75" customHeight="1" x14ac:dyDescent="0.2">
      <c r="A12" s="107" t="s">
        <v>661</v>
      </c>
      <c r="B12" s="803" t="s">
        <v>761</v>
      </c>
      <c r="C12" s="803" t="s">
        <v>779</v>
      </c>
      <c r="D12" s="803"/>
      <c r="F12" s="254">
        <f ca="1">OFFSET(F12,0,-1)+1</f>
        <v>1</v>
      </c>
      <c r="H12" s="254">
        <f ca="1">OFFSET(H12,0,-1)+1</f>
        <v>1</v>
      </c>
      <c r="I12" s="254">
        <f ca="1">OFFSET(I12,0,-1)+1</f>
        <v>2</v>
      </c>
      <c r="J12" s="254">
        <f t="shared" ref="J12:AF12" ca="1" si="0">OFFSET(J12,0,-1)+1</f>
        <v>3</v>
      </c>
      <c r="K12" s="254">
        <f t="shared" ca="1" si="0"/>
        <v>4</v>
      </c>
      <c r="L12" s="254">
        <f t="shared" ca="1" si="0"/>
        <v>5</v>
      </c>
      <c r="M12" s="254">
        <f t="shared" ca="1" si="0"/>
        <v>6</v>
      </c>
      <c r="N12" s="254">
        <f t="shared" ca="1" si="0"/>
        <v>7</v>
      </c>
      <c r="O12" s="254">
        <f t="shared" ca="1" si="0"/>
        <v>8</v>
      </c>
      <c r="P12" s="254">
        <f t="shared" ca="1" si="0"/>
        <v>9</v>
      </c>
      <c r="Q12" s="254">
        <f t="shared" ca="1" si="0"/>
        <v>10</v>
      </c>
      <c r="R12" s="254">
        <f t="shared" ca="1" si="0"/>
        <v>11</v>
      </c>
      <c r="S12" s="254">
        <f t="shared" ca="1" si="0"/>
        <v>12</v>
      </c>
      <c r="T12" s="254">
        <f t="shared" ca="1" si="0"/>
        <v>13</v>
      </c>
      <c r="U12" s="254">
        <f t="shared" ca="1" si="0"/>
        <v>14</v>
      </c>
      <c r="V12" s="254">
        <f t="shared" ca="1" si="0"/>
        <v>15</v>
      </c>
      <c r="W12" s="254">
        <f t="shared" ca="1" si="0"/>
        <v>16</v>
      </c>
      <c r="X12" s="254">
        <f t="shared" ca="1" si="0"/>
        <v>17</v>
      </c>
      <c r="Y12" s="254">
        <f t="shared" ca="1" si="0"/>
        <v>18</v>
      </c>
      <c r="Z12" s="254">
        <f t="shared" ca="1" si="0"/>
        <v>19</v>
      </c>
      <c r="AA12" s="254">
        <f t="shared" ca="1" si="0"/>
        <v>20</v>
      </c>
      <c r="AB12" s="254">
        <f t="shared" ca="1" si="0"/>
        <v>21</v>
      </c>
      <c r="AC12" s="254">
        <f t="shared" ca="1" si="0"/>
        <v>22</v>
      </c>
      <c r="AD12" s="254">
        <f t="shared" ca="1" si="0"/>
        <v>23</v>
      </c>
      <c r="AE12" s="254">
        <f t="shared" ca="1" si="0"/>
        <v>24</v>
      </c>
      <c r="AF12" s="254">
        <f t="shared" ca="1" si="0"/>
        <v>25</v>
      </c>
    </row>
    <row r="13" spans="1:33" x14ac:dyDescent="0.2">
      <c r="B13" s="803"/>
      <c r="C13" s="803"/>
      <c r="D13" s="803"/>
      <c r="F13" s="256"/>
      <c r="H13" s="256"/>
      <c r="I13" s="255"/>
      <c r="J13" s="255"/>
      <c r="K13" s="255"/>
      <c r="L13" s="255"/>
      <c r="M13" s="255"/>
      <c r="N13" s="255" t="s">
        <v>839</v>
      </c>
      <c r="O13" s="255"/>
      <c r="P13" s="255"/>
      <c r="Q13" s="255"/>
      <c r="R13" s="255"/>
      <c r="S13" s="255"/>
      <c r="T13" s="255"/>
      <c r="U13" s="255"/>
      <c r="V13" s="255"/>
      <c r="W13" s="255"/>
      <c r="X13" s="255"/>
      <c r="Y13" s="255"/>
      <c r="Z13" s="255"/>
      <c r="AA13" s="255"/>
      <c r="AB13" s="255"/>
      <c r="AC13" s="255"/>
      <c r="AD13" s="255"/>
      <c r="AE13" s="255"/>
      <c r="AF13" s="257"/>
    </row>
    <row r="14" spans="1:33" ht="3.95" customHeight="1" x14ac:dyDescent="0.2">
      <c r="A14" s="7" t="s">
        <v>537</v>
      </c>
    </row>
    <row r="15" spans="1:33" x14ac:dyDescent="0.2">
      <c r="A15" s="7" t="str">
        <f ca="1">IF(AND(AUTOEVENTO="Manual",OFFSET(EVENTOS!$F$1,1,0)&gt;0),"F","")</f>
        <v/>
      </c>
      <c r="B15" s="258">
        <f>EVENTOS!$C$15</f>
        <v>0</v>
      </c>
      <c r="C15" s="845" t="str">
        <f>EVENTOS!$D$15</f>
        <v/>
      </c>
      <c r="D15" s="845"/>
      <c r="F15" s="261"/>
      <c r="H15" s="261"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60"/>
      <c r="J15" s="260"/>
      <c r="K15" s="260"/>
      <c r="L15" s="260"/>
      <c r="M15" s="260"/>
      <c r="N15" s="260"/>
      <c r="O15" s="260"/>
      <c r="P15" s="260"/>
      <c r="Q15" s="260"/>
      <c r="R15" s="260"/>
      <c r="S15" s="260"/>
      <c r="T15" s="260"/>
      <c r="U15" s="260"/>
      <c r="V15" s="260"/>
      <c r="W15" s="260"/>
      <c r="X15" s="260"/>
      <c r="Y15" s="260"/>
      <c r="Z15" s="260"/>
      <c r="AA15" s="260"/>
      <c r="AB15" s="260"/>
      <c r="AC15" s="260"/>
      <c r="AD15" s="260"/>
      <c r="AE15" s="260"/>
      <c r="AF15" s="262"/>
    </row>
    <row r="16" spans="1:33" s="675" customFormat="1" x14ac:dyDescent="0.2">
      <c r="A16" s="671" t="str">
        <f ca="1">IF(AUTOEVENTO="Manual",IF(OFFSET(EVENTOS!$F$14,PLE!$B16,0)&gt;0,"F",""),IF(PLE!B16&lt;=MAX(CÁLCULO!$M$15:$M$231),"F",""))</f>
        <v>F</v>
      </c>
      <c r="B16" s="248">
        <f t="shared" ref="B16:B64" ca="1" si="1">OFFSET(B16,-1,0)+1</f>
        <v>1</v>
      </c>
      <c r="C16" s="832" t="str">
        <f ca="1">IF(AUTOEVENTO="Manual",OFFSET(EVENTOS!$D$15,$B16-$B$15,0),IF(B16&lt;=MAX(CÁLCULO!$M$15:$M$231),VLOOKUP($B16,CÁLCULO!$M$15:$N$231,2,FALSE),0))</f>
        <v>ADMINISTRAÇÃO LOCAL - CANTEIRO DE OBRAS</v>
      </c>
      <c r="D16" s="832"/>
      <c r="F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row>
    <row r="17" spans="1:32" s="675" customFormat="1" x14ac:dyDescent="0.2">
      <c r="A17" s="671" t="str">
        <f ca="1">IF(AUTOEVENTO="Manual",IF(OFFSET(EVENTOS!$F$14,PLE!$B17,0)&gt;0,"F",""),IF(PLE!B17&lt;=MAX(CÁLCULO!$M$15:$M$231),"F",""))</f>
        <v>F</v>
      </c>
      <c r="B17" s="248">
        <f t="shared" ca="1" si="1"/>
        <v>2</v>
      </c>
      <c r="C17" s="832" t="str">
        <f ca="1">IF(AUTOEVENTO="Manual",OFFSET(EVENTOS!$D$15,$B17-$B$15,0),IF(B17&lt;=MAX(CÁLCULO!$M$15:$M$231),VLOOKUP($B17,CÁLCULO!$M$15:$N$231,2,FALSE),0))</f>
        <v>ASSENTAMENTO LINHA DE RECALQUE</v>
      </c>
      <c r="D17" s="832"/>
      <c r="F17" s="249"/>
      <c r="H17" s="249"/>
      <c r="I17" s="249"/>
      <c r="J17" s="249"/>
      <c r="K17" s="249"/>
      <c r="L17" s="249"/>
      <c r="M17" s="249"/>
      <c r="N17" s="249"/>
      <c r="O17" s="249"/>
      <c r="P17" s="249"/>
      <c r="Q17" s="249"/>
      <c r="R17" s="249"/>
      <c r="S17" s="249"/>
      <c r="T17" s="249"/>
      <c r="U17" s="249"/>
      <c r="V17" s="249"/>
      <c r="W17" s="249"/>
      <c r="X17" s="249"/>
      <c r="Y17" s="249"/>
      <c r="Z17" s="249"/>
      <c r="AA17" s="249"/>
      <c r="AB17" s="249"/>
      <c r="AC17" s="249"/>
      <c r="AD17" s="249"/>
      <c r="AE17" s="249"/>
      <c r="AF17" s="249"/>
    </row>
    <row r="18" spans="1:32" s="675" customFormat="1" x14ac:dyDescent="0.2">
      <c r="A18" s="671" t="str">
        <f ca="1">IF(AUTOEVENTO="Manual",IF(OFFSET(EVENTOS!$F$14,PLE!$B18,0)&gt;0,"F",""),IF(PLE!B18&lt;=MAX(CÁLCULO!$M$15:$M$231),"F",""))</f>
        <v>F</v>
      </c>
      <c r="B18" s="248">
        <f t="shared" ca="1" si="1"/>
        <v>3</v>
      </c>
      <c r="C18" s="832" t="str">
        <f ca="1">IF(AUTOEVENTO="Manual",OFFSET(EVENTOS!$D$15,$B18-$B$15,0),IF(B18&lt;=MAX(CÁLCULO!$M$15:$M$231),VLOOKUP($B18,CÁLCULO!$M$15:$N$231,2,FALSE),0))</f>
        <v>BLOCOS DE ANCORAGEM</v>
      </c>
      <c r="D18" s="832"/>
      <c r="F18" s="249"/>
      <c r="H18" s="249"/>
      <c r="I18" s="249"/>
      <c r="J18" s="249"/>
      <c r="K18" s="249"/>
      <c r="L18" s="249"/>
      <c r="M18" s="249"/>
      <c r="N18" s="249"/>
      <c r="O18" s="249"/>
      <c r="P18" s="249"/>
      <c r="Q18" s="249"/>
      <c r="R18" s="249"/>
      <c r="S18" s="249"/>
      <c r="T18" s="249"/>
      <c r="U18" s="249"/>
      <c r="V18" s="249"/>
      <c r="W18" s="249"/>
      <c r="X18" s="249"/>
      <c r="Y18" s="249"/>
      <c r="Z18" s="249"/>
      <c r="AA18" s="249"/>
      <c r="AB18" s="249"/>
      <c r="AC18" s="249"/>
      <c r="AD18" s="249"/>
      <c r="AE18" s="249"/>
      <c r="AF18" s="249"/>
    </row>
    <row r="19" spans="1:32" s="675" customFormat="1" x14ac:dyDescent="0.2">
      <c r="A19" s="671" t="str">
        <f ca="1">IF(AUTOEVENTO="Manual",IF(OFFSET(EVENTOS!$F$14,PLE!$B19,0)&gt;0,"F",""),IF(PLE!B19&lt;=MAX(CÁLCULO!$M$15:$M$231),"F",""))</f>
        <v>F</v>
      </c>
      <c r="B19" s="248">
        <f t="shared" ca="1" si="1"/>
        <v>4</v>
      </c>
      <c r="C19" s="832" t="str">
        <f ca="1">IF(AUTOEVENTO="Manual",OFFSET(EVENTOS!$D$15,$B19-$B$15,0),IF(B19&lt;=MAX(CÁLCULO!$M$15:$M$231),VLOOKUP($B19,CÁLCULO!$M$15:$N$231,2,FALSE),0))</f>
        <v>TRAVESSIA RODOVIA MG-050</v>
      </c>
      <c r="D19" s="832"/>
      <c r="F19" s="249"/>
      <c r="H19" s="249"/>
      <c r="I19" s="249"/>
      <c r="J19" s="249"/>
      <c r="K19" s="249"/>
      <c r="L19" s="249"/>
      <c r="M19" s="249"/>
      <c r="N19" s="249"/>
      <c r="O19" s="249"/>
      <c r="P19" s="249"/>
      <c r="Q19" s="249"/>
      <c r="R19" s="249"/>
      <c r="S19" s="249"/>
      <c r="T19" s="249"/>
      <c r="U19" s="249"/>
      <c r="V19" s="249"/>
      <c r="W19" s="249"/>
      <c r="X19" s="249"/>
      <c r="Y19" s="249"/>
      <c r="Z19" s="249"/>
      <c r="AA19" s="249"/>
      <c r="AB19" s="249"/>
      <c r="AC19" s="249"/>
      <c r="AD19" s="249"/>
      <c r="AE19" s="249"/>
      <c r="AF19" s="249"/>
    </row>
    <row r="20" spans="1:32" s="675" customFormat="1" x14ac:dyDescent="0.2">
      <c r="A20" s="671" t="str">
        <f ca="1">IF(AUTOEVENTO="Manual",IF(OFFSET(EVENTOS!$F$14,PLE!$B20,0)&gt;0,"F",""),IF(PLE!B20&lt;=MAX(CÁLCULO!$M$15:$M$231),"F",""))</f>
        <v>F</v>
      </c>
      <c r="B20" s="248">
        <f t="shared" ca="1" si="1"/>
        <v>5</v>
      </c>
      <c r="C20" s="832" t="str">
        <f ca="1">IF(AUTOEVENTO="Manual",OFFSET(EVENTOS!$D$15,$B20-$B$15,0),IF(B20&lt;=MAX(CÁLCULO!$M$15:$M$231),VLOOKUP($B20,CÁLCULO!$M$15:$N$231,2,FALSE),0))</f>
        <v>POÇO DE VISITA PARA PROTEÇÃO VENTOSAS E DESCARGAS</v>
      </c>
      <c r="D20" s="832"/>
      <c r="F20" s="249"/>
      <c r="H20" s="249"/>
      <c r="I20" s="249"/>
      <c r="J20" s="249"/>
      <c r="K20" s="249"/>
      <c r="L20" s="249"/>
      <c r="M20" s="249"/>
      <c r="N20" s="249"/>
      <c r="O20" s="249"/>
      <c r="P20" s="249"/>
      <c r="Q20" s="249"/>
      <c r="R20" s="249"/>
      <c r="S20" s="249"/>
      <c r="T20" s="249"/>
      <c r="U20" s="249"/>
      <c r="V20" s="249"/>
      <c r="W20" s="249"/>
      <c r="X20" s="249"/>
      <c r="Y20" s="249"/>
      <c r="Z20" s="249"/>
      <c r="AA20" s="249"/>
      <c r="AB20" s="249"/>
      <c r="AC20" s="249"/>
      <c r="AD20" s="249"/>
      <c r="AE20" s="249"/>
      <c r="AF20" s="249"/>
    </row>
    <row r="21" spans="1:32" s="675" customFormat="1" x14ac:dyDescent="0.2">
      <c r="A21" s="671" t="str">
        <f ca="1">IF(AUTOEVENTO="Manual",IF(OFFSET(EVENTOS!$F$14,PLE!$B21,0)&gt;0,"F",""),IF(PLE!B21&lt;=MAX(CÁLCULO!$M$15:$M$231),"F",""))</f>
        <v>F</v>
      </c>
      <c r="B21" s="248">
        <f t="shared" ca="1" si="1"/>
        <v>6</v>
      </c>
      <c r="C21" s="832" t="str">
        <f ca="1">IF(AUTOEVENTO="Manual",OFFSET(EVENTOS!$D$15,$B21-$B$15,0),IF(B21&lt;=MAX(CÁLCULO!$M$15:$M$231),VLOOKUP($B21,CÁLCULO!$M$15:$N$231,2,FALSE),0))</f>
        <v>BY-PASS</v>
      </c>
      <c r="D21" s="832"/>
      <c r="F21" s="249"/>
      <c r="H21" s="249"/>
      <c r="I21" s="249"/>
      <c r="J21" s="249"/>
      <c r="K21" s="249"/>
      <c r="L21" s="249"/>
      <c r="M21" s="249"/>
      <c r="N21" s="249"/>
      <c r="O21" s="249"/>
      <c r="P21" s="249"/>
      <c r="Q21" s="249"/>
      <c r="R21" s="249"/>
      <c r="S21" s="249"/>
      <c r="T21" s="249"/>
      <c r="U21" s="249"/>
      <c r="V21" s="249"/>
      <c r="W21" s="249"/>
      <c r="X21" s="249"/>
      <c r="Y21" s="249"/>
      <c r="Z21" s="249"/>
      <c r="AA21" s="249"/>
      <c r="AB21" s="249"/>
      <c r="AC21" s="249"/>
      <c r="AD21" s="249"/>
      <c r="AE21" s="249"/>
      <c r="AF21" s="249"/>
    </row>
    <row r="22" spans="1:32" s="675" customFormat="1" x14ac:dyDescent="0.2">
      <c r="A22" s="671" t="str">
        <f ca="1">IF(AUTOEVENTO="Manual",IF(OFFSET(EVENTOS!$F$14,PLE!$B22,0)&gt;0,"F",""),IF(PLE!B22&lt;=MAX(CÁLCULO!$M$15:$M$231),"F",""))</f>
        <v>F</v>
      </c>
      <c r="B22" s="248">
        <f t="shared" ca="1" si="1"/>
        <v>7</v>
      </c>
      <c r="C22" s="832" t="str">
        <f ca="1">IF(AUTOEVENTO="Manual",OFFSET(EVENTOS!$D$15,$B22-$B$15,0),IF(B22&lt;=MAX(CÁLCULO!$M$15:$M$231),VLOOKUP($B22,CÁLCULO!$M$15:$N$231,2,FALSE),0))</f>
        <v>LINHA DE RECALQUE INCLUI TRAVESSIA - MATERIAIS</v>
      </c>
      <c r="D22" s="832"/>
      <c r="F22" s="249"/>
      <c r="H22" s="249"/>
      <c r="I22" s="249"/>
      <c r="J22" s="249"/>
      <c r="K22" s="249"/>
      <c r="L22" s="249"/>
      <c r="M22" s="249"/>
      <c r="N22" s="249"/>
      <c r="O22" s="249"/>
      <c r="P22" s="249"/>
      <c r="Q22" s="249"/>
      <c r="R22" s="249"/>
      <c r="S22" s="249"/>
      <c r="T22" s="249"/>
      <c r="U22" s="249"/>
      <c r="V22" s="249"/>
      <c r="W22" s="249"/>
      <c r="X22" s="249"/>
      <c r="Y22" s="249"/>
      <c r="Z22" s="249"/>
      <c r="AA22" s="249"/>
      <c r="AB22" s="249"/>
      <c r="AC22" s="249"/>
      <c r="AD22" s="249"/>
      <c r="AE22" s="249"/>
      <c r="AF22" s="249"/>
    </row>
    <row r="23" spans="1:32" s="675" customFormat="1" x14ac:dyDescent="0.2">
      <c r="A23" s="671" t="str">
        <f ca="1">IF(AUTOEVENTO="Manual",IF(OFFSET(EVENTOS!$F$14,PLE!$B23,0)&gt;0,"F",""),IF(PLE!B23&lt;=MAX(CÁLCULO!$M$15:$M$231),"F",""))</f>
        <v>F</v>
      </c>
      <c r="B23" s="248">
        <f t="shared" ca="1" si="1"/>
        <v>8</v>
      </c>
      <c r="C23" s="832" t="str">
        <f ca="1">IF(AUTOEVENTO="Manual",OFFSET(EVENTOS!$D$15,$B23-$B$15,0),IF(B23&lt;=MAX(CÁLCULO!$M$15:$M$231),VLOOKUP($B23,CÁLCULO!$M$15:$N$231,2,FALSE),0))</f>
        <v xml:space="preserve">TRAVESSIA RODOVIA MG-050 - MATERIAIS </v>
      </c>
      <c r="D23" s="832"/>
      <c r="F23" s="249"/>
      <c r="H23" s="249"/>
      <c r="I23" s="249"/>
      <c r="J23" s="249"/>
      <c r="K23" s="249"/>
      <c r="L23" s="249"/>
      <c r="M23" s="249"/>
      <c r="N23" s="249"/>
      <c r="O23" s="249"/>
      <c r="P23" s="249"/>
      <c r="Q23" s="249"/>
      <c r="R23" s="249"/>
      <c r="S23" s="249"/>
      <c r="T23" s="249"/>
      <c r="U23" s="249"/>
      <c r="V23" s="249"/>
      <c r="W23" s="249"/>
      <c r="X23" s="249"/>
      <c r="Y23" s="249"/>
      <c r="Z23" s="249"/>
      <c r="AA23" s="249"/>
      <c r="AB23" s="249"/>
      <c r="AC23" s="249"/>
      <c r="AD23" s="249"/>
      <c r="AE23" s="249"/>
      <c r="AF23" s="249"/>
    </row>
    <row r="24" spans="1:32" s="675" customFormat="1" x14ac:dyDescent="0.2">
      <c r="A24" s="671" t="str">
        <f ca="1">IF(AUTOEVENTO="Manual",IF(OFFSET(EVENTOS!$F$14,PLE!$B24,0)&gt;0,"F",""),IF(PLE!B24&lt;=MAX(CÁLCULO!$M$15:$M$231),"F",""))</f>
        <v>F</v>
      </c>
      <c r="B24" s="248">
        <f t="shared" ca="1" si="1"/>
        <v>9</v>
      </c>
      <c r="C24" s="832" t="str">
        <f ca="1">IF(AUTOEVENTO="Manual",OFFSET(EVENTOS!$D$15,$B24-$B$15,0),IF(B24&lt;=MAX(CÁLCULO!$M$15:$M$231),VLOOKUP($B24,CÁLCULO!$M$15:$N$231,2,FALSE),0))</f>
        <v>BY-PASS - MATERIAIS</v>
      </c>
      <c r="D24" s="832"/>
      <c r="F24" s="249"/>
      <c r="H24" s="249"/>
      <c r="I24" s="249"/>
      <c r="J24" s="249"/>
      <c r="K24" s="249"/>
      <c r="L24" s="249"/>
      <c r="M24" s="249"/>
      <c r="N24" s="249"/>
      <c r="O24" s="249"/>
      <c r="P24" s="249"/>
      <c r="Q24" s="249"/>
      <c r="R24" s="249"/>
      <c r="S24" s="249"/>
      <c r="T24" s="249"/>
      <c r="U24" s="249"/>
      <c r="V24" s="249"/>
      <c r="W24" s="249"/>
      <c r="X24" s="249"/>
      <c r="Y24" s="249"/>
      <c r="Z24" s="249"/>
      <c r="AA24" s="249"/>
      <c r="AB24" s="249"/>
      <c r="AC24" s="249"/>
      <c r="AD24" s="249"/>
      <c r="AE24" s="249"/>
      <c r="AF24" s="249"/>
    </row>
    <row r="25" spans="1:32" s="675" customFormat="1" x14ac:dyDescent="0.2">
      <c r="A25" s="671" t="str">
        <f ca="1">IF(AUTOEVENTO="Manual",IF(OFFSET(EVENTOS!$F$14,PLE!$B25,0)&gt;0,"F",""),IF(PLE!B25&lt;=MAX(CÁLCULO!$M$15:$M$231),"F",""))</f>
        <v>F</v>
      </c>
      <c r="B25" s="248">
        <f t="shared" ca="1" si="1"/>
        <v>10</v>
      </c>
      <c r="C25" s="832" t="str">
        <f ca="1">IF(AUTOEVENTO="Manual",OFFSET(EVENTOS!$D$15,$B25-$B$15,0),IF(B25&lt;=MAX(CÁLCULO!$M$15:$M$231),VLOOKUP($B25,CÁLCULO!$M$15:$N$231,2,FALSE),0))</f>
        <v>SERVIÇOS PRELIMINARES</v>
      </c>
      <c r="D25" s="832"/>
      <c r="F25" s="249"/>
      <c r="H25" s="249"/>
      <c r="I25" s="249"/>
      <c r="J25" s="249"/>
      <c r="K25" s="249"/>
      <c r="L25" s="249"/>
      <c r="M25" s="249"/>
      <c r="N25" s="249"/>
      <c r="O25" s="249"/>
      <c r="P25" s="249"/>
      <c r="Q25" s="249"/>
      <c r="R25" s="249"/>
      <c r="S25" s="249"/>
      <c r="T25" s="249"/>
      <c r="U25" s="249"/>
      <c r="V25" s="249"/>
      <c r="W25" s="249"/>
      <c r="X25" s="249"/>
      <c r="Y25" s="249"/>
      <c r="Z25" s="249"/>
      <c r="AA25" s="249"/>
      <c r="AB25" s="249"/>
      <c r="AC25" s="249"/>
      <c r="AD25" s="249"/>
      <c r="AE25" s="249"/>
      <c r="AF25" s="249"/>
    </row>
    <row r="26" spans="1:32" s="675" customFormat="1" x14ac:dyDescent="0.2">
      <c r="A26" s="671" t="str">
        <f ca="1">IF(AUTOEVENTO="Manual",IF(OFFSET(EVENTOS!$F$14,PLE!$B26,0)&gt;0,"F",""),IF(PLE!B26&lt;=MAX(CÁLCULO!$M$15:$M$231),"F",""))</f>
        <v>F</v>
      </c>
      <c r="B26" s="248">
        <f t="shared" ca="1" si="1"/>
        <v>11</v>
      </c>
      <c r="C26" s="832" t="str">
        <f ca="1">IF(AUTOEVENTO="Manual",OFFSET(EVENTOS!$D$15,$B26-$B$15,0),IF(B26&lt;=MAX(CÁLCULO!$M$15:$M$231),VLOOKUP($B26,CÁLCULO!$M$15:$N$231,2,FALSE),0))</f>
        <v>MOVIMENTO DE TERRA</v>
      </c>
      <c r="D26" s="832"/>
      <c r="F26" s="249"/>
      <c r="H26" s="249"/>
      <c r="I26" s="249"/>
      <c r="J26" s="249"/>
      <c r="K26" s="249"/>
      <c r="L26" s="249"/>
      <c r="M26" s="249"/>
      <c r="N26" s="249"/>
      <c r="O26" s="249"/>
      <c r="P26" s="249"/>
      <c r="Q26" s="249"/>
      <c r="R26" s="249"/>
      <c r="S26" s="249"/>
      <c r="T26" s="249"/>
      <c r="U26" s="249"/>
      <c r="V26" s="249"/>
      <c r="W26" s="249"/>
      <c r="X26" s="249"/>
      <c r="Y26" s="249"/>
      <c r="Z26" s="249"/>
      <c r="AA26" s="249"/>
      <c r="AB26" s="249"/>
      <c r="AC26" s="249"/>
      <c r="AD26" s="249"/>
      <c r="AE26" s="249"/>
      <c r="AF26" s="249"/>
    </row>
    <row r="27" spans="1:32" s="675" customFormat="1" x14ac:dyDescent="0.2">
      <c r="A27" s="671" t="str">
        <f ca="1">IF(AUTOEVENTO="Manual",IF(OFFSET(EVENTOS!$F$14,PLE!$B27,0)&gt;0,"F",""),IF(PLE!B27&lt;=MAX(CÁLCULO!$M$15:$M$231),"F",""))</f>
        <v>F</v>
      </c>
      <c r="B27" s="248">
        <f t="shared" ca="1" si="1"/>
        <v>12</v>
      </c>
      <c r="C27" s="832" t="str">
        <f ca="1">IF(AUTOEVENTO="Manual",OFFSET(EVENTOS!$D$15,$B27-$B$15,0),IF(B27&lt;=MAX(CÁLCULO!$M$15:$M$231),VLOOKUP($B27,CÁLCULO!$M$15:$N$231,2,FALSE),0))</f>
        <v>ESCORAMENTO, ESGOTAMENTO E DRENAGEM</v>
      </c>
      <c r="D27" s="832"/>
      <c r="F27" s="249"/>
      <c r="H27" s="249"/>
      <c r="I27" s="249"/>
      <c r="J27" s="249"/>
      <c r="K27" s="249"/>
      <c r="L27" s="249"/>
      <c r="M27" s="249"/>
      <c r="N27" s="249"/>
      <c r="O27" s="249"/>
      <c r="P27" s="249"/>
      <c r="Q27" s="249"/>
      <c r="R27" s="249"/>
      <c r="S27" s="249"/>
      <c r="T27" s="249"/>
      <c r="U27" s="249"/>
      <c r="V27" s="249"/>
      <c r="W27" s="249"/>
      <c r="X27" s="249"/>
      <c r="Y27" s="249"/>
      <c r="Z27" s="249"/>
      <c r="AA27" s="249"/>
      <c r="AB27" s="249"/>
      <c r="AC27" s="249"/>
      <c r="AD27" s="249"/>
      <c r="AE27" s="249"/>
      <c r="AF27" s="249"/>
    </row>
    <row r="28" spans="1:32" s="675" customFormat="1" x14ac:dyDescent="0.2">
      <c r="A28" s="671" t="str">
        <f ca="1">IF(AUTOEVENTO="Manual",IF(OFFSET(EVENTOS!$F$14,PLE!$B28,0)&gt;0,"F",""),IF(PLE!B28&lt;=MAX(CÁLCULO!$M$15:$M$231),"F",""))</f>
        <v>F</v>
      </c>
      <c r="B28" s="248">
        <f t="shared" ca="1" si="1"/>
        <v>13</v>
      </c>
      <c r="C28" s="832" t="str">
        <f ca="1">IF(AUTOEVENTO="Manual",OFFSET(EVENTOS!$D$15,$B28-$B$15,0),IF(B28&lt;=MAX(CÁLCULO!$M$15:$M$231),VLOOKUP($B28,CÁLCULO!$M$15:$N$231,2,FALSE),0))</f>
        <v>ASSENTAMENTOS</v>
      </c>
      <c r="D28" s="832"/>
      <c r="F28" s="249"/>
      <c r="H28" s="249"/>
      <c r="I28" s="249"/>
      <c r="J28" s="249"/>
      <c r="K28" s="249"/>
      <c r="L28" s="249"/>
      <c r="M28" s="249"/>
      <c r="N28" s="249"/>
      <c r="O28" s="249"/>
      <c r="P28" s="249"/>
      <c r="Q28" s="249"/>
      <c r="R28" s="249"/>
      <c r="S28" s="249"/>
      <c r="T28" s="249"/>
      <c r="U28" s="249"/>
      <c r="V28" s="249"/>
      <c r="W28" s="249"/>
      <c r="X28" s="249"/>
      <c r="Y28" s="249"/>
      <c r="Z28" s="249"/>
      <c r="AA28" s="249"/>
      <c r="AB28" s="249"/>
      <c r="AC28" s="249"/>
      <c r="AD28" s="249"/>
      <c r="AE28" s="249"/>
      <c r="AF28" s="249"/>
    </row>
    <row r="29" spans="1:32" s="675" customFormat="1" x14ac:dyDescent="0.2">
      <c r="A29" s="671" t="str">
        <f ca="1">IF(AUTOEVENTO="Manual",IF(OFFSET(EVENTOS!$F$14,PLE!$B29,0)&gt;0,"F",""),IF(PLE!B29&lt;=MAX(CÁLCULO!$M$15:$M$231),"F",""))</f>
        <v>F</v>
      </c>
      <c r="B29" s="248">
        <f t="shared" ca="1" si="1"/>
        <v>14</v>
      </c>
      <c r="C29" s="832" t="str">
        <f ca="1">IF(AUTOEVENTO="Manual",OFFSET(EVENTOS!$D$15,$B29-$B$15,0),IF(B29&lt;=MAX(CÁLCULO!$M$15:$M$231),VLOOKUP($B29,CÁLCULO!$M$15:$N$231,2,FALSE),0))</f>
        <v>POÇO DE VISITA</v>
      </c>
      <c r="D29" s="832"/>
      <c r="F29" s="249"/>
      <c r="H29" s="249"/>
      <c r="I29" s="249"/>
      <c r="J29" s="249"/>
      <c r="K29" s="249"/>
      <c r="L29" s="249"/>
      <c r="M29" s="249"/>
      <c r="N29" s="249"/>
      <c r="O29" s="249"/>
      <c r="P29" s="249"/>
      <c r="Q29" s="249"/>
      <c r="R29" s="249"/>
      <c r="S29" s="249"/>
      <c r="T29" s="249"/>
      <c r="U29" s="249"/>
      <c r="V29" s="249"/>
      <c r="W29" s="249"/>
      <c r="X29" s="249"/>
      <c r="Y29" s="249"/>
      <c r="Z29" s="249"/>
      <c r="AA29" s="249"/>
      <c r="AB29" s="249"/>
      <c r="AC29" s="249"/>
      <c r="AD29" s="249"/>
      <c r="AE29" s="249"/>
      <c r="AF29" s="249"/>
    </row>
    <row r="30" spans="1:32" s="675" customFormat="1" x14ac:dyDescent="0.2">
      <c r="A30" s="671" t="str">
        <f ca="1">IF(AUTOEVENTO="Manual",IF(OFFSET(EVENTOS!$F$14,PLE!$B30,0)&gt;0,"F",""),IF(PLE!B30&lt;=MAX(CÁLCULO!$M$15:$M$231),"F",""))</f>
        <v>F</v>
      </c>
      <c r="B30" s="248">
        <f t="shared" ca="1" si="1"/>
        <v>15</v>
      </c>
      <c r="C30" s="832" t="str">
        <f ca="1">IF(AUTOEVENTO="Manual",OFFSET(EVENTOS!$D$15,$B30-$B$15,0),IF(B30&lt;=MAX(CÁLCULO!$M$15:$M$231),VLOOKUP($B30,CÁLCULO!$M$15:$N$231,2,FALSE),0))</f>
        <v>EMISSÁRIO DE ESGOTO - MATERIAIS</v>
      </c>
      <c r="D30" s="832"/>
      <c r="F30" s="249"/>
      <c r="H30" s="249"/>
      <c r="I30" s="249"/>
      <c r="J30" s="249"/>
      <c r="K30" s="249"/>
      <c r="L30" s="249"/>
      <c r="M30" s="249"/>
      <c r="N30" s="249"/>
      <c r="O30" s="249"/>
      <c r="P30" s="249"/>
      <c r="Q30" s="249"/>
      <c r="R30" s="249"/>
      <c r="S30" s="249"/>
      <c r="T30" s="249"/>
      <c r="U30" s="249"/>
      <c r="V30" s="249"/>
      <c r="W30" s="249"/>
      <c r="X30" s="249"/>
      <c r="Y30" s="249"/>
      <c r="Z30" s="249"/>
      <c r="AA30" s="249"/>
      <c r="AB30" s="249"/>
      <c r="AC30" s="249"/>
      <c r="AD30" s="249"/>
      <c r="AE30" s="249"/>
      <c r="AF30" s="249"/>
    </row>
    <row r="31" spans="1:32" s="675" customFormat="1" x14ac:dyDescent="0.2">
      <c r="A31" s="671" t="str">
        <f ca="1">IF(AUTOEVENTO="Manual",IF(OFFSET(EVENTOS!$F$14,PLE!$B31,0)&gt;0,"F",""),IF(PLE!B31&lt;=MAX(CÁLCULO!$M$15:$M$231),"F",""))</f>
        <v>F</v>
      </c>
      <c r="B31" s="248">
        <f t="shared" ca="1" si="1"/>
        <v>16</v>
      </c>
      <c r="C31" s="832" t="str">
        <f ca="1">IF(AUTOEVENTO="Manual",OFFSET(EVENTOS!$D$15,$B31-$B$15,0),IF(B31&lt;=MAX(CÁLCULO!$M$15:$M$231),VLOOKUP($B31,CÁLCULO!$M$15:$N$231,2,FALSE),0))</f>
        <v>ELEVATÓRIA DE ESGOTO - MATERIAIS</v>
      </c>
      <c r="D31" s="832"/>
      <c r="F31" s="249"/>
      <c r="H31" s="249"/>
      <c r="I31" s="249"/>
      <c r="J31" s="249"/>
      <c r="K31" s="249"/>
      <c r="L31" s="249"/>
      <c r="M31" s="249"/>
      <c r="N31" s="249"/>
      <c r="O31" s="249"/>
      <c r="P31" s="249"/>
      <c r="Q31" s="249"/>
      <c r="R31" s="249"/>
      <c r="S31" s="249"/>
      <c r="T31" s="249"/>
      <c r="U31" s="249"/>
      <c r="V31" s="249"/>
      <c r="W31" s="249"/>
      <c r="X31" s="249"/>
      <c r="Y31" s="249"/>
      <c r="Z31" s="249"/>
      <c r="AA31" s="249"/>
      <c r="AB31" s="249"/>
      <c r="AC31" s="249"/>
      <c r="AD31" s="249"/>
      <c r="AE31" s="249"/>
      <c r="AF31" s="249"/>
    </row>
    <row r="32" spans="1:32" s="675" customFormat="1" x14ac:dyDescent="0.2">
      <c r="A32" s="671" t="str">
        <f ca="1">IF(AUTOEVENTO="Manual",IF(OFFSET(EVENTOS!$F$14,PLE!$B32,0)&gt;0,"F",""),IF(PLE!B32&lt;=MAX(CÁLCULO!$M$15:$M$231),"F",""))</f>
        <v>F</v>
      </c>
      <c r="B32" s="248">
        <f t="shared" ca="1" si="1"/>
        <v>17</v>
      </c>
      <c r="C32" s="832" t="str">
        <f ca="1">IF(AUTOEVENTO="Manual",OFFSET(EVENTOS!$D$15,$B32-$B$15,0),IF(B32&lt;=MAX(CÁLCULO!$M$15:$M$231),VLOOKUP($B32,CÁLCULO!$M$15:$N$231,2,FALSE),0))</f>
        <v>SERVIÇOS PRELIMINARES</v>
      </c>
      <c r="D32" s="832"/>
      <c r="F32" s="249"/>
      <c r="H32" s="249"/>
      <c r="I32" s="249"/>
      <c r="J32" s="249"/>
      <c r="K32" s="249"/>
      <c r="L32" s="249"/>
      <c r="M32" s="249"/>
      <c r="N32" s="249"/>
      <c r="O32" s="249"/>
      <c r="P32" s="249"/>
      <c r="Q32" s="249"/>
      <c r="R32" s="249"/>
      <c r="S32" s="249"/>
      <c r="T32" s="249"/>
      <c r="U32" s="249"/>
      <c r="V32" s="249"/>
      <c r="W32" s="249"/>
      <c r="X32" s="249"/>
      <c r="Y32" s="249"/>
      <c r="Z32" s="249"/>
      <c r="AA32" s="249"/>
      <c r="AB32" s="249"/>
      <c r="AC32" s="249"/>
      <c r="AD32" s="249"/>
      <c r="AE32" s="249"/>
      <c r="AF32" s="249"/>
    </row>
    <row r="33" spans="1:32" s="675" customFormat="1" x14ac:dyDescent="0.2">
      <c r="A33" s="671" t="str">
        <f ca="1">IF(AUTOEVENTO="Manual",IF(OFFSET(EVENTOS!$F$14,PLE!$B33,0)&gt;0,"F",""),IF(PLE!B33&lt;=MAX(CÁLCULO!$M$15:$M$231),"F",""))</f>
        <v>F</v>
      </c>
      <c r="B33" s="248">
        <f t="shared" ca="1" si="1"/>
        <v>18</v>
      </c>
      <c r="C33" s="832" t="str">
        <f ca="1">IF(AUTOEVENTO="Manual",OFFSET(EVENTOS!$D$15,$B33-$B$15,0),IF(B33&lt;=MAX(CÁLCULO!$M$15:$M$231),VLOOKUP($B33,CÁLCULO!$M$15:$N$231,2,FALSE),0))</f>
        <v>FUNDAÇÃO</v>
      </c>
      <c r="D33" s="832"/>
      <c r="F33" s="249"/>
      <c r="H33" s="249"/>
      <c r="I33" s="249"/>
      <c r="J33" s="249"/>
      <c r="K33" s="249"/>
      <c r="L33" s="249"/>
      <c r="M33" s="249"/>
      <c r="N33" s="249"/>
      <c r="O33" s="249"/>
      <c r="P33" s="249"/>
      <c r="Q33" s="249"/>
      <c r="R33" s="249"/>
      <c r="S33" s="249"/>
      <c r="T33" s="249"/>
      <c r="U33" s="249"/>
      <c r="V33" s="249"/>
      <c r="W33" s="249"/>
      <c r="X33" s="249"/>
      <c r="Y33" s="249"/>
      <c r="Z33" s="249"/>
      <c r="AA33" s="249"/>
      <c r="AB33" s="249"/>
      <c r="AC33" s="249"/>
      <c r="AD33" s="249"/>
      <c r="AE33" s="249"/>
      <c r="AF33" s="249"/>
    </row>
    <row r="34" spans="1:32" s="675" customFormat="1" x14ac:dyDescent="0.2">
      <c r="A34" s="671" t="str">
        <f ca="1">IF(AUTOEVENTO="Manual",IF(OFFSET(EVENTOS!$F$14,PLE!$B34,0)&gt;0,"F",""),IF(PLE!B34&lt;=MAX(CÁLCULO!$M$15:$M$231),"F",""))</f>
        <v>F</v>
      </c>
      <c r="B34" s="248">
        <f t="shared" ca="1" si="1"/>
        <v>19</v>
      </c>
      <c r="C34" s="832" t="str">
        <f ca="1">IF(AUTOEVENTO="Manual",OFFSET(EVENTOS!$D$15,$B34-$B$15,0),IF(B34&lt;=MAX(CÁLCULO!$M$15:$M$231),VLOOKUP($B34,CÁLCULO!$M$15:$N$231,2,FALSE),0))</f>
        <v>PISO</v>
      </c>
      <c r="D34" s="832"/>
      <c r="F34" s="249"/>
      <c r="H34" s="249"/>
      <c r="I34" s="249"/>
      <c r="J34" s="249"/>
      <c r="K34" s="249"/>
      <c r="L34" s="249"/>
      <c r="M34" s="249"/>
      <c r="N34" s="249"/>
      <c r="O34" s="249"/>
      <c r="P34" s="249"/>
      <c r="Q34" s="249"/>
      <c r="R34" s="249"/>
      <c r="S34" s="249"/>
      <c r="T34" s="249"/>
      <c r="U34" s="249"/>
      <c r="V34" s="249"/>
      <c r="W34" s="249"/>
      <c r="X34" s="249"/>
      <c r="Y34" s="249"/>
      <c r="Z34" s="249"/>
      <c r="AA34" s="249"/>
      <c r="AB34" s="249"/>
      <c r="AC34" s="249"/>
      <c r="AD34" s="249"/>
      <c r="AE34" s="249"/>
      <c r="AF34" s="249"/>
    </row>
    <row r="35" spans="1:32" s="675" customFormat="1" x14ac:dyDescent="0.2">
      <c r="A35" s="671" t="str">
        <f ca="1">IF(AUTOEVENTO="Manual",IF(OFFSET(EVENTOS!$F$14,PLE!$B35,0)&gt;0,"F",""),IF(PLE!B35&lt;=MAX(CÁLCULO!$M$15:$M$231),"F",""))</f>
        <v>F</v>
      </c>
      <c r="B35" s="248">
        <f t="shared" ca="1" si="1"/>
        <v>20</v>
      </c>
      <c r="C35" s="832" t="str">
        <f ca="1">IF(AUTOEVENTO="Manual",OFFSET(EVENTOS!$D$15,$B35-$B$15,0),IF(B35&lt;=MAX(CÁLCULO!$M$15:$M$231),VLOOKUP($B35,CÁLCULO!$M$15:$N$231,2,FALSE),0))</f>
        <v>ESTRUTURA</v>
      </c>
      <c r="D35" s="832"/>
      <c r="F35" s="249"/>
      <c r="H35" s="249"/>
      <c r="I35" s="249"/>
      <c r="J35" s="249"/>
      <c r="K35" s="249"/>
      <c r="L35" s="249"/>
      <c r="M35" s="249"/>
      <c r="N35" s="249"/>
      <c r="O35" s="249"/>
      <c r="P35" s="249"/>
      <c r="Q35" s="249"/>
      <c r="R35" s="249"/>
      <c r="S35" s="249"/>
      <c r="T35" s="249"/>
      <c r="U35" s="249"/>
      <c r="V35" s="249"/>
      <c r="W35" s="249"/>
      <c r="X35" s="249"/>
      <c r="Y35" s="249"/>
      <c r="Z35" s="249"/>
      <c r="AA35" s="249"/>
      <c r="AB35" s="249"/>
      <c r="AC35" s="249"/>
      <c r="AD35" s="249"/>
      <c r="AE35" s="249"/>
      <c r="AF35" s="249"/>
    </row>
    <row r="36" spans="1:32" s="675" customFormat="1" x14ac:dyDescent="0.2">
      <c r="A36" s="671" t="str">
        <f ca="1">IF(AUTOEVENTO="Manual",IF(OFFSET(EVENTOS!$F$14,PLE!$B36,0)&gt;0,"F",""),IF(PLE!B36&lt;=MAX(CÁLCULO!$M$15:$M$231),"F",""))</f>
        <v>F</v>
      </c>
      <c r="B36" s="248">
        <f t="shared" ca="1" si="1"/>
        <v>21</v>
      </c>
      <c r="C36" s="832" t="str">
        <f ca="1">IF(AUTOEVENTO="Manual",OFFSET(EVENTOS!$D$15,$B36-$B$15,0),IF(B36&lt;=MAX(CÁLCULO!$M$15:$M$231),VLOOKUP($B36,CÁLCULO!$M$15:$N$231,2,FALSE),0))</f>
        <v>PAREDE DE CONTENÇÃO ARMADA</v>
      </c>
      <c r="D36" s="832"/>
      <c r="F36" s="249"/>
      <c r="H36" s="249"/>
      <c r="I36" s="249"/>
      <c r="J36" s="249"/>
      <c r="K36" s="249"/>
      <c r="L36" s="249"/>
      <c r="M36" s="249"/>
      <c r="N36" s="249"/>
      <c r="O36" s="249"/>
      <c r="P36" s="249"/>
      <c r="Q36" s="249"/>
      <c r="R36" s="249"/>
      <c r="S36" s="249"/>
      <c r="T36" s="249"/>
      <c r="U36" s="249"/>
      <c r="V36" s="249"/>
      <c r="W36" s="249"/>
      <c r="X36" s="249"/>
      <c r="Y36" s="249"/>
      <c r="Z36" s="249"/>
      <c r="AA36" s="249"/>
      <c r="AB36" s="249"/>
      <c r="AC36" s="249"/>
      <c r="AD36" s="249"/>
      <c r="AE36" s="249"/>
      <c r="AF36" s="249"/>
    </row>
    <row r="37" spans="1:32" s="675" customFormat="1" x14ac:dyDescent="0.2">
      <c r="A37" s="671" t="str">
        <f ca="1">IF(AUTOEVENTO="Manual",IF(OFFSET(EVENTOS!$F$14,PLE!$B37,0)&gt;0,"F",""),IF(PLE!B37&lt;=MAX(CÁLCULO!$M$15:$M$231),"F",""))</f>
        <v>F</v>
      </c>
      <c r="B37" s="248">
        <f t="shared" ca="1" si="1"/>
        <v>22</v>
      </c>
      <c r="C37" s="832" t="str">
        <f ca="1">IF(AUTOEVENTO="Manual",OFFSET(EVENTOS!$D$15,$B37-$B$15,0),IF(B37&lt;=MAX(CÁLCULO!$M$15:$M$231),VLOOKUP($B37,CÁLCULO!$M$15:$N$231,2,FALSE),0))</f>
        <v>LAJE COBERTURA</v>
      </c>
      <c r="D37" s="832"/>
      <c r="F37" s="249"/>
      <c r="H37" s="249"/>
      <c r="I37" s="249"/>
      <c r="J37" s="249"/>
      <c r="K37" s="249"/>
      <c r="L37" s="249"/>
      <c r="M37" s="249"/>
      <c r="N37" s="249"/>
      <c r="O37" s="249"/>
      <c r="P37" s="249"/>
      <c r="Q37" s="249"/>
      <c r="R37" s="249"/>
      <c r="S37" s="249"/>
      <c r="T37" s="249"/>
      <c r="U37" s="249"/>
      <c r="V37" s="249"/>
      <c r="W37" s="249"/>
      <c r="X37" s="249"/>
      <c r="Y37" s="249"/>
      <c r="Z37" s="249"/>
      <c r="AA37" s="249"/>
      <c r="AB37" s="249"/>
      <c r="AC37" s="249"/>
      <c r="AD37" s="249"/>
      <c r="AE37" s="249"/>
      <c r="AF37" s="249"/>
    </row>
    <row r="38" spans="1:32" s="675" customFormat="1" x14ac:dyDescent="0.2">
      <c r="A38" s="671" t="str">
        <f ca="1">IF(AUTOEVENTO="Manual",IF(OFFSET(EVENTOS!$F$14,PLE!$B38,0)&gt;0,"F",""),IF(PLE!B38&lt;=MAX(CÁLCULO!$M$15:$M$231),"F",""))</f>
        <v>F</v>
      </c>
      <c r="B38" s="248">
        <f t="shared" ca="1" si="1"/>
        <v>23</v>
      </c>
      <c r="C38" s="832" t="str">
        <f ca="1">IF(AUTOEVENTO="Manual",OFFSET(EVENTOS!$D$15,$B38-$B$15,0),IF(B38&lt;=MAX(CÁLCULO!$M$15:$M$231),VLOOKUP($B38,CÁLCULO!$M$15:$N$231,2,FALSE),0))</f>
        <v>DIVERSOS</v>
      </c>
      <c r="D38" s="832"/>
      <c r="F38" s="249"/>
      <c r="H38" s="249"/>
      <c r="I38" s="249"/>
      <c r="J38" s="249"/>
      <c r="K38" s="249"/>
      <c r="L38" s="249"/>
      <c r="M38" s="249"/>
      <c r="N38" s="249"/>
      <c r="O38" s="249"/>
      <c r="P38" s="249"/>
      <c r="Q38" s="249"/>
      <c r="R38" s="249"/>
      <c r="S38" s="249"/>
      <c r="T38" s="249"/>
      <c r="U38" s="249"/>
      <c r="V38" s="249"/>
      <c r="W38" s="249"/>
      <c r="X38" s="249"/>
      <c r="Y38" s="249"/>
      <c r="Z38" s="249"/>
      <c r="AA38" s="249"/>
      <c r="AB38" s="249"/>
      <c r="AC38" s="249"/>
      <c r="AD38" s="249"/>
      <c r="AE38" s="249"/>
      <c r="AF38" s="249"/>
    </row>
    <row r="39" spans="1:32" s="675" customFormat="1" x14ac:dyDescent="0.2">
      <c r="A39" s="671" t="str">
        <f ca="1">IF(AUTOEVENTO="Manual",IF(OFFSET(EVENTOS!$F$14,PLE!$B39,0)&gt;0,"F",""),IF(PLE!B39&lt;=MAX(CÁLCULO!$M$15:$M$231),"F",""))</f>
        <v>F</v>
      </c>
      <c r="B39" s="248">
        <f t="shared" ca="1" si="1"/>
        <v>24</v>
      </c>
      <c r="C39" s="832" t="str">
        <f ca="1">IF(AUTOEVENTO="Manual",OFFSET(EVENTOS!$D$15,$B39-$B$15,0),IF(B39&lt;=MAX(CÁLCULO!$M$15:$M$231),VLOOKUP($B39,CÁLCULO!$M$15:$N$231,2,FALSE),0))</f>
        <v>REVESTIMENTO, IMPERMEABILIZAÇÃO E PINTURA</v>
      </c>
      <c r="D39" s="832"/>
      <c r="F39" s="249"/>
      <c r="H39" s="249"/>
      <c r="I39" s="249"/>
      <c r="J39" s="249"/>
      <c r="K39" s="249"/>
      <c r="L39" s="249"/>
      <c r="M39" s="249"/>
      <c r="N39" s="249"/>
      <c r="O39" s="249"/>
      <c r="P39" s="249"/>
      <c r="Q39" s="249"/>
      <c r="R39" s="249"/>
      <c r="S39" s="249"/>
      <c r="T39" s="249"/>
      <c r="U39" s="249"/>
      <c r="V39" s="249"/>
      <c r="W39" s="249"/>
      <c r="X39" s="249"/>
      <c r="Y39" s="249"/>
      <c r="Z39" s="249"/>
      <c r="AA39" s="249"/>
      <c r="AB39" s="249"/>
      <c r="AC39" s="249"/>
      <c r="AD39" s="249"/>
      <c r="AE39" s="249"/>
      <c r="AF39" s="249"/>
    </row>
    <row r="40" spans="1:32" s="675" customFormat="1" x14ac:dyDescent="0.2">
      <c r="A40" s="671" t="str">
        <f ca="1">IF(AUTOEVENTO="Manual",IF(OFFSET(EVENTOS!$F$14,PLE!$B40,0)&gt;0,"F",""),IF(PLE!B40&lt;=MAX(CÁLCULO!$M$15:$M$231),"F",""))</f>
        <v>F</v>
      </c>
      <c r="B40" s="248">
        <f t="shared" ca="1" si="1"/>
        <v>25</v>
      </c>
      <c r="C40" s="832" t="str">
        <f ca="1">IF(AUTOEVENTO="Manual",OFFSET(EVENTOS!$D$15,$B40-$B$15,0),IF(B40&lt;=MAX(CÁLCULO!$M$15:$M$231),VLOOKUP($B40,CÁLCULO!$M$15:$N$231,2,FALSE),0))</f>
        <v>EXTENSÃO REDE ELÉTRICA</v>
      </c>
      <c r="D40" s="832"/>
      <c r="F40" s="249"/>
      <c r="H40" s="249"/>
      <c r="I40" s="249"/>
      <c r="J40" s="249"/>
      <c r="K40" s="249"/>
      <c r="L40" s="249"/>
      <c r="M40" s="249"/>
      <c r="N40" s="249"/>
      <c r="O40" s="249"/>
      <c r="P40" s="249"/>
      <c r="Q40" s="249"/>
      <c r="R40" s="249"/>
      <c r="S40" s="249"/>
      <c r="T40" s="249"/>
      <c r="U40" s="249"/>
      <c r="V40" s="249"/>
      <c r="W40" s="249"/>
      <c r="X40" s="249"/>
      <c r="Y40" s="249"/>
      <c r="Z40" s="249"/>
      <c r="AA40" s="249"/>
      <c r="AB40" s="249"/>
      <c r="AC40" s="249"/>
      <c r="AD40" s="249"/>
      <c r="AE40" s="249"/>
      <c r="AF40" s="249"/>
    </row>
    <row r="41" spans="1:32" s="675" customFormat="1" x14ac:dyDescent="0.2">
      <c r="A41" s="671" t="str">
        <f ca="1">IF(AUTOEVENTO="Manual",IF(OFFSET(EVENTOS!$F$14,PLE!$B41,0)&gt;0,"F",""),IF(PLE!B41&lt;=MAX(CÁLCULO!$M$15:$M$231),"F",""))</f>
        <v>F</v>
      </c>
      <c r="B41" s="248">
        <f t="shared" ca="1" si="1"/>
        <v>26</v>
      </c>
      <c r="C41" s="832" t="str">
        <f ca="1">IF(AUTOEVENTO="Manual",OFFSET(EVENTOS!$D$15,$B41-$B$15,0),IF(B41&lt;=MAX(CÁLCULO!$M$15:$M$231),VLOOKUP($B41,CÁLCULO!$M$15:$N$231,2,FALSE),0))</f>
        <v>URBANIZAÇÃO</v>
      </c>
      <c r="D41" s="832"/>
      <c r="F41" s="249"/>
      <c r="H41" s="249"/>
      <c r="I41" s="249"/>
      <c r="J41" s="249"/>
      <c r="K41" s="249"/>
      <c r="L41" s="249"/>
      <c r="M41" s="249"/>
      <c r="N41" s="249"/>
      <c r="O41" s="249"/>
      <c r="P41" s="249"/>
      <c r="Q41" s="249"/>
      <c r="R41" s="249"/>
      <c r="S41" s="249"/>
      <c r="T41" s="249"/>
      <c r="U41" s="249"/>
      <c r="V41" s="249"/>
      <c r="W41" s="249"/>
      <c r="X41" s="249"/>
      <c r="Y41" s="249"/>
      <c r="Z41" s="249"/>
      <c r="AA41" s="249"/>
      <c r="AB41" s="249"/>
      <c r="AC41" s="249"/>
      <c r="AD41" s="249"/>
      <c r="AE41" s="249"/>
      <c r="AF41" s="249"/>
    </row>
    <row r="42" spans="1:32" s="675" customFormat="1" x14ac:dyDescent="0.2">
      <c r="A42" s="671" t="str">
        <f ca="1">IF(AUTOEVENTO="Manual",IF(OFFSET(EVENTOS!$F$14,PLE!$B42,0)&gt;0,"F",""),IF(PLE!B42&lt;=MAX(CÁLCULO!$M$15:$M$231),"F",""))</f>
        <v>F</v>
      </c>
      <c r="B42" s="248">
        <f t="shared" ca="1" si="1"/>
        <v>27</v>
      </c>
      <c r="C42" s="832" t="str">
        <f ca="1">IF(AUTOEVENTO="Manual",OFFSET(EVENTOS!$D$15,$B42-$B$15,0),IF(B42&lt;=MAX(CÁLCULO!$M$15:$M$231),VLOOKUP($B42,CÁLCULO!$M$15:$N$231,2,FALSE),0))</f>
        <v>PROJETO AS BUILT</v>
      </c>
      <c r="D42" s="832"/>
      <c r="F42" s="249"/>
      <c r="H42" s="249"/>
      <c r="I42" s="249"/>
      <c r="J42" s="249"/>
      <c r="K42" s="249"/>
      <c r="L42" s="249"/>
      <c r="M42" s="249"/>
      <c r="N42" s="249"/>
      <c r="O42" s="249"/>
      <c r="P42" s="249"/>
      <c r="Q42" s="249"/>
      <c r="R42" s="249"/>
      <c r="S42" s="249"/>
      <c r="T42" s="249"/>
      <c r="U42" s="249"/>
      <c r="V42" s="249"/>
      <c r="W42" s="249"/>
      <c r="X42" s="249"/>
      <c r="Y42" s="249"/>
      <c r="Z42" s="249"/>
      <c r="AA42" s="249"/>
      <c r="AB42" s="249"/>
      <c r="AC42" s="249"/>
      <c r="AD42" s="249"/>
      <c r="AE42" s="249"/>
      <c r="AF42" s="249"/>
    </row>
    <row r="43" spans="1:32" s="675" customFormat="1" x14ac:dyDescent="0.2">
      <c r="A43" s="671" t="str">
        <f ca="1">IF(AUTOEVENTO="Manual",IF(OFFSET(EVENTOS!$F$14,PLE!$B43,0)&gt;0,"F",""),IF(PLE!B43&lt;=MAX(CÁLCULO!$M$15:$M$231),"F",""))</f>
        <v/>
      </c>
      <c r="B43" s="248">
        <f t="shared" ca="1" si="1"/>
        <v>28</v>
      </c>
      <c r="C43" s="832">
        <f ca="1">IF(AUTOEVENTO="Manual",OFFSET(EVENTOS!$D$15,$B43-$B$15,0),IF(B43&lt;=MAX(CÁLCULO!$M$15:$M$231),VLOOKUP($B43,CÁLCULO!$M$15:$N$231,2,FALSE),0))</f>
        <v>0</v>
      </c>
      <c r="D43" s="832"/>
      <c r="F43" s="249"/>
      <c r="H43" s="249"/>
      <c r="I43" s="249"/>
      <c r="J43" s="249"/>
      <c r="K43" s="249"/>
      <c r="L43" s="249"/>
      <c r="M43" s="249"/>
      <c r="N43" s="249"/>
      <c r="O43" s="249"/>
      <c r="P43" s="249"/>
      <c r="Q43" s="249"/>
      <c r="R43" s="249"/>
      <c r="S43" s="249"/>
      <c r="T43" s="249"/>
      <c r="U43" s="249"/>
      <c r="V43" s="249"/>
      <c r="W43" s="249"/>
      <c r="X43" s="249"/>
      <c r="Y43" s="249"/>
      <c r="Z43" s="249"/>
      <c r="AA43" s="249"/>
      <c r="AB43" s="249"/>
      <c r="AC43" s="249"/>
      <c r="AD43" s="249"/>
      <c r="AE43" s="249"/>
      <c r="AF43" s="249"/>
    </row>
    <row r="44" spans="1:32" s="675" customFormat="1" x14ac:dyDescent="0.2">
      <c r="A44" s="671" t="str">
        <f ca="1">IF(AUTOEVENTO="Manual",IF(OFFSET(EVENTOS!$F$14,PLE!$B44,0)&gt;0,"F",""),IF(PLE!B44&lt;=MAX(CÁLCULO!$M$15:$M$231),"F",""))</f>
        <v/>
      </c>
      <c r="B44" s="248">
        <f t="shared" ca="1" si="1"/>
        <v>29</v>
      </c>
      <c r="C44" s="832">
        <f ca="1">IF(AUTOEVENTO="Manual",OFFSET(EVENTOS!$D$15,$B44-$B$15,0),IF(B44&lt;=MAX(CÁLCULO!$M$15:$M$231),VLOOKUP($B44,CÁLCULO!$M$15:$N$231,2,FALSE),0))</f>
        <v>0</v>
      </c>
      <c r="D44" s="832"/>
      <c r="F44" s="249"/>
      <c r="H44" s="249"/>
      <c r="I44" s="249"/>
      <c r="J44" s="249"/>
      <c r="K44" s="249"/>
      <c r="L44" s="249"/>
      <c r="M44" s="249"/>
      <c r="N44" s="249"/>
      <c r="O44" s="249"/>
      <c r="P44" s="249"/>
      <c r="Q44" s="249"/>
      <c r="R44" s="249"/>
      <c r="S44" s="249"/>
      <c r="T44" s="249"/>
      <c r="U44" s="249"/>
      <c r="V44" s="249"/>
      <c r="W44" s="249"/>
      <c r="X44" s="249"/>
      <c r="Y44" s="249"/>
      <c r="Z44" s="249"/>
      <c r="AA44" s="249"/>
      <c r="AB44" s="249"/>
      <c r="AC44" s="249"/>
      <c r="AD44" s="249"/>
      <c r="AE44" s="249"/>
      <c r="AF44" s="249"/>
    </row>
    <row r="45" spans="1:32" s="675" customFormat="1" x14ac:dyDescent="0.2">
      <c r="A45" s="671" t="str">
        <f ca="1">IF(AUTOEVENTO="Manual",IF(OFFSET(EVENTOS!$F$14,PLE!$B45,0)&gt;0,"F",""),IF(PLE!B45&lt;=MAX(CÁLCULO!$M$15:$M$231),"F",""))</f>
        <v/>
      </c>
      <c r="B45" s="248">
        <f t="shared" ca="1" si="1"/>
        <v>30</v>
      </c>
      <c r="C45" s="832">
        <f ca="1">IF(AUTOEVENTO="Manual",OFFSET(EVENTOS!$D$15,$B45-$B$15,0),IF(B45&lt;=MAX(CÁLCULO!$M$15:$M$231),VLOOKUP($B45,CÁLCULO!$M$15:$N$231,2,FALSE),0))</f>
        <v>0</v>
      </c>
      <c r="D45" s="832"/>
      <c r="F45" s="249"/>
      <c r="H45" s="249"/>
      <c r="I45" s="249"/>
      <c r="J45" s="249"/>
      <c r="K45" s="249"/>
      <c r="L45" s="249"/>
      <c r="M45" s="249"/>
      <c r="N45" s="249"/>
      <c r="O45" s="249"/>
      <c r="P45" s="249"/>
      <c r="Q45" s="249"/>
      <c r="R45" s="249"/>
      <c r="S45" s="249"/>
      <c r="T45" s="249"/>
      <c r="U45" s="249"/>
      <c r="V45" s="249"/>
      <c r="W45" s="249"/>
      <c r="X45" s="249"/>
      <c r="Y45" s="249"/>
      <c r="Z45" s="249"/>
      <c r="AA45" s="249"/>
      <c r="AB45" s="249"/>
      <c r="AC45" s="249"/>
      <c r="AD45" s="249"/>
      <c r="AE45" s="249"/>
      <c r="AF45" s="249"/>
    </row>
    <row r="46" spans="1:32" s="675" customFormat="1" x14ac:dyDescent="0.2">
      <c r="A46" s="671" t="str">
        <f ca="1">IF(AUTOEVENTO="Manual",IF(OFFSET(EVENTOS!$F$14,PLE!$B46,0)&gt;0,"F",""),IF(PLE!B46&lt;=MAX(CÁLCULO!$M$15:$M$231),"F",""))</f>
        <v/>
      </c>
      <c r="B46" s="248">
        <f t="shared" ca="1" si="1"/>
        <v>31</v>
      </c>
      <c r="C46" s="832">
        <f ca="1">IF(AUTOEVENTO="Manual",OFFSET(EVENTOS!$D$15,$B46-$B$15,0),IF(B46&lt;=MAX(CÁLCULO!$M$15:$M$231),VLOOKUP($B46,CÁLCULO!$M$15:$N$231,2,FALSE),0))</f>
        <v>0</v>
      </c>
      <c r="D46" s="832"/>
      <c r="F46" s="249"/>
      <c r="H46" s="249"/>
      <c r="I46" s="249"/>
      <c r="J46" s="249"/>
      <c r="K46" s="249"/>
      <c r="L46" s="249"/>
      <c r="M46" s="249"/>
      <c r="N46" s="249"/>
      <c r="O46" s="249"/>
      <c r="P46" s="249"/>
      <c r="Q46" s="249"/>
      <c r="R46" s="249"/>
      <c r="S46" s="249"/>
      <c r="T46" s="249"/>
      <c r="U46" s="249"/>
      <c r="V46" s="249"/>
      <c r="W46" s="249"/>
      <c r="X46" s="249"/>
      <c r="Y46" s="249"/>
      <c r="Z46" s="249"/>
      <c r="AA46" s="249"/>
      <c r="AB46" s="249"/>
      <c r="AC46" s="249"/>
      <c r="AD46" s="249"/>
      <c r="AE46" s="249"/>
      <c r="AF46" s="249"/>
    </row>
    <row r="47" spans="1:32" s="675" customFormat="1" x14ac:dyDescent="0.2">
      <c r="A47" s="671" t="str">
        <f ca="1">IF(AUTOEVENTO="Manual",IF(OFFSET(EVENTOS!$F$14,PLE!$B47,0)&gt;0,"F",""),IF(PLE!B47&lt;=MAX(CÁLCULO!$M$15:$M$231),"F",""))</f>
        <v/>
      </c>
      <c r="B47" s="248">
        <f t="shared" ca="1" si="1"/>
        <v>32</v>
      </c>
      <c r="C47" s="832">
        <f ca="1">IF(AUTOEVENTO="Manual",OFFSET(EVENTOS!$D$15,$B47-$B$15,0),IF(B47&lt;=MAX(CÁLCULO!$M$15:$M$231),VLOOKUP($B47,CÁLCULO!$M$15:$N$231,2,FALSE),0))</f>
        <v>0</v>
      </c>
      <c r="D47" s="832"/>
      <c r="F47" s="249"/>
      <c r="H47" s="249"/>
      <c r="I47" s="249"/>
      <c r="J47" s="249"/>
      <c r="K47" s="249"/>
      <c r="L47" s="249"/>
      <c r="M47" s="249"/>
      <c r="N47" s="249"/>
      <c r="O47" s="249"/>
      <c r="P47" s="249"/>
      <c r="Q47" s="249"/>
      <c r="R47" s="249"/>
      <c r="S47" s="249"/>
      <c r="T47" s="249"/>
      <c r="U47" s="249"/>
      <c r="V47" s="249"/>
      <c r="W47" s="249"/>
      <c r="X47" s="249"/>
      <c r="Y47" s="249"/>
      <c r="Z47" s="249"/>
      <c r="AA47" s="249"/>
      <c r="AB47" s="249"/>
      <c r="AC47" s="249"/>
      <c r="AD47" s="249"/>
      <c r="AE47" s="249"/>
      <c r="AF47" s="249"/>
    </row>
    <row r="48" spans="1:32" s="675" customFormat="1" x14ac:dyDescent="0.2">
      <c r="A48" s="671" t="str">
        <f ca="1">IF(AUTOEVENTO="Manual",IF(OFFSET(EVENTOS!$F$14,PLE!$B48,0)&gt;0,"F",""),IF(PLE!B48&lt;=MAX(CÁLCULO!$M$15:$M$231),"F",""))</f>
        <v/>
      </c>
      <c r="B48" s="248">
        <f t="shared" ca="1" si="1"/>
        <v>33</v>
      </c>
      <c r="C48" s="832">
        <f ca="1">IF(AUTOEVENTO="Manual",OFFSET(EVENTOS!$D$15,$B48-$B$15,0),IF(B48&lt;=MAX(CÁLCULO!$M$15:$M$231),VLOOKUP($B48,CÁLCULO!$M$15:$N$231,2,FALSE),0))</f>
        <v>0</v>
      </c>
      <c r="D48" s="832"/>
      <c r="F48" s="249"/>
      <c r="H48" s="249"/>
      <c r="I48" s="249"/>
      <c r="J48" s="249"/>
      <c r="K48" s="249"/>
      <c r="L48" s="249"/>
      <c r="M48" s="249"/>
      <c r="N48" s="249"/>
      <c r="O48" s="249"/>
      <c r="P48" s="249"/>
      <c r="Q48" s="249"/>
      <c r="R48" s="249"/>
      <c r="S48" s="249"/>
      <c r="T48" s="249"/>
      <c r="U48" s="249"/>
      <c r="V48" s="249"/>
      <c r="W48" s="249"/>
      <c r="X48" s="249"/>
      <c r="Y48" s="249"/>
      <c r="Z48" s="249"/>
      <c r="AA48" s="249"/>
      <c r="AB48" s="249"/>
      <c r="AC48" s="249"/>
      <c r="AD48" s="249"/>
      <c r="AE48" s="249"/>
      <c r="AF48" s="249"/>
    </row>
    <row r="49" spans="1:32" s="675" customFormat="1" x14ac:dyDescent="0.2">
      <c r="A49" s="671" t="str">
        <f ca="1">IF(AUTOEVENTO="Manual",IF(OFFSET(EVENTOS!$F$14,PLE!$B49,0)&gt;0,"F",""),IF(PLE!B49&lt;=MAX(CÁLCULO!$M$15:$M$231),"F",""))</f>
        <v/>
      </c>
      <c r="B49" s="248">
        <f t="shared" ca="1" si="1"/>
        <v>34</v>
      </c>
      <c r="C49" s="832">
        <f ca="1">IF(AUTOEVENTO="Manual",OFFSET(EVENTOS!$D$15,$B49-$B$15,0),IF(B49&lt;=MAX(CÁLCULO!$M$15:$M$231),VLOOKUP($B49,CÁLCULO!$M$15:$N$231,2,FALSE),0))</f>
        <v>0</v>
      </c>
      <c r="D49" s="832"/>
      <c r="F49" s="249"/>
      <c r="H49" s="249"/>
      <c r="I49" s="249"/>
      <c r="J49" s="249"/>
      <c r="K49" s="249"/>
      <c r="L49" s="249"/>
      <c r="M49" s="249"/>
      <c r="N49" s="249"/>
      <c r="O49" s="249"/>
      <c r="P49" s="249"/>
      <c r="Q49" s="249"/>
      <c r="R49" s="249"/>
      <c r="S49" s="249"/>
      <c r="T49" s="249"/>
      <c r="U49" s="249"/>
      <c r="V49" s="249"/>
      <c r="W49" s="249"/>
      <c r="X49" s="249"/>
      <c r="Y49" s="249"/>
      <c r="Z49" s="249"/>
      <c r="AA49" s="249"/>
      <c r="AB49" s="249"/>
      <c r="AC49" s="249"/>
      <c r="AD49" s="249"/>
      <c r="AE49" s="249"/>
      <c r="AF49" s="249"/>
    </row>
    <row r="50" spans="1:32" s="675" customFormat="1" x14ac:dyDescent="0.2">
      <c r="A50" s="671" t="str">
        <f ca="1">IF(AUTOEVENTO="Manual",IF(OFFSET(EVENTOS!$F$14,PLE!$B50,0)&gt;0,"F",""),IF(PLE!B50&lt;=MAX(CÁLCULO!$M$15:$M$231),"F",""))</f>
        <v/>
      </c>
      <c r="B50" s="248">
        <f t="shared" ca="1" si="1"/>
        <v>35</v>
      </c>
      <c r="C50" s="832">
        <f ca="1">IF(AUTOEVENTO="Manual",OFFSET(EVENTOS!$D$15,$B50-$B$15,0),IF(B50&lt;=MAX(CÁLCULO!$M$15:$M$231),VLOOKUP($B50,CÁLCULO!$M$15:$N$231,2,FALSE),0))</f>
        <v>0</v>
      </c>
      <c r="D50" s="832"/>
      <c r="F50" s="249"/>
      <c r="H50" s="249"/>
      <c r="I50" s="249"/>
      <c r="J50" s="249"/>
      <c r="K50" s="249"/>
      <c r="L50" s="249"/>
      <c r="M50" s="249"/>
      <c r="N50" s="249"/>
      <c r="O50" s="249"/>
      <c r="P50" s="249"/>
      <c r="Q50" s="249"/>
      <c r="R50" s="249"/>
      <c r="S50" s="249"/>
      <c r="T50" s="249"/>
      <c r="U50" s="249"/>
      <c r="V50" s="249"/>
      <c r="W50" s="249"/>
      <c r="X50" s="249"/>
      <c r="Y50" s="249"/>
      <c r="Z50" s="249"/>
      <c r="AA50" s="249"/>
      <c r="AB50" s="249"/>
      <c r="AC50" s="249"/>
      <c r="AD50" s="249"/>
      <c r="AE50" s="249"/>
      <c r="AF50" s="249"/>
    </row>
    <row r="51" spans="1:32" s="675" customFormat="1" x14ac:dyDescent="0.2">
      <c r="A51" s="671" t="str">
        <f ca="1">IF(AUTOEVENTO="Manual",IF(OFFSET(EVENTOS!$F$14,PLE!$B51,0)&gt;0,"F",""),IF(PLE!B51&lt;=MAX(CÁLCULO!$M$15:$M$231),"F",""))</f>
        <v/>
      </c>
      <c r="B51" s="248">
        <f t="shared" ca="1" si="1"/>
        <v>36</v>
      </c>
      <c r="C51" s="832">
        <f ca="1">IF(AUTOEVENTO="Manual",OFFSET(EVENTOS!$D$15,$B51-$B$15,0),IF(B51&lt;=MAX(CÁLCULO!$M$15:$M$231),VLOOKUP($B51,CÁLCULO!$M$15:$N$231,2,FALSE),0))</f>
        <v>0</v>
      </c>
      <c r="D51" s="832"/>
      <c r="F51" s="249"/>
      <c r="H51" s="249"/>
      <c r="I51" s="249"/>
      <c r="J51" s="249"/>
      <c r="K51" s="249"/>
      <c r="L51" s="249"/>
      <c r="M51" s="249"/>
      <c r="N51" s="249"/>
      <c r="O51" s="249"/>
      <c r="P51" s="249"/>
      <c r="Q51" s="249"/>
      <c r="R51" s="249"/>
      <c r="S51" s="249"/>
      <c r="T51" s="249"/>
      <c r="U51" s="249"/>
      <c r="V51" s="249"/>
      <c r="W51" s="249"/>
      <c r="X51" s="249"/>
      <c r="Y51" s="249"/>
      <c r="Z51" s="249"/>
      <c r="AA51" s="249"/>
      <c r="AB51" s="249"/>
      <c r="AC51" s="249"/>
      <c r="AD51" s="249"/>
      <c r="AE51" s="249"/>
      <c r="AF51" s="249"/>
    </row>
    <row r="52" spans="1:32" s="675" customFormat="1" x14ac:dyDescent="0.2">
      <c r="A52" s="671" t="str">
        <f ca="1">IF(AUTOEVENTO="Manual",IF(OFFSET(EVENTOS!$F$14,PLE!$B52,0)&gt;0,"F",""),IF(PLE!B52&lt;=MAX(CÁLCULO!$M$15:$M$231),"F",""))</f>
        <v/>
      </c>
      <c r="B52" s="248">
        <f t="shared" ca="1" si="1"/>
        <v>37</v>
      </c>
      <c r="C52" s="832">
        <f ca="1">IF(AUTOEVENTO="Manual",OFFSET(EVENTOS!$D$15,$B52-$B$15,0),IF(B52&lt;=MAX(CÁLCULO!$M$15:$M$231),VLOOKUP($B52,CÁLCULO!$M$15:$N$231,2,FALSE),0))</f>
        <v>0</v>
      </c>
      <c r="D52" s="832"/>
      <c r="F52" s="249"/>
      <c r="H52" s="249"/>
      <c r="I52" s="249"/>
      <c r="J52" s="249"/>
      <c r="K52" s="249"/>
      <c r="L52" s="249"/>
      <c r="M52" s="249"/>
      <c r="N52" s="249"/>
      <c r="O52" s="249"/>
      <c r="P52" s="249"/>
      <c r="Q52" s="249"/>
      <c r="R52" s="249"/>
      <c r="S52" s="249"/>
      <c r="T52" s="249"/>
      <c r="U52" s="249"/>
      <c r="V52" s="249"/>
      <c r="W52" s="249"/>
      <c r="X52" s="249"/>
      <c r="Y52" s="249"/>
      <c r="Z52" s="249"/>
      <c r="AA52" s="249"/>
      <c r="AB52" s="249"/>
      <c r="AC52" s="249"/>
      <c r="AD52" s="249"/>
      <c r="AE52" s="249"/>
      <c r="AF52" s="249"/>
    </row>
    <row r="53" spans="1:32" s="675" customFormat="1" x14ac:dyDescent="0.2">
      <c r="A53" s="671" t="str">
        <f ca="1">IF(AUTOEVENTO="Manual",IF(OFFSET(EVENTOS!$F$14,PLE!$B53,0)&gt;0,"F",""),IF(PLE!B53&lt;=MAX(CÁLCULO!$M$15:$M$231),"F",""))</f>
        <v/>
      </c>
      <c r="B53" s="248">
        <f t="shared" ca="1" si="1"/>
        <v>38</v>
      </c>
      <c r="C53" s="832">
        <f ca="1">IF(AUTOEVENTO="Manual",OFFSET(EVENTOS!$D$15,$B53-$B$15,0),IF(B53&lt;=MAX(CÁLCULO!$M$15:$M$231),VLOOKUP($B53,CÁLCULO!$M$15:$N$231,2,FALSE),0))</f>
        <v>0</v>
      </c>
      <c r="D53" s="832"/>
      <c r="F53" s="249"/>
      <c r="H53" s="249"/>
      <c r="I53" s="249"/>
      <c r="J53" s="249"/>
      <c r="K53" s="249"/>
      <c r="L53" s="249"/>
      <c r="M53" s="249"/>
      <c r="N53" s="249"/>
      <c r="O53" s="249"/>
      <c r="P53" s="249"/>
      <c r="Q53" s="249"/>
      <c r="R53" s="249"/>
      <c r="S53" s="249"/>
      <c r="T53" s="249"/>
      <c r="U53" s="249"/>
      <c r="V53" s="249"/>
      <c r="W53" s="249"/>
      <c r="X53" s="249"/>
      <c r="Y53" s="249"/>
      <c r="Z53" s="249"/>
      <c r="AA53" s="249"/>
      <c r="AB53" s="249"/>
      <c r="AC53" s="249"/>
      <c r="AD53" s="249"/>
      <c r="AE53" s="249"/>
      <c r="AF53" s="249"/>
    </row>
    <row r="54" spans="1:32" s="675" customFormat="1" x14ac:dyDescent="0.2">
      <c r="A54" s="671" t="str">
        <f ca="1">IF(AUTOEVENTO="Manual",IF(OFFSET(EVENTOS!$F$14,PLE!$B54,0)&gt;0,"F",""),IF(PLE!B54&lt;=MAX(CÁLCULO!$M$15:$M$231),"F",""))</f>
        <v/>
      </c>
      <c r="B54" s="248">
        <f t="shared" ca="1" si="1"/>
        <v>39</v>
      </c>
      <c r="C54" s="832">
        <f ca="1">IF(AUTOEVENTO="Manual",OFFSET(EVENTOS!$D$15,$B54-$B$15,0),IF(B54&lt;=MAX(CÁLCULO!$M$15:$M$231),VLOOKUP($B54,CÁLCULO!$M$15:$N$231,2,FALSE),0))</f>
        <v>0</v>
      </c>
      <c r="D54" s="832"/>
      <c r="F54" s="249"/>
      <c r="H54" s="249"/>
      <c r="I54" s="249"/>
      <c r="J54" s="249"/>
      <c r="K54" s="249"/>
      <c r="L54" s="249"/>
      <c r="M54" s="249"/>
      <c r="N54" s="249"/>
      <c r="O54" s="249"/>
      <c r="P54" s="249"/>
      <c r="Q54" s="249"/>
      <c r="R54" s="249"/>
      <c r="S54" s="249"/>
      <c r="T54" s="249"/>
      <c r="U54" s="249"/>
      <c r="V54" s="249"/>
      <c r="W54" s="249"/>
      <c r="X54" s="249"/>
      <c r="Y54" s="249"/>
      <c r="Z54" s="249"/>
      <c r="AA54" s="249"/>
      <c r="AB54" s="249"/>
      <c r="AC54" s="249"/>
      <c r="AD54" s="249"/>
      <c r="AE54" s="249"/>
      <c r="AF54" s="249"/>
    </row>
    <row r="55" spans="1:32" s="675" customFormat="1" x14ac:dyDescent="0.2">
      <c r="A55" s="671" t="str">
        <f ca="1">IF(AUTOEVENTO="Manual",IF(OFFSET(EVENTOS!$F$14,PLE!$B55,0)&gt;0,"F",""),IF(PLE!B55&lt;=MAX(CÁLCULO!$M$15:$M$231),"F",""))</f>
        <v/>
      </c>
      <c r="B55" s="248">
        <f t="shared" ca="1" si="1"/>
        <v>40</v>
      </c>
      <c r="C55" s="832">
        <f ca="1">IF(AUTOEVENTO="Manual",OFFSET(EVENTOS!$D$15,$B55-$B$15,0),IF(B55&lt;=MAX(CÁLCULO!$M$15:$M$231),VLOOKUP($B55,CÁLCULO!$M$15:$N$231,2,FALSE),0))</f>
        <v>0</v>
      </c>
      <c r="D55" s="832"/>
      <c r="F55" s="249"/>
      <c r="H55" s="249"/>
      <c r="I55" s="249"/>
      <c r="J55" s="249"/>
      <c r="K55" s="249"/>
      <c r="L55" s="249"/>
      <c r="M55" s="249"/>
      <c r="N55" s="249"/>
      <c r="O55" s="249"/>
      <c r="P55" s="249"/>
      <c r="Q55" s="249"/>
      <c r="R55" s="249"/>
      <c r="S55" s="249"/>
      <c r="T55" s="249"/>
      <c r="U55" s="249"/>
      <c r="V55" s="249"/>
      <c r="W55" s="249"/>
      <c r="X55" s="249"/>
      <c r="Y55" s="249"/>
      <c r="Z55" s="249"/>
      <c r="AA55" s="249"/>
      <c r="AB55" s="249"/>
      <c r="AC55" s="249"/>
      <c r="AD55" s="249"/>
      <c r="AE55" s="249"/>
      <c r="AF55" s="249"/>
    </row>
    <row r="56" spans="1:32" s="675" customFormat="1" x14ac:dyDescent="0.2">
      <c r="A56" s="671" t="str">
        <f ca="1">IF(AUTOEVENTO="Manual",IF(OFFSET(EVENTOS!$F$14,PLE!$B56,0)&gt;0,"F",""),IF(PLE!B56&lt;=MAX(CÁLCULO!$M$15:$M$231),"F",""))</f>
        <v/>
      </c>
      <c r="B56" s="248">
        <f t="shared" ca="1" si="1"/>
        <v>41</v>
      </c>
      <c r="C56" s="832">
        <f ca="1">IF(AUTOEVENTO="Manual",OFFSET(EVENTOS!$D$15,$B56-$B$15,0),IF(B56&lt;=MAX(CÁLCULO!$M$15:$M$231),VLOOKUP($B56,CÁLCULO!$M$15:$N$231,2,FALSE),0))</f>
        <v>0</v>
      </c>
      <c r="D56" s="832"/>
      <c r="F56" s="249"/>
      <c r="H56" s="249"/>
      <c r="I56" s="249"/>
      <c r="J56" s="249"/>
      <c r="K56" s="249"/>
      <c r="L56" s="249"/>
      <c r="M56" s="249"/>
      <c r="N56" s="249"/>
      <c r="O56" s="249"/>
      <c r="P56" s="249"/>
      <c r="Q56" s="249"/>
      <c r="R56" s="249"/>
      <c r="S56" s="249"/>
      <c r="T56" s="249"/>
      <c r="U56" s="249"/>
      <c r="V56" s="249"/>
      <c r="W56" s="249"/>
      <c r="X56" s="249"/>
      <c r="Y56" s="249"/>
      <c r="Z56" s="249"/>
      <c r="AA56" s="249"/>
      <c r="AB56" s="249"/>
      <c r="AC56" s="249"/>
      <c r="AD56" s="249"/>
      <c r="AE56" s="249"/>
      <c r="AF56" s="249"/>
    </row>
    <row r="57" spans="1:32" s="675" customFormat="1" x14ac:dyDescent="0.2">
      <c r="A57" s="671" t="str">
        <f ca="1">IF(AUTOEVENTO="Manual",IF(OFFSET(EVENTOS!$F$14,PLE!$B57,0)&gt;0,"F",""),IF(PLE!B57&lt;=MAX(CÁLCULO!$M$15:$M$231),"F",""))</f>
        <v/>
      </c>
      <c r="B57" s="248">
        <f t="shared" ca="1" si="1"/>
        <v>42</v>
      </c>
      <c r="C57" s="832">
        <f ca="1">IF(AUTOEVENTO="Manual",OFFSET(EVENTOS!$D$15,$B57-$B$15,0),IF(B57&lt;=MAX(CÁLCULO!$M$15:$M$231),VLOOKUP($B57,CÁLCULO!$M$15:$N$231,2,FALSE),0))</f>
        <v>0</v>
      </c>
      <c r="D57" s="832"/>
      <c r="F57" s="249"/>
      <c r="H57" s="249"/>
      <c r="I57" s="249"/>
      <c r="J57" s="249"/>
      <c r="K57" s="249"/>
      <c r="L57" s="249"/>
      <c r="M57" s="249"/>
      <c r="N57" s="249"/>
      <c r="O57" s="249"/>
      <c r="P57" s="249"/>
      <c r="Q57" s="249"/>
      <c r="R57" s="249"/>
      <c r="S57" s="249"/>
      <c r="T57" s="249"/>
      <c r="U57" s="249"/>
      <c r="V57" s="249"/>
      <c r="W57" s="249"/>
      <c r="X57" s="249"/>
      <c r="Y57" s="249"/>
      <c r="Z57" s="249"/>
      <c r="AA57" s="249"/>
      <c r="AB57" s="249"/>
      <c r="AC57" s="249"/>
      <c r="AD57" s="249"/>
      <c r="AE57" s="249"/>
      <c r="AF57" s="249"/>
    </row>
    <row r="58" spans="1:32" s="675" customFormat="1" x14ac:dyDescent="0.2">
      <c r="A58" s="671" t="str">
        <f ca="1">IF(AUTOEVENTO="Manual",IF(OFFSET(EVENTOS!$F$14,PLE!$B58,0)&gt;0,"F",""),IF(PLE!B58&lt;=MAX(CÁLCULO!$M$15:$M$231),"F",""))</f>
        <v/>
      </c>
      <c r="B58" s="248">
        <f t="shared" ca="1" si="1"/>
        <v>43</v>
      </c>
      <c r="C58" s="832">
        <f ca="1">IF(AUTOEVENTO="Manual",OFFSET(EVENTOS!$D$15,$B58-$B$15,0),IF(B58&lt;=MAX(CÁLCULO!$M$15:$M$231),VLOOKUP($B58,CÁLCULO!$M$15:$N$231,2,FALSE),0))</f>
        <v>0</v>
      </c>
      <c r="D58" s="832"/>
      <c r="F58" s="249"/>
      <c r="H58" s="249"/>
      <c r="I58" s="249"/>
      <c r="J58" s="249"/>
      <c r="K58" s="249"/>
      <c r="L58" s="249"/>
      <c r="M58" s="249"/>
      <c r="N58" s="249"/>
      <c r="O58" s="249"/>
      <c r="P58" s="249"/>
      <c r="Q58" s="249"/>
      <c r="R58" s="249"/>
      <c r="S58" s="249"/>
      <c r="T58" s="249"/>
      <c r="U58" s="249"/>
      <c r="V58" s="249"/>
      <c r="W58" s="249"/>
      <c r="X58" s="249"/>
      <c r="Y58" s="249"/>
      <c r="Z58" s="249"/>
      <c r="AA58" s="249"/>
      <c r="AB58" s="249"/>
      <c r="AC58" s="249"/>
      <c r="AD58" s="249"/>
      <c r="AE58" s="249"/>
      <c r="AF58" s="249"/>
    </row>
    <row r="59" spans="1:32" s="675" customFormat="1" x14ac:dyDescent="0.2">
      <c r="A59" s="671" t="str">
        <f ca="1">IF(AUTOEVENTO="Manual",IF(OFFSET(EVENTOS!$F$14,PLE!$B59,0)&gt;0,"F",""),IF(PLE!B59&lt;=MAX(CÁLCULO!$M$15:$M$231),"F",""))</f>
        <v/>
      </c>
      <c r="B59" s="248">
        <f t="shared" ca="1" si="1"/>
        <v>44</v>
      </c>
      <c r="C59" s="832">
        <f ca="1">IF(AUTOEVENTO="Manual",OFFSET(EVENTOS!$D$15,$B59-$B$15,0),IF(B59&lt;=MAX(CÁLCULO!$M$15:$M$231),VLOOKUP($B59,CÁLCULO!$M$15:$N$231,2,FALSE),0))</f>
        <v>0</v>
      </c>
      <c r="D59" s="832"/>
      <c r="F59" s="249"/>
      <c r="H59" s="249"/>
      <c r="I59" s="249"/>
      <c r="J59" s="249"/>
      <c r="K59" s="249"/>
      <c r="L59" s="249"/>
      <c r="M59" s="249"/>
      <c r="N59" s="249"/>
      <c r="O59" s="249"/>
      <c r="P59" s="249"/>
      <c r="Q59" s="249"/>
      <c r="R59" s="249"/>
      <c r="S59" s="249"/>
      <c r="T59" s="249"/>
      <c r="U59" s="249"/>
      <c r="V59" s="249"/>
      <c r="W59" s="249"/>
      <c r="X59" s="249"/>
      <c r="Y59" s="249"/>
      <c r="Z59" s="249"/>
      <c r="AA59" s="249"/>
      <c r="AB59" s="249"/>
      <c r="AC59" s="249"/>
      <c r="AD59" s="249"/>
      <c r="AE59" s="249"/>
      <c r="AF59" s="249"/>
    </row>
    <row r="60" spans="1:32" s="675" customFormat="1" x14ac:dyDescent="0.2">
      <c r="A60" s="671" t="str">
        <f ca="1">IF(AUTOEVENTO="Manual",IF(OFFSET(EVENTOS!$F$14,PLE!$B60,0)&gt;0,"F",""),IF(PLE!B60&lt;=MAX(CÁLCULO!$M$15:$M$231),"F",""))</f>
        <v/>
      </c>
      <c r="B60" s="248">
        <f t="shared" ca="1" si="1"/>
        <v>45</v>
      </c>
      <c r="C60" s="832">
        <f ca="1">IF(AUTOEVENTO="Manual",OFFSET(EVENTOS!$D$15,$B60-$B$15,0),IF(B60&lt;=MAX(CÁLCULO!$M$15:$M$231),VLOOKUP($B60,CÁLCULO!$M$15:$N$231,2,FALSE),0))</f>
        <v>0</v>
      </c>
      <c r="D60" s="832"/>
      <c r="F60" s="249"/>
      <c r="H60" s="249"/>
      <c r="I60" s="249"/>
      <c r="J60" s="249"/>
      <c r="K60" s="249"/>
      <c r="L60" s="249"/>
      <c r="M60" s="249"/>
      <c r="N60" s="249"/>
      <c r="O60" s="249"/>
      <c r="P60" s="249"/>
      <c r="Q60" s="249"/>
      <c r="R60" s="249"/>
      <c r="S60" s="249"/>
      <c r="T60" s="249"/>
      <c r="U60" s="249"/>
      <c r="V60" s="249"/>
      <c r="W60" s="249"/>
      <c r="X60" s="249"/>
      <c r="Y60" s="249"/>
      <c r="Z60" s="249"/>
      <c r="AA60" s="249"/>
      <c r="AB60" s="249"/>
      <c r="AC60" s="249"/>
      <c r="AD60" s="249"/>
      <c r="AE60" s="249"/>
      <c r="AF60" s="249"/>
    </row>
    <row r="61" spans="1:32" s="675" customFormat="1" x14ac:dyDescent="0.2">
      <c r="A61" s="671" t="str">
        <f ca="1">IF(AUTOEVENTO="Manual",IF(OFFSET(EVENTOS!$F$14,PLE!$B61,0)&gt;0,"F",""),IF(PLE!B61&lt;=MAX(CÁLCULO!$M$15:$M$231),"F",""))</f>
        <v/>
      </c>
      <c r="B61" s="248">
        <f t="shared" ca="1" si="1"/>
        <v>46</v>
      </c>
      <c r="C61" s="832">
        <f ca="1">IF(AUTOEVENTO="Manual",OFFSET(EVENTOS!$D$15,$B61-$B$15,0),IF(B61&lt;=MAX(CÁLCULO!$M$15:$M$231),VLOOKUP($B61,CÁLCULO!$M$15:$N$231,2,FALSE),0))</f>
        <v>0</v>
      </c>
      <c r="D61" s="832"/>
      <c r="F61" s="249"/>
      <c r="H61" s="249"/>
      <c r="I61" s="249"/>
      <c r="J61" s="249"/>
      <c r="K61" s="249"/>
      <c r="L61" s="249"/>
      <c r="M61" s="249"/>
      <c r="N61" s="249"/>
      <c r="O61" s="249"/>
      <c r="P61" s="249"/>
      <c r="Q61" s="249"/>
      <c r="R61" s="249"/>
      <c r="S61" s="249"/>
      <c r="T61" s="249"/>
      <c r="U61" s="249"/>
      <c r="V61" s="249"/>
      <c r="W61" s="249"/>
      <c r="X61" s="249"/>
      <c r="Y61" s="249"/>
      <c r="Z61" s="249"/>
      <c r="AA61" s="249"/>
      <c r="AB61" s="249"/>
      <c r="AC61" s="249"/>
      <c r="AD61" s="249"/>
      <c r="AE61" s="249"/>
      <c r="AF61" s="249"/>
    </row>
    <row r="62" spans="1:32" s="675" customFormat="1" x14ac:dyDescent="0.2">
      <c r="A62" s="671" t="str">
        <f ca="1">IF(AUTOEVENTO="Manual",IF(OFFSET(EVENTOS!$F$14,PLE!$B62,0)&gt;0,"F",""),IF(PLE!B62&lt;=MAX(CÁLCULO!$M$15:$M$231),"F",""))</f>
        <v/>
      </c>
      <c r="B62" s="248">
        <f t="shared" ca="1" si="1"/>
        <v>47</v>
      </c>
      <c r="C62" s="832">
        <f ca="1">IF(AUTOEVENTO="Manual",OFFSET(EVENTOS!$D$15,$B62-$B$15,0),IF(B62&lt;=MAX(CÁLCULO!$M$15:$M$231),VLOOKUP($B62,CÁLCULO!$M$15:$N$231,2,FALSE),0))</f>
        <v>0</v>
      </c>
      <c r="D62" s="832"/>
      <c r="F62" s="249"/>
      <c r="H62" s="249"/>
      <c r="I62" s="249"/>
      <c r="J62" s="249"/>
      <c r="K62" s="249"/>
      <c r="L62" s="249"/>
      <c r="M62" s="249"/>
      <c r="N62" s="249"/>
      <c r="O62" s="249"/>
      <c r="P62" s="249"/>
      <c r="Q62" s="249"/>
      <c r="R62" s="249"/>
      <c r="S62" s="249"/>
      <c r="T62" s="249"/>
      <c r="U62" s="249"/>
      <c r="V62" s="249"/>
      <c r="W62" s="249"/>
      <c r="X62" s="249"/>
      <c r="Y62" s="249"/>
      <c r="Z62" s="249"/>
      <c r="AA62" s="249"/>
      <c r="AB62" s="249"/>
      <c r="AC62" s="249"/>
      <c r="AD62" s="249"/>
      <c r="AE62" s="249"/>
      <c r="AF62" s="249"/>
    </row>
    <row r="63" spans="1:32" s="675" customFormat="1" x14ac:dyDescent="0.2">
      <c r="A63" s="671" t="str">
        <f ca="1">IF(AUTOEVENTO="Manual",IF(OFFSET(EVENTOS!$F$14,PLE!$B63,0)&gt;0,"F",""),IF(PLE!B63&lt;=MAX(CÁLCULO!$M$15:$M$231),"F",""))</f>
        <v/>
      </c>
      <c r="B63" s="248">
        <f t="shared" ca="1" si="1"/>
        <v>48</v>
      </c>
      <c r="C63" s="832">
        <f ca="1">IF(AUTOEVENTO="Manual",OFFSET(EVENTOS!$D$15,$B63-$B$15,0),IF(B63&lt;=MAX(CÁLCULO!$M$15:$M$231),VLOOKUP($B63,CÁLCULO!$M$15:$N$231,2,FALSE),0))</f>
        <v>0</v>
      </c>
      <c r="D63" s="832"/>
      <c r="F63" s="249"/>
      <c r="H63" s="249"/>
      <c r="I63" s="249"/>
      <c r="J63" s="249"/>
      <c r="K63" s="249"/>
      <c r="L63" s="249"/>
      <c r="M63" s="249"/>
      <c r="N63" s="249"/>
      <c r="O63" s="249"/>
      <c r="P63" s="249"/>
      <c r="Q63" s="249"/>
      <c r="R63" s="249"/>
      <c r="S63" s="249"/>
      <c r="T63" s="249"/>
      <c r="U63" s="249"/>
      <c r="V63" s="249"/>
      <c r="W63" s="249"/>
      <c r="X63" s="249"/>
      <c r="Y63" s="249"/>
      <c r="Z63" s="249"/>
      <c r="AA63" s="249"/>
      <c r="AB63" s="249"/>
      <c r="AC63" s="249"/>
      <c r="AD63" s="249"/>
      <c r="AE63" s="249"/>
      <c r="AF63" s="249"/>
    </row>
    <row r="64" spans="1:32" s="675" customFormat="1" x14ac:dyDescent="0.2">
      <c r="A64" s="671" t="str">
        <f ca="1">IF(AUTOEVENTO="Manual",IF(OFFSET(EVENTOS!$F$14,PLE!$B64,0)&gt;0,"F",""),IF(PLE!B64&lt;=MAX(CÁLCULO!$M$15:$M$231),"F",""))</f>
        <v/>
      </c>
      <c r="B64" s="248">
        <f t="shared" ca="1" si="1"/>
        <v>49</v>
      </c>
      <c r="C64" s="832">
        <f ca="1">IF(AUTOEVENTO="Manual",OFFSET(EVENTOS!$D$15,$B64-$B$15,0),IF(B64&lt;=MAX(CÁLCULO!$M$15:$M$231),VLOOKUP($B64,CÁLCULO!$M$15:$N$231,2,FALSE),0))</f>
        <v>0</v>
      </c>
      <c r="D64" s="832"/>
      <c r="F64" s="249"/>
      <c r="H64" s="249"/>
      <c r="I64" s="249"/>
      <c r="J64" s="249"/>
      <c r="K64" s="249"/>
      <c r="L64" s="249"/>
      <c r="M64" s="249"/>
      <c r="N64" s="249"/>
      <c r="O64" s="249"/>
      <c r="P64" s="249"/>
      <c r="Q64" s="249"/>
      <c r="R64" s="249"/>
      <c r="S64" s="249"/>
      <c r="T64" s="249"/>
      <c r="U64" s="249"/>
      <c r="V64" s="249"/>
      <c r="W64" s="249"/>
      <c r="X64" s="249"/>
      <c r="Y64" s="249"/>
      <c r="Z64" s="249"/>
      <c r="AA64" s="249"/>
      <c r="AB64" s="249"/>
      <c r="AC64" s="249"/>
      <c r="AD64" s="249"/>
      <c r="AE64" s="249"/>
      <c r="AF64" s="249"/>
    </row>
    <row r="65" spans="1:32" ht="4.5" customHeight="1" x14ac:dyDescent="0.2">
      <c r="A65" s="7" t="s">
        <v>537</v>
      </c>
      <c r="B65" s="619"/>
      <c r="C65" s="620"/>
      <c r="D65" s="420"/>
      <c r="F65" s="637"/>
      <c r="H65" s="619"/>
      <c r="I65" s="620"/>
      <c r="J65" s="620"/>
      <c r="K65" s="620"/>
      <c r="L65" s="620"/>
      <c r="M65" s="620"/>
      <c r="N65" s="620"/>
      <c r="O65" s="620"/>
      <c r="P65" s="620"/>
      <c r="Q65" s="620"/>
      <c r="R65" s="620"/>
      <c r="S65" s="620"/>
      <c r="T65" s="620"/>
      <c r="U65" s="620"/>
      <c r="V65" s="620"/>
      <c r="W65" s="620"/>
      <c r="X65" s="620"/>
      <c r="Y65" s="620"/>
      <c r="Z65" s="620"/>
      <c r="AA65" s="620"/>
      <c r="AB65" s="620"/>
      <c r="AC65" s="620"/>
      <c r="AD65" s="620"/>
      <c r="AE65" s="620"/>
      <c r="AF65" s="420"/>
    </row>
    <row r="66" spans="1:32" x14ac:dyDescent="0.2">
      <c r="A66" s="7" t="s">
        <v>537</v>
      </c>
    </row>
    <row r="67" spans="1:32" x14ac:dyDescent="0.2">
      <c r="A67" s="7" t="s">
        <v>537</v>
      </c>
      <c r="I67" s="843" t="s">
        <v>840</v>
      </c>
      <c r="J67" s="843"/>
      <c r="K67" s="843"/>
      <c r="L67" s="843"/>
      <c r="M67" s="843"/>
      <c r="N67" s="843"/>
      <c r="O67" s="843"/>
      <c r="P67" s="843"/>
      <c r="Q67" s="843"/>
      <c r="R67" s="843"/>
      <c r="S67" s="843"/>
      <c r="T67" s="843"/>
      <c r="U67" s="843"/>
      <c r="V67" s="843"/>
      <c r="W67" s="843"/>
      <c r="X67" s="843"/>
      <c r="Y67" s="843"/>
      <c r="Z67" s="843"/>
      <c r="AA67" s="843"/>
      <c r="AB67" s="843"/>
      <c r="AC67" s="843"/>
      <c r="AD67" s="843"/>
      <c r="AE67" s="843"/>
      <c r="AF67" s="843"/>
    </row>
    <row r="68" spans="1:32" x14ac:dyDescent="0.2">
      <c r="A68" s="7" t="s">
        <v>537</v>
      </c>
      <c r="H68" s="584" t="str">
        <f>IF(INDEX($I$68:$AG$68,MATCH(PLE.Medicao,$I$69:$AG$69,0))="","Preencher a data da medição "&amp;PLE.Medicao,"")</f>
        <v>Preencher a data da medição 1</v>
      </c>
      <c r="I68" s="852"/>
      <c r="J68" s="837"/>
      <c r="K68" s="837"/>
      <c r="L68" s="837"/>
      <c r="M68" s="837"/>
      <c r="N68" s="837"/>
      <c r="O68" s="837"/>
      <c r="P68" s="837"/>
      <c r="Q68" s="837"/>
      <c r="R68" s="837"/>
      <c r="S68" s="837"/>
      <c r="T68" s="837"/>
      <c r="U68" s="837"/>
      <c r="V68" s="837"/>
      <c r="W68" s="837"/>
      <c r="X68" s="837"/>
      <c r="Y68" s="837"/>
      <c r="Z68" s="837"/>
      <c r="AA68" s="837"/>
      <c r="AB68" s="837"/>
      <c r="AC68" s="837"/>
      <c r="AD68" s="837"/>
      <c r="AE68" s="837"/>
      <c r="AF68" s="844"/>
    </row>
    <row r="69" spans="1:32" x14ac:dyDescent="0.2">
      <c r="A69" s="7" t="s">
        <v>537</v>
      </c>
      <c r="D69" s="270" t="s">
        <v>841</v>
      </c>
      <c r="I69" s="838">
        <f>IF(PLE.Medicao&lt;=12,1,TRUNC((PLE.Medicao - 2)/11,0) * 11 + 1)</f>
        <v>1</v>
      </c>
      <c r="J69" s="838"/>
      <c r="K69" s="838">
        <f>I69+1</f>
        <v>2</v>
      </c>
      <c r="L69" s="838"/>
      <c r="M69" s="838">
        <f>K69+1</f>
        <v>3</v>
      </c>
      <c r="N69" s="838"/>
      <c r="O69" s="838">
        <f>M69+1</f>
        <v>4</v>
      </c>
      <c r="P69" s="838"/>
      <c r="Q69" s="838">
        <f>O69+1</f>
        <v>5</v>
      </c>
      <c r="R69" s="838"/>
      <c r="S69" s="838">
        <f>Q69+1</f>
        <v>6</v>
      </c>
      <c r="T69" s="838"/>
      <c r="U69" s="838">
        <f>S69+1</f>
        <v>7</v>
      </c>
      <c r="V69" s="838"/>
      <c r="W69" s="838">
        <f>U69+1</f>
        <v>8</v>
      </c>
      <c r="X69" s="838"/>
      <c r="Y69" s="838">
        <f>W69+1</f>
        <v>9</v>
      </c>
      <c r="Z69" s="838"/>
      <c r="AA69" s="838">
        <f>Y69+1</f>
        <v>10</v>
      </c>
      <c r="AB69" s="838"/>
      <c r="AC69" s="838">
        <f>AA69+1</f>
        <v>11</v>
      </c>
      <c r="AD69" s="838"/>
      <c r="AE69" s="838">
        <f>AC69+1</f>
        <v>12</v>
      </c>
      <c r="AF69" s="838"/>
    </row>
    <row r="70" spans="1:32" x14ac:dyDescent="0.2">
      <c r="A70" s="7" t="s">
        <v>537</v>
      </c>
      <c r="D70" s="840" t="s">
        <v>800</v>
      </c>
      <c r="H70" s="271" t="s">
        <v>782</v>
      </c>
      <c r="I70" s="839" t="e">
        <f ca="1">ROUND(I71,2)/ORÇAMENTO!$X$15</f>
        <v>#DIV/0!</v>
      </c>
      <c r="J70" s="839"/>
      <c r="K70" s="841" t="e">
        <f ca="1">ROUND(K71,2)/ORÇAMENTO!$X$15</f>
        <v>#DIV/0!</v>
      </c>
      <c r="L70" s="841"/>
      <c r="M70" s="842" t="e">
        <f ca="1">ROUND(M71,2)/ORÇAMENTO!$X$15</f>
        <v>#DIV/0!</v>
      </c>
      <c r="N70" s="842"/>
      <c r="O70" s="841" t="e">
        <f ca="1">ROUND(O71,2)/ORÇAMENTO!$X$15</f>
        <v>#DIV/0!</v>
      </c>
      <c r="P70" s="841"/>
      <c r="Q70" s="842" t="e">
        <f ca="1">ROUND(Q71,2)/ORÇAMENTO!$X$15</f>
        <v>#DIV/0!</v>
      </c>
      <c r="R70" s="842"/>
      <c r="S70" s="841" t="e">
        <f ca="1">ROUND(S71,2)/ORÇAMENTO!$X$15</f>
        <v>#DIV/0!</v>
      </c>
      <c r="T70" s="841"/>
      <c r="U70" s="842" t="e">
        <f ca="1">ROUND(U71,2)/ORÇAMENTO!$X$15</f>
        <v>#DIV/0!</v>
      </c>
      <c r="V70" s="842"/>
      <c r="W70" s="841" t="e">
        <f ca="1">ROUND(W71,2)/ORÇAMENTO!$X$15</f>
        <v>#DIV/0!</v>
      </c>
      <c r="X70" s="841"/>
      <c r="Y70" s="842" t="e">
        <f ca="1">ROUND(Y71,2)/ORÇAMENTO!$X$15</f>
        <v>#DIV/0!</v>
      </c>
      <c r="Z70" s="842"/>
      <c r="AA70" s="841" t="e">
        <f ca="1">ROUND(AA71,2)/ORÇAMENTO!$X$15</f>
        <v>#DIV/0!</v>
      </c>
      <c r="AB70" s="841"/>
      <c r="AC70" s="842" t="e">
        <f ca="1">ROUND(AC71,2)/ORÇAMENTO!$X$15</f>
        <v>#DIV/0!</v>
      </c>
      <c r="AD70" s="842"/>
      <c r="AE70" s="841" t="e">
        <f ca="1">ROUND(AE71,2)/ORÇAMENTO!$X$15</f>
        <v>#DIV/0!</v>
      </c>
      <c r="AF70" s="841"/>
    </row>
    <row r="71" spans="1:32" x14ac:dyDescent="0.2">
      <c r="A71" s="7" t="s">
        <v>537</v>
      </c>
      <c r="D71" s="840"/>
      <c r="H71" s="11" t="s">
        <v>783</v>
      </c>
      <c r="I71" s="834" cm="1">
        <f t="array" aca="1" ref="I71" ca="1">IF(I69=1,I73,_xlfn.SINGLE(AH11ARRED(I73,2))-ROUND(SUMIF(CÁLCULO!$AX$15:$BH$231,"&lt;="&amp;PLE!I69-1,CÁLCULO!$AB$15:$AL$231)*IF(AdmLocal="Automática",(1+_xlfn.SINGLE(CÁLCULO.TotalAdmLocal)/(ORÇAMENTO!$X$15-_xlfn.SINGLE(CÁLCULO.TotalAdmLocal))),1),2))</f>
        <v>0</v>
      </c>
      <c r="J71" s="834"/>
      <c r="K71" s="834">
        <f ca="1">ROUND(K73,2)-ROUND(I73,2)</f>
        <v>0</v>
      </c>
      <c r="L71" s="834"/>
      <c r="M71" s="833">
        <f ca="1">ROUND(M73,2)-ROUND(K73,2)</f>
        <v>0</v>
      </c>
      <c r="N71" s="833"/>
      <c r="O71" s="834">
        <f ca="1">ROUND(O73,2)-ROUND(M73,2)</f>
        <v>0</v>
      </c>
      <c r="P71" s="834"/>
      <c r="Q71" s="833">
        <f ca="1">ROUND(Q73,2)-ROUND(O73,2)</f>
        <v>0</v>
      </c>
      <c r="R71" s="833"/>
      <c r="S71" s="834">
        <f ca="1">ROUND(S73,2)-ROUND(Q73,2)</f>
        <v>0</v>
      </c>
      <c r="T71" s="834"/>
      <c r="U71" s="833">
        <f ca="1">ROUND(U73,2)-ROUND(S73,2)</f>
        <v>0</v>
      </c>
      <c r="V71" s="833"/>
      <c r="W71" s="834">
        <f ca="1">ROUND(W73,2)-ROUND(U73,2)</f>
        <v>0</v>
      </c>
      <c r="X71" s="834"/>
      <c r="Y71" s="833">
        <f ca="1">ROUND(Y73,2)-ROUND(W73,2)</f>
        <v>0</v>
      </c>
      <c r="Z71" s="833"/>
      <c r="AA71" s="834">
        <f ca="1">ROUND(AA73,2)-ROUND(Y73,2)</f>
        <v>0</v>
      </c>
      <c r="AB71" s="834"/>
      <c r="AC71" s="833">
        <f ca="1">ROUND(AC73,2)-ROUND(AA73,2)</f>
        <v>0</v>
      </c>
      <c r="AD71" s="833"/>
      <c r="AE71" s="834">
        <f ca="1">ROUND(AE73,2)-ROUND(AC73,2)</f>
        <v>0</v>
      </c>
      <c r="AF71" s="834"/>
    </row>
    <row r="72" spans="1:32" x14ac:dyDescent="0.2">
      <c r="A72" s="7" t="s">
        <v>537</v>
      </c>
      <c r="D72" s="840" t="s">
        <v>804</v>
      </c>
      <c r="H72" s="271" t="s">
        <v>782</v>
      </c>
      <c r="I72" s="854" t="e">
        <f ca="1">ROUND(I73,2)/ORÇAMENTO!$X$15</f>
        <v>#DIV/0!</v>
      </c>
      <c r="J72" s="854"/>
      <c r="K72" s="835" t="e">
        <f ca="1">ROUND(K73,2)/ORÇAMENTO!$X$15</f>
        <v>#DIV/0!</v>
      </c>
      <c r="L72" s="835"/>
      <c r="M72" s="836" t="e">
        <f ca="1">ROUND(M73,2)/ORÇAMENTO!$X$15</f>
        <v>#DIV/0!</v>
      </c>
      <c r="N72" s="836"/>
      <c r="O72" s="835" t="e">
        <f ca="1">ROUND(O73,2)/ORÇAMENTO!$X$15</f>
        <v>#DIV/0!</v>
      </c>
      <c r="P72" s="835"/>
      <c r="Q72" s="836" t="e">
        <f ca="1">ROUND(Q73,2)/ORÇAMENTO!$X$15</f>
        <v>#DIV/0!</v>
      </c>
      <c r="R72" s="836"/>
      <c r="S72" s="835" t="e">
        <f ca="1">ROUND(S73,2)/ORÇAMENTO!$X$15</f>
        <v>#DIV/0!</v>
      </c>
      <c r="T72" s="835"/>
      <c r="U72" s="836" t="e">
        <f ca="1">ROUND(U73,2)/ORÇAMENTO!$X$15</f>
        <v>#DIV/0!</v>
      </c>
      <c r="V72" s="836"/>
      <c r="W72" s="835" t="e">
        <f ca="1">ROUND(W73,2)/ORÇAMENTO!$X$15</f>
        <v>#DIV/0!</v>
      </c>
      <c r="X72" s="835"/>
      <c r="Y72" s="836" t="e">
        <f ca="1">ROUND(Y73,2)/ORÇAMENTO!$X$15</f>
        <v>#DIV/0!</v>
      </c>
      <c r="Z72" s="836"/>
      <c r="AA72" s="835" t="e">
        <f ca="1">ROUND(AA73,2)/ORÇAMENTO!$X$15</f>
        <v>#DIV/0!</v>
      </c>
      <c r="AB72" s="835"/>
      <c r="AC72" s="836" t="e">
        <f ca="1">ROUND(AC73,2)/ORÇAMENTO!$X$15</f>
        <v>#DIV/0!</v>
      </c>
      <c r="AD72" s="836"/>
      <c r="AE72" s="835" t="e">
        <f ca="1">ROUND(AE73,2)/ORÇAMENTO!$X$15</f>
        <v>#DIV/0!</v>
      </c>
      <c r="AF72" s="835"/>
    </row>
    <row r="73" spans="1:32" x14ac:dyDescent="0.2">
      <c r="A73" s="7" t="s">
        <v>537</v>
      </c>
      <c r="D73" s="840"/>
      <c r="H73" s="11" t="s">
        <v>783</v>
      </c>
      <c r="I73" s="853" cm="1">
        <f t="array" aca="1" ref="I73" ca="1">SUMIF(CÁLCULO!$AX$15:$BH$231,"&lt;="&amp;PLE!I69,CÁLCULO!$AB$15:$AL$231)*IF(AdmLocal="Automática",(1+_xlfn.SINGLE(CÁLCULO.TotalAdmLocal)/(ORÇAMENTO!$X$15-_xlfn.SINGLE(CÁLCULO.TotalAdmLocal))),1)</f>
        <v>0</v>
      </c>
      <c r="J73" s="853"/>
      <c r="K73" s="834" cm="1">
        <f t="array" aca="1" ref="K73" ca="1">SUMIF(CÁLCULO!$AX$15:$BH$231,"&lt;="&amp;PLE!K69,CÁLCULO!$AB$15:$AL$231)*IF(AdmLocal="Automática",(1+_xlfn.SINGLE(CÁLCULO.TotalAdmLocal)/(ORÇAMENTO!$X$15-_xlfn.SINGLE(CÁLCULO.TotalAdmLocal))),1)</f>
        <v>0</v>
      </c>
      <c r="L73" s="834"/>
      <c r="M73" s="833" cm="1">
        <f t="array" aca="1" ref="M73" ca="1">SUMIF(CÁLCULO!$AX$15:$BH$231,"&lt;="&amp;PLE!M69,CÁLCULO!$AB$15:$AL$231)*IF(AdmLocal="Automática",(1+_xlfn.SINGLE(CÁLCULO.TotalAdmLocal)/(ORÇAMENTO!$X$15-_xlfn.SINGLE(CÁLCULO.TotalAdmLocal))),1)</f>
        <v>0</v>
      </c>
      <c r="N73" s="833"/>
      <c r="O73" s="834" cm="1">
        <f t="array" aca="1" ref="O73" ca="1">SUMIF(CÁLCULO!$AX$15:$BH$231,"&lt;="&amp;PLE!O69,CÁLCULO!$AB$15:$AL$231)*IF(AdmLocal="Automática",(1+_xlfn.SINGLE(CÁLCULO.TotalAdmLocal)/(ORÇAMENTO!$X$15-_xlfn.SINGLE(CÁLCULO.TotalAdmLocal))),1)</f>
        <v>0</v>
      </c>
      <c r="P73" s="834"/>
      <c r="Q73" s="833" cm="1">
        <f t="array" aca="1" ref="Q73" ca="1">SUMIF(CÁLCULO!$AX$15:$BH$231,"&lt;="&amp;PLE!Q69,CÁLCULO!$AB$15:$AL$231)*IF(AdmLocal="Automática",(1+_xlfn.SINGLE(CÁLCULO.TotalAdmLocal)/(ORÇAMENTO!$X$15-_xlfn.SINGLE(CÁLCULO.TotalAdmLocal))),1)</f>
        <v>0</v>
      </c>
      <c r="R73" s="833"/>
      <c r="S73" s="834" cm="1">
        <f t="array" aca="1" ref="S73" ca="1">SUMIF(CÁLCULO!$AX$15:$BH$231,"&lt;="&amp;PLE!S69,CÁLCULO!$AB$15:$AL$231)*IF(AdmLocal="Automática",(1+_xlfn.SINGLE(CÁLCULO.TotalAdmLocal)/(ORÇAMENTO!$X$15-_xlfn.SINGLE(CÁLCULO.TotalAdmLocal))),1)</f>
        <v>0</v>
      </c>
      <c r="T73" s="834"/>
      <c r="U73" s="833" cm="1">
        <f t="array" aca="1" ref="U73" ca="1">SUMIF(CÁLCULO!$AX$15:$BH$231,"&lt;="&amp;PLE!U69,CÁLCULO!$AB$15:$AL$231)*IF(AdmLocal="Automática",(1+_xlfn.SINGLE(CÁLCULO.TotalAdmLocal)/(ORÇAMENTO!$X$15-_xlfn.SINGLE(CÁLCULO.TotalAdmLocal))),1)</f>
        <v>0</v>
      </c>
      <c r="V73" s="833"/>
      <c r="W73" s="834" cm="1">
        <f t="array" aca="1" ref="W73" ca="1">SUMIF(CÁLCULO!$AX$15:$BH$231,"&lt;="&amp;PLE!W69,CÁLCULO!$AB$15:$AL$231)*IF(AdmLocal="Automática",(1+_xlfn.SINGLE(CÁLCULO.TotalAdmLocal)/(ORÇAMENTO!$X$15-_xlfn.SINGLE(CÁLCULO.TotalAdmLocal))),1)</f>
        <v>0</v>
      </c>
      <c r="X73" s="834"/>
      <c r="Y73" s="833" cm="1">
        <f t="array" aca="1" ref="Y73" ca="1">SUMIF(CÁLCULO!$AX$15:$BH$231,"&lt;="&amp;PLE!Y69,CÁLCULO!$AB$15:$AL$231)*IF(AdmLocal="Automática",(1+_xlfn.SINGLE(CÁLCULO.TotalAdmLocal)/(ORÇAMENTO!$X$15-_xlfn.SINGLE(CÁLCULO.TotalAdmLocal))),1)</f>
        <v>0</v>
      </c>
      <c r="Z73" s="833"/>
      <c r="AA73" s="834" cm="1">
        <f t="array" aca="1" ref="AA73" ca="1">SUMIF(CÁLCULO!$AX$15:$BH$231,"&lt;="&amp;PLE!AA69,CÁLCULO!$AB$15:$AL$231)*IF(AdmLocal="Automática",(1+_xlfn.SINGLE(CÁLCULO.TotalAdmLocal)/(ORÇAMENTO!$X$15-_xlfn.SINGLE(CÁLCULO.TotalAdmLocal))),1)</f>
        <v>0</v>
      </c>
      <c r="AB73" s="834"/>
      <c r="AC73" s="833" cm="1">
        <f t="array" aca="1" ref="AC73" ca="1">SUMIF(CÁLCULO!$AX$15:$BH$231,"&lt;="&amp;PLE!AC69,CÁLCULO!$AB$15:$AL$231)*IF(AdmLocal="Automática",(1+_xlfn.SINGLE(CÁLCULO.TotalAdmLocal)/(ORÇAMENTO!$X$15-_xlfn.SINGLE(CÁLCULO.TotalAdmLocal))),1)</f>
        <v>0</v>
      </c>
      <c r="AD73" s="833"/>
      <c r="AE73" s="834" cm="1">
        <f t="array" aca="1" ref="AE73" ca="1">SUMIF(CÁLCULO!$AX$15:$BH$231,"&lt;="&amp;PLE!AE69,CÁLCULO!$AB$15:$AL$231)*IF(AdmLocal="Automática",(1+_xlfn.SINGLE(CÁLCULO.TotalAdmLocal)/(ORÇAMENTO!$X$15-_xlfn.SINGLE(CÁLCULO.TotalAdmLocal))),1)</f>
        <v>0</v>
      </c>
      <c r="AF73" s="834"/>
    </row>
    <row r="74" spans="1:32" ht="12.75" customHeight="1" x14ac:dyDescent="0.2">
      <c r="A74" s="7"/>
      <c r="D74" s="553" t="s">
        <v>785</v>
      </c>
      <c r="H74" s="552" t="s">
        <v>782</v>
      </c>
      <c r="I74" s="798" t="e" cm="1">
        <f t="array" aca="1" ref="I74" ca="1">IF(OR(_xlfn.SINGLE(ACOMPANHAMENTO)&lt;&gt;"PLE",I69&gt;PLE.Medicao),0,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#NAME?</v>
      </c>
      <c r="J74" s="798"/>
      <c r="K74" s="798" t="e" cm="1">
        <f t="array" aca="1" ref="K74" ca="1">IF(OR(_xlfn.SINGLE(ACOMPANHAMENTO)&lt;&gt;"PLE",K69&gt;PLE.Medicao),0,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#NAME?</v>
      </c>
      <c r="L74" s="798"/>
      <c r="M74" s="798" t="e" cm="1">
        <f t="array" aca="1" ref="M74" ca="1">IF(OR(_xlfn.SINGLE(ACOMPANHAMENTO)&lt;&gt;"PLE",M69&gt;PLE.Medicao),0,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#NAME?</v>
      </c>
      <c r="N74" s="798"/>
      <c r="O74" s="798" t="e" cm="1">
        <f t="array" aca="1" ref="O74" ca="1">IF(OR(_xlfn.SINGLE(ACOMPANHAMENTO)&lt;&gt;"PLE",O69&gt;PLE.Medicao),0,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#NAME?</v>
      </c>
      <c r="P74" s="798"/>
      <c r="Q74" s="798" t="e" cm="1">
        <f t="array" aca="1" ref="Q74" ca="1">IF(OR(_xlfn.SINGLE(ACOMPANHAMENTO)&lt;&gt;"PLE",Q69&gt;PLE.Medicao),0,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#NAME?</v>
      </c>
      <c r="R74" s="798"/>
      <c r="S74" s="798" t="e" cm="1">
        <f t="array" aca="1" ref="S74" ca="1">IF(OR(_xlfn.SINGLE(ACOMPANHAMENTO)&lt;&gt;"PLE",S69&gt;PLE.Medicao),0,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#NAME?</v>
      </c>
      <c r="T74" s="798"/>
      <c r="U74" s="798" t="e" cm="1">
        <f t="array" aca="1" ref="U74" ca="1">IF(OR(_xlfn.SINGLE(ACOMPANHAMENTO)&lt;&gt;"PLE",U69&gt;PLE.Medicao),0,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#NAME?</v>
      </c>
      <c r="V74" s="798"/>
      <c r="W74" s="798" t="e" cm="1">
        <f t="array" aca="1" ref="W74" ca="1">IF(OR(_xlfn.SINGLE(ACOMPANHAMENTO)&lt;&gt;"PLE",W69&gt;PLE.Medicao),0,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#NAME?</v>
      </c>
      <c r="X74" s="798"/>
      <c r="Y74" s="798" t="e" cm="1">
        <f t="array" aca="1" ref="Y74" ca="1">IF(OR(_xlfn.SINGLE(ACOMPANHAMENTO)&lt;&gt;"PLE",Y69&gt;PLE.Medicao),0,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#NAME?</v>
      </c>
      <c r="Z74" s="798"/>
      <c r="AA74" s="798" t="e" cm="1">
        <f t="array" aca="1" ref="AA74" ca="1">IF(OR(_xlfn.SINGLE(ACOMPANHAMENTO)&lt;&gt;"PLE",AA69&gt;PLE.Medicao),0,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#NAME?</v>
      </c>
      <c r="AB74" s="798"/>
      <c r="AC74" s="798" t="e" cm="1">
        <f t="array" aca="1" ref="AC74" ca="1">IF(OR(_xlfn.SINGLE(ACOMPANHAMENTO)&lt;&gt;"PLE",AC69&gt;PLE.Medicao),0,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#NAME?</v>
      </c>
      <c r="AD74" s="798"/>
      <c r="AE74" s="798" t="e" cm="1">
        <f t="array" aca="1" ref="AE74" ca="1">IF(OR(_xlfn.SINGLE(ACOMPANHAMENTO)&lt;&gt;"PLE",AE69&gt;PLE.Medicao),0,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#NAME?</v>
      </c>
      <c r="AF74" s="798"/>
    </row>
    <row r="75" spans="1:32" ht="13.5" x14ac:dyDescent="0.25">
      <c r="A75" s="7" t="s">
        <v>537</v>
      </c>
      <c r="D75" s="524"/>
      <c r="H75" s="584" t="str">
        <f ca="1">IF(COUNTIF(I75:AG75,"%Adm&gt;%Global")&gt;0,"Verificar proporcionalidade da Administração Local","")</f>
        <v/>
      </c>
      <c r="I75" s="536" t="e">
        <f ca="1">IF(I74="","",IF(ROUND(I74,4)&gt;ROUND(I72,4),"%Adm&gt;%Global",""))</f>
        <v>#NAME?</v>
      </c>
      <c r="J75" s="525"/>
      <c r="K75" s="536" t="e">
        <f t="shared" ref="K75" ca="1" si="2">IF(K74="","",IF(ROUND(K74,4)&gt;ROUND(K72,4),"%Adm&gt;%Global",""))</f>
        <v>#NAME?</v>
      </c>
      <c r="L75" s="525"/>
      <c r="M75" s="536" t="e">
        <f t="shared" ref="M75" ca="1" si="3">IF(M74="","",IF(ROUND(M74,4)&gt;ROUND(M72,4),"%Adm&gt;%Global",""))</f>
        <v>#NAME?</v>
      </c>
      <c r="N75" s="525"/>
      <c r="O75" s="536" t="e">
        <f t="shared" ref="O75" ca="1" si="4">IF(O74="","",IF(ROUND(O74,4)&gt;ROUND(O72,4),"%Adm&gt;%Global",""))</f>
        <v>#NAME?</v>
      </c>
      <c r="P75" s="525"/>
      <c r="Q75" s="536" t="e">
        <f t="shared" ref="Q75" ca="1" si="5">IF(Q74="","",IF(ROUND(Q74,4)&gt;ROUND(Q72,4),"%Adm&gt;%Global",""))</f>
        <v>#NAME?</v>
      </c>
      <c r="R75" s="525"/>
      <c r="S75" s="536" t="e">
        <f t="shared" ref="S75" ca="1" si="6">IF(S74="","",IF(ROUND(S74,4)&gt;ROUND(S72,4),"%Adm&gt;%Global",""))</f>
        <v>#NAME?</v>
      </c>
      <c r="T75" s="525"/>
      <c r="U75" s="536" t="e">
        <f t="shared" ref="U75" ca="1" si="7">IF(U74="","",IF(ROUND(U74,4)&gt;ROUND(U72,4),"%Adm&gt;%Global",""))</f>
        <v>#NAME?</v>
      </c>
      <c r="V75" s="525"/>
      <c r="W75" s="536" t="e">
        <f t="shared" ref="W75" ca="1" si="8">IF(W74="","",IF(ROUND(W74,4)&gt;ROUND(W72,4),"%Adm&gt;%Global",""))</f>
        <v>#NAME?</v>
      </c>
      <c r="X75" s="525"/>
      <c r="Y75" s="536" t="e">
        <f t="shared" ref="Y75" ca="1" si="9">IF(Y74="","",IF(ROUND(Y74,4)&gt;ROUND(Y72,4),"%Adm&gt;%Global",""))</f>
        <v>#NAME?</v>
      </c>
      <c r="Z75" s="525"/>
      <c r="AA75" s="536" t="e">
        <f t="shared" ref="AA75" ca="1" si="10">IF(AA74="","",IF(ROUND(AA74,4)&gt;ROUND(AA72,4),"%Adm&gt;%Global",""))</f>
        <v>#NAME?</v>
      </c>
      <c r="AB75" s="525"/>
      <c r="AC75" s="536" t="e">
        <f t="shared" ref="AC75" ca="1" si="11">IF(AC74="","",IF(ROUND(AC74,4)&gt;ROUND(AC72,4),"%Adm&gt;%Global",""))</f>
        <v>#NAME?</v>
      </c>
      <c r="AD75" s="525"/>
      <c r="AE75" s="536" t="e">
        <f t="shared" ref="AE75" ca="1" si="12">IF(AE74="","",IF(ROUND(AE74,4)&gt;ROUND(AE72,4),"%Adm&gt;%Global",""))</f>
        <v>#NAME?</v>
      </c>
      <c r="AF75" s="525"/>
    </row>
    <row r="76" spans="1:32" ht="20.25" customHeight="1" x14ac:dyDescent="0.2">
      <c r="A76" s="7" t="s">
        <v>537</v>
      </c>
      <c r="I76" s="855"/>
      <c r="J76" s="855"/>
    </row>
    <row r="77" spans="1:32" ht="15" x14ac:dyDescent="0.25">
      <c r="A77" s="7" t="s">
        <v>537</v>
      </c>
      <c r="B77" s="764" t="str">
        <f>Import.Município</f>
        <v>PASSOS/MG</v>
      </c>
      <c r="C77" s="764"/>
      <c r="D77" s="764"/>
      <c r="S77" s="563" t="str">
        <f ca="1">IF(DADOS!$D$50&lt;&gt;"","Preencher os Dados do Responsável pela Fiscalização, na aba DADOS.","")</f>
        <v/>
      </c>
      <c r="U77" s="140"/>
      <c r="V77" s="140"/>
      <c r="W77" s="140"/>
      <c r="X77" s="140"/>
      <c r="Y77" s="181"/>
      <c r="Z77" s="181"/>
      <c r="AA77" s="181"/>
      <c r="AB77" s="181"/>
      <c r="AC77" s="181"/>
      <c r="AD77" s="181"/>
    </row>
    <row r="78" spans="1:32" x14ac:dyDescent="0.2">
      <c r="A78" s="7" t="s">
        <v>537</v>
      </c>
      <c r="B78" s="9" t="s">
        <v>694</v>
      </c>
      <c r="U78" s="182" t="s">
        <v>842</v>
      </c>
    </row>
    <row r="79" spans="1:32" x14ac:dyDescent="0.2">
      <c r="A79" s="7" t="s">
        <v>537</v>
      </c>
      <c r="I79" s="79"/>
      <c r="U79" s="77" t="s">
        <v>240</v>
      </c>
      <c r="W79" s="272" t="str">
        <f t="array" ref="W79:W82">Import.RespFiscalização</f>
        <v>APARECIDO REIS DOS SANTOS</v>
      </c>
    </row>
    <row r="80" spans="1:32" x14ac:dyDescent="0.2">
      <c r="A80" s="7" t="s">
        <v>537</v>
      </c>
      <c r="B80" s="758">
        <f>DADOS!$C$48</f>
        <v>0</v>
      </c>
      <c r="C80" s="758"/>
      <c r="D80" s="758"/>
      <c r="I80" s="79"/>
      <c r="U80" s="77" t="s">
        <v>320</v>
      </c>
      <c r="W80" s="272" t="str">
        <v>ENGENHEIRO CIVIL- GERENTE DE PROJETOS</v>
      </c>
    </row>
    <row r="81" spans="1:23" x14ac:dyDescent="0.2">
      <c r="A81" s="7" t="s">
        <v>537</v>
      </c>
      <c r="B81" s="141" t="s">
        <v>695</v>
      </c>
      <c r="C81" s="1"/>
      <c r="D81" s="1"/>
      <c r="I81" s="79"/>
      <c r="U81" s="77" t="s">
        <v>243</v>
      </c>
      <c r="W81" s="272" t="str">
        <v>248.358/D</v>
      </c>
    </row>
    <row r="82" spans="1:23" x14ac:dyDescent="0.2">
      <c r="U82" s="77" t="s">
        <v>246</v>
      </c>
      <c r="W82" s="12">
        <v>0</v>
      </c>
    </row>
  </sheetData>
  <sheetProtection algorithmName="SHA-512" hashValue="n2jvjb4iUCEViBwCJNXULmv2fMnXxFEkX76XeQOUwCOoiV/X48UuBAF46zp9GK+yQZdP9zgxDJ0jXjQ18pzUFw==" saltValue="N17eDDyXgTYJXgr3o3qgUA==" spinCount="100000" sheet="1" objects="1" scenarios="1" autoFilter="0"/>
  <autoFilter ref="A13:A81" xr:uid="{00000000-0009-0000-0000-000009000000}"/>
  <mergeCells count="156">
    <mergeCell ref="C48:D48"/>
    <mergeCell ref="C49:D49"/>
    <mergeCell ref="C50:D50"/>
    <mergeCell ref="C51:D51"/>
    <mergeCell ref="C39:D39"/>
    <mergeCell ref="C40:D40"/>
    <mergeCell ref="C41:D41"/>
    <mergeCell ref="C42:D42"/>
    <mergeCell ref="C43:D43"/>
    <mergeCell ref="C44:D44"/>
    <mergeCell ref="C45:D45"/>
    <mergeCell ref="C46:D46"/>
    <mergeCell ref="C47:D47"/>
    <mergeCell ref="C25:D25"/>
    <mergeCell ref="C26:D26"/>
    <mergeCell ref="C27:D27"/>
    <mergeCell ref="C28:D28"/>
    <mergeCell ref="C29:D29"/>
    <mergeCell ref="C30:D30"/>
    <mergeCell ref="C31:D31"/>
    <mergeCell ref="C32:D32"/>
    <mergeCell ref="C33:D33"/>
    <mergeCell ref="W71:X71"/>
    <mergeCell ref="S69:T69"/>
    <mergeCell ref="Q69:R69"/>
    <mergeCell ref="K69:L69"/>
    <mergeCell ref="K68:L68"/>
    <mergeCell ref="I68:J68"/>
    <mergeCell ref="B80:D80"/>
    <mergeCell ref="B77:D77"/>
    <mergeCell ref="D72:D73"/>
    <mergeCell ref="M72:N72"/>
    <mergeCell ref="M73:N73"/>
    <mergeCell ref="I73:J73"/>
    <mergeCell ref="K73:L73"/>
    <mergeCell ref="K72:L72"/>
    <mergeCell ref="I72:J72"/>
    <mergeCell ref="I76:J76"/>
    <mergeCell ref="I74:J74"/>
    <mergeCell ref="K74:L74"/>
    <mergeCell ref="M74:N74"/>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AE70:AF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AE71:AF71"/>
    <mergeCell ref="O69:P69"/>
    <mergeCell ref="W70:X70"/>
    <mergeCell ref="U70:V70"/>
    <mergeCell ref="AC70:AD70"/>
    <mergeCell ref="AE69:AF69"/>
    <mergeCell ref="U72:V72"/>
    <mergeCell ref="Y72:Z72"/>
    <mergeCell ref="C61:D61"/>
    <mergeCell ref="AA68:AB68"/>
    <mergeCell ref="B12:B13"/>
    <mergeCell ref="C17:D17"/>
    <mergeCell ref="D70:D71"/>
    <mergeCell ref="C16:D16"/>
    <mergeCell ref="C18:D18"/>
    <mergeCell ref="C19:D19"/>
    <mergeCell ref="C20:D20"/>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C21:D21"/>
    <mergeCell ref="C22:D22"/>
    <mergeCell ref="C23:D23"/>
    <mergeCell ref="C24:D24"/>
    <mergeCell ref="U73:V73"/>
    <mergeCell ref="O74:P74"/>
    <mergeCell ref="Q74:R74"/>
    <mergeCell ref="O73:P73"/>
    <mergeCell ref="O72:P72"/>
    <mergeCell ref="Q72:R72"/>
    <mergeCell ref="Q73:R73"/>
    <mergeCell ref="M68:N68"/>
    <mergeCell ref="O71:P71"/>
    <mergeCell ref="M71:N71"/>
    <mergeCell ref="K71:L71"/>
    <mergeCell ref="I71:J71"/>
    <mergeCell ref="I69:J69"/>
    <mergeCell ref="I70:J70"/>
    <mergeCell ref="M69:N69"/>
    <mergeCell ref="C34:D34"/>
    <mergeCell ref="C35:D35"/>
    <mergeCell ref="C36:D36"/>
    <mergeCell ref="C37:D37"/>
    <mergeCell ref="C38:D38"/>
    <mergeCell ref="C62:D62"/>
    <mergeCell ref="C63:D63"/>
    <mergeCell ref="C64:D64"/>
    <mergeCell ref="C52:D52"/>
    <mergeCell ref="C53:D53"/>
    <mergeCell ref="C54:D54"/>
    <mergeCell ref="C55:D55"/>
    <mergeCell ref="C56:D56"/>
    <mergeCell ref="C57:D57"/>
    <mergeCell ref="C58:D58"/>
    <mergeCell ref="C59:D59"/>
    <mergeCell ref="C60:D60"/>
  </mergeCells>
  <phoneticPr fontId="38" type="noConversion"/>
  <conditionalFormatting sqref="F1:F2">
    <cfRule type="expression" dxfId="233" priority="2101" stopIfTrue="1">
      <formula>IF(OR(ACOMPANHAMENTO="BM",F$12&gt;CÁLCULO.NúmeroDeFrentes),TRUE,PLE.ValorDoEvento=0)</formula>
    </cfRule>
    <cfRule type="cellIs" dxfId="232" priority="2102" stopIfTrue="1" operator="equal">
      <formula>$J$9</formula>
    </cfRule>
  </conditionalFormatting>
  <conditionalFormatting sqref="I70:AF70">
    <cfRule type="expression" dxfId="231" priority="2103" stopIfTrue="1">
      <formula>I69=$J$9</formula>
    </cfRule>
  </conditionalFormatting>
  <conditionalFormatting sqref="I71:AF71">
    <cfRule type="expression" dxfId="230" priority="2104" stopIfTrue="1">
      <formula>I69=$J$9</formula>
    </cfRule>
  </conditionalFormatting>
  <conditionalFormatting sqref="I72:AF72">
    <cfRule type="expression" dxfId="229" priority="2105" stopIfTrue="1">
      <formula>I69=$J$9</formula>
    </cfRule>
  </conditionalFormatting>
  <conditionalFormatting sqref="I73:AF73">
    <cfRule type="expression" dxfId="228" priority="2106" stopIfTrue="1">
      <formula>I69=$J$9</formula>
    </cfRule>
  </conditionalFormatting>
  <conditionalFormatting sqref="I69:J69">
    <cfRule type="cellIs" dxfId="227" priority="2100" stopIfTrue="1" operator="notEqual">
      <formula>1</formula>
    </cfRule>
  </conditionalFormatting>
  <conditionalFormatting sqref="H1:AF1 H16:AF64">
    <cfRule type="expression" dxfId="226" priority="2118" stopIfTrue="1">
      <formula>IF(OR(ACOMPANHAMENTO="BM",TIPOORCAMENTO="Proposto",H$12&gt;CÁLCULO.NúmeroDeFrentes),TRUE,PLE.ValorDoEvento=0)</formula>
    </cfRule>
    <cfRule type="cellIs" dxfId="225" priority="2119" stopIfTrue="1" operator="equal">
      <formula>$J$9</formula>
    </cfRule>
  </conditionalFormatting>
  <conditionalFormatting sqref="AE6:AE7">
    <cfRule type="expression" dxfId="224" priority="2107" stopIfTrue="1">
      <formula>TIPOORCAMENTO&lt;&gt;"Licitado"</formula>
    </cfRule>
  </conditionalFormatting>
  <conditionalFormatting sqref="N9:T9">
    <cfRule type="expression" dxfId="223" priority="2108" stopIfTrue="1">
      <formula>COLUMN(N9)&gt;COLUMN($AF$12)</formula>
    </cfRule>
    <cfRule type="expression" dxfId="222" priority="2109" stopIfTrue="1">
      <formula>$N$9="DIGITE A DATA DA MEDIÇÃO"</formula>
    </cfRule>
  </conditionalFormatting>
  <conditionalFormatting sqref="I9:M9 U9:AF9">
    <cfRule type="expression" dxfId="221" priority="2110" stopIfTrue="1">
      <formula>COLUMN(I9)&gt;COLUMN($AF$12)</formula>
    </cfRule>
  </conditionalFormatting>
  <conditionalFormatting sqref="K70:AF73">
    <cfRule type="expression" dxfId="220" priority="1116" stopIfTrue="1">
      <formula>I$72=100%</formula>
    </cfRule>
  </conditionalFormatting>
  <conditionalFormatting sqref="J75 L75 N75 P75 R75 T75 V75 X75 Z75 AB75 AD75 AF75">
    <cfRule type="expression" dxfId="219" priority="13827" stopIfTrue="1">
      <formula>J70=$J$9</formula>
    </cfRule>
  </conditionalFormatting>
  <conditionalFormatting sqref="K74:AF74">
    <cfRule type="expression" dxfId="218" priority="1115">
      <formula>OFFSET(K74,-2,-2)=1</formula>
    </cfRule>
  </conditionalFormatting>
  <conditionalFormatting sqref="I74:AF74">
    <cfRule type="expression" dxfId="217" priority="1114">
      <formula>ROUND(I74,4)&gt;ROUND(I72,4)</formula>
    </cfRule>
  </conditionalFormatting>
  <conditionalFormatting sqref="N13">
    <cfRule type="expression" dxfId="216" priority="1113">
      <formula>$Y$9=0</formula>
    </cfRule>
  </conditionalFormatting>
  <conditionalFormatting sqref="F16:F24">
    <cfRule type="expression" dxfId="215" priority="21" stopIfTrue="1">
      <formula>IF(OR(ACOMPANHAMENTO="BM",F$12&gt;CÁLCULO.NúmeroDeFrentes),TRUE,PLE.ValorDoEvento=0)</formula>
    </cfRule>
    <cfRule type="cellIs" dxfId="214" priority="22" stopIfTrue="1" operator="equal">
      <formula>$J$9</formula>
    </cfRule>
  </conditionalFormatting>
  <conditionalFormatting sqref="F25:F33">
    <cfRule type="expression" dxfId="213" priority="17" stopIfTrue="1">
      <formula>IF(OR(ACOMPANHAMENTO="BM",F$12&gt;CÁLCULO.NúmeroDeFrentes),TRUE,PLE.ValorDoEvento=0)</formula>
    </cfRule>
    <cfRule type="cellIs" dxfId="212" priority="18" stopIfTrue="1" operator="equal">
      <formula>$J$9</formula>
    </cfRule>
  </conditionalFormatting>
  <conditionalFormatting sqref="F34:F42">
    <cfRule type="expression" dxfId="211" priority="13" stopIfTrue="1">
      <formula>IF(OR(ACOMPANHAMENTO="BM",F$12&gt;CÁLCULO.NúmeroDeFrentes),TRUE,PLE.ValorDoEvento=0)</formula>
    </cfRule>
    <cfRule type="cellIs" dxfId="210" priority="14" stopIfTrue="1" operator="equal">
      <formula>$J$9</formula>
    </cfRule>
  </conditionalFormatting>
  <conditionalFormatting sqref="F43:F51">
    <cfRule type="expression" dxfId="209" priority="9" stopIfTrue="1">
      <formula>IF(OR(ACOMPANHAMENTO="BM",F$12&gt;CÁLCULO.NúmeroDeFrentes),TRUE,PLE.ValorDoEvento=0)</formula>
    </cfRule>
    <cfRule type="cellIs" dxfId="208" priority="10" stopIfTrue="1" operator="equal">
      <formula>$J$9</formula>
    </cfRule>
  </conditionalFormatting>
  <conditionalFormatting sqref="F52:F60">
    <cfRule type="expression" dxfId="207" priority="5" stopIfTrue="1">
      <formula>IF(OR(ACOMPANHAMENTO="BM",F$12&gt;CÁLCULO.NúmeroDeFrentes),TRUE,PLE.ValorDoEvento=0)</formula>
    </cfRule>
    <cfRule type="cellIs" dxfId="206" priority="6" stopIfTrue="1" operator="equal">
      <formula>$J$9</formula>
    </cfRule>
  </conditionalFormatting>
  <conditionalFormatting sqref="F61:F64">
    <cfRule type="expression" dxfId="205" priority="1" stopIfTrue="1">
      <formula>IF(OR(ACOMPANHAMENTO="BM",F$12&gt;CÁLCULO.NúmeroDeFrentes),TRUE,PLE.ValorDoEvento=0)</formula>
    </cfRule>
    <cfRule type="cellIs" dxfId="204" priority="2"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&amp;LPMv3.12&amp;R&amp;P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246"/>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9" t="str">
        <f>IF(CAIXA.Modo,"BA - Boletim de Aferição","BM - Boletim de Medição")</f>
        <v>BM - Boletim de Medição</v>
      </c>
      <c r="G1" s="320"/>
      <c r="J1" s="320"/>
      <c r="K1" s="320"/>
      <c r="L1" s="320"/>
      <c r="M1" s="320"/>
      <c r="N1" s="320"/>
      <c r="O1" s="52" t="s">
        <v>645</v>
      </c>
    </row>
    <row r="2" spans="1:41" ht="15" x14ac:dyDescent="0.2">
      <c r="A2" s="321" t="s">
        <v>843</v>
      </c>
      <c r="B2" s="2"/>
      <c r="E2" s="322" t="str">
        <f ca="1">IF(Import.RegimeExecução="(SELECIONAR)","Selecione o Regime de Execução na Aba Dados",Import.RegimeExecução&amp;" - "&amp;import.recurso)</f>
        <v>Selecione o Regime de Execução na Aba Dados</v>
      </c>
      <c r="O2" s="11" t="s">
        <v>648</v>
      </c>
    </row>
    <row r="3" spans="1:41" x14ac:dyDescent="0.2">
      <c r="A3" s="856" t="b">
        <v>0</v>
      </c>
      <c r="B3" s="856"/>
      <c r="E3" s="86"/>
    </row>
    <row r="4" spans="1:41" x14ac:dyDescent="0.2">
      <c r="D4" s="731" t="s">
        <v>653</v>
      </c>
      <c r="E4" s="731"/>
      <c r="F4" s="769" t="s">
        <v>651</v>
      </c>
      <c r="G4" s="769"/>
      <c r="H4" s="769"/>
      <c r="I4" s="146" t="s">
        <v>708</v>
      </c>
      <c r="J4" s="731" t="s">
        <v>709</v>
      </c>
      <c r="K4" s="731"/>
      <c r="L4" s="731"/>
      <c r="M4" s="731"/>
      <c r="N4" s="731"/>
      <c r="O4" s="148" t="s">
        <v>844</v>
      </c>
    </row>
    <row r="5" spans="1:41" ht="12.75" customHeight="1" x14ac:dyDescent="0.2">
      <c r="A5" t="s">
        <v>845</v>
      </c>
      <c r="D5" s="728" t="str">
        <f>Import.Proponente</f>
        <v>PREFEITURA MUNICIPAL DE PASSOS/MG</v>
      </c>
      <c r="E5" s="728"/>
      <c r="F5" s="767" t="str">
        <f>Import.CR</f>
        <v>0639.998-99</v>
      </c>
      <c r="G5" s="767"/>
      <c r="H5" s="767"/>
      <c r="I5" s="323" t="str">
        <f>Import.TransfereGOV</f>
        <v>56000003291</v>
      </c>
      <c r="J5" s="728" t="str">
        <f>Import.Apelido</f>
        <v>AMPLIAÇÃO DO SISTEMA DE ESGOTAMENTO SANITÁRIO</v>
      </c>
      <c r="K5" s="728"/>
      <c r="L5" s="728"/>
      <c r="M5" s="728"/>
      <c r="N5" s="728"/>
      <c r="O5" s="324">
        <f>Import.DataInicioObra</f>
        <v>0</v>
      </c>
      <c r="AO5" s="325" t="s">
        <v>846</v>
      </c>
    </row>
    <row r="6" spans="1:41" ht="5.0999999999999996" customHeight="1" x14ac:dyDescent="0.2">
      <c r="D6" s="94"/>
      <c r="E6" s="95"/>
      <c r="F6" s="94"/>
      <c r="G6" s="94"/>
      <c r="H6" s="94"/>
      <c r="I6" s="94"/>
      <c r="J6" s="94"/>
      <c r="K6" s="94"/>
      <c r="L6" s="94"/>
      <c r="M6" s="94"/>
      <c r="N6" s="94"/>
      <c r="O6" s="94"/>
      <c r="AO6" s="326"/>
    </row>
    <row r="7" spans="1:41" ht="12.75" customHeight="1" x14ac:dyDescent="0.2">
      <c r="A7" t="str">
        <f ca="1">RegimeExecucao</f>
        <v>Unitário</v>
      </c>
      <c r="D7" s="88" t="s">
        <v>847</v>
      </c>
      <c r="E7" s="88" t="s">
        <v>848</v>
      </c>
      <c r="F7" s="731" t="s">
        <v>849</v>
      </c>
      <c r="G7" s="731"/>
      <c r="H7" s="731"/>
      <c r="I7" s="731" t="str">
        <f>IF(TIPOORCAMENTO="Licitado","REGIME DE EXECUÇÃO","MUNICÍPIO / UF")</f>
        <v>MUNICÍPIO / UF</v>
      </c>
      <c r="J7" s="731"/>
      <c r="K7" s="731"/>
      <c r="L7" s="731"/>
      <c r="M7" s="731" t="s">
        <v>850</v>
      </c>
      <c r="N7" s="731"/>
      <c r="O7" s="88" t="s">
        <v>851</v>
      </c>
      <c r="AO7" s="276">
        <f ca="1">BM.MEDAcumulado</f>
        <v>0</v>
      </c>
    </row>
    <row r="8" spans="1:41" ht="12.75" customHeight="1" x14ac:dyDescent="0.2">
      <c r="A8" s="321" t="s">
        <v>852</v>
      </c>
      <c r="B8" s="2"/>
      <c r="C8" s="757" t="s">
        <v>656</v>
      </c>
      <c r="D8" s="327">
        <f>Import.CTEF</f>
        <v>0</v>
      </c>
      <c r="E8" s="56">
        <f>Import.empresa</f>
        <v>0</v>
      </c>
      <c r="F8" s="728">
        <f>Import.CNPJ</f>
        <v>0</v>
      </c>
      <c r="G8" s="728"/>
      <c r="H8" s="728"/>
      <c r="I8" s="728" t="str">
        <f>IF(TIPOORCAMENTO="Licitado",Import.RegimeExecução,Import.Município)</f>
        <v>PASSOS/MG</v>
      </c>
      <c r="J8" s="728"/>
      <c r="K8" s="728"/>
      <c r="L8" s="728"/>
      <c r="M8" s="728" t="str" cm="1">
        <f t="array" aca="1" ref="M8" ca="1">TEXT(IF(BM.medicao=1,Import.DataInicioObra,OFFSET($AB$12,0,BM.medicao-1-$AB$13)+1),"dd/mm/aaaa")&amp;" a "&amp;TEXT(OFFSET($AB$12,0,BM.medicao-$AB$13),"dd/mm/aaaa")</f>
        <v>00/01/1900 a 00/01/1900</v>
      </c>
      <c r="N8" s="728"/>
      <c r="O8" s="423">
        <v>1</v>
      </c>
    </row>
    <row r="9" spans="1:41" ht="12.75" customHeight="1" x14ac:dyDescent="0.2">
      <c r="A9" s="560" t="b">
        <v>1</v>
      </c>
      <c r="B9" s="4"/>
      <c r="C9" s="757"/>
    </row>
    <row r="10" spans="1:41" ht="13.35" customHeight="1" x14ac:dyDescent="0.2">
      <c r="A10" s="411" t="s">
        <v>853</v>
      </c>
      <c r="B10" s="412"/>
      <c r="C10" s="757"/>
      <c r="E10" s="557"/>
      <c r="F10" s="857" t="e" cm="1">
        <f t="array" aca="1" ref="F10" ca="1">IF(_xlfn.SINGLE(ACOMPANHAMENTO)="PLE","Foi selecionado na aba 'MENU' o acompanhamento por PLE.",
  IF(_xlfn.SINGLE(TIPOORCAMENTO)="Proposto","Altere na aba 'MENU' o tipo de orçamento para 'Licitado'.",
  IF(_xlfn.SINGLE(Import.RegimeExecução)="(SELECIONAR)",UPPER($E$2),
  IF(AND(BM.medicao=1,DADOS!$C$47=0),"PREENCHER A DATA DE INÍCIO DA OBRA, NA ABA DADOS",
  IF($N$15=0,"PREENCHER A MEDIÇÃO "&amp;BM.medicao,
  IF($AB$10&lt;&gt;"",UPPER($AB$10),
  IF($J$241&lt;&gt;"",UPPER($J$241),
 "")))))))</f>
        <v>#NAME?</v>
      </c>
      <c r="G10" s="857"/>
      <c r="H10" s="857"/>
      <c r="I10" s="857"/>
      <c r="O10" s="559" t="e">
        <f ca="1">"Realizado Acumulado: "&amp;TEXT(P10,"0,00%")</f>
        <v>#NAME?</v>
      </c>
      <c r="P10" s="562" t="e">
        <f ca="1">ROUND($O$15/($I$15+10^-12),4)</f>
        <v>#NAME?</v>
      </c>
      <c r="AB10" s="572" t="str">
        <f ca="1">IF(INDEX($AB$12:$AN$12,MATCH($O$8,$AB$13:$AN$13,0))=0,"Preencher a data da medição "&amp;$O$8,"")</f>
        <v>Preencher a data da medição 1</v>
      </c>
    </row>
    <row r="11" spans="1:41" ht="15" customHeight="1" x14ac:dyDescent="0.25">
      <c r="A11" s="561" t="e">
        <f ca="1">OFFSET(CRONO!$F$13,CRONO!$F$112,0)</f>
        <v>#VALUE!</v>
      </c>
      <c r="B11" s="419"/>
      <c r="C11" s="757"/>
      <c r="E11" s="557"/>
      <c r="F11" s="857"/>
      <c r="G11" s="857"/>
      <c r="H11" s="857"/>
      <c r="I11" s="857"/>
      <c r="N11" s="558"/>
      <c r="O11" s="559" t="str">
        <f ca="1">IF(ISERROR(P11),"","Administração Local Acumulada: "&amp;TEXT(P11,"0,00%"))</f>
        <v/>
      </c>
      <c r="P11" s="562" t="e">
        <f ca="1">OFFSET($O$15,$A$11,0)/OFFSET($I$15,$A$11,0)</f>
        <v>#VALUE!</v>
      </c>
      <c r="T11" s="858" t="s">
        <v>854</v>
      </c>
      <c r="U11" s="858"/>
      <c r="Z11" s="4"/>
      <c r="AB11" s="843" t="s">
        <v>855</v>
      </c>
      <c r="AC11" s="843"/>
      <c r="AD11" s="843"/>
      <c r="AE11" s="843"/>
      <c r="AF11" s="843"/>
      <c r="AG11" s="843"/>
      <c r="AH11" s="843"/>
      <c r="AI11" s="843"/>
      <c r="AJ11" s="843"/>
      <c r="AK11" s="843"/>
      <c r="AL11" s="843"/>
      <c r="AM11" s="843"/>
    </row>
    <row r="12" spans="1:41" ht="15" customHeight="1" x14ac:dyDescent="0.25">
      <c r="C12" s="757"/>
      <c r="E12" s="84" t="s">
        <v>856</v>
      </c>
      <c r="J12" s="730" t="str">
        <f ca="1">"Evolução Física "&amp;CHOOSE(MATCH(RegimeExecucao,{"Unitário","Global"},0),"(Qtde.)","(%)")</f>
        <v>Evolução Física (Qtde.)</v>
      </c>
      <c r="K12" s="730"/>
      <c r="L12" s="730"/>
      <c r="M12" s="730" t="s">
        <v>857</v>
      </c>
      <c r="N12" s="730"/>
      <c r="O12" s="730"/>
      <c r="Q12" s="730" t="str">
        <f ca="1">"Aferido (CAIXA) "&amp;CHOOSE(MATCH(RegimeExecucao,{"Unitário","Global"},0),"(Qtde.)","(%)")</f>
        <v>Aferido (CAIXA) (Qtde.)</v>
      </c>
      <c r="R12" s="730"/>
      <c r="T12" s="328" t="s">
        <v>858</v>
      </c>
      <c r="U12" s="181"/>
      <c r="V12" s="181"/>
      <c r="W12" s="181"/>
      <c r="X12" s="181"/>
      <c r="Y12" s="181"/>
      <c r="Z12" s="42"/>
      <c r="AB12" s="329"/>
      <c r="AC12" s="330"/>
      <c r="AD12" s="330"/>
      <c r="AE12" s="330"/>
      <c r="AF12" s="330"/>
      <c r="AG12" s="330"/>
      <c r="AH12" s="330"/>
      <c r="AI12" s="330"/>
      <c r="AJ12" s="330"/>
      <c r="AK12" s="330"/>
      <c r="AL12" s="330"/>
      <c r="AM12" s="331"/>
    </row>
    <row r="13" spans="1:41" ht="45" customHeight="1" x14ac:dyDescent="0.2">
      <c r="A13" s="108" t="s">
        <v>727</v>
      </c>
      <c r="B13" s="108" t="s">
        <v>726</v>
      </c>
      <c r="C13" s="107" t="s">
        <v>661</v>
      </c>
      <c r="D13" s="293" t="s">
        <v>736</v>
      </c>
      <c r="E13" s="293" t="s">
        <v>118</v>
      </c>
      <c r="F13" s="332" t="s">
        <v>739</v>
      </c>
      <c r="G13" s="293" t="s">
        <v>713</v>
      </c>
      <c r="H13" s="293" t="s">
        <v>740</v>
      </c>
      <c r="I13" s="293" t="s">
        <v>741</v>
      </c>
      <c r="J13" s="293" t="s">
        <v>859</v>
      </c>
      <c r="K13" s="293" t="s">
        <v>860</v>
      </c>
      <c r="L13" s="293" t="s">
        <v>861</v>
      </c>
      <c r="M13" s="293" t="s">
        <v>859</v>
      </c>
      <c r="N13" s="293" t="s">
        <v>860</v>
      </c>
      <c r="O13" s="293" t="s">
        <v>861</v>
      </c>
      <c r="Q13" s="293" t="s">
        <v>859</v>
      </c>
      <c r="R13" s="293" t="s">
        <v>861</v>
      </c>
      <c r="T13" s="293" t="s">
        <v>736</v>
      </c>
      <c r="U13" s="293" t="s">
        <v>118</v>
      </c>
      <c r="V13" s="332" t="str">
        <f ca="1">IF(RegimeExecucao="Unitário","Unidade","")</f>
        <v>Unidade</v>
      </c>
      <c r="W13" s="293" t="str">
        <f ca="1">CHOOSE(MATCH(RegimeExecucao,{"Unitário","Global"},0),"Quant. Glosada (unid)","Percentual Glosado (%)")</f>
        <v>Quant. Glosada (unid)</v>
      </c>
      <c r="X13" s="293" t="str">
        <f ca="1">CHOOSE(MATCH(RegimeExecucao,{"Unitário","Global"},0),"Preço Unitário (R$)","Valor Total do Item (R$)")</f>
        <v>Preço Unitário (R$)</v>
      </c>
      <c r="Y13" s="293" t="s">
        <v>862</v>
      </c>
      <c r="Z13" s="293" t="s">
        <v>863</v>
      </c>
      <c r="AA13" s="113"/>
      <c r="AB13" s="333" cm="1">
        <f t="array" aca="1" ref="AB13" ca="1">IF(BM.medicao&lt;=12,1,TRUNC((BM.medicao - 2)/11,0) * 11 + 1)</f>
        <v>1</v>
      </c>
      <c r="AC13" s="333">
        <f ca="1">OFFSET(AC13,0,-1)+1</f>
        <v>2</v>
      </c>
      <c r="AD13" s="333">
        <f t="shared" ref="AD13:AM13" ca="1" si="0">OFFSET(AD13,0,-1)+1</f>
        <v>3</v>
      </c>
      <c r="AE13" s="333">
        <f t="shared" ca="1" si="0"/>
        <v>4</v>
      </c>
      <c r="AF13" s="333">
        <f t="shared" ca="1" si="0"/>
        <v>5</v>
      </c>
      <c r="AG13" s="333">
        <f t="shared" ca="1" si="0"/>
        <v>6</v>
      </c>
      <c r="AH13" s="333">
        <f t="shared" ca="1" si="0"/>
        <v>7</v>
      </c>
      <c r="AI13" s="333">
        <f t="shared" ca="1" si="0"/>
        <v>8</v>
      </c>
      <c r="AJ13" s="333">
        <f t="shared" ca="1" si="0"/>
        <v>9</v>
      </c>
      <c r="AK13" s="333">
        <f t="shared" ca="1" si="0"/>
        <v>10</v>
      </c>
      <c r="AL13" s="333">
        <f t="shared" ca="1" si="0"/>
        <v>11</v>
      </c>
      <c r="AM13" s="333">
        <f t="shared" ca="1" si="0"/>
        <v>12</v>
      </c>
      <c r="AO13" s="108" t="s">
        <v>864</v>
      </c>
    </row>
    <row r="14" spans="1:41" hidden="1" x14ac:dyDescent="0.2">
      <c r="A14" t="str">
        <f ca="1">ORÇAMENTO!C14</f>
        <v>S</v>
      </c>
      <c r="B14">
        <f ca="1">ORÇAMENTO!D14</f>
        <v>0</v>
      </c>
      <c r="C14" s="115" t="str">
        <f ca="1">IF(OR($I14&gt;0,$A14=1,$A14=2,$A14=3,$A14=4),"F","")</f>
        <v/>
      </c>
      <c r="D14" s="118" t="str">
        <f ca="1">ORÇAMENTO!O14</f>
        <v>-</v>
      </c>
      <c r="E14" s="164" t="str">
        <f ca="1">ORÇAMENTO.Descricao</f>
        <v>(abra o arquivo 'Referência 09-2025.xlsm)</v>
      </c>
      <c r="F14" s="165" t="str">
        <f ca="1">IF(RegimeExecucao="Global","",ORÇAMENTO.Unidade)</f>
        <v>-</v>
      </c>
      <c r="G14" s="123">
        <f ca="1">IF(RegimeExecucao="Global","",ORÇAMENTO!T14)</f>
        <v>0</v>
      </c>
      <c r="H14" s="123">
        <f ca="1">IF(RegimeExecucao="Global","",ORÇAMENTO!W14)</f>
        <v>0</v>
      </c>
      <c r="I14" s="126">
        <f ca="1">ORÇAMENTO!X14</f>
        <v>0</v>
      </c>
      <c r="J14" s="334" t="e" cm="1">
        <f t="array" aca="1" ref="J14" ca="1">_xlfn.SINGLE(IF($A14="S",IF(CAIXA.Modo,BM.AFAnterior,BM.MEDAnterior),IF(AND(_xlfn.SINGLE(RegimeExecucao)="Global",$I14&gt;0,COUNTIF($AB$13:$AM$13,BM.medicao-1)&gt;0),M14/$I14*100,0)))</f>
        <v>#NAME?</v>
      </c>
      <c r="K14" s="123" t="e">
        <f ca="1">L14-J14</f>
        <v>#NAME?</v>
      </c>
      <c r="L14" s="335" t="e" cm="1">
        <f t="array" aca="1" ref="L14" ca="1">_xlfn.SINGLE(IF($A14="S",IF(CAIXA.Modo,BM.AFAcumulado,BM.MEDAcumulado),IF(AND(_xlfn.SINGLE(RegimeExecucao)="Global",$I14&gt;0,COUNTIF($AB$13:$AM$13,BM.medicao)&gt;0),O14/$I14*100,0)))</f>
        <v>#NAME?</v>
      </c>
      <c r="M14" s="336">
        <f ca="1">IF($A14="S",VTOTALBM,IF($A14=0,0,ROUND(SomaAgrupBM,15-13*ORÇAMENTO!$AF$11)))</f>
        <v>0</v>
      </c>
      <c r="N14" s="337">
        <f ca="1">O14-M14</f>
        <v>0</v>
      </c>
      <c r="O14" s="126">
        <f ca="1">IF($A14="S",VTOTALBM,IF($A14=0,0,ROUND(SomaAgrupBM,15-13*ORÇAMENTO!$AF$11)))</f>
        <v>0</v>
      </c>
      <c r="Q14" s="338"/>
      <c r="R14" s="339"/>
      <c r="T14" s="118" t="str">
        <f ca="1">IF($W14&gt;0,$D14,"")</f>
        <v/>
      </c>
      <c r="U14" s="164" t="str">
        <f ca="1">IF($W14&gt;0,$E14,"")</f>
        <v/>
      </c>
      <c r="V14" s="165" t="str">
        <f ca="1">IF(AND($W14&gt;0,RegimeExecucao="Unitário"),$F14,"")</f>
        <v/>
      </c>
      <c r="W14" s="455">
        <f ca="1">IF($Y14&gt;0,CHOOSE(MATCH(RegimeExecucao,{"Unitário","Global"},0),IF($A14="S",$Y14/$X14,""),($Y14/$X14)*100),0)</f>
        <v>0</v>
      </c>
      <c r="X14" s="340" t="str">
        <f ca="1">IF($Y14&gt;0,CHOOSE(MATCH(RegimeExecucao,{"Unitário","Global"},0),IF($A14="S",ROUND($H14,ORÇAMENTO!$AF$10),""),ROUND($I14,ORÇAMENTO!$AF$11)),"")</f>
        <v/>
      </c>
      <c r="Y14" s="340">
        <f ca="1">AO14-O14</f>
        <v>0</v>
      </c>
      <c r="Z14" s="474"/>
      <c r="AB14" s="338"/>
      <c r="AC14" s="438"/>
      <c r="AD14" s="438"/>
      <c r="AE14" s="438"/>
      <c r="AF14" s="438"/>
      <c r="AG14" s="438"/>
      <c r="AH14" s="438"/>
      <c r="AI14" s="438"/>
      <c r="AJ14" s="438"/>
      <c r="AK14" s="438"/>
      <c r="AL14" s="438"/>
      <c r="AM14" s="339"/>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5" t="s">
        <v>537</v>
      </c>
      <c r="D15" s="864" t="str">
        <f>"Objeto do CTEF: "&amp;Import.DescLote</f>
        <v>Objeto do CTEF: ELEVATÓRIA DE ESGOTO BRUTO ACLIMAÇÃO, LINHA DE RECALQUE E EMISSÁRIO DE ESGOTO</v>
      </c>
      <c r="E15" s="864"/>
      <c r="F15" s="456"/>
      <c r="G15" s="457"/>
      <c r="H15" s="457" t="s">
        <v>865</v>
      </c>
      <c r="I15" s="458" t="e">
        <f ca="1">IF(OR(_xlfn.SINGLE(ACOMPANHAMENTO)="PLE",_xlfn.SINGLE(TIPOORCAMENTO)="Proposto"),0,ORÇAMENTO!$X$15)</f>
        <v>#NAME?</v>
      </c>
      <c r="J15" s="341" t="e">
        <f ca="1">IF(M$15=0,0,IF(RegimeExecucao="Global",M$15/$I$15*100,0))</f>
        <v>#NAME?</v>
      </c>
      <c r="K15" s="341" t="e">
        <f ca="1">L15-J15</f>
        <v>#NAME?</v>
      </c>
      <c r="L15" s="341" t="e">
        <f ca="1">IF(O$15=0,0,IF(RegimeExecucao="Global",O$15/$I$15*100,0))</f>
        <v>#NAME?</v>
      </c>
      <c r="M15" s="342" t="e">
        <f ca="1">IF(OR(_xlfn.SINGLE(ACOMPANHAMENTO)="PLE",_xlfn.SINGLE(TIPOORCAMENTO)="Proposto"),0,SUMIF(OFFSET($A15,1,0):$A$231,"S",OFFSET(M15,1,0):M$231))</f>
        <v>#NAME?</v>
      </c>
      <c r="N15" s="342" t="e">
        <f ca="1">O15-M15</f>
        <v>#NAME?</v>
      </c>
      <c r="O15" s="342" t="e">
        <f ca="1">IF(OR(_xlfn.SINGLE(ACOMPANHAMENTO)="PLE",_xlfn.SINGLE(TIPOORCAMENTO)="Proposto"),0,SUMIF(OFFSET($A15,1,0):$A$231,"S",OFFSET(O15,1,0):O$231))</f>
        <v>#NAME?</v>
      </c>
      <c r="Q15" s="343"/>
      <c r="R15" s="343"/>
      <c r="T15" s="344"/>
      <c r="U15" s="345"/>
      <c r="V15" s="345"/>
      <c r="W15" s="345"/>
      <c r="X15" s="345"/>
      <c r="Y15" s="345"/>
      <c r="Z15" s="346"/>
      <c r="AB15" s="860" t="str">
        <f ca="1">"Preencher abaixo com a "&amp;CHOOSE(MATCH(RegimeExecucao,{"Unitário","Global"},0),"QUANTIDADE","PORCENTAGEM")&amp;" executada no PERÍODO"</f>
        <v>Preencher abaixo com a QUANTIDADE executada no PERÍODO</v>
      </c>
      <c r="AC15" s="860"/>
      <c r="AD15" s="860"/>
      <c r="AE15" s="860"/>
      <c r="AF15" s="860"/>
      <c r="AG15" s="860"/>
      <c r="AH15" s="860"/>
      <c r="AI15" s="860"/>
      <c r="AJ15" s="860"/>
      <c r="AK15" s="860"/>
      <c r="AL15" s="860"/>
      <c r="AM15" s="860"/>
    </row>
    <row r="16" spans="1:41" s="675" customFormat="1" ht="25.5" x14ac:dyDescent="0.2">
      <c r="A16" s="675">
        <f ca="1">ORÇAMENTO!C16</f>
        <v>1</v>
      </c>
      <c r="B16" s="675">
        <f ca="1">ORÇAMENTO!D16</f>
        <v>215</v>
      </c>
      <c r="C16" s="115" t="str">
        <f t="shared" ref="C16:C73" ca="1" si="1">IF(OR($I16&gt;0,$A16=1,$A16=2,$A16=3,$A16=4),"F","")</f>
        <v>F</v>
      </c>
      <c r="D16" s="118" t="str">
        <f ca="1">ORÇAMENTO!O16</f>
        <v>1.</v>
      </c>
      <c r="E16" s="164" t="str">
        <f t="shared" ref="E16:E73" si="2">ORÇAMENTO.Descricao</f>
        <v>ELEVATÓRIA DE ESGOTO BRUTO ACLIMAÇÃO, LINHA DE RECALQUE E EMISSÁRIO DE ESGOTO</v>
      </c>
      <c r="F16" s="165" t="str">
        <f ca="1">IF(RegimeExecucao="Global","",ORÇAMENTO.Unidade)</f>
        <v>-</v>
      </c>
      <c r="G16" s="123">
        <f ca="1">IF(RegimeExecucao="Global","",ORÇAMENTO!T16)</f>
        <v>0</v>
      </c>
      <c r="H16" s="123">
        <f ca="1">IF(RegimeExecucao="Global","",ORÇAMENTO!W16)</f>
        <v>0</v>
      </c>
      <c r="I16" s="126">
        <f ca="1">ORÇAMENTO!X16</f>
        <v>0</v>
      </c>
      <c r="J16" s="334" t="e" cm="1">
        <f t="array" aca="1" ref="J16" ca="1">_xlfn.SINGLE(IF($A16="S",IF(CAIXA.Modo,BM.AFAnterior,BM.MEDAnterior),IF(AND(_xlfn.SINGLE(RegimeExecucao)="Global",$I16&gt;0,COUNTIF($AB$13:$AM$13,BM.medicao-1)&gt;0),M16/$I16*100,0)))</f>
        <v>#NAME?</v>
      </c>
      <c r="K16" s="123" t="e">
        <f t="shared" ref="K16:K73" ca="1" si="3">L16-J16</f>
        <v>#NAME?</v>
      </c>
      <c r="L16" s="335" t="e" cm="1">
        <f t="array" aca="1" ref="L16" ca="1">_xlfn.SINGLE(IF($A16="S",IF(CAIXA.Modo,BM.AFAcumulado,BM.MEDAcumulado),IF(AND(_xlfn.SINGLE(RegimeExecucao)="Global",$I16&gt;0,COUNTIF($AB$13:$AM$13,BM.medicao)&gt;0),O16/$I16*100,0)))</f>
        <v>#NAME?</v>
      </c>
      <c r="M16" s="336">
        <f ca="1">IF($A16="S",VTOTALBM,IF($A16=0,0,ROUND(SomaAgrupBM,15-13*ORÇAMENTO!$AF$11)))</f>
        <v>0</v>
      </c>
      <c r="N16" s="337">
        <f t="shared" ref="N16:N73" ca="1" si="4">O16-M16</f>
        <v>0</v>
      </c>
      <c r="O16" s="126">
        <f ca="1">IF($A16="S",VTOTALBM,IF($A16=0,0,ROUND(SomaAgrupBM,15-13*ORÇAMENTO!$AF$11)))</f>
        <v>0</v>
      </c>
      <c r="Q16" s="338"/>
      <c r="R16" s="339"/>
      <c r="T16" s="118" t="str">
        <f t="shared" ref="T16:T73" ca="1" si="5">IF($W16&gt;0,$D16,"")</f>
        <v/>
      </c>
      <c r="U16" s="164" t="str">
        <f t="shared" ref="U16:U73" ca="1" si="6">IF($W16&gt;0,$E16,"")</f>
        <v/>
      </c>
      <c r="V16" s="165" t="str">
        <f ca="1">IF(AND($W16&gt;0,RegimeExecucao="Unitário"),$F16,"")</f>
        <v/>
      </c>
      <c r="W16" s="455">
        <f ca="1">IF($Y16&gt;0,CHOOSE(MATCH(RegimeExecucao,{"Unitário","Global"},0),IF($A16="S",$Y16/$X16,""),($Y16/$X16)*100),0)</f>
        <v>0</v>
      </c>
      <c r="X16" s="340" t="str">
        <f ca="1">IF($Y16&gt;0,CHOOSE(MATCH(RegimeExecucao,{"Unitário","Global"},0),IF($A16="S",ROUND($H16,ORÇAMENTO!$AF$10),""),ROUND($I16,ORÇAMENTO!$AF$11)),"")</f>
        <v/>
      </c>
      <c r="Y16" s="340">
        <f t="shared" ref="Y16:Y73" ca="1" si="7">AO16-O16</f>
        <v>0</v>
      </c>
      <c r="Z16" s="474"/>
      <c r="AB16" s="338"/>
      <c r="AC16" s="438"/>
      <c r="AD16" s="438"/>
      <c r="AE16" s="438"/>
      <c r="AF16" s="438"/>
      <c r="AG16" s="438"/>
      <c r="AH16" s="438"/>
      <c r="AI16" s="438"/>
      <c r="AJ16" s="438"/>
      <c r="AK16" s="438"/>
      <c r="AL16" s="438"/>
      <c r="AM16" s="339"/>
      <c r="AO16" s="675">
        <f ca="1">IF($A16="S",IF(BM!$I16=0,0,CHOOSE(MATCH(RegimeExecucao,{"Global","Unitário"},0),ROUND(ROUND(BM.MEDAcumulado,15-13*BM!$A$9)/100*BM!$I16,15-13*ORÇAMENTO!$AF$11),ROUND(ROUND(BM.MEDAcumulado,15-13*BM!$A$9)*ROUND(BM!$H16,15-13*ORÇAMENTO!$AF$10),15-13*ORÇAMENTO!$AF$11))),IF($A16=0,0,ROUND(SomaAgrupBM,15-13*ORÇAMENTO!$AF$11)))</f>
        <v>0</v>
      </c>
    </row>
    <row r="17" spans="1:41" s="675" customFormat="1" x14ac:dyDescent="0.2">
      <c r="A17" s="675">
        <f ca="1">ORÇAMENTO!C17</f>
        <v>2</v>
      </c>
      <c r="B17" s="675">
        <f ca="1">ORÇAMENTO!D17</f>
        <v>5</v>
      </c>
      <c r="C17" s="115" t="str">
        <f t="shared" ca="1" si="1"/>
        <v>F</v>
      </c>
      <c r="D17" s="118" t="str">
        <f ca="1">ORÇAMENTO!O17</f>
        <v>1.1.</v>
      </c>
      <c r="E17" s="164" t="str">
        <f t="shared" si="2"/>
        <v>ADMINISTRAÇÃO LOCAL - CANTEIRO DE OBRAS</v>
      </c>
      <c r="F17" s="165" t="str">
        <f ca="1">IF(RegimeExecucao="Global","",ORÇAMENTO.Unidade)</f>
        <v>-</v>
      </c>
      <c r="G17" s="123">
        <f ca="1">IF(RegimeExecucao="Global","",ORÇAMENTO!T17)</f>
        <v>0</v>
      </c>
      <c r="H17" s="123">
        <f ca="1">IF(RegimeExecucao="Global","",ORÇAMENTO!W17)</f>
        <v>0</v>
      </c>
      <c r="I17" s="126">
        <f ca="1">ORÇAMENTO!X17</f>
        <v>0</v>
      </c>
      <c r="J17" s="334" t="e" cm="1">
        <f t="array" aca="1" ref="J17" ca="1">_xlfn.SINGLE(IF($A17="S",IF(CAIXA.Modo,BM.AFAnterior,BM.MEDAnterior),IF(AND(_xlfn.SINGLE(RegimeExecucao)="Global",$I17&gt;0,COUNTIF($AB$13:$AM$13,BM.medicao-1)&gt;0),M17/$I17*100,0)))</f>
        <v>#NAME?</v>
      </c>
      <c r="K17" s="123" t="e">
        <f t="shared" ca="1" si="3"/>
        <v>#NAME?</v>
      </c>
      <c r="L17" s="335" t="e" cm="1">
        <f t="array" aca="1" ref="L17" ca="1">_xlfn.SINGLE(IF($A17="S",IF(CAIXA.Modo,BM.AFAcumulado,BM.MEDAcumulado),IF(AND(_xlfn.SINGLE(RegimeExecucao)="Global",$I17&gt;0,COUNTIF($AB$13:$AM$13,BM.medicao)&gt;0),O17/$I17*100,0)))</f>
        <v>#NAME?</v>
      </c>
      <c r="M17" s="336">
        <f ca="1">IF($A17="S",VTOTALBM,IF($A17=0,0,ROUND(SomaAgrupBM,15-13*ORÇAMENTO!$AF$11)))</f>
        <v>0</v>
      </c>
      <c r="N17" s="337">
        <f t="shared" ca="1" si="4"/>
        <v>0</v>
      </c>
      <c r="O17" s="126">
        <f ca="1">IF($A17="S",VTOTALBM,IF($A17=0,0,ROUND(SomaAgrupBM,15-13*ORÇAMENTO!$AF$11)))</f>
        <v>0</v>
      </c>
      <c r="Q17" s="338"/>
      <c r="R17" s="339"/>
      <c r="T17" s="118" t="str">
        <f t="shared" ca="1" si="5"/>
        <v/>
      </c>
      <c r="U17" s="164" t="str">
        <f t="shared" ca="1" si="6"/>
        <v/>
      </c>
      <c r="V17" s="165" t="str">
        <f ca="1">IF(AND($W17&gt;0,RegimeExecucao="Unitário"),$F17,"")</f>
        <v/>
      </c>
      <c r="W17" s="455">
        <f ca="1">IF($Y17&gt;0,CHOOSE(MATCH(RegimeExecucao,{"Unitário","Global"},0),IF($A17="S",$Y17/$X17,""),($Y17/$X17)*100),0)</f>
        <v>0</v>
      </c>
      <c r="X17" s="340" t="str">
        <f ca="1">IF($Y17&gt;0,CHOOSE(MATCH(RegimeExecucao,{"Unitário","Global"},0),IF($A17="S",ROUND($H17,ORÇAMENTO!$AF$10),""),ROUND($I17,ORÇAMENTO!$AF$11)),"")</f>
        <v/>
      </c>
      <c r="Y17" s="340">
        <f t="shared" ca="1" si="7"/>
        <v>0</v>
      </c>
      <c r="Z17" s="474"/>
      <c r="AB17" s="338"/>
      <c r="AC17" s="438"/>
      <c r="AD17" s="438"/>
      <c r="AE17" s="438"/>
      <c r="AF17" s="438"/>
      <c r="AG17" s="438"/>
      <c r="AH17" s="438"/>
      <c r="AI17" s="438"/>
      <c r="AJ17" s="438"/>
      <c r="AK17" s="438"/>
      <c r="AL17" s="438"/>
      <c r="AM17" s="339"/>
      <c r="AO17" s="675">
        <f ca="1">IF($A17="S",IF(BM!$I17=0,0,CHOOSE(MATCH(RegimeExecucao,{"Global","Unitário"},0),ROUND(ROUND(BM.MEDAcumulado,15-13*BM!$A$9)/100*BM!$I17,15-13*ORÇAMENTO!$AF$11),ROUND(ROUND(BM.MEDAcumulado,15-13*BM!$A$9)*ROUND(BM!$H17,15-13*ORÇAMENTO!$AF$10),15-13*ORÇAMENTO!$AF$11))),IF($A17=0,0,ROUND(SomaAgrupBM,15-13*ORÇAMENTO!$AF$11)))</f>
        <v>0</v>
      </c>
    </row>
    <row r="18" spans="1:41" s="675" customFormat="1" ht="25.5" x14ac:dyDescent="0.2">
      <c r="A18" s="675" t="str">
        <f ca="1">ORÇAMENTO!C18</f>
        <v>S</v>
      </c>
      <c r="B18" s="675">
        <f ca="1">ORÇAMENTO!D18</f>
        <v>0</v>
      </c>
      <c r="C18" s="115" t="str">
        <f t="shared" ca="1" si="1"/>
        <v/>
      </c>
      <c r="D18" s="118" t="str">
        <f ca="1">ORÇAMENTO!O18</f>
        <v>-</v>
      </c>
      <c r="E18" s="164" t="str">
        <f t="shared" ca="1" si="2"/>
        <v>(abra o arquivo 'Referência 09-2025.xlsm)</v>
      </c>
      <c r="F18" s="165" t="str">
        <f ca="1">IF(RegimeExecucao="Global","",ORÇAMENTO.Unidade)</f>
        <v>-</v>
      </c>
      <c r="G18" s="123">
        <f ca="1">IF(RegimeExecucao="Global","",ORÇAMENTO!T18)</f>
        <v>6</v>
      </c>
      <c r="H18" s="123">
        <f ca="1">IF(RegimeExecucao="Global","",ORÇAMENTO!W18)</f>
        <v>0</v>
      </c>
      <c r="I18" s="126">
        <f ca="1">ORÇAMENTO!X18</f>
        <v>0</v>
      </c>
      <c r="J18" s="334" t="e" cm="1">
        <f t="array" aca="1" ref="J18" ca="1">_xlfn.SINGLE(IF($A18="S",IF(CAIXA.Modo,BM.AFAnterior,BM.MEDAnterior),IF(AND(_xlfn.SINGLE(RegimeExecucao)="Global",$I18&gt;0,COUNTIF($AB$13:$AM$13,BM.medicao-1)&gt;0),M18/$I18*100,0)))</f>
        <v>#NAME?</v>
      </c>
      <c r="K18" s="123" t="e">
        <f t="shared" ca="1" si="3"/>
        <v>#NAME?</v>
      </c>
      <c r="L18" s="335" t="e" cm="1">
        <f t="array" aca="1" ref="L18" ca="1">_xlfn.SINGLE(IF($A18="S",IF(CAIXA.Modo,BM.AFAcumulado,BM.MEDAcumulado),IF(AND(_xlfn.SINGLE(RegimeExecucao)="Global",$I18&gt;0,COUNTIF($AB$13:$AM$13,BM.medicao)&gt;0),O18/$I18*100,0)))</f>
        <v>#NAME?</v>
      </c>
      <c r="M18" s="336">
        <f ca="1">IF($A18="S",VTOTALBM,IF($A18=0,0,ROUND(SomaAgrupBM,15-13*ORÇAMENTO!$AF$11)))</f>
        <v>0</v>
      </c>
      <c r="N18" s="337">
        <f t="shared" ca="1" si="4"/>
        <v>0</v>
      </c>
      <c r="O18" s="126">
        <f ca="1">IF($A18="S",VTOTALBM,IF($A18=0,0,ROUND(SomaAgrupBM,15-13*ORÇAMENTO!$AF$11)))</f>
        <v>0</v>
      </c>
      <c r="Q18" s="338"/>
      <c r="R18" s="339"/>
      <c r="T18" s="118" t="str">
        <f t="shared" ca="1" si="5"/>
        <v/>
      </c>
      <c r="U18" s="164" t="str">
        <f t="shared" ca="1" si="6"/>
        <v/>
      </c>
      <c r="V18" s="165" t="str">
        <f ca="1">IF(AND($W18&gt;0,RegimeExecucao="Unitário"),$F18,"")</f>
        <v/>
      </c>
      <c r="W18" s="455">
        <f ca="1">IF($Y18&gt;0,CHOOSE(MATCH(RegimeExecucao,{"Unitário","Global"},0),IF($A18="S",$Y18/$X18,""),($Y18/$X18)*100),0)</f>
        <v>0</v>
      </c>
      <c r="X18" s="340" t="str">
        <f ca="1">IF($Y18&gt;0,CHOOSE(MATCH(RegimeExecucao,{"Unitário","Global"},0),IF($A18="S",ROUND($H18,ORÇAMENTO!$AF$10),""),ROUND($I18,ORÇAMENTO!$AF$11)),"")</f>
        <v/>
      </c>
      <c r="Y18" s="340">
        <f t="shared" ca="1" si="7"/>
        <v>0</v>
      </c>
      <c r="Z18" s="474"/>
      <c r="AB18" s="338"/>
      <c r="AC18" s="438"/>
      <c r="AD18" s="438"/>
      <c r="AE18" s="438"/>
      <c r="AF18" s="438"/>
      <c r="AG18" s="438"/>
      <c r="AH18" s="438"/>
      <c r="AI18" s="438"/>
      <c r="AJ18" s="438"/>
      <c r="AK18" s="438"/>
      <c r="AL18" s="438"/>
      <c r="AM18" s="339"/>
      <c r="AO18" s="675">
        <f ca="1">IF($A18="S",IF(BM!$I18=0,0,CHOOSE(MATCH(RegimeExecucao,{"Global","Unitário"},0),ROUND(ROUND(BM.MEDAcumulado,15-13*BM!$A$9)/100*BM!$I18,15-13*ORÇAMENTO!$AF$11),ROUND(ROUND(BM.MEDAcumulado,15-13*BM!$A$9)*ROUND(BM!$H18,15-13*ORÇAMENTO!$AF$10),15-13*ORÇAMENTO!$AF$11))),IF($A18=0,0,ROUND(SomaAgrupBM,15-13*ORÇAMENTO!$AF$11)))</f>
        <v>0</v>
      </c>
    </row>
    <row r="19" spans="1:41" s="675" customFormat="1" x14ac:dyDescent="0.2">
      <c r="A19" s="675" t="str">
        <f ca="1">ORÇAMENTO!C19</f>
        <v>S</v>
      </c>
      <c r="B19" s="675">
        <f ca="1">ORÇAMENTO!D19</f>
        <v>0</v>
      </c>
      <c r="C19" s="115" t="str">
        <f t="shared" ca="1" si="1"/>
        <v/>
      </c>
      <c r="D19" s="118" t="str">
        <f ca="1">ORÇAMENTO!O19</f>
        <v>-</v>
      </c>
      <c r="E19" s="164" t="str">
        <f t="shared" ca="1" si="2"/>
        <v>(abra o arquivo 'Referência 09-2025.xlsm)</v>
      </c>
      <c r="F19" s="165" t="str">
        <f ca="1">IF(RegimeExecucao="Global","",ORÇAMENTO.Unidade)</f>
        <v>-</v>
      </c>
      <c r="G19" s="123">
        <f ca="1">IF(RegimeExecucao="Global","",ORÇAMENTO!T19)</f>
        <v>8</v>
      </c>
      <c r="H19" s="123">
        <f ca="1">IF(RegimeExecucao="Global","",ORÇAMENTO!W19)</f>
        <v>0</v>
      </c>
      <c r="I19" s="126">
        <f ca="1">ORÇAMENTO!X19</f>
        <v>0</v>
      </c>
      <c r="J19" s="334" t="e" cm="1">
        <f t="array" aca="1" ref="J19" ca="1">_xlfn.SINGLE(IF($A19="S",IF(CAIXA.Modo,BM.AFAnterior,BM.MEDAnterior),IF(AND(_xlfn.SINGLE(RegimeExecucao)="Global",$I19&gt;0,COUNTIF($AB$13:$AM$13,BM.medicao-1)&gt;0),M19/$I19*100,0)))</f>
        <v>#NAME?</v>
      </c>
      <c r="K19" s="123" t="e">
        <f t="shared" ca="1" si="3"/>
        <v>#NAME?</v>
      </c>
      <c r="L19" s="335" t="e" cm="1">
        <f t="array" aca="1" ref="L19" ca="1">_xlfn.SINGLE(IF($A19="S",IF(CAIXA.Modo,BM.AFAcumulado,BM.MEDAcumulado),IF(AND(_xlfn.SINGLE(RegimeExecucao)="Global",$I19&gt;0,COUNTIF($AB$13:$AM$13,BM.medicao)&gt;0),O19/$I19*100,0)))</f>
        <v>#NAME?</v>
      </c>
      <c r="M19" s="336">
        <f ca="1">IF($A19="S",VTOTALBM,IF($A19=0,0,ROUND(SomaAgrupBM,15-13*ORÇAMENTO!$AF$11)))</f>
        <v>0</v>
      </c>
      <c r="N19" s="337">
        <f t="shared" ca="1" si="4"/>
        <v>0</v>
      </c>
      <c r="O19" s="126">
        <f ca="1">IF($A19="S",VTOTALBM,IF($A19=0,0,ROUND(SomaAgrupBM,15-13*ORÇAMENTO!$AF$11)))</f>
        <v>0</v>
      </c>
      <c r="Q19" s="338"/>
      <c r="R19" s="339"/>
      <c r="T19" s="118" t="str">
        <f t="shared" ca="1" si="5"/>
        <v/>
      </c>
      <c r="U19" s="164" t="str">
        <f t="shared" ca="1" si="6"/>
        <v/>
      </c>
      <c r="V19" s="165" t="str">
        <f ca="1">IF(AND($W19&gt;0,RegimeExecucao="Unitário"),$F19,"")</f>
        <v/>
      </c>
      <c r="W19" s="455">
        <f ca="1">IF($Y19&gt;0,CHOOSE(MATCH(RegimeExecucao,{"Unitário","Global"},0),IF($A19="S",$Y19/$X19,""),($Y19/$X19)*100),0)</f>
        <v>0</v>
      </c>
      <c r="X19" s="340" t="str">
        <f ca="1">IF($Y19&gt;0,CHOOSE(MATCH(RegimeExecucao,{"Unitário","Global"},0),IF($A19="S",ROUND($H19,ORÇAMENTO!$AF$10),""),ROUND($I19,ORÇAMENTO!$AF$11)),"")</f>
        <v/>
      </c>
      <c r="Y19" s="340">
        <f t="shared" ca="1" si="7"/>
        <v>0</v>
      </c>
      <c r="Z19" s="474"/>
      <c r="AB19" s="338"/>
      <c r="AC19" s="438"/>
      <c r="AD19" s="438"/>
      <c r="AE19" s="438"/>
      <c r="AF19" s="438"/>
      <c r="AG19" s="438"/>
      <c r="AH19" s="438"/>
      <c r="AI19" s="438"/>
      <c r="AJ19" s="438"/>
      <c r="AK19" s="438"/>
      <c r="AL19" s="438"/>
      <c r="AM19" s="339"/>
      <c r="AO19" s="675">
        <f ca="1">IF($A19="S",IF(BM!$I19=0,0,CHOOSE(MATCH(RegimeExecucao,{"Global","Unitário"},0),ROUND(ROUND(BM.MEDAcumulado,15-13*BM!$A$9)/100*BM!$I19,15-13*ORÇAMENTO!$AF$11),ROUND(ROUND(BM.MEDAcumulado,15-13*BM!$A$9)*ROUND(BM!$H19,15-13*ORÇAMENTO!$AF$10),15-13*ORÇAMENTO!$AF$11))),IF($A19=0,0,ROUND(SomaAgrupBM,15-13*ORÇAMENTO!$AF$11)))</f>
        <v>0</v>
      </c>
    </row>
    <row r="20" spans="1:41" s="675" customFormat="1" x14ac:dyDescent="0.2">
      <c r="A20" s="675" t="str">
        <f ca="1">ORÇAMENTO!C20</f>
        <v>S</v>
      </c>
      <c r="B20" s="675">
        <f ca="1">ORÇAMENTO!D20</f>
        <v>0</v>
      </c>
      <c r="C20" s="115" t="str">
        <f t="shared" ca="1" si="1"/>
        <v/>
      </c>
      <c r="D20" s="118" t="str">
        <f ca="1">ORÇAMENTO!O20</f>
        <v>-</v>
      </c>
      <c r="E20" s="164" t="str">
        <f t="shared" ca="1" si="2"/>
        <v>(abra o arquivo 'Referência 09-2025.xlsm)</v>
      </c>
      <c r="F20" s="165" t="str">
        <f ca="1">IF(RegimeExecucao="Global","",ORÇAMENTO.Unidade)</f>
        <v>-</v>
      </c>
      <c r="G20" s="123">
        <f ca="1">IF(RegimeExecucao="Global","",ORÇAMENTO!T20)</f>
        <v>80</v>
      </c>
      <c r="H20" s="123">
        <f ca="1">IF(RegimeExecucao="Global","",ORÇAMENTO!W20)</f>
        <v>0</v>
      </c>
      <c r="I20" s="126">
        <f ca="1">ORÇAMENTO!X20</f>
        <v>0</v>
      </c>
      <c r="J20" s="334" t="e" cm="1">
        <f t="array" aca="1" ref="J20" ca="1">_xlfn.SINGLE(IF($A20="S",IF(CAIXA.Modo,BM.AFAnterior,BM.MEDAnterior),IF(AND(_xlfn.SINGLE(RegimeExecucao)="Global",$I20&gt;0,COUNTIF($AB$13:$AM$13,BM.medicao-1)&gt;0),M20/$I20*100,0)))</f>
        <v>#NAME?</v>
      </c>
      <c r="K20" s="123" t="e">
        <f t="shared" ca="1" si="3"/>
        <v>#NAME?</v>
      </c>
      <c r="L20" s="335" t="e" cm="1">
        <f t="array" aca="1" ref="L20" ca="1">_xlfn.SINGLE(IF($A20="S",IF(CAIXA.Modo,BM.AFAcumulado,BM.MEDAcumulado),IF(AND(_xlfn.SINGLE(RegimeExecucao)="Global",$I20&gt;0,COUNTIF($AB$13:$AM$13,BM.medicao)&gt;0),O20/$I20*100,0)))</f>
        <v>#NAME?</v>
      </c>
      <c r="M20" s="336">
        <f ca="1">IF($A20="S",VTOTALBM,IF($A20=0,0,ROUND(SomaAgrupBM,15-13*ORÇAMENTO!$AF$11)))</f>
        <v>0</v>
      </c>
      <c r="N20" s="337">
        <f t="shared" ca="1" si="4"/>
        <v>0</v>
      </c>
      <c r="O20" s="126">
        <f ca="1">IF($A20="S",VTOTALBM,IF($A20=0,0,ROUND(SomaAgrupBM,15-13*ORÇAMENTO!$AF$11)))</f>
        <v>0</v>
      </c>
      <c r="Q20" s="338"/>
      <c r="R20" s="339"/>
      <c r="T20" s="118" t="str">
        <f t="shared" ca="1" si="5"/>
        <v/>
      </c>
      <c r="U20" s="164" t="str">
        <f t="shared" ca="1" si="6"/>
        <v/>
      </c>
      <c r="V20" s="165" t="str">
        <f ca="1">IF(AND($W20&gt;0,RegimeExecucao="Unitário"),$F20,"")</f>
        <v/>
      </c>
      <c r="W20" s="455">
        <f ca="1">IF($Y20&gt;0,CHOOSE(MATCH(RegimeExecucao,{"Unitário","Global"},0),IF($A20="S",$Y20/$X20,""),($Y20/$X20)*100),0)</f>
        <v>0</v>
      </c>
      <c r="X20" s="340" t="str">
        <f ca="1">IF($Y20&gt;0,CHOOSE(MATCH(RegimeExecucao,{"Unitário","Global"},0),IF($A20="S",ROUND($H20,ORÇAMENTO!$AF$10),""),ROUND($I20,ORÇAMENTO!$AF$11)),"")</f>
        <v/>
      </c>
      <c r="Y20" s="340">
        <f t="shared" ca="1" si="7"/>
        <v>0</v>
      </c>
      <c r="Z20" s="474"/>
      <c r="AB20" s="338"/>
      <c r="AC20" s="438"/>
      <c r="AD20" s="438"/>
      <c r="AE20" s="438"/>
      <c r="AF20" s="438"/>
      <c r="AG20" s="438"/>
      <c r="AH20" s="438"/>
      <c r="AI20" s="438"/>
      <c r="AJ20" s="438"/>
      <c r="AK20" s="438"/>
      <c r="AL20" s="438"/>
      <c r="AM20" s="339"/>
      <c r="AO20" s="675">
        <f ca="1">IF($A20="S",IF(BM!$I20=0,0,CHOOSE(MATCH(RegimeExecucao,{"Global","Unitário"},0),ROUND(ROUND(BM.MEDAcumulado,15-13*BM!$A$9)/100*BM!$I20,15-13*ORÇAMENTO!$AF$11),ROUND(ROUND(BM.MEDAcumulado,15-13*BM!$A$9)*ROUND(BM!$H20,15-13*ORÇAMENTO!$AF$10),15-13*ORÇAMENTO!$AF$11))),IF($A20=0,0,ROUND(SomaAgrupBM,15-13*ORÇAMENTO!$AF$11)))</f>
        <v>0</v>
      </c>
    </row>
    <row r="21" spans="1:41" s="675" customFormat="1" ht="25.5" x14ac:dyDescent="0.2">
      <c r="A21" s="675" t="str">
        <f ca="1">ORÇAMENTO!C21</f>
        <v>S</v>
      </c>
      <c r="B21" s="675">
        <f ca="1">ORÇAMENTO!D21</f>
        <v>0</v>
      </c>
      <c r="C21" s="115" t="str">
        <f t="shared" ca="1" si="1"/>
        <v/>
      </c>
      <c r="D21" s="118" t="str">
        <f ca="1">ORÇAMENTO!O21</f>
        <v>-</v>
      </c>
      <c r="E21" s="164" t="str">
        <f t="shared" ca="1" si="2"/>
        <v>(abra o arquivo 'Referência 09-2025.xlsm)</v>
      </c>
      <c r="F21" s="165" t="str">
        <f ca="1">IF(RegimeExecucao="Global","",ORÇAMENTO.Unidade)</f>
        <v>-</v>
      </c>
      <c r="G21" s="123">
        <f ca="1">IF(RegimeExecucao="Global","",ORÇAMENTO!T21)</f>
        <v>8</v>
      </c>
      <c r="H21" s="123">
        <f ca="1">IF(RegimeExecucao="Global","",ORÇAMENTO!W21)</f>
        <v>0</v>
      </c>
      <c r="I21" s="126">
        <f ca="1">ORÇAMENTO!X21</f>
        <v>0</v>
      </c>
      <c r="J21" s="334" t="e" cm="1">
        <f t="array" aca="1" ref="J21" ca="1">_xlfn.SINGLE(IF($A21="S",IF(CAIXA.Modo,BM.AFAnterior,BM.MEDAnterior),IF(AND(_xlfn.SINGLE(RegimeExecucao)="Global",$I21&gt;0,COUNTIF($AB$13:$AM$13,BM.medicao-1)&gt;0),M21/$I21*100,0)))</f>
        <v>#NAME?</v>
      </c>
      <c r="K21" s="123" t="e">
        <f t="shared" ca="1" si="3"/>
        <v>#NAME?</v>
      </c>
      <c r="L21" s="335" t="e" cm="1">
        <f t="array" aca="1" ref="L21" ca="1">_xlfn.SINGLE(IF($A21="S",IF(CAIXA.Modo,BM.AFAcumulado,BM.MEDAcumulado),IF(AND(_xlfn.SINGLE(RegimeExecucao)="Global",$I21&gt;0,COUNTIF($AB$13:$AM$13,BM.medicao)&gt;0),O21/$I21*100,0)))</f>
        <v>#NAME?</v>
      </c>
      <c r="M21" s="336">
        <f ca="1">IF($A21="S",VTOTALBM,IF($A21=0,0,ROUND(SomaAgrupBM,15-13*ORÇAMENTO!$AF$11)))</f>
        <v>0</v>
      </c>
      <c r="N21" s="337">
        <f t="shared" ca="1" si="4"/>
        <v>0</v>
      </c>
      <c r="O21" s="126">
        <f ca="1">IF($A21="S",VTOTALBM,IF($A21=0,0,ROUND(SomaAgrupBM,15-13*ORÇAMENTO!$AF$11)))</f>
        <v>0</v>
      </c>
      <c r="Q21" s="338"/>
      <c r="R21" s="339"/>
      <c r="T21" s="118" t="str">
        <f t="shared" ca="1" si="5"/>
        <v/>
      </c>
      <c r="U21" s="164" t="str">
        <f t="shared" ca="1" si="6"/>
        <v/>
      </c>
      <c r="V21" s="165" t="str">
        <f ca="1">IF(AND($W21&gt;0,RegimeExecucao="Unitário"),$F21,"")</f>
        <v/>
      </c>
      <c r="W21" s="455">
        <f ca="1">IF($Y21&gt;0,CHOOSE(MATCH(RegimeExecucao,{"Unitário","Global"},0),IF($A21="S",$Y21/$X21,""),($Y21/$X21)*100),0)</f>
        <v>0</v>
      </c>
      <c r="X21" s="340" t="str">
        <f ca="1">IF($Y21&gt;0,CHOOSE(MATCH(RegimeExecucao,{"Unitário","Global"},0),IF($A21="S",ROUND($H21,ORÇAMENTO!$AF$10),""),ROUND($I21,ORÇAMENTO!$AF$11)),"")</f>
        <v/>
      </c>
      <c r="Y21" s="340">
        <f t="shared" ca="1" si="7"/>
        <v>0</v>
      </c>
      <c r="Z21" s="474"/>
      <c r="AB21" s="338"/>
      <c r="AC21" s="438"/>
      <c r="AD21" s="438"/>
      <c r="AE21" s="438"/>
      <c r="AF21" s="438"/>
      <c r="AG21" s="438"/>
      <c r="AH21" s="438"/>
      <c r="AI21" s="438"/>
      <c r="AJ21" s="438"/>
      <c r="AK21" s="438"/>
      <c r="AL21" s="438"/>
      <c r="AM21" s="339"/>
      <c r="AO21" s="675">
        <f ca="1">IF($A21="S",IF(BM!$I21=0,0,CHOOSE(MATCH(RegimeExecucao,{"Global","Unitário"},0),ROUND(ROUND(BM.MEDAcumulado,15-13*BM!$A$9)/100*BM!$I21,15-13*ORÇAMENTO!$AF$11),ROUND(ROUND(BM.MEDAcumulado,15-13*BM!$A$9)*ROUND(BM!$H21,15-13*ORÇAMENTO!$AF$10),15-13*ORÇAMENTO!$AF$11))),IF($A21=0,0,ROUND(SomaAgrupBM,15-13*ORÇAMENTO!$AF$11)))</f>
        <v>0</v>
      </c>
    </row>
    <row r="22" spans="1:41" s="675" customFormat="1" x14ac:dyDescent="0.2">
      <c r="A22" s="675">
        <f ca="1">ORÇAMENTO!C22</f>
        <v>2</v>
      </c>
      <c r="B22" s="675">
        <f ca="1">ORÇAMENTO!D22</f>
        <v>1</v>
      </c>
      <c r="C22" s="115" t="str">
        <f t="shared" ca="1" si="1"/>
        <v>F</v>
      </c>
      <c r="D22" s="118" t="str">
        <f ca="1">ORÇAMENTO!O22</f>
        <v>1.2.</v>
      </c>
      <c r="E22" s="164" t="str">
        <f t="shared" si="2"/>
        <v>LINHA DE RECALQUE</v>
      </c>
      <c r="F22" s="165" t="str">
        <f ca="1">IF(RegimeExecucao="Global","",ORÇAMENTO.Unidade)</f>
        <v>-</v>
      </c>
      <c r="G22" s="123">
        <f ca="1">IF(RegimeExecucao="Global","",ORÇAMENTO!T22)</f>
        <v>0</v>
      </c>
      <c r="H22" s="123">
        <f ca="1">IF(RegimeExecucao="Global","",ORÇAMENTO!W22)</f>
        <v>0</v>
      </c>
      <c r="I22" s="126">
        <f ca="1">ORÇAMENTO!X22</f>
        <v>0</v>
      </c>
      <c r="J22" s="334" t="e" cm="1">
        <f t="array" aca="1" ref="J22" ca="1">_xlfn.SINGLE(IF($A22="S",IF(CAIXA.Modo,BM.AFAnterior,BM.MEDAnterior),IF(AND(_xlfn.SINGLE(RegimeExecucao)="Global",$I22&gt;0,COUNTIF($AB$13:$AM$13,BM.medicao-1)&gt;0),M22/$I22*100,0)))</f>
        <v>#NAME?</v>
      </c>
      <c r="K22" s="123" t="e">
        <f t="shared" ca="1" si="3"/>
        <v>#NAME?</v>
      </c>
      <c r="L22" s="335" t="e" cm="1">
        <f t="array" aca="1" ref="L22" ca="1">_xlfn.SINGLE(IF($A22="S",IF(CAIXA.Modo,BM.AFAcumulado,BM.MEDAcumulado),IF(AND(_xlfn.SINGLE(RegimeExecucao)="Global",$I22&gt;0,COUNTIF($AB$13:$AM$13,BM.medicao)&gt;0),O22/$I22*100,0)))</f>
        <v>#NAME?</v>
      </c>
      <c r="M22" s="336">
        <f ca="1">IF($A22="S",VTOTALBM,IF($A22=0,0,ROUND(SomaAgrupBM,15-13*ORÇAMENTO!$AF$11)))</f>
        <v>0</v>
      </c>
      <c r="N22" s="337">
        <f t="shared" ca="1" si="4"/>
        <v>0</v>
      </c>
      <c r="O22" s="126">
        <f ca="1">IF($A22="S",VTOTALBM,IF($A22=0,0,ROUND(SomaAgrupBM,15-13*ORÇAMENTO!$AF$11)))</f>
        <v>0</v>
      </c>
      <c r="Q22" s="338"/>
      <c r="R22" s="339"/>
      <c r="T22" s="118" t="str">
        <f t="shared" ca="1" si="5"/>
        <v/>
      </c>
      <c r="U22" s="164" t="str">
        <f t="shared" ca="1" si="6"/>
        <v/>
      </c>
      <c r="V22" s="165" t="str">
        <f ca="1">IF(AND($W22&gt;0,RegimeExecucao="Unitário"),$F22,"")</f>
        <v/>
      </c>
      <c r="W22" s="455">
        <f ca="1">IF($Y22&gt;0,CHOOSE(MATCH(RegimeExecucao,{"Unitário","Global"},0),IF($A22="S",$Y22/$X22,""),($Y22/$X22)*100),0)</f>
        <v>0</v>
      </c>
      <c r="X22" s="340" t="str">
        <f ca="1">IF($Y22&gt;0,CHOOSE(MATCH(RegimeExecucao,{"Unitário","Global"},0),IF($A22="S",ROUND($H22,ORÇAMENTO!$AF$10),""),ROUND($I22,ORÇAMENTO!$AF$11)),"")</f>
        <v/>
      </c>
      <c r="Y22" s="340">
        <f t="shared" ca="1" si="7"/>
        <v>0</v>
      </c>
      <c r="Z22" s="474"/>
      <c r="AB22" s="338"/>
      <c r="AC22" s="438"/>
      <c r="AD22" s="438"/>
      <c r="AE22" s="438"/>
      <c r="AF22" s="438"/>
      <c r="AG22" s="438"/>
      <c r="AH22" s="438"/>
      <c r="AI22" s="438"/>
      <c r="AJ22" s="438"/>
      <c r="AK22" s="438"/>
      <c r="AL22" s="438"/>
      <c r="AM22" s="339"/>
      <c r="AO22" s="675">
        <f ca="1">IF($A22="S",IF(BM!$I22=0,0,CHOOSE(MATCH(RegimeExecucao,{"Global","Unitário"},0),ROUND(ROUND(BM.MEDAcumulado,15-13*BM!$A$9)/100*BM!$I22,15-13*ORÇAMENTO!$AF$11),ROUND(ROUND(BM.MEDAcumulado,15-13*BM!$A$9)*ROUND(BM!$H22,15-13*ORÇAMENTO!$AF$10),15-13*ORÇAMENTO!$AF$11))),IF($A22=0,0,ROUND(SomaAgrupBM,15-13*ORÇAMENTO!$AF$11)))</f>
        <v>0</v>
      </c>
    </row>
    <row r="23" spans="1:41" s="675" customFormat="1" x14ac:dyDescent="0.2">
      <c r="A23" s="675">
        <f ca="1">ORÇAMENTO!C23</f>
        <v>2</v>
      </c>
      <c r="B23" s="675">
        <f ca="1">ORÇAMENTO!D23</f>
        <v>15</v>
      </c>
      <c r="C23" s="115" t="str">
        <f t="shared" ca="1" si="1"/>
        <v>F</v>
      </c>
      <c r="D23" s="118" t="str">
        <f ca="1">ORÇAMENTO!O23</f>
        <v>1.3.</v>
      </c>
      <c r="E23" s="164" t="str">
        <f t="shared" si="2"/>
        <v>ASSENTAMENTO LINHA DE RECALQUE</v>
      </c>
      <c r="F23" s="165" t="str">
        <f ca="1">IF(RegimeExecucao="Global","",ORÇAMENTO.Unidade)</f>
        <v>-</v>
      </c>
      <c r="G23" s="123">
        <f ca="1">IF(RegimeExecucao="Global","",ORÇAMENTO!T23)</f>
        <v>0</v>
      </c>
      <c r="H23" s="123">
        <f ca="1">IF(RegimeExecucao="Global","",ORÇAMENTO!W23)</f>
        <v>0</v>
      </c>
      <c r="I23" s="126">
        <f ca="1">ORÇAMENTO!X23</f>
        <v>0</v>
      </c>
      <c r="J23" s="334" t="e" cm="1">
        <f t="array" aca="1" ref="J23" ca="1">_xlfn.SINGLE(IF($A23="S",IF(CAIXA.Modo,BM.AFAnterior,BM.MEDAnterior),IF(AND(_xlfn.SINGLE(RegimeExecucao)="Global",$I23&gt;0,COUNTIF($AB$13:$AM$13,BM.medicao-1)&gt;0),M23/$I23*100,0)))</f>
        <v>#NAME?</v>
      </c>
      <c r="K23" s="123" t="e">
        <f t="shared" ca="1" si="3"/>
        <v>#NAME?</v>
      </c>
      <c r="L23" s="335" t="e" cm="1">
        <f t="array" aca="1" ref="L23" ca="1">_xlfn.SINGLE(IF($A23="S",IF(CAIXA.Modo,BM.AFAcumulado,BM.MEDAcumulado),IF(AND(_xlfn.SINGLE(RegimeExecucao)="Global",$I23&gt;0,COUNTIF($AB$13:$AM$13,BM.medicao)&gt;0),O23/$I23*100,0)))</f>
        <v>#NAME?</v>
      </c>
      <c r="M23" s="336">
        <f ca="1">IF($A23="S",VTOTALBM,IF($A23=0,0,ROUND(SomaAgrupBM,15-13*ORÇAMENTO!$AF$11)))</f>
        <v>0</v>
      </c>
      <c r="N23" s="337">
        <f t="shared" ca="1" si="4"/>
        <v>0</v>
      </c>
      <c r="O23" s="126">
        <f ca="1">IF($A23="S",VTOTALBM,IF($A23=0,0,ROUND(SomaAgrupBM,15-13*ORÇAMENTO!$AF$11)))</f>
        <v>0</v>
      </c>
      <c r="Q23" s="338"/>
      <c r="R23" s="339"/>
      <c r="T23" s="118" t="str">
        <f t="shared" ca="1" si="5"/>
        <v/>
      </c>
      <c r="U23" s="164" t="str">
        <f t="shared" ca="1" si="6"/>
        <v/>
      </c>
      <c r="V23" s="165" t="str">
        <f ca="1">IF(AND($W23&gt;0,RegimeExecucao="Unitário"),$F23,"")</f>
        <v/>
      </c>
      <c r="W23" s="455">
        <f ca="1">IF($Y23&gt;0,CHOOSE(MATCH(RegimeExecucao,{"Unitário","Global"},0),IF($A23="S",$Y23/$X23,""),($Y23/$X23)*100),0)</f>
        <v>0</v>
      </c>
      <c r="X23" s="340" t="str">
        <f ca="1">IF($Y23&gt;0,CHOOSE(MATCH(RegimeExecucao,{"Unitário","Global"},0),IF($A23="S",ROUND($H23,ORÇAMENTO!$AF$10),""),ROUND($I23,ORÇAMENTO!$AF$11)),"")</f>
        <v/>
      </c>
      <c r="Y23" s="340">
        <f t="shared" ca="1" si="7"/>
        <v>0</v>
      </c>
      <c r="Z23" s="474"/>
      <c r="AB23" s="338"/>
      <c r="AC23" s="438"/>
      <c r="AD23" s="438"/>
      <c r="AE23" s="438"/>
      <c r="AF23" s="438"/>
      <c r="AG23" s="438"/>
      <c r="AH23" s="438"/>
      <c r="AI23" s="438"/>
      <c r="AJ23" s="438"/>
      <c r="AK23" s="438"/>
      <c r="AL23" s="438"/>
      <c r="AM23" s="339"/>
      <c r="AO23" s="675">
        <f ca="1">IF($A23="S",IF(BM!$I23=0,0,CHOOSE(MATCH(RegimeExecucao,{"Global","Unitário"},0),ROUND(ROUND(BM.MEDAcumulado,15-13*BM!$A$9)/100*BM!$I23,15-13*ORÇAMENTO!$AF$11),ROUND(ROUND(BM.MEDAcumulado,15-13*BM!$A$9)*ROUND(BM!$H23,15-13*ORÇAMENTO!$AF$10),15-13*ORÇAMENTO!$AF$11))),IF($A23=0,0,ROUND(SomaAgrupBM,15-13*ORÇAMENTO!$AF$11)))</f>
        <v>0</v>
      </c>
    </row>
    <row r="24" spans="1:41" s="675" customFormat="1" x14ac:dyDescent="0.2">
      <c r="A24" s="675" t="str">
        <f ca="1">ORÇAMENTO!C24</f>
        <v>S</v>
      </c>
      <c r="B24" s="675">
        <f ca="1">ORÇAMENTO!D24</f>
        <v>0</v>
      </c>
      <c r="C24" s="115" t="str">
        <f t="shared" ca="1" si="1"/>
        <v/>
      </c>
      <c r="D24" s="118" t="str">
        <f ca="1">ORÇAMENTO!O24</f>
        <v>-</v>
      </c>
      <c r="E24" s="164" t="str">
        <f t="shared" ca="1" si="2"/>
        <v>(abra o arquivo 'Referência 09-2025.xlsm)</v>
      </c>
      <c r="F24" s="165" t="str">
        <f ca="1">IF(RegimeExecucao="Global","",ORÇAMENTO.Unidade)</f>
        <v>-</v>
      </c>
      <c r="G24" s="123">
        <f ca="1">IF(RegimeExecucao="Global","",ORÇAMENTO!T24)</f>
        <v>1.2</v>
      </c>
      <c r="H24" s="123">
        <f ca="1">IF(RegimeExecucao="Global","",ORÇAMENTO!W24)</f>
        <v>0</v>
      </c>
      <c r="I24" s="126">
        <f ca="1">ORÇAMENTO!X24</f>
        <v>0</v>
      </c>
      <c r="J24" s="334" t="e" cm="1">
        <f t="array" aca="1" ref="J24" ca="1">_xlfn.SINGLE(IF($A24="S",IF(CAIXA.Modo,BM.AFAnterior,BM.MEDAnterior),IF(AND(_xlfn.SINGLE(RegimeExecucao)="Global",$I24&gt;0,COUNTIF($AB$13:$AM$13,BM.medicao-1)&gt;0),M24/$I24*100,0)))</f>
        <v>#NAME?</v>
      </c>
      <c r="K24" s="123" t="e">
        <f t="shared" ca="1" si="3"/>
        <v>#NAME?</v>
      </c>
      <c r="L24" s="335" t="e" cm="1">
        <f t="array" aca="1" ref="L24" ca="1">_xlfn.SINGLE(IF($A24="S",IF(CAIXA.Modo,BM.AFAcumulado,BM.MEDAcumulado),IF(AND(_xlfn.SINGLE(RegimeExecucao)="Global",$I24&gt;0,COUNTIF($AB$13:$AM$13,BM.medicao)&gt;0),O24/$I24*100,0)))</f>
        <v>#NAME?</v>
      </c>
      <c r="M24" s="336">
        <f ca="1">IF($A24="S",VTOTALBM,IF($A24=0,0,ROUND(SomaAgrupBM,15-13*ORÇAMENTO!$AF$11)))</f>
        <v>0</v>
      </c>
      <c r="N24" s="337">
        <f t="shared" ca="1" si="4"/>
        <v>0</v>
      </c>
      <c r="O24" s="126">
        <f ca="1">IF($A24="S",VTOTALBM,IF($A24=0,0,ROUND(SomaAgrupBM,15-13*ORÇAMENTO!$AF$11)))</f>
        <v>0</v>
      </c>
      <c r="Q24" s="338"/>
      <c r="R24" s="339"/>
      <c r="T24" s="118" t="str">
        <f t="shared" ca="1" si="5"/>
        <v/>
      </c>
      <c r="U24" s="164" t="str">
        <f t="shared" ca="1" si="6"/>
        <v/>
      </c>
      <c r="V24" s="165" t="str">
        <f ca="1">IF(AND($W24&gt;0,RegimeExecucao="Unitário"),$F24,"")</f>
        <v/>
      </c>
      <c r="W24" s="455">
        <f ca="1">IF($Y24&gt;0,CHOOSE(MATCH(RegimeExecucao,{"Unitário","Global"},0),IF($A24="S",$Y24/$X24,""),($Y24/$X24)*100),0)</f>
        <v>0</v>
      </c>
      <c r="X24" s="340" t="str">
        <f ca="1">IF($Y24&gt;0,CHOOSE(MATCH(RegimeExecucao,{"Unitário","Global"},0),IF($A24="S",ROUND($H24,ORÇAMENTO!$AF$10),""),ROUND($I24,ORÇAMENTO!$AF$11)),"")</f>
        <v/>
      </c>
      <c r="Y24" s="340">
        <f t="shared" ca="1" si="7"/>
        <v>0</v>
      </c>
      <c r="Z24" s="474"/>
      <c r="AB24" s="338"/>
      <c r="AC24" s="438"/>
      <c r="AD24" s="438"/>
      <c r="AE24" s="438"/>
      <c r="AF24" s="438"/>
      <c r="AG24" s="438"/>
      <c r="AH24" s="438"/>
      <c r="AI24" s="438"/>
      <c r="AJ24" s="438"/>
      <c r="AK24" s="438"/>
      <c r="AL24" s="438"/>
      <c r="AM24" s="339"/>
      <c r="AO24" s="675">
        <f ca="1">IF($A24="S",IF(BM!$I24=0,0,CHOOSE(MATCH(RegimeExecucao,{"Global","Unitário"},0),ROUND(ROUND(BM.MEDAcumulado,15-13*BM!$A$9)/100*BM!$I24,15-13*ORÇAMENTO!$AF$11),ROUND(ROUND(BM.MEDAcumulado,15-13*BM!$A$9)*ROUND(BM!$H24,15-13*ORÇAMENTO!$AF$10),15-13*ORÇAMENTO!$AF$11))),IF($A24=0,0,ROUND(SomaAgrupBM,15-13*ORÇAMENTO!$AF$11)))</f>
        <v>0</v>
      </c>
    </row>
    <row r="25" spans="1:41" s="675" customFormat="1" ht="25.5" x14ac:dyDescent="0.2">
      <c r="A25" s="675" t="str">
        <f ca="1">ORÇAMENTO!C25</f>
        <v>S</v>
      </c>
      <c r="B25" s="675">
        <f ca="1">ORÇAMENTO!D25</f>
        <v>0</v>
      </c>
      <c r="C25" s="115" t="str">
        <f t="shared" ca="1" si="1"/>
        <v/>
      </c>
      <c r="D25" s="118" t="str">
        <f ca="1">ORÇAMENTO!O25</f>
        <v>-</v>
      </c>
      <c r="E25" s="164" t="str">
        <f t="shared" ca="1" si="2"/>
        <v>(abra o arquivo 'Referência 09-2025.xlsm)</v>
      </c>
      <c r="F25" s="165" t="str">
        <f ca="1">IF(RegimeExecucao="Global","",ORÇAMENTO.Unidade)</f>
        <v>-</v>
      </c>
      <c r="G25" s="123">
        <f ca="1">IF(RegimeExecucao="Global","",ORÇAMENTO!T25)</f>
        <v>1327.75</v>
      </c>
      <c r="H25" s="123">
        <f ca="1">IF(RegimeExecucao="Global","",ORÇAMENTO!W25)</f>
        <v>0</v>
      </c>
      <c r="I25" s="126">
        <f ca="1">ORÇAMENTO!X25</f>
        <v>0</v>
      </c>
      <c r="J25" s="334" t="e" cm="1">
        <f t="array" aca="1" ref="J25" ca="1">_xlfn.SINGLE(IF($A25="S",IF(CAIXA.Modo,BM.AFAnterior,BM.MEDAnterior),IF(AND(_xlfn.SINGLE(RegimeExecucao)="Global",$I25&gt;0,COUNTIF($AB$13:$AM$13,BM.medicao-1)&gt;0),M25/$I25*100,0)))</f>
        <v>#NAME?</v>
      </c>
      <c r="K25" s="123" t="e">
        <f t="shared" ca="1" si="3"/>
        <v>#NAME?</v>
      </c>
      <c r="L25" s="335" t="e" cm="1">
        <f t="array" aca="1" ref="L25" ca="1">_xlfn.SINGLE(IF($A25="S",IF(CAIXA.Modo,BM.AFAcumulado,BM.MEDAcumulado),IF(AND(_xlfn.SINGLE(RegimeExecucao)="Global",$I25&gt;0,COUNTIF($AB$13:$AM$13,BM.medicao)&gt;0),O25/$I25*100,0)))</f>
        <v>#NAME?</v>
      </c>
      <c r="M25" s="336">
        <f ca="1">IF($A25="S",VTOTALBM,IF($A25=0,0,ROUND(SomaAgrupBM,15-13*ORÇAMENTO!$AF$11)))</f>
        <v>0</v>
      </c>
      <c r="N25" s="337">
        <f t="shared" ca="1" si="4"/>
        <v>0</v>
      </c>
      <c r="O25" s="126">
        <f ca="1">IF($A25="S",VTOTALBM,IF($A25=0,0,ROUND(SomaAgrupBM,15-13*ORÇAMENTO!$AF$11)))</f>
        <v>0</v>
      </c>
      <c r="Q25" s="338"/>
      <c r="R25" s="339"/>
      <c r="T25" s="118" t="str">
        <f t="shared" ca="1" si="5"/>
        <v/>
      </c>
      <c r="U25" s="164" t="str">
        <f t="shared" ca="1" si="6"/>
        <v/>
      </c>
      <c r="V25" s="165" t="str">
        <f ca="1">IF(AND($W25&gt;0,RegimeExecucao="Unitário"),$F25,"")</f>
        <v/>
      </c>
      <c r="W25" s="455">
        <f ca="1">IF($Y25&gt;0,CHOOSE(MATCH(RegimeExecucao,{"Unitário","Global"},0),IF($A25="S",$Y25/$X25,""),($Y25/$X25)*100),0)</f>
        <v>0</v>
      </c>
      <c r="X25" s="340" t="str">
        <f ca="1">IF($Y25&gt;0,CHOOSE(MATCH(RegimeExecucao,{"Unitário","Global"},0),IF($A25="S",ROUND($H25,ORÇAMENTO!$AF$10),""),ROUND($I25,ORÇAMENTO!$AF$11)),"")</f>
        <v/>
      </c>
      <c r="Y25" s="340">
        <f t="shared" ca="1" si="7"/>
        <v>0</v>
      </c>
      <c r="Z25" s="474"/>
      <c r="AB25" s="338"/>
      <c r="AC25" s="438"/>
      <c r="AD25" s="438"/>
      <c r="AE25" s="438"/>
      <c r="AF25" s="438"/>
      <c r="AG25" s="438"/>
      <c r="AH25" s="438"/>
      <c r="AI25" s="438"/>
      <c r="AJ25" s="438"/>
      <c r="AK25" s="438"/>
      <c r="AL25" s="438"/>
      <c r="AM25" s="339"/>
      <c r="AO25" s="675">
        <f ca="1">IF($A25="S",IF(BM!$I25=0,0,CHOOSE(MATCH(RegimeExecucao,{"Global","Unitário"},0),ROUND(ROUND(BM.MEDAcumulado,15-13*BM!$A$9)/100*BM!$I25,15-13*ORÇAMENTO!$AF$11),ROUND(ROUND(BM.MEDAcumulado,15-13*BM!$A$9)*ROUND(BM!$H25,15-13*ORÇAMENTO!$AF$10),15-13*ORÇAMENTO!$AF$11))),IF($A25=0,0,ROUND(SomaAgrupBM,15-13*ORÇAMENTO!$AF$11)))</f>
        <v>0</v>
      </c>
    </row>
    <row r="26" spans="1:41" s="720" customFormat="1" ht="38.25" x14ac:dyDescent="0.2">
      <c r="A26" s="720" t="str">
        <f ca="1">ORÇAMENTO!C26</f>
        <v>S</v>
      </c>
      <c r="B26" s="720">
        <f ca="1">ORÇAMENTO!D26</f>
        <v>0</v>
      </c>
      <c r="C26" s="115" t="str">
        <f t="shared" ca="1" si="1"/>
        <v/>
      </c>
      <c r="D26" s="118" t="str">
        <f ca="1">ORÇAMENTO!O26</f>
        <v>-</v>
      </c>
      <c r="E26" s="164" t="str">
        <f t="shared" ca="1" si="2"/>
        <v>(abra o arquivo 'Referência 09-2025.xlsm)</v>
      </c>
      <c r="F26" s="165" t="str">
        <f ca="1">IF(RegimeExecucao="Global","",ORÇAMENTO.Unidade)</f>
        <v>-</v>
      </c>
      <c r="G26" s="123">
        <f ca="1">IF(RegimeExecucao="Global","",ORÇAMENTO!T26)</f>
        <v>2</v>
      </c>
      <c r="H26" s="123">
        <f ca="1">IF(RegimeExecucao="Global","",ORÇAMENTO!W26)</f>
        <v>0</v>
      </c>
      <c r="I26" s="126">
        <f ca="1">ORÇAMENTO!X26</f>
        <v>0</v>
      </c>
      <c r="J26" s="334" t="e" cm="1">
        <f t="array" aca="1" ref="J26" ca="1">_xlfn.SINGLE(IF($A26="S",IF(CAIXA.Modo,BM.AFAnterior,BM.MEDAnterior),IF(AND(_xlfn.SINGLE(RegimeExecucao)="Global",$I26&gt;0,COUNTIF($AB$13:$AM$13,BM.medicao-1)&gt;0),M26/$I26*100,0)))</f>
        <v>#NAME?</v>
      </c>
      <c r="K26" s="123" t="e">
        <f t="shared" ca="1" si="3"/>
        <v>#NAME?</v>
      </c>
      <c r="L26" s="335" t="e" cm="1">
        <f t="array" aca="1" ref="L26" ca="1">_xlfn.SINGLE(IF($A26="S",IF(CAIXA.Modo,BM.AFAcumulado,BM.MEDAcumulado),IF(AND(_xlfn.SINGLE(RegimeExecucao)="Global",$I26&gt;0,COUNTIF($AB$13:$AM$13,BM.medicao)&gt;0),O26/$I26*100,0)))</f>
        <v>#NAME?</v>
      </c>
      <c r="M26" s="336">
        <f ca="1">IF($A26="S",VTOTALBM,IF($A26=0,0,ROUND(SomaAgrupBM,15-13*ORÇAMENTO!$AF$11)))</f>
        <v>0</v>
      </c>
      <c r="N26" s="337">
        <f t="shared" ca="1" si="4"/>
        <v>0</v>
      </c>
      <c r="O26" s="126">
        <f ca="1">IF($A26="S",VTOTALBM,IF($A26=0,0,ROUND(SomaAgrupBM,15-13*ORÇAMENTO!$AF$11)))</f>
        <v>0</v>
      </c>
      <c r="Q26" s="338"/>
      <c r="R26" s="339"/>
      <c r="T26" s="118" t="str">
        <f t="shared" ca="1" si="5"/>
        <v/>
      </c>
      <c r="U26" s="164" t="str">
        <f t="shared" ca="1" si="6"/>
        <v/>
      </c>
      <c r="V26" s="165" t="str">
        <f ca="1">IF(AND($W26&gt;0,RegimeExecucao="Unitário"),$F26,"")</f>
        <v/>
      </c>
      <c r="W26" s="455">
        <f ca="1">IF($Y26&gt;0,CHOOSE(MATCH(RegimeExecucao,{"Unitário","Global"},0),IF($A26="S",$Y26/$X26,""),($Y26/$X26)*100),0)</f>
        <v>0</v>
      </c>
      <c r="X26" s="340" t="str">
        <f ca="1">IF($Y26&gt;0,CHOOSE(MATCH(RegimeExecucao,{"Unitário","Global"},0),IF($A26="S",ROUND($H26,ORÇAMENTO!$AF$10),""),ROUND($I26,ORÇAMENTO!$AF$11)),"")</f>
        <v/>
      </c>
      <c r="Y26" s="340">
        <f t="shared" ca="1" si="7"/>
        <v>0</v>
      </c>
      <c r="Z26" s="474"/>
      <c r="AB26" s="338"/>
      <c r="AC26" s="438"/>
      <c r="AD26" s="438"/>
      <c r="AE26" s="438"/>
      <c r="AF26" s="438"/>
      <c r="AG26" s="438"/>
      <c r="AH26" s="438"/>
      <c r="AI26" s="438"/>
      <c r="AJ26" s="438"/>
      <c r="AK26" s="438"/>
      <c r="AL26" s="438"/>
      <c r="AM26" s="339"/>
      <c r="AO26" s="720">
        <f ca="1">IF($A26="S",IF(BM!$I26=0,0,CHOOSE(MATCH(RegimeExecucao,{"Global","Unitário"},0),ROUND(ROUND(BM.MEDAcumulado,15-13*BM!$A$9)/100*BM!$I26,15-13*ORÇAMENTO!$AF$11),ROUND(ROUND(BM.MEDAcumulado,15-13*BM!$A$9)*ROUND(BM!$H26,15-13*ORÇAMENTO!$AF$10),15-13*ORÇAMENTO!$AF$11))),IF($A26=0,0,ROUND(SomaAgrupBM,15-13*ORÇAMENTO!$AF$11)))</f>
        <v>0</v>
      </c>
    </row>
    <row r="27" spans="1:41" s="720" customFormat="1" ht="38.25" x14ac:dyDescent="0.2">
      <c r="A27" s="720" t="str">
        <f ca="1">ORÇAMENTO!C27</f>
        <v>S</v>
      </c>
      <c r="B27" s="720">
        <f ca="1">ORÇAMENTO!D27</f>
        <v>0</v>
      </c>
      <c r="C27" s="115" t="str">
        <f t="shared" ca="1" si="1"/>
        <v/>
      </c>
      <c r="D27" s="118" t="str">
        <f ca="1">ORÇAMENTO!O27</f>
        <v>-</v>
      </c>
      <c r="E27" s="164" t="str">
        <f t="shared" ca="1" si="2"/>
        <v>(abra o arquivo 'Referência 09-2025.xlsm)</v>
      </c>
      <c r="F27" s="165" t="str">
        <f ca="1">IF(RegimeExecucao="Global","",ORÇAMENTO.Unidade)</f>
        <v>-</v>
      </c>
      <c r="G27" s="123">
        <f ca="1">IF(RegimeExecucao="Global","",ORÇAMENTO!T27)</f>
        <v>30</v>
      </c>
      <c r="H27" s="123">
        <f ca="1">IF(RegimeExecucao="Global","",ORÇAMENTO!W27)</f>
        <v>0</v>
      </c>
      <c r="I27" s="126">
        <f ca="1">ORÇAMENTO!X27</f>
        <v>0</v>
      </c>
      <c r="J27" s="334" t="e" cm="1">
        <f t="array" aca="1" ref="J27" ca="1">_xlfn.SINGLE(IF($A27="S",IF(CAIXA.Modo,BM.AFAnterior,BM.MEDAnterior),IF(AND(_xlfn.SINGLE(RegimeExecucao)="Global",$I27&gt;0,COUNTIF($AB$13:$AM$13,BM.medicao-1)&gt;0),M27/$I27*100,0)))</f>
        <v>#NAME?</v>
      </c>
      <c r="K27" s="123" t="e">
        <f t="shared" ca="1" si="3"/>
        <v>#NAME?</v>
      </c>
      <c r="L27" s="335" t="e" cm="1">
        <f t="array" aca="1" ref="L27" ca="1">_xlfn.SINGLE(IF($A27="S",IF(CAIXA.Modo,BM.AFAcumulado,BM.MEDAcumulado),IF(AND(_xlfn.SINGLE(RegimeExecucao)="Global",$I27&gt;0,COUNTIF($AB$13:$AM$13,BM.medicao)&gt;0),O27/$I27*100,0)))</f>
        <v>#NAME?</v>
      </c>
      <c r="M27" s="336">
        <f ca="1">IF($A27="S",VTOTALBM,IF($A27=0,0,ROUND(SomaAgrupBM,15-13*ORÇAMENTO!$AF$11)))</f>
        <v>0</v>
      </c>
      <c r="N27" s="337">
        <f t="shared" ca="1" si="4"/>
        <v>0</v>
      </c>
      <c r="O27" s="126">
        <f ca="1">IF($A27="S",VTOTALBM,IF($A27=0,0,ROUND(SomaAgrupBM,15-13*ORÇAMENTO!$AF$11)))</f>
        <v>0</v>
      </c>
      <c r="Q27" s="338"/>
      <c r="R27" s="339"/>
      <c r="T27" s="118" t="str">
        <f t="shared" ca="1" si="5"/>
        <v/>
      </c>
      <c r="U27" s="164" t="str">
        <f t="shared" ca="1" si="6"/>
        <v/>
      </c>
      <c r="V27" s="165" t="str">
        <f ca="1">IF(AND($W27&gt;0,RegimeExecucao="Unitário"),$F27,"")</f>
        <v/>
      </c>
      <c r="W27" s="455">
        <f ca="1">IF($Y27&gt;0,CHOOSE(MATCH(RegimeExecucao,{"Unitário","Global"},0),IF($A27="S",$Y27/$X27,""),($Y27/$X27)*100),0)</f>
        <v>0</v>
      </c>
      <c r="X27" s="340" t="str">
        <f ca="1">IF($Y27&gt;0,CHOOSE(MATCH(RegimeExecucao,{"Unitário","Global"},0),IF($A27="S",ROUND($H27,ORÇAMENTO!$AF$10),""),ROUND($I27,ORÇAMENTO!$AF$11)),"")</f>
        <v/>
      </c>
      <c r="Y27" s="340">
        <f t="shared" ca="1" si="7"/>
        <v>0</v>
      </c>
      <c r="Z27" s="474"/>
      <c r="AB27" s="338"/>
      <c r="AC27" s="438"/>
      <c r="AD27" s="438"/>
      <c r="AE27" s="438"/>
      <c r="AF27" s="438"/>
      <c r="AG27" s="438"/>
      <c r="AH27" s="438"/>
      <c r="AI27" s="438"/>
      <c r="AJ27" s="438"/>
      <c r="AK27" s="438"/>
      <c r="AL27" s="438"/>
      <c r="AM27" s="339"/>
      <c r="AO27" s="720">
        <f ca="1">IF($A27="S",IF(BM!$I27=0,0,CHOOSE(MATCH(RegimeExecucao,{"Global","Unitário"},0),ROUND(ROUND(BM.MEDAcumulado,15-13*BM!$A$9)/100*BM!$I27,15-13*ORÇAMENTO!$AF$11),ROUND(ROUND(BM.MEDAcumulado,15-13*BM!$A$9)*ROUND(BM!$H27,15-13*ORÇAMENTO!$AF$10),15-13*ORÇAMENTO!$AF$11))),IF($A27=0,0,ROUND(SomaAgrupBM,15-13*ORÇAMENTO!$AF$11)))</f>
        <v>0</v>
      </c>
    </row>
    <row r="28" spans="1:41" s="675" customFormat="1" ht="25.5" x14ac:dyDescent="0.2">
      <c r="A28" s="675" t="str">
        <f ca="1">ORÇAMENTO!C28</f>
        <v>S</v>
      </c>
      <c r="B28" s="675">
        <f ca="1">ORÇAMENTO!D28</f>
        <v>0</v>
      </c>
      <c r="C28" s="115" t="str">
        <f t="shared" ca="1" si="1"/>
        <v/>
      </c>
      <c r="D28" s="118" t="str">
        <f ca="1">ORÇAMENTO!O28</f>
        <v>-</v>
      </c>
      <c r="E28" s="164" t="str">
        <f t="shared" ca="1" si="2"/>
        <v>(abra o arquivo 'Referência 09-2025.xlsm)</v>
      </c>
      <c r="F28" s="165" t="str">
        <f ca="1">IF(RegimeExecucao="Global","",ORÇAMENTO.Unidade)</f>
        <v>-</v>
      </c>
      <c r="G28" s="123">
        <f ca="1">IF(RegimeExecucao="Global","",ORÇAMENTO!T28)</f>
        <v>15</v>
      </c>
      <c r="H28" s="123">
        <f ca="1">IF(RegimeExecucao="Global","",ORÇAMENTO!W28)</f>
        <v>0</v>
      </c>
      <c r="I28" s="126">
        <f ca="1">ORÇAMENTO!X28</f>
        <v>0</v>
      </c>
      <c r="J28" s="334" t="e" cm="1">
        <f t="array" aca="1" ref="J28" ca="1">_xlfn.SINGLE(IF($A28="S",IF(CAIXA.Modo,BM.AFAnterior,BM.MEDAnterior),IF(AND(_xlfn.SINGLE(RegimeExecucao)="Global",$I28&gt;0,COUNTIF($AB$13:$AM$13,BM.medicao-1)&gt;0),M28/$I28*100,0)))</f>
        <v>#NAME?</v>
      </c>
      <c r="K28" s="123" t="e">
        <f t="shared" ca="1" si="3"/>
        <v>#NAME?</v>
      </c>
      <c r="L28" s="335" t="e" cm="1">
        <f t="array" aca="1" ref="L28" ca="1">_xlfn.SINGLE(IF($A28="S",IF(CAIXA.Modo,BM.AFAcumulado,BM.MEDAcumulado),IF(AND(_xlfn.SINGLE(RegimeExecucao)="Global",$I28&gt;0,COUNTIF($AB$13:$AM$13,BM.medicao)&gt;0),O28/$I28*100,0)))</f>
        <v>#NAME?</v>
      </c>
      <c r="M28" s="336">
        <f ca="1">IF($A28="S",VTOTALBM,IF($A28=0,0,ROUND(SomaAgrupBM,15-13*ORÇAMENTO!$AF$11)))</f>
        <v>0</v>
      </c>
      <c r="N28" s="337">
        <f t="shared" ca="1" si="4"/>
        <v>0</v>
      </c>
      <c r="O28" s="126">
        <f ca="1">IF($A28="S",VTOTALBM,IF($A28=0,0,ROUND(SomaAgrupBM,15-13*ORÇAMENTO!$AF$11)))</f>
        <v>0</v>
      </c>
      <c r="Q28" s="338"/>
      <c r="R28" s="339"/>
      <c r="T28" s="118" t="str">
        <f t="shared" ca="1" si="5"/>
        <v/>
      </c>
      <c r="U28" s="164" t="str">
        <f t="shared" ca="1" si="6"/>
        <v/>
      </c>
      <c r="V28" s="165" t="str">
        <f ca="1">IF(AND($W28&gt;0,RegimeExecucao="Unitário"),$F28,"")</f>
        <v/>
      </c>
      <c r="W28" s="455">
        <f ca="1">IF($Y28&gt;0,CHOOSE(MATCH(RegimeExecucao,{"Unitário","Global"},0),IF($A28="S",$Y28/$X28,""),($Y28/$X28)*100),0)</f>
        <v>0</v>
      </c>
      <c r="X28" s="340" t="str">
        <f ca="1">IF($Y28&gt;0,CHOOSE(MATCH(RegimeExecucao,{"Unitário","Global"},0),IF($A28="S",ROUND($H28,ORÇAMENTO!$AF$10),""),ROUND($I28,ORÇAMENTO!$AF$11)),"")</f>
        <v/>
      </c>
      <c r="Y28" s="340">
        <f t="shared" ca="1" si="7"/>
        <v>0</v>
      </c>
      <c r="Z28" s="474"/>
      <c r="AB28" s="338"/>
      <c r="AC28" s="438"/>
      <c r="AD28" s="438"/>
      <c r="AE28" s="438"/>
      <c r="AF28" s="438"/>
      <c r="AG28" s="438"/>
      <c r="AH28" s="438"/>
      <c r="AI28" s="438"/>
      <c r="AJ28" s="438"/>
      <c r="AK28" s="438"/>
      <c r="AL28" s="438"/>
      <c r="AM28" s="339"/>
      <c r="AO28" s="675">
        <f ca="1">IF($A28="S",IF(BM!$I28=0,0,CHOOSE(MATCH(RegimeExecucao,{"Global","Unitário"},0),ROUND(ROUND(BM.MEDAcumulado,15-13*BM!$A$9)/100*BM!$I28,15-13*ORÇAMENTO!$AF$11),ROUND(ROUND(BM.MEDAcumulado,15-13*BM!$A$9)*ROUND(BM!$H28,15-13*ORÇAMENTO!$AF$10),15-13*ORÇAMENTO!$AF$11))),IF($A28=0,0,ROUND(SomaAgrupBM,15-13*ORÇAMENTO!$AF$11)))</f>
        <v>0</v>
      </c>
    </row>
    <row r="29" spans="1:41" s="675" customFormat="1" x14ac:dyDescent="0.2">
      <c r="A29" s="675" t="str">
        <f ca="1">ORÇAMENTO!C29</f>
        <v>S</v>
      </c>
      <c r="B29" s="675">
        <f ca="1">ORÇAMENTO!D29</f>
        <v>0</v>
      </c>
      <c r="C29" s="115" t="str">
        <f t="shared" ca="1" si="1"/>
        <v/>
      </c>
      <c r="D29" s="118" t="str">
        <f ca="1">ORÇAMENTO!O29</f>
        <v>-</v>
      </c>
      <c r="E29" s="164" t="str">
        <f t="shared" ca="1" si="2"/>
        <v>(abra o arquivo 'Referência 09-2025.xlsm)</v>
      </c>
      <c r="F29" s="165" t="str">
        <f ca="1">IF(RegimeExecucao="Global","",ORÇAMENTO.Unidade)</f>
        <v>-</v>
      </c>
      <c r="G29" s="123">
        <f ca="1">IF(RegimeExecucao="Global","",ORÇAMENTO!T29)</f>
        <v>1</v>
      </c>
      <c r="H29" s="123">
        <f ca="1">IF(RegimeExecucao="Global","",ORÇAMENTO!W29)</f>
        <v>0</v>
      </c>
      <c r="I29" s="126">
        <f ca="1">ORÇAMENTO!X29</f>
        <v>0</v>
      </c>
      <c r="J29" s="334" t="e" cm="1">
        <f t="array" aca="1" ref="J29" ca="1">_xlfn.SINGLE(IF($A29="S",IF(CAIXA.Modo,BM.AFAnterior,BM.MEDAnterior),IF(AND(_xlfn.SINGLE(RegimeExecucao)="Global",$I29&gt;0,COUNTIF($AB$13:$AM$13,BM.medicao-1)&gt;0),M29/$I29*100,0)))</f>
        <v>#NAME?</v>
      </c>
      <c r="K29" s="123" t="e">
        <f t="shared" ca="1" si="3"/>
        <v>#NAME?</v>
      </c>
      <c r="L29" s="335" t="e" cm="1">
        <f t="array" aca="1" ref="L29" ca="1">_xlfn.SINGLE(IF($A29="S",IF(CAIXA.Modo,BM.AFAcumulado,BM.MEDAcumulado),IF(AND(_xlfn.SINGLE(RegimeExecucao)="Global",$I29&gt;0,COUNTIF($AB$13:$AM$13,BM.medicao)&gt;0),O29/$I29*100,0)))</f>
        <v>#NAME?</v>
      </c>
      <c r="M29" s="336">
        <f ca="1">IF($A29="S",VTOTALBM,IF($A29=0,0,ROUND(SomaAgrupBM,15-13*ORÇAMENTO!$AF$11)))</f>
        <v>0</v>
      </c>
      <c r="N29" s="337">
        <f t="shared" ca="1" si="4"/>
        <v>0</v>
      </c>
      <c r="O29" s="126">
        <f ca="1">IF($A29="S",VTOTALBM,IF($A29=0,0,ROUND(SomaAgrupBM,15-13*ORÇAMENTO!$AF$11)))</f>
        <v>0</v>
      </c>
      <c r="Q29" s="338"/>
      <c r="R29" s="339"/>
      <c r="T29" s="118" t="str">
        <f t="shared" ca="1" si="5"/>
        <v/>
      </c>
      <c r="U29" s="164" t="str">
        <f t="shared" ca="1" si="6"/>
        <v/>
      </c>
      <c r="V29" s="165" t="str">
        <f ca="1">IF(AND($W29&gt;0,RegimeExecucao="Unitário"),$F29,"")</f>
        <v/>
      </c>
      <c r="W29" s="455">
        <f ca="1">IF($Y29&gt;0,CHOOSE(MATCH(RegimeExecucao,{"Unitário","Global"},0),IF($A29="S",$Y29/$X29,""),($Y29/$X29)*100),0)</f>
        <v>0</v>
      </c>
      <c r="X29" s="340" t="str">
        <f ca="1">IF($Y29&gt;0,CHOOSE(MATCH(RegimeExecucao,{"Unitário","Global"},0),IF($A29="S",ROUND($H29,ORÇAMENTO!$AF$10),""),ROUND($I29,ORÇAMENTO!$AF$11)),"")</f>
        <v/>
      </c>
      <c r="Y29" s="340">
        <f t="shared" ca="1" si="7"/>
        <v>0</v>
      </c>
      <c r="Z29" s="474"/>
      <c r="AB29" s="338"/>
      <c r="AC29" s="438"/>
      <c r="AD29" s="438"/>
      <c r="AE29" s="438"/>
      <c r="AF29" s="438"/>
      <c r="AG29" s="438"/>
      <c r="AH29" s="438"/>
      <c r="AI29" s="438"/>
      <c r="AJ29" s="438"/>
      <c r="AK29" s="438"/>
      <c r="AL29" s="438"/>
      <c r="AM29" s="339"/>
      <c r="AO29" s="675">
        <f ca="1">IF($A29="S",IF(BM!$I29=0,0,CHOOSE(MATCH(RegimeExecucao,{"Global","Unitário"},0),ROUND(ROUND(BM.MEDAcumulado,15-13*BM!$A$9)/100*BM!$I29,15-13*ORÇAMENTO!$AF$11),ROUND(ROUND(BM.MEDAcumulado,15-13*BM!$A$9)*ROUND(BM!$H29,15-13*ORÇAMENTO!$AF$10),15-13*ORÇAMENTO!$AF$11))),IF($A29=0,0,ROUND(SomaAgrupBM,15-13*ORÇAMENTO!$AF$11)))</f>
        <v>0</v>
      </c>
    </row>
    <row r="30" spans="1:41" s="675" customFormat="1" x14ac:dyDescent="0.2">
      <c r="A30" s="675" t="str">
        <f ca="1">ORÇAMENTO!C30</f>
        <v>S</v>
      </c>
      <c r="B30" s="675">
        <f ca="1">ORÇAMENTO!D30</f>
        <v>0</v>
      </c>
      <c r="C30" s="115" t="str">
        <f t="shared" ca="1" si="1"/>
        <v/>
      </c>
      <c r="D30" s="118" t="str">
        <f ca="1">ORÇAMENTO!O30</f>
        <v>-</v>
      </c>
      <c r="E30" s="164" t="str">
        <f t="shared" ca="1" si="2"/>
        <v>(abra o arquivo 'Referência 09-2025.xlsm)</v>
      </c>
      <c r="F30" s="165" t="str">
        <f ca="1">IF(RegimeExecucao="Global","",ORÇAMENTO.Unidade)</f>
        <v>-</v>
      </c>
      <c r="G30" s="123">
        <f ca="1">IF(RegimeExecucao="Global","",ORÇAMENTO!T30)</f>
        <v>863</v>
      </c>
      <c r="H30" s="123">
        <f ca="1">IF(RegimeExecucao="Global","",ORÇAMENTO!W30)</f>
        <v>0</v>
      </c>
      <c r="I30" s="126">
        <f ca="1">ORÇAMENTO!X30</f>
        <v>0</v>
      </c>
      <c r="J30" s="334" t="e" cm="1">
        <f t="array" aca="1" ref="J30" ca="1">_xlfn.SINGLE(IF($A30="S",IF(CAIXA.Modo,BM.AFAnterior,BM.MEDAnterior),IF(AND(_xlfn.SINGLE(RegimeExecucao)="Global",$I30&gt;0,COUNTIF($AB$13:$AM$13,BM.medicao-1)&gt;0),M30/$I30*100,0)))</f>
        <v>#NAME?</v>
      </c>
      <c r="K30" s="123" t="e">
        <f t="shared" ca="1" si="3"/>
        <v>#NAME?</v>
      </c>
      <c r="L30" s="335" t="e" cm="1">
        <f t="array" aca="1" ref="L30" ca="1">_xlfn.SINGLE(IF($A30="S",IF(CAIXA.Modo,BM.AFAcumulado,BM.MEDAcumulado),IF(AND(_xlfn.SINGLE(RegimeExecucao)="Global",$I30&gt;0,COUNTIF($AB$13:$AM$13,BM.medicao)&gt;0),O30/$I30*100,0)))</f>
        <v>#NAME?</v>
      </c>
      <c r="M30" s="336">
        <f ca="1">IF($A30="S",VTOTALBM,IF($A30=0,0,ROUND(SomaAgrupBM,15-13*ORÇAMENTO!$AF$11)))</f>
        <v>0</v>
      </c>
      <c r="N30" s="337">
        <f t="shared" ca="1" si="4"/>
        <v>0</v>
      </c>
      <c r="O30" s="126">
        <f ca="1">IF($A30="S",VTOTALBM,IF($A30=0,0,ROUND(SomaAgrupBM,15-13*ORÇAMENTO!$AF$11)))</f>
        <v>0</v>
      </c>
      <c r="Q30" s="338"/>
      <c r="R30" s="339"/>
      <c r="T30" s="118" t="str">
        <f t="shared" ca="1" si="5"/>
        <v/>
      </c>
      <c r="U30" s="164" t="str">
        <f t="shared" ca="1" si="6"/>
        <v/>
      </c>
      <c r="V30" s="165" t="str">
        <f ca="1">IF(AND($W30&gt;0,RegimeExecucao="Unitário"),$F30,"")</f>
        <v/>
      </c>
      <c r="W30" s="455">
        <f ca="1">IF($Y30&gt;0,CHOOSE(MATCH(RegimeExecucao,{"Unitário","Global"},0),IF($A30="S",$Y30/$X30,""),($Y30/$X30)*100),0)</f>
        <v>0</v>
      </c>
      <c r="X30" s="340" t="str">
        <f ca="1">IF($Y30&gt;0,CHOOSE(MATCH(RegimeExecucao,{"Unitário","Global"},0),IF($A30="S",ROUND($H30,ORÇAMENTO!$AF$10),""),ROUND($I30,ORÇAMENTO!$AF$11)),"")</f>
        <v/>
      </c>
      <c r="Y30" s="340">
        <f t="shared" ca="1" si="7"/>
        <v>0</v>
      </c>
      <c r="Z30" s="474"/>
      <c r="AB30" s="338"/>
      <c r="AC30" s="438"/>
      <c r="AD30" s="438"/>
      <c r="AE30" s="438"/>
      <c r="AF30" s="438"/>
      <c r="AG30" s="438"/>
      <c r="AH30" s="438"/>
      <c r="AI30" s="438"/>
      <c r="AJ30" s="438"/>
      <c r="AK30" s="438"/>
      <c r="AL30" s="438"/>
      <c r="AM30" s="339"/>
      <c r="AO30" s="675">
        <f ca="1">IF($A30="S",IF(BM!$I30=0,0,CHOOSE(MATCH(RegimeExecucao,{"Global","Unitário"},0),ROUND(ROUND(BM.MEDAcumulado,15-13*BM!$A$9)/100*BM!$I30,15-13*ORÇAMENTO!$AF$11),ROUND(ROUND(BM.MEDAcumulado,15-13*BM!$A$9)*ROUND(BM!$H30,15-13*ORÇAMENTO!$AF$10),15-13*ORÇAMENTO!$AF$11))),IF($A30=0,0,ROUND(SomaAgrupBM,15-13*ORÇAMENTO!$AF$11)))</f>
        <v>0</v>
      </c>
    </row>
    <row r="31" spans="1:41" s="675" customFormat="1" ht="25.5" x14ac:dyDescent="0.2">
      <c r="A31" s="675" t="str">
        <f ca="1">ORÇAMENTO!C31</f>
        <v>S</v>
      </c>
      <c r="B31" s="675">
        <f ca="1">ORÇAMENTO!D31</f>
        <v>0</v>
      </c>
      <c r="C31" s="115" t="str">
        <f t="shared" ca="1" si="1"/>
        <v/>
      </c>
      <c r="D31" s="118" t="str">
        <f ca="1">ORÇAMENTO!O31</f>
        <v>-</v>
      </c>
      <c r="E31" s="164" t="str">
        <f t="shared" ca="1" si="2"/>
        <v>(abra o arquivo 'Referência 09-2025.xlsm)</v>
      </c>
      <c r="F31" s="165" t="str">
        <f ca="1">IF(RegimeExecucao="Global","",ORÇAMENTO.Unidade)</f>
        <v>-</v>
      </c>
      <c r="G31" s="123">
        <f ca="1">IF(RegimeExecucao="Global","",ORÇAMENTO!T31)</f>
        <v>1276.54</v>
      </c>
      <c r="H31" s="123">
        <f ca="1">IF(RegimeExecucao="Global","",ORÇAMENTO!W31)</f>
        <v>0</v>
      </c>
      <c r="I31" s="126">
        <f ca="1">ORÇAMENTO!X31</f>
        <v>0</v>
      </c>
      <c r="J31" s="334" t="e" cm="1">
        <f t="array" aca="1" ref="J31" ca="1">_xlfn.SINGLE(IF($A31="S",IF(CAIXA.Modo,BM.AFAnterior,BM.MEDAnterior),IF(AND(_xlfn.SINGLE(RegimeExecucao)="Global",$I31&gt;0,COUNTIF($AB$13:$AM$13,BM.medicao-1)&gt;0),M31/$I31*100,0)))</f>
        <v>#NAME?</v>
      </c>
      <c r="K31" s="123" t="e">
        <f t="shared" ca="1" si="3"/>
        <v>#NAME?</v>
      </c>
      <c r="L31" s="335" t="e" cm="1">
        <f t="array" aca="1" ref="L31" ca="1">_xlfn.SINGLE(IF($A31="S",IF(CAIXA.Modo,BM.AFAcumulado,BM.MEDAcumulado),IF(AND(_xlfn.SINGLE(RegimeExecucao)="Global",$I31&gt;0,COUNTIF($AB$13:$AM$13,BM.medicao)&gt;0),O31/$I31*100,0)))</f>
        <v>#NAME?</v>
      </c>
      <c r="M31" s="336">
        <f ca="1">IF($A31="S",VTOTALBM,IF($A31=0,0,ROUND(SomaAgrupBM,15-13*ORÇAMENTO!$AF$11)))</f>
        <v>0</v>
      </c>
      <c r="N31" s="337">
        <f t="shared" ca="1" si="4"/>
        <v>0</v>
      </c>
      <c r="O31" s="126">
        <f ca="1">IF($A31="S",VTOTALBM,IF($A31=0,0,ROUND(SomaAgrupBM,15-13*ORÇAMENTO!$AF$11)))</f>
        <v>0</v>
      </c>
      <c r="Q31" s="338"/>
      <c r="R31" s="339"/>
      <c r="T31" s="118" t="str">
        <f t="shared" ca="1" si="5"/>
        <v/>
      </c>
      <c r="U31" s="164" t="str">
        <f t="shared" ca="1" si="6"/>
        <v/>
      </c>
      <c r="V31" s="165" t="str">
        <f ca="1">IF(AND($W31&gt;0,RegimeExecucao="Unitário"),$F31,"")</f>
        <v/>
      </c>
      <c r="W31" s="455">
        <f ca="1">IF($Y31&gt;0,CHOOSE(MATCH(RegimeExecucao,{"Unitário","Global"},0),IF($A31="S",$Y31/$X31,""),($Y31/$X31)*100),0)</f>
        <v>0</v>
      </c>
      <c r="X31" s="340" t="str">
        <f ca="1">IF($Y31&gt;0,CHOOSE(MATCH(RegimeExecucao,{"Unitário","Global"},0),IF($A31="S",ROUND($H31,ORÇAMENTO!$AF$10),""),ROUND($I31,ORÇAMENTO!$AF$11)),"")</f>
        <v/>
      </c>
      <c r="Y31" s="340">
        <f t="shared" ca="1" si="7"/>
        <v>0</v>
      </c>
      <c r="Z31" s="474"/>
      <c r="AB31" s="338"/>
      <c r="AC31" s="438"/>
      <c r="AD31" s="438"/>
      <c r="AE31" s="438"/>
      <c r="AF31" s="438"/>
      <c r="AG31" s="438"/>
      <c r="AH31" s="438"/>
      <c r="AI31" s="438"/>
      <c r="AJ31" s="438"/>
      <c r="AK31" s="438"/>
      <c r="AL31" s="438"/>
      <c r="AM31" s="339"/>
      <c r="AO31" s="675">
        <f ca="1">IF($A31="S",IF(BM!$I31=0,0,CHOOSE(MATCH(RegimeExecucao,{"Global","Unitário"},0),ROUND(ROUND(BM.MEDAcumulado,15-13*BM!$A$9)/100*BM!$I31,15-13*ORÇAMENTO!$AF$11),ROUND(ROUND(BM.MEDAcumulado,15-13*BM!$A$9)*ROUND(BM!$H31,15-13*ORÇAMENTO!$AF$10),15-13*ORÇAMENTO!$AF$11))),IF($A31=0,0,ROUND(SomaAgrupBM,15-13*ORÇAMENTO!$AF$11)))</f>
        <v>0</v>
      </c>
    </row>
    <row r="32" spans="1:41" s="675" customFormat="1" ht="25.5" x14ac:dyDescent="0.2">
      <c r="A32" s="675" t="str">
        <f ca="1">ORÇAMENTO!C32</f>
        <v>S</v>
      </c>
      <c r="B32" s="675">
        <f ca="1">ORÇAMENTO!D32</f>
        <v>0</v>
      </c>
      <c r="C32" s="115" t="str">
        <f t="shared" ca="1" si="1"/>
        <v/>
      </c>
      <c r="D32" s="118" t="str">
        <f ca="1">ORÇAMENTO!O32</f>
        <v>-</v>
      </c>
      <c r="E32" s="164" t="str">
        <f t="shared" ca="1" si="2"/>
        <v>(abra o arquivo 'Referência 09-2025.xlsm)</v>
      </c>
      <c r="F32" s="165" t="str">
        <f ca="1">IF(RegimeExecucao="Global","",ORÇAMENTO.Unidade)</f>
        <v>-</v>
      </c>
      <c r="G32" s="123">
        <f ca="1">IF(RegimeExecucao="Global","",ORÇAMENTO!T32)</f>
        <v>67.209999999999994</v>
      </c>
      <c r="H32" s="123">
        <f ca="1">IF(RegimeExecucao="Global","",ORÇAMENTO!W32)</f>
        <v>0</v>
      </c>
      <c r="I32" s="126">
        <f ca="1">ORÇAMENTO!X32</f>
        <v>0</v>
      </c>
      <c r="J32" s="334" t="e" cm="1">
        <f t="array" aca="1" ref="J32" ca="1">_xlfn.SINGLE(IF($A32="S",IF(CAIXA.Modo,BM.AFAnterior,BM.MEDAnterior),IF(AND(_xlfn.SINGLE(RegimeExecucao)="Global",$I32&gt;0,COUNTIF($AB$13:$AM$13,BM.medicao-1)&gt;0),M32/$I32*100,0)))</f>
        <v>#NAME?</v>
      </c>
      <c r="K32" s="123" t="e">
        <f t="shared" ca="1" si="3"/>
        <v>#NAME?</v>
      </c>
      <c r="L32" s="335" t="e" cm="1">
        <f t="array" aca="1" ref="L32" ca="1">_xlfn.SINGLE(IF($A32="S",IF(CAIXA.Modo,BM.AFAcumulado,BM.MEDAcumulado),IF(AND(_xlfn.SINGLE(RegimeExecucao)="Global",$I32&gt;0,COUNTIF($AB$13:$AM$13,BM.medicao)&gt;0),O32/$I32*100,0)))</f>
        <v>#NAME?</v>
      </c>
      <c r="M32" s="336">
        <f ca="1">IF($A32="S",VTOTALBM,IF($A32=0,0,ROUND(SomaAgrupBM,15-13*ORÇAMENTO!$AF$11)))</f>
        <v>0</v>
      </c>
      <c r="N32" s="337">
        <f t="shared" ca="1" si="4"/>
        <v>0</v>
      </c>
      <c r="O32" s="126">
        <f ca="1">IF($A32="S",VTOTALBM,IF($A32=0,0,ROUND(SomaAgrupBM,15-13*ORÇAMENTO!$AF$11)))</f>
        <v>0</v>
      </c>
      <c r="Q32" s="338"/>
      <c r="R32" s="339"/>
      <c r="T32" s="118" t="str">
        <f t="shared" ca="1" si="5"/>
        <v/>
      </c>
      <c r="U32" s="164" t="str">
        <f t="shared" ca="1" si="6"/>
        <v/>
      </c>
      <c r="V32" s="165" t="str">
        <f ca="1">IF(AND($W32&gt;0,RegimeExecucao="Unitário"),$F32,"")</f>
        <v/>
      </c>
      <c r="W32" s="455">
        <f ca="1">IF($Y32&gt;0,CHOOSE(MATCH(RegimeExecucao,{"Unitário","Global"},0),IF($A32="S",$Y32/$X32,""),($Y32/$X32)*100),0)</f>
        <v>0</v>
      </c>
      <c r="X32" s="340" t="str">
        <f ca="1">IF($Y32&gt;0,CHOOSE(MATCH(RegimeExecucao,{"Unitário","Global"},0),IF($A32="S",ROUND($H32,ORÇAMENTO!$AF$10),""),ROUND($I32,ORÇAMENTO!$AF$11)),"")</f>
        <v/>
      </c>
      <c r="Y32" s="340">
        <f t="shared" ca="1" si="7"/>
        <v>0</v>
      </c>
      <c r="Z32" s="474"/>
      <c r="AB32" s="338"/>
      <c r="AC32" s="438"/>
      <c r="AD32" s="438"/>
      <c r="AE32" s="438"/>
      <c r="AF32" s="438"/>
      <c r="AG32" s="438"/>
      <c r="AH32" s="438"/>
      <c r="AI32" s="438"/>
      <c r="AJ32" s="438"/>
      <c r="AK32" s="438"/>
      <c r="AL32" s="438"/>
      <c r="AM32" s="339"/>
      <c r="AO32" s="675">
        <f ca="1">IF($A32="S",IF(BM!$I32=0,0,CHOOSE(MATCH(RegimeExecucao,{"Global","Unitário"},0),ROUND(ROUND(BM.MEDAcumulado,15-13*BM!$A$9)/100*BM!$I32,15-13*ORÇAMENTO!$AF$11),ROUND(ROUND(BM.MEDAcumulado,15-13*BM!$A$9)*ROUND(BM!$H32,15-13*ORÇAMENTO!$AF$10),15-13*ORÇAMENTO!$AF$11))),IF($A32=0,0,ROUND(SomaAgrupBM,15-13*ORÇAMENTO!$AF$11)))</f>
        <v>0</v>
      </c>
    </row>
    <row r="33" spans="1:41" s="675" customFormat="1" ht="25.5" x14ac:dyDescent="0.2">
      <c r="A33" s="675" t="str">
        <f ca="1">ORÇAMENTO!C33</f>
        <v>S</v>
      </c>
      <c r="B33" s="675">
        <f ca="1">ORÇAMENTO!D33</f>
        <v>0</v>
      </c>
      <c r="C33" s="115" t="str">
        <f t="shared" ca="1" si="1"/>
        <v/>
      </c>
      <c r="D33" s="118" t="str">
        <f ca="1">ORÇAMENTO!O33</f>
        <v>-</v>
      </c>
      <c r="E33" s="164" t="str">
        <f t="shared" ca="1" si="2"/>
        <v>(abra o arquivo 'Referência 09-2025.xlsm)</v>
      </c>
      <c r="F33" s="165" t="str">
        <f ca="1">IF(RegimeExecucao="Global","",ORÇAMENTO.Unidade)</f>
        <v>-</v>
      </c>
      <c r="G33" s="123">
        <f ca="1">IF(RegimeExecucao="Global","",ORÇAMENTO!T33)</f>
        <v>1</v>
      </c>
      <c r="H33" s="123">
        <f ca="1">IF(RegimeExecucao="Global","",ORÇAMENTO!W33)</f>
        <v>0</v>
      </c>
      <c r="I33" s="126">
        <f ca="1">ORÇAMENTO!X33</f>
        <v>0</v>
      </c>
      <c r="J33" s="334" t="e" cm="1">
        <f t="array" aca="1" ref="J33" ca="1">_xlfn.SINGLE(IF($A33="S",IF(CAIXA.Modo,BM.AFAnterior,BM.MEDAnterior),IF(AND(_xlfn.SINGLE(RegimeExecucao)="Global",$I33&gt;0,COUNTIF($AB$13:$AM$13,BM.medicao-1)&gt;0),M33/$I33*100,0)))</f>
        <v>#NAME?</v>
      </c>
      <c r="K33" s="123" t="e">
        <f t="shared" ca="1" si="3"/>
        <v>#NAME?</v>
      </c>
      <c r="L33" s="335" t="e" cm="1">
        <f t="array" aca="1" ref="L33" ca="1">_xlfn.SINGLE(IF($A33="S",IF(CAIXA.Modo,BM.AFAcumulado,BM.MEDAcumulado),IF(AND(_xlfn.SINGLE(RegimeExecucao)="Global",$I33&gt;0,COUNTIF($AB$13:$AM$13,BM.medicao)&gt;0),O33/$I33*100,0)))</f>
        <v>#NAME?</v>
      </c>
      <c r="M33" s="336">
        <f ca="1">IF($A33="S",VTOTALBM,IF($A33=0,0,ROUND(SomaAgrupBM,15-13*ORÇAMENTO!$AF$11)))</f>
        <v>0</v>
      </c>
      <c r="N33" s="337">
        <f t="shared" ca="1" si="4"/>
        <v>0</v>
      </c>
      <c r="O33" s="126">
        <f ca="1">IF($A33="S",VTOTALBM,IF($A33=0,0,ROUND(SomaAgrupBM,15-13*ORÇAMENTO!$AF$11)))</f>
        <v>0</v>
      </c>
      <c r="Q33" s="338"/>
      <c r="R33" s="339"/>
      <c r="T33" s="118" t="str">
        <f t="shared" ca="1" si="5"/>
        <v/>
      </c>
      <c r="U33" s="164" t="str">
        <f t="shared" ca="1" si="6"/>
        <v/>
      </c>
      <c r="V33" s="165" t="str">
        <f ca="1">IF(AND($W33&gt;0,RegimeExecucao="Unitário"),$F33,"")</f>
        <v/>
      </c>
      <c r="W33" s="455">
        <f ca="1">IF($Y33&gt;0,CHOOSE(MATCH(RegimeExecucao,{"Unitário","Global"},0),IF($A33="S",$Y33/$X33,""),($Y33/$X33)*100),0)</f>
        <v>0</v>
      </c>
      <c r="X33" s="340" t="str">
        <f ca="1">IF($Y33&gt;0,CHOOSE(MATCH(RegimeExecucao,{"Unitário","Global"},0),IF($A33="S",ROUND($H33,ORÇAMENTO!$AF$10),""),ROUND($I33,ORÇAMENTO!$AF$11)),"")</f>
        <v/>
      </c>
      <c r="Y33" s="340">
        <f t="shared" ca="1" si="7"/>
        <v>0</v>
      </c>
      <c r="Z33" s="474"/>
      <c r="AB33" s="338"/>
      <c r="AC33" s="438"/>
      <c r="AD33" s="438"/>
      <c r="AE33" s="438"/>
      <c r="AF33" s="438"/>
      <c r="AG33" s="438"/>
      <c r="AH33" s="438"/>
      <c r="AI33" s="438"/>
      <c r="AJ33" s="438"/>
      <c r="AK33" s="438"/>
      <c r="AL33" s="438"/>
      <c r="AM33" s="339"/>
      <c r="AO33" s="675">
        <f ca="1">IF($A33="S",IF(BM!$I33=0,0,CHOOSE(MATCH(RegimeExecucao,{"Global","Unitário"},0),ROUND(ROUND(BM.MEDAcumulado,15-13*BM!$A$9)/100*BM!$I33,15-13*ORÇAMENTO!$AF$11),ROUND(ROUND(BM.MEDAcumulado,15-13*BM!$A$9)*ROUND(BM!$H33,15-13*ORÇAMENTO!$AF$10),15-13*ORÇAMENTO!$AF$11))),IF($A33=0,0,ROUND(SomaAgrupBM,15-13*ORÇAMENTO!$AF$11)))</f>
        <v>0</v>
      </c>
    </row>
    <row r="34" spans="1:41" s="675" customFormat="1" x14ac:dyDescent="0.2">
      <c r="A34" s="675" t="str">
        <f ca="1">ORÇAMENTO!C34</f>
        <v>S</v>
      </c>
      <c r="B34" s="675">
        <f ca="1">ORÇAMENTO!D34</f>
        <v>0</v>
      </c>
      <c r="C34" s="115" t="str">
        <f t="shared" ca="1" si="1"/>
        <v/>
      </c>
      <c r="D34" s="118" t="str">
        <f ca="1">ORÇAMENTO!O34</f>
        <v>-</v>
      </c>
      <c r="E34" s="164" t="str">
        <f t="shared" ca="1" si="2"/>
        <v>(abra o arquivo 'Referência 09-2025.xlsm)</v>
      </c>
      <c r="F34" s="165" t="str">
        <f ca="1">IF(RegimeExecucao="Global","",ORÇAMENTO.Unidade)</f>
        <v>-</v>
      </c>
      <c r="G34" s="123">
        <f ca="1">IF(RegimeExecucao="Global","",ORÇAMENTO!T34)</f>
        <v>1</v>
      </c>
      <c r="H34" s="123">
        <f ca="1">IF(RegimeExecucao="Global","",ORÇAMENTO!W34)</f>
        <v>0</v>
      </c>
      <c r="I34" s="126">
        <f ca="1">ORÇAMENTO!X34</f>
        <v>0</v>
      </c>
      <c r="J34" s="334" t="e" cm="1">
        <f t="array" aca="1" ref="J34" ca="1">_xlfn.SINGLE(IF($A34="S",IF(CAIXA.Modo,BM.AFAnterior,BM.MEDAnterior),IF(AND(_xlfn.SINGLE(RegimeExecucao)="Global",$I34&gt;0,COUNTIF($AB$13:$AM$13,BM.medicao-1)&gt;0),M34/$I34*100,0)))</f>
        <v>#NAME?</v>
      </c>
      <c r="K34" s="123" t="e">
        <f t="shared" ca="1" si="3"/>
        <v>#NAME?</v>
      </c>
      <c r="L34" s="335" t="e" cm="1">
        <f t="array" aca="1" ref="L34" ca="1">_xlfn.SINGLE(IF($A34="S",IF(CAIXA.Modo,BM.AFAcumulado,BM.MEDAcumulado),IF(AND(_xlfn.SINGLE(RegimeExecucao)="Global",$I34&gt;0,COUNTIF($AB$13:$AM$13,BM.medicao)&gt;0),O34/$I34*100,0)))</f>
        <v>#NAME?</v>
      </c>
      <c r="M34" s="336">
        <f ca="1">IF($A34="S",VTOTALBM,IF($A34=0,0,ROUND(SomaAgrupBM,15-13*ORÇAMENTO!$AF$11)))</f>
        <v>0</v>
      </c>
      <c r="N34" s="337">
        <f t="shared" ca="1" si="4"/>
        <v>0</v>
      </c>
      <c r="O34" s="126">
        <f ca="1">IF($A34="S",VTOTALBM,IF($A34=0,0,ROUND(SomaAgrupBM,15-13*ORÇAMENTO!$AF$11)))</f>
        <v>0</v>
      </c>
      <c r="Q34" s="338"/>
      <c r="R34" s="339"/>
      <c r="T34" s="118" t="str">
        <f t="shared" ca="1" si="5"/>
        <v/>
      </c>
      <c r="U34" s="164" t="str">
        <f t="shared" ca="1" si="6"/>
        <v/>
      </c>
      <c r="V34" s="165" t="str">
        <f ca="1">IF(AND($W34&gt;0,RegimeExecucao="Unitário"),$F34,"")</f>
        <v/>
      </c>
      <c r="W34" s="455">
        <f ca="1">IF($Y34&gt;0,CHOOSE(MATCH(RegimeExecucao,{"Unitário","Global"},0),IF($A34="S",$Y34/$X34,""),($Y34/$X34)*100),0)</f>
        <v>0</v>
      </c>
      <c r="X34" s="340" t="str">
        <f ca="1">IF($Y34&gt;0,CHOOSE(MATCH(RegimeExecucao,{"Unitário","Global"},0),IF($A34="S",ROUND($H34,ORÇAMENTO!$AF$10),""),ROUND($I34,ORÇAMENTO!$AF$11)),"")</f>
        <v/>
      </c>
      <c r="Y34" s="340">
        <f t="shared" ca="1" si="7"/>
        <v>0</v>
      </c>
      <c r="Z34" s="474"/>
      <c r="AB34" s="338"/>
      <c r="AC34" s="438"/>
      <c r="AD34" s="438"/>
      <c r="AE34" s="438"/>
      <c r="AF34" s="438"/>
      <c r="AG34" s="438"/>
      <c r="AH34" s="438"/>
      <c r="AI34" s="438"/>
      <c r="AJ34" s="438"/>
      <c r="AK34" s="438"/>
      <c r="AL34" s="438"/>
      <c r="AM34" s="339"/>
      <c r="AO34" s="675">
        <f ca="1">IF($A34="S",IF(BM!$I34=0,0,CHOOSE(MATCH(RegimeExecucao,{"Global","Unitário"},0),ROUND(ROUND(BM.MEDAcumulado,15-13*BM!$A$9)/100*BM!$I34,15-13*ORÇAMENTO!$AF$11),ROUND(ROUND(BM.MEDAcumulado,15-13*BM!$A$9)*ROUND(BM!$H34,15-13*ORÇAMENTO!$AF$10),15-13*ORÇAMENTO!$AF$11))),IF($A34=0,0,ROUND(SomaAgrupBM,15-13*ORÇAMENTO!$AF$11)))</f>
        <v>0</v>
      </c>
    </row>
    <row r="35" spans="1:41" s="675" customFormat="1" ht="25.5" x14ac:dyDescent="0.2">
      <c r="A35" s="675" t="str">
        <f ca="1">ORÇAMENTO!C35</f>
        <v>S</v>
      </c>
      <c r="B35" s="675">
        <f ca="1">ORÇAMENTO!D35</f>
        <v>0</v>
      </c>
      <c r="C35" s="115" t="str">
        <f t="shared" ca="1" si="1"/>
        <v/>
      </c>
      <c r="D35" s="118" t="str">
        <f ca="1">ORÇAMENTO!O35</f>
        <v>-</v>
      </c>
      <c r="E35" s="164" t="str">
        <f t="shared" ca="1" si="2"/>
        <v>(abra o arquivo 'Referência 09-2025.xlsm)</v>
      </c>
      <c r="F35" s="165" t="str">
        <f ca="1">IF(RegimeExecucao="Global","",ORÇAMENTO.Unidade)</f>
        <v>-</v>
      </c>
      <c r="G35" s="123">
        <f ca="1">IF(RegimeExecucao="Global","",ORÇAMENTO!T35)</f>
        <v>1140</v>
      </c>
      <c r="H35" s="123">
        <f ca="1">IF(RegimeExecucao="Global","",ORÇAMENTO!W35)</f>
        <v>0</v>
      </c>
      <c r="I35" s="126">
        <f ca="1">ORÇAMENTO!X35</f>
        <v>0</v>
      </c>
      <c r="J35" s="334" t="e" cm="1">
        <f t="array" aca="1" ref="J35" ca="1">_xlfn.SINGLE(IF($A35="S",IF(CAIXA.Modo,BM.AFAnterior,BM.MEDAnterior),IF(AND(_xlfn.SINGLE(RegimeExecucao)="Global",$I35&gt;0,COUNTIF($AB$13:$AM$13,BM.medicao-1)&gt;0),M35/$I35*100,0)))</f>
        <v>#NAME?</v>
      </c>
      <c r="K35" s="123" t="e">
        <f t="shared" ca="1" si="3"/>
        <v>#NAME?</v>
      </c>
      <c r="L35" s="335" t="e" cm="1">
        <f t="array" aca="1" ref="L35" ca="1">_xlfn.SINGLE(IF($A35="S",IF(CAIXA.Modo,BM.AFAcumulado,BM.MEDAcumulado),IF(AND(_xlfn.SINGLE(RegimeExecucao)="Global",$I35&gt;0,COUNTIF($AB$13:$AM$13,BM.medicao)&gt;0),O35/$I35*100,0)))</f>
        <v>#NAME?</v>
      </c>
      <c r="M35" s="336">
        <f ca="1">IF($A35="S",VTOTALBM,IF($A35=0,0,ROUND(SomaAgrupBM,15-13*ORÇAMENTO!$AF$11)))</f>
        <v>0</v>
      </c>
      <c r="N35" s="337">
        <f t="shared" ca="1" si="4"/>
        <v>0</v>
      </c>
      <c r="O35" s="126">
        <f ca="1">IF($A35="S",VTOTALBM,IF($A35=0,0,ROUND(SomaAgrupBM,15-13*ORÇAMENTO!$AF$11)))</f>
        <v>0</v>
      </c>
      <c r="Q35" s="338"/>
      <c r="R35" s="339"/>
      <c r="T35" s="118" t="str">
        <f t="shared" ca="1" si="5"/>
        <v/>
      </c>
      <c r="U35" s="164" t="str">
        <f t="shared" ca="1" si="6"/>
        <v/>
      </c>
      <c r="V35" s="165" t="str">
        <f ca="1">IF(AND($W35&gt;0,RegimeExecucao="Unitário"),$F35,"")</f>
        <v/>
      </c>
      <c r="W35" s="455">
        <f ca="1">IF($Y35&gt;0,CHOOSE(MATCH(RegimeExecucao,{"Unitário","Global"},0),IF($A35="S",$Y35/$X35,""),($Y35/$X35)*100),0)</f>
        <v>0</v>
      </c>
      <c r="X35" s="340" t="str">
        <f ca="1">IF($Y35&gt;0,CHOOSE(MATCH(RegimeExecucao,{"Unitário","Global"},0),IF($A35="S",ROUND($H35,ORÇAMENTO!$AF$10),""),ROUND($I35,ORÇAMENTO!$AF$11)),"")</f>
        <v/>
      </c>
      <c r="Y35" s="340">
        <f t="shared" ca="1" si="7"/>
        <v>0</v>
      </c>
      <c r="Z35" s="474"/>
      <c r="AB35" s="338"/>
      <c r="AC35" s="438"/>
      <c r="AD35" s="438"/>
      <c r="AE35" s="438"/>
      <c r="AF35" s="438"/>
      <c r="AG35" s="438"/>
      <c r="AH35" s="438"/>
      <c r="AI35" s="438"/>
      <c r="AJ35" s="438"/>
      <c r="AK35" s="438"/>
      <c r="AL35" s="438"/>
      <c r="AM35" s="339"/>
      <c r="AO35" s="675">
        <f ca="1">IF($A35="S",IF(BM!$I35=0,0,CHOOSE(MATCH(RegimeExecucao,{"Global","Unitário"},0),ROUND(ROUND(BM.MEDAcumulado,15-13*BM!$A$9)/100*BM!$I35,15-13*ORÇAMENTO!$AF$11),ROUND(ROUND(BM.MEDAcumulado,15-13*BM!$A$9)*ROUND(BM!$H35,15-13*ORÇAMENTO!$AF$10),15-13*ORÇAMENTO!$AF$11))),IF($A35=0,0,ROUND(SomaAgrupBM,15-13*ORÇAMENTO!$AF$11)))</f>
        <v>0</v>
      </c>
    </row>
    <row r="36" spans="1:41" s="675" customFormat="1" ht="25.5" x14ac:dyDescent="0.2">
      <c r="A36" s="675" t="str">
        <f ca="1">ORÇAMENTO!C36</f>
        <v>S</v>
      </c>
      <c r="B36" s="675">
        <f ca="1">ORÇAMENTO!D36</f>
        <v>0</v>
      </c>
      <c r="C36" s="115" t="str">
        <f t="shared" ca="1" si="1"/>
        <v/>
      </c>
      <c r="D36" s="118" t="str">
        <f ca="1">ORÇAMENTO!O36</f>
        <v>-</v>
      </c>
      <c r="E36" s="164" t="str">
        <f t="shared" ca="1" si="2"/>
        <v>(abra o arquivo 'Referência 09-2025.xlsm)</v>
      </c>
      <c r="F36" s="165" t="str">
        <f ca="1">IF(RegimeExecucao="Global","",ORÇAMENTO.Unidade)</f>
        <v>-</v>
      </c>
      <c r="G36" s="123">
        <f ca="1">IF(RegimeExecucao="Global","",ORÇAMENTO!T36)</f>
        <v>3300</v>
      </c>
      <c r="H36" s="123">
        <f ca="1">IF(RegimeExecucao="Global","",ORÇAMENTO!W36)</f>
        <v>0</v>
      </c>
      <c r="I36" s="126">
        <f ca="1">ORÇAMENTO!X36</f>
        <v>0</v>
      </c>
      <c r="J36" s="334" t="e" cm="1">
        <f t="array" aca="1" ref="J36" ca="1">_xlfn.SINGLE(IF($A36="S",IF(CAIXA.Modo,BM.AFAnterior,BM.MEDAnterior),IF(AND(_xlfn.SINGLE(RegimeExecucao)="Global",$I36&gt;0,COUNTIF($AB$13:$AM$13,BM.medicao-1)&gt;0),M36/$I36*100,0)))</f>
        <v>#NAME?</v>
      </c>
      <c r="K36" s="123" t="e">
        <f t="shared" ca="1" si="3"/>
        <v>#NAME?</v>
      </c>
      <c r="L36" s="335" t="e" cm="1">
        <f t="array" aca="1" ref="L36" ca="1">_xlfn.SINGLE(IF($A36="S",IF(CAIXA.Modo,BM.AFAcumulado,BM.MEDAcumulado),IF(AND(_xlfn.SINGLE(RegimeExecucao)="Global",$I36&gt;0,COUNTIF($AB$13:$AM$13,BM.medicao)&gt;0),O36/$I36*100,0)))</f>
        <v>#NAME?</v>
      </c>
      <c r="M36" s="336">
        <f ca="1">IF($A36="S",VTOTALBM,IF($A36=0,0,ROUND(SomaAgrupBM,15-13*ORÇAMENTO!$AF$11)))</f>
        <v>0</v>
      </c>
      <c r="N36" s="337">
        <f t="shared" ca="1" si="4"/>
        <v>0</v>
      </c>
      <c r="O36" s="126">
        <f ca="1">IF($A36="S",VTOTALBM,IF($A36=0,0,ROUND(SomaAgrupBM,15-13*ORÇAMENTO!$AF$11)))</f>
        <v>0</v>
      </c>
      <c r="Q36" s="338"/>
      <c r="R36" s="339"/>
      <c r="T36" s="118" t="str">
        <f t="shared" ca="1" si="5"/>
        <v/>
      </c>
      <c r="U36" s="164" t="str">
        <f t="shared" ca="1" si="6"/>
        <v/>
      </c>
      <c r="V36" s="165" t="str">
        <f ca="1">IF(AND($W36&gt;0,RegimeExecucao="Unitário"),$F36,"")</f>
        <v/>
      </c>
      <c r="W36" s="455">
        <f ca="1">IF($Y36&gt;0,CHOOSE(MATCH(RegimeExecucao,{"Unitário","Global"},0),IF($A36="S",$Y36/$X36,""),($Y36/$X36)*100),0)</f>
        <v>0</v>
      </c>
      <c r="X36" s="340" t="str">
        <f ca="1">IF($Y36&gt;0,CHOOSE(MATCH(RegimeExecucao,{"Unitário","Global"},0),IF($A36="S",ROUND($H36,ORÇAMENTO!$AF$10),""),ROUND($I36,ORÇAMENTO!$AF$11)),"")</f>
        <v/>
      </c>
      <c r="Y36" s="340">
        <f t="shared" ca="1" si="7"/>
        <v>0</v>
      </c>
      <c r="Z36" s="474"/>
      <c r="AB36" s="338"/>
      <c r="AC36" s="438"/>
      <c r="AD36" s="438"/>
      <c r="AE36" s="438"/>
      <c r="AF36" s="438"/>
      <c r="AG36" s="438"/>
      <c r="AH36" s="438"/>
      <c r="AI36" s="438"/>
      <c r="AJ36" s="438"/>
      <c r="AK36" s="438"/>
      <c r="AL36" s="438"/>
      <c r="AM36" s="339"/>
      <c r="AO36" s="675">
        <f ca="1">IF($A36="S",IF(BM!$I36=0,0,CHOOSE(MATCH(RegimeExecucao,{"Global","Unitário"},0),ROUND(ROUND(BM.MEDAcumulado,15-13*BM!$A$9)/100*BM!$I36,15-13*ORÇAMENTO!$AF$11),ROUND(ROUND(BM.MEDAcumulado,15-13*BM!$A$9)*ROUND(BM!$H36,15-13*ORÇAMENTO!$AF$10),15-13*ORÇAMENTO!$AF$11))),IF($A36=0,0,ROUND(SomaAgrupBM,15-13*ORÇAMENTO!$AF$11)))</f>
        <v>0</v>
      </c>
    </row>
    <row r="37" spans="1:41" s="675" customFormat="1" x14ac:dyDescent="0.2">
      <c r="A37" s="675" t="str">
        <f ca="1">ORÇAMENTO!C37</f>
        <v>S</v>
      </c>
      <c r="B37" s="675">
        <f ca="1">ORÇAMENTO!D37</f>
        <v>0</v>
      </c>
      <c r="C37" s="115" t="str">
        <f t="shared" ca="1" si="1"/>
        <v/>
      </c>
      <c r="D37" s="118" t="str">
        <f ca="1">ORÇAMENTO!O37</f>
        <v>-</v>
      </c>
      <c r="E37" s="164" t="str">
        <f t="shared" ca="1" si="2"/>
        <v>(abra o arquivo 'Referência 09-2025.xlsm)</v>
      </c>
      <c r="F37" s="165" t="str">
        <f ca="1">IF(RegimeExecucao="Global","",ORÇAMENTO.Unidade)</f>
        <v>-</v>
      </c>
      <c r="G37" s="123">
        <f ca="1">IF(RegimeExecucao="Global","",ORÇAMENTO!T37)</f>
        <v>200</v>
      </c>
      <c r="H37" s="123">
        <f ca="1">IF(RegimeExecucao="Global","",ORÇAMENTO!W37)</f>
        <v>0</v>
      </c>
      <c r="I37" s="126">
        <f ca="1">ORÇAMENTO!X37</f>
        <v>0</v>
      </c>
      <c r="J37" s="334" t="e" cm="1">
        <f t="array" aca="1" ref="J37" ca="1">_xlfn.SINGLE(IF($A37="S",IF(CAIXA.Modo,BM.AFAnterior,BM.MEDAnterior),IF(AND(_xlfn.SINGLE(RegimeExecucao)="Global",$I37&gt;0,COUNTIF($AB$13:$AM$13,BM.medicao-1)&gt;0),M37/$I37*100,0)))</f>
        <v>#NAME?</v>
      </c>
      <c r="K37" s="123" t="e">
        <f t="shared" ca="1" si="3"/>
        <v>#NAME?</v>
      </c>
      <c r="L37" s="335" t="e" cm="1">
        <f t="array" aca="1" ref="L37" ca="1">_xlfn.SINGLE(IF($A37="S",IF(CAIXA.Modo,BM.AFAcumulado,BM.MEDAcumulado),IF(AND(_xlfn.SINGLE(RegimeExecucao)="Global",$I37&gt;0,COUNTIF($AB$13:$AM$13,BM.medicao)&gt;0),O37/$I37*100,0)))</f>
        <v>#NAME?</v>
      </c>
      <c r="M37" s="336">
        <f ca="1">IF($A37="S",VTOTALBM,IF($A37=0,0,ROUND(SomaAgrupBM,15-13*ORÇAMENTO!$AF$11)))</f>
        <v>0</v>
      </c>
      <c r="N37" s="337">
        <f t="shared" ca="1" si="4"/>
        <v>0</v>
      </c>
      <c r="O37" s="126">
        <f ca="1">IF($A37="S",VTOTALBM,IF($A37=0,0,ROUND(SomaAgrupBM,15-13*ORÇAMENTO!$AF$11)))</f>
        <v>0</v>
      </c>
      <c r="Q37" s="338"/>
      <c r="R37" s="339"/>
      <c r="T37" s="118" t="str">
        <f t="shared" ca="1" si="5"/>
        <v/>
      </c>
      <c r="U37" s="164" t="str">
        <f t="shared" ca="1" si="6"/>
        <v/>
      </c>
      <c r="V37" s="165" t="str">
        <f ca="1">IF(AND($W37&gt;0,RegimeExecucao="Unitário"),$F37,"")</f>
        <v/>
      </c>
      <c r="W37" s="455">
        <f ca="1">IF($Y37&gt;0,CHOOSE(MATCH(RegimeExecucao,{"Unitário","Global"},0),IF($A37="S",$Y37/$X37,""),($Y37/$X37)*100),0)</f>
        <v>0</v>
      </c>
      <c r="X37" s="340" t="str">
        <f ca="1">IF($Y37&gt;0,CHOOSE(MATCH(RegimeExecucao,{"Unitário","Global"},0),IF($A37="S",ROUND($H37,ORÇAMENTO!$AF$10),""),ROUND($I37,ORÇAMENTO!$AF$11)),"")</f>
        <v/>
      </c>
      <c r="Y37" s="340">
        <f t="shared" ca="1" si="7"/>
        <v>0</v>
      </c>
      <c r="Z37" s="474"/>
      <c r="AB37" s="338"/>
      <c r="AC37" s="438"/>
      <c r="AD37" s="438"/>
      <c r="AE37" s="438"/>
      <c r="AF37" s="438"/>
      <c r="AG37" s="438"/>
      <c r="AH37" s="438"/>
      <c r="AI37" s="438"/>
      <c r="AJ37" s="438"/>
      <c r="AK37" s="438"/>
      <c r="AL37" s="438"/>
      <c r="AM37" s="339"/>
      <c r="AO37" s="675">
        <f ca="1">IF($A37="S",IF(BM!$I37=0,0,CHOOSE(MATCH(RegimeExecucao,{"Global","Unitário"},0),ROUND(ROUND(BM.MEDAcumulado,15-13*BM!$A$9)/100*BM!$I37,15-13*ORÇAMENTO!$AF$11),ROUND(ROUND(BM.MEDAcumulado,15-13*BM!$A$9)*ROUND(BM!$H37,15-13*ORÇAMENTO!$AF$10),15-13*ORÇAMENTO!$AF$11))),IF($A37=0,0,ROUND(SomaAgrupBM,15-13*ORÇAMENTO!$AF$11)))</f>
        <v>0</v>
      </c>
    </row>
    <row r="38" spans="1:41" s="675" customFormat="1" x14ac:dyDescent="0.2">
      <c r="A38" s="675">
        <f ca="1">ORÇAMENTO!C38</f>
        <v>2</v>
      </c>
      <c r="B38" s="675">
        <f ca="1">ORÇAMENTO!D38</f>
        <v>20</v>
      </c>
      <c r="C38" s="115" t="str">
        <f t="shared" ca="1" si="1"/>
        <v>F</v>
      </c>
      <c r="D38" s="118" t="str">
        <f ca="1">ORÇAMENTO!O38</f>
        <v>1.4.</v>
      </c>
      <c r="E38" s="164" t="str">
        <f t="shared" si="2"/>
        <v>BLOCOS DE ANCORAGEM</v>
      </c>
      <c r="F38" s="165" t="str">
        <f ca="1">IF(RegimeExecucao="Global","",ORÇAMENTO.Unidade)</f>
        <v>-</v>
      </c>
      <c r="G38" s="123">
        <f ca="1">IF(RegimeExecucao="Global","",ORÇAMENTO!T38)</f>
        <v>0</v>
      </c>
      <c r="H38" s="123">
        <f ca="1">IF(RegimeExecucao="Global","",ORÇAMENTO!W38)</f>
        <v>0</v>
      </c>
      <c r="I38" s="126">
        <f ca="1">ORÇAMENTO!X38</f>
        <v>0</v>
      </c>
      <c r="J38" s="334" t="e" cm="1">
        <f t="array" aca="1" ref="J38" ca="1">_xlfn.SINGLE(IF($A38="S",IF(CAIXA.Modo,BM.AFAnterior,BM.MEDAnterior),IF(AND(_xlfn.SINGLE(RegimeExecucao)="Global",$I38&gt;0,COUNTIF($AB$13:$AM$13,BM.medicao-1)&gt;0),M38/$I38*100,0)))</f>
        <v>#NAME?</v>
      </c>
      <c r="K38" s="123" t="e">
        <f t="shared" ca="1" si="3"/>
        <v>#NAME?</v>
      </c>
      <c r="L38" s="335" t="e" cm="1">
        <f t="array" aca="1" ref="L38" ca="1">_xlfn.SINGLE(IF($A38="S",IF(CAIXA.Modo,BM.AFAcumulado,BM.MEDAcumulado),IF(AND(_xlfn.SINGLE(RegimeExecucao)="Global",$I38&gt;0,COUNTIF($AB$13:$AM$13,BM.medicao)&gt;0),O38/$I38*100,0)))</f>
        <v>#NAME?</v>
      </c>
      <c r="M38" s="336">
        <f ca="1">IF($A38="S",VTOTALBM,IF($A38=0,0,ROUND(SomaAgrupBM,15-13*ORÇAMENTO!$AF$11)))</f>
        <v>0</v>
      </c>
      <c r="N38" s="337">
        <f t="shared" ca="1" si="4"/>
        <v>0</v>
      </c>
      <c r="O38" s="126">
        <f ca="1">IF($A38="S",VTOTALBM,IF($A38=0,0,ROUND(SomaAgrupBM,15-13*ORÇAMENTO!$AF$11)))</f>
        <v>0</v>
      </c>
      <c r="Q38" s="338"/>
      <c r="R38" s="339"/>
      <c r="T38" s="118" t="str">
        <f t="shared" ca="1" si="5"/>
        <v/>
      </c>
      <c r="U38" s="164" t="str">
        <f t="shared" ca="1" si="6"/>
        <v/>
      </c>
      <c r="V38" s="165" t="str">
        <f ca="1">IF(AND($W38&gt;0,RegimeExecucao="Unitário"),$F38,"")</f>
        <v/>
      </c>
      <c r="W38" s="455">
        <f ca="1">IF($Y38&gt;0,CHOOSE(MATCH(RegimeExecucao,{"Unitário","Global"},0),IF($A38="S",$Y38/$X38,""),($Y38/$X38)*100),0)</f>
        <v>0</v>
      </c>
      <c r="X38" s="340" t="str">
        <f ca="1">IF($Y38&gt;0,CHOOSE(MATCH(RegimeExecucao,{"Unitário","Global"},0),IF($A38="S",ROUND($H38,ORÇAMENTO!$AF$10),""),ROUND($I38,ORÇAMENTO!$AF$11)),"")</f>
        <v/>
      </c>
      <c r="Y38" s="340">
        <f t="shared" ca="1" si="7"/>
        <v>0</v>
      </c>
      <c r="Z38" s="474"/>
      <c r="AB38" s="338"/>
      <c r="AC38" s="438"/>
      <c r="AD38" s="438"/>
      <c r="AE38" s="438"/>
      <c r="AF38" s="438"/>
      <c r="AG38" s="438"/>
      <c r="AH38" s="438"/>
      <c r="AI38" s="438"/>
      <c r="AJ38" s="438"/>
      <c r="AK38" s="438"/>
      <c r="AL38" s="438"/>
      <c r="AM38" s="339"/>
      <c r="AO38" s="675">
        <f ca="1">IF($A38="S",IF(BM!$I38=0,0,CHOOSE(MATCH(RegimeExecucao,{"Global","Unitário"},0),ROUND(ROUND(BM.MEDAcumulado,15-13*BM!$A$9)/100*BM!$I38,15-13*ORÇAMENTO!$AF$11),ROUND(ROUND(BM.MEDAcumulado,15-13*BM!$A$9)*ROUND(BM!$H38,15-13*ORÇAMENTO!$AF$10),15-13*ORÇAMENTO!$AF$11))),IF($A38=0,0,ROUND(SomaAgrupBM,15-13*ORÇAMENTO!$AF$11)))</f>
        <v>0</v>
      </c>
    </row>
    <row r="39" spans="1:41" s="675" customFormat="1" ht="25.5" x14ac:dyDescent="0.2">
      <c r="A39" s="675" t="str">
        <f ca="1">ORÇAMENTO!C39</f>
        <v>S</v>
      </c>
      <c r="B39" s="675">
        <f ca="1">ORÇAMENTO!D39</f>
        <v>0</v>
      </c>
      <c r="C39" s="115" t="str">
        <f t="shared" ca="1" si="1"/>
        <v/>
      </c>
      <c r="D39" s="118" t="str">
        <f ca="1">ORÇAMENTO!O39</f>
        <v>-</v>
      </c>
      <c r="E39" s="164" t="str">
        <f t="shared" ca="1" si="2"/>
        <v>(abra o arquivo 'Referência 09-2025.xlsm)</v>
      </c>
      <c r="F39" s="165" t="str">
        <f ca="1">IF(RegimeExecucao="Global","",ORÇAMENTO.Unidade)</f>
        <v>-</v>
      </c>
      <c r="G39" s="123">
        <f ca="1">IF(RegimeExecucao="Global","",ORÇAMENTO!T39)</f>
        <v>3.52</v>
      </c>
      <c r="H39" s="123">
        <f ca="1">IF(RegimeExecucao="Global","",ORÇAMENTO!W39)</f>
        <v>0</v>
      </c>
      <c r="I39" s="126">
        <f ca="1">ORÇAMENTO!X39</f>
        <v>0</v>
      </c>
      <c r="J39" s="334" t="e" cm="1">
        <f t="array" aca="1" ref="J39" ca="1">_xlfn.SINGLE(IF($A39="S",IF(CAIXA.Modo,BM.AFAnterior,BM.MEDAnterior),IF(AND(_xlfn.SINGLE(RegimeExecucao)="Global",$I39&gt;0,COUNTIF($AB$13:$AM$13,BM.medicao-1)&gt;0),M39/$I39*100,0)))</f>
        <v>#NAME?</v>
      </c>
      <c r="K39" s="123" t="e">
        <f t="shared" ca="1" si="3"/>
        <v>#NAME?</v>
      </c>
      <c r="L39" s="335" t="e" cm="1">
        <f t="array" aca="1" ref="L39" ca="1">_xlfn.SINGLE(IF($A39="S",IF(CAIXA.Modo,BM.AFAcumulado,BM.MEDAcumulado),IF(AND(_xlfn.SINGLE(RegimeExecucao)="Global",$I39&gt;0,COUNTIF($AB$13:$AM$13,BM.medicao)&gt;0),O39/$I39*100,0)))</f>
        <v>#NAME?</v>
      </c>
      <c r="M39" s="336">
        <f ca="1">IF($A39="S",VTOTALBM,IF($A39=0,0,ROUND(SomaAgrupBM,15-13*ORÇAMENTO!$AF$11)))</f>
        <v>0</v>
      </c>
      <c r="N39" s="337">
        <f t="shared" ca="1" si="4"/>
        <v>0</v>
      </c>
      <c r="O39" s="126">
        <f ca="1">IF($A39="S",VTOTALBM,IF($A39=0,0,ROUND(SomaAgrupBM,15-13*ORÇAMENTO!$AF$11)))</f>
        <v>0</v>
      </c>
      <c r="Q39" s="338"/>
      <c r="R39" s="339"/>
      <c r="T39" s="118" t="str">
        <f t="shared" ca="1" si="5"/>
        <v/>
      </c>
      <c r="U39" s="164" t="str">
        <f t="shared" ca="1" si="6"/>
        <v/>
      </c>
      <c r="V39" s="165" t="str">
        <f ca="1">IF(AND($W39&gt;0,RegimeExecucao="Unitário"),$F39,"")</f>
        <v/>
      </c>
      <c r="W39" s="455">
        <f ca="1">IF($Y39&gt;0,CHOOSE(MATCH(RegimeExecucao,{"Unitário","Global"},0),IF($A39="S",$Y39/$X39,""),($Y39/$X39)*100),0)</f>
        <v>0</v>
      </c>
      <c r="X39" s="340" t="str">
        <f ca="1">IF($Y39&gt;0,CHOOSE(MATCH(RegimeExecucao,{"Unitário","Global"},0),IF($A39="S",ROUND($H39,ORÇAMENTO!$AF$10),""),ROUND($I39,ORÇAMENTO!$AF$11)),"")</f>
        <v/>
      </c>
      <c r="Y39" s="340">
        <f t="shared" ca="1" si="7"/>
        <v>0</v>
      </c>
      <c r="Z39" s="474"/>
      <c r="AB39" s="338"/>
      <c r="AC39" s="438"/>
      <c r="AD39" s="438"/>
      <c r="AE39" s="438"/>
      <c r="AF39" s="438"/>
      <c r="AG39" s="438"/>
      <c r="AH39" s="438"/>
      <c r="AI39" s="438"/>
      <c r="AJ39" s="438"/>
      <c r="AK39" s="438"/>
      <c r="AL39" s="438"/>
      <c r="AM39" s="339"/>
      <c r="AO39" s="675">
        <f ca="1">IF($A39="S",IF(BM!$I39=0,0,CHOOSE(MATCH(RegimeExecucao,{"Global","Unitário"},0),ROUND(ROUND(BM.MEDAcumulado,15-13*BM!$A$9)/100*BM!$I39,15-13*ORÇAMENTO!$AF$11),ROUND(ROUND(BM.MEDAcumulado,15-13*BM!$A$9)*ROUND(BM!$H39,15-13*ORÇAMENTO!$AF$10),15-13*ORÇAMENTO!$AF$11))),IF($A39=0,0,ROUND(SomaAgrupBM,15-13*ORÇAMENTO!$AF$11)))</f>
        <v>0</v>
      </c>
    </row>
    <row r="40" spans="1:41" s="675" customFormat="1" ht="25.5" x14ac:dyDescent="0.2">
      <c r="A40" s="675" t="str">
        <f ca="1">ORÇAMENTO!C40</f>
        <v>S</v>
      </c>
      <c r="B40" s="675">
        <f ca="1">ORÇAMENTO!D40</f>
        <v>0</v>
      </c>
      <c r="C40" s="115" t="str">
        <f t="shared" ca="1" si="1"/>
        <v/>
      </c>
      <c r="D40" s="118" t="str">
        <f ca="1">ORÇAMENTO!O40</f>
        <v>-</v>
      </c>
      <c r="E40" s="164" t="str">
        <f t="shared" ca="1" si="2"/>
        <v>(abra o arquivo 'Referência 09-2025.xlsm)</v>
      </c>
      <c r="F40" s="165" t="str">
        <f ca="1">IF(RegimeExecucao="Global","",ORÇAMENTO.Unidade)</f>
        <v>-</v>
      </c>
      <c r="G40" s="123">
        <f ca="1">IF(RegimeExecucao="Global","",ORÇAMENTO!T40)</f>
        <v>1.51</v>
      </c>
      <c r="H40" s="123">
        <f ca="1">IF(RegimeExecucao="Global","",ORÇAMENTO!W40)</f>
        <v>0</v>
      </c>
      <c r="I40" s="126">
        <f ca="1">ORÇAMENTO!X40</f>
        <v>0</v>
      </c>
      <c r="J40" s="334" t="e" cm="1">
        <f t="array" aca="1" ref="J40" ca="1">_xlfn.SINGLE(IF($A40="S",IF(CAIXA.Modo,BM.AFAnterior,BM.MEDAnterior),IF(AND(_xlfn.SINGLE(RegimeExecucao)="Global",$I40&gt;0,COUNTIF($AB$13:$AM$13,BM.medicao-1)&gt;0),M40/$I40*100,0)))</f>
        <v>#NAME?</v>
      </c>
      <c r="K40" s="123" t="e">
        <f t="shared" ca="1" si="3"/>
        <v>#NAME?</v>
      </c>
      <c r="L40" s="335" t="e" cm="1">
        <f t="array" aca="1" ref="L40" ca="1">_xlfn.SINGLE(IF($A40="S",IF(CAIXA.Modo,BM.AFAcumulado,BM.MEDAcumulado),IF(AND(_xlfn.SINGLE(RegimeExecucao)="Global",$I40&gt;0,COUNTIF($AB$13:$AM$13,BM.medicao)&gt;0),O40/$I40*100,0)))</f>
        <v>#NAME?</v>
      </c>
      <c r="M40" s="336">
        <f ca="1">IF($A40="S",VTOTALBM,IF($A40=0,0,ROUND(SomaAgrupBM,15-13*ORÇAMENTO!$AF$11)))</f>
        <v>0</v>
      </c>
      <c r="N40" s="337">
        <f t="shared" ca="1" si="4"/>
        <v>0</v>
      </c>
      <c r="O40" s="126">
        <f ca="1">IF($A40="S",VTOTALBM,IF($A40=0,0,ROUND(SomaAgrupBM,15-13*ORÇAMENTO!$AF$11)))</f>
        <v>0</v>
      </c>
      <c r="Q40" s="338"/>
      <c r="R40" s="339"/>
      <c r="T40" s="118" t="str">
        <f t="shared" ca="1" si="5"/>
        <v/>
      </c>
      <c r="U40" s="164" t="str">
        <f t="shared" ca="1" si="6"/>
        <v/>
      </c>
      <c r="V40" s="165" t="str">
        <f ca="1">IF(AND($W40&gt;0,RegimeExecucao="Unitário"),$F40,"")</f>
        <v/>
      </c>
      <c r="W40" s="455">
        <f ca="1">IF($Y40&gt;0,CHOOSE(MATCH(RegimeExecucao,{"Unitário","Global"},0),IF($A40="S",$Y40/$X40,""),($Y40/$X40)*100),0)</f>
        <v>0</v>
      </c>
      <c r="X40" s="340" t="str">
        <f ca="1">IF($Y40&gt;0,CHOOSE(MATCH(RegimeExecucao,{"Unitário","Global"},0),IF($A40="S",ROUND($H40,ORÇAMENTO!$AF$10),""),ROUND($I40,ORÇAMENTO!$AF$11)),"")</f>
        <v/>
      </c>
      <c r="Y40" s="340">
        <f t="shared" ca="1" si="7"/>
        <v>0</v>
      </c>
      <c r="Z40" s="474"/>
      <c r="AB40" s="338"/>
      <c r="AC40" s="438"/>
      <c r="AD40" s="438"/>
      <c r="AE40" s="438"/>
      <c r="AF40" s="438"/>
      <c r="AG40" s="438"/>
      <c r="AH40" s="438"/>
      <c r="AI40" s="438"/>
      <c r="AJ40" s="438"/>
      <c r="AK40" s="438"/>
      <c r="AL40" s="438"/>
      <c r="AM40" s="339"/>
      <c r="AO40" s="675">
        <f ca="1">IF($A40="S",IF(BM!$I40=0,0,CHOOSE(MATCH(RegimeExecucao,{"Global","Unitário"},0),ROUND(ROUND(BM.MEDAcumulado,15-13*BM!$A$9)/100*BM!$I40,15-13*ORÇAMENTO!$AF$11),ROUND(ROUND(BM.MEDAcumulado,15-13*BM!$A$9)*ROUND(BM!$H40,15-13*ORÇAMENTO!$AF$10),15-13*ORÇAMENTO!$AF$11))),IF($A40=0,0,ROUND(SomaAgrupBM,15-13*ORÇAMENTO!$AF$11)))</f>
        <v>0</v>
      </c>
    </row>
    <row r="41" spans="1:41" s="675" customFormat="1" ht="25.5" x14ac:dyDescent="0.2">
      <c r="A41" s="675" t="str">
        <f ca="1">ORÇAMENTO!C41</f>
        <v>S</v>
      </c>
      <c r="B41" s="675">
        <f ca="1">ORÇAMENTO!D41</f>
        <v>0</v>
      </c>
      <c r="C41" s="115" t="str">
        <f t="shared" ca="1" si="1"/>
        <v/>
      </c>
      <c r="D41" s="118" t="str">
        <f ca="1">ORÇAMENTO!O41</f>
        <v>-</v>
      </c>
      <c r="E41" s="164" t="str">
        <f t="shared" ca="1" si="2"/>
        <v>(abra o arquivo 'Referência 09-2025.xlsm)</v>
      </c>
      <c r="F41" s="165" t="str">
        <f ca="1">IF(RegimeExecucao="Global","",ORÇAMENTO.Unidade)</f>
        <v>-</v>
      </c>
      <c r="G41" s="123">
        <f ca="1">IF(RegimeExecucao="Global","",ORÇAMENTO!T41)</f>
        <v>3.04</v>
      </c>
      <c r="H41" s="123">
        <f ca="1">IF(RegimeExecucao="Global","",ORÇAMENTO!W41)</f>
        <v>0</v>
      </c>
      <c r="I41" s="126">
        <f ca="1">ORÇAMENTO!X41</f>
        <v>0</v>
      </c>
      <c r="J41" s="334" t="e" cm="1">
        <f t="array" aca="1" ref="J41" ca="1">_xlfn.SINGLE(IF($A41="S",IF(CAIXA.Modo,BM.AFAnterior,BM.MEDAnterior),IF(AND(_xlfn.SINGLE(RegimeExecucao)="Global",$I41&gt;0,COUNTIF($AB$13:$AM$13,BM.medicao-1)&gt;0),M41/$I41*100,0)))</f>
        <v>#NAME?</v>
      </c>
      <c r="K41" s="123" t="e">
        <f t="shared" ca="1" si="3"/>
        <v>#NAME?</v>
      </c>
      <c r="L41" s="335" t="e" cm="1">
        <f t="array" aca="1" ref="L41" ca="1">_xlfn.SINGLE(IF($A41="S",IF(CAIXA.Modo,BM.AFAcumulado,BM.MEDAcumulado),IF(AND(_xlfn.SINGLE(RegimeExecucao)="Global",$I41&gt;0,COUNTIF($AB$13:$AM$13,BM.medicao)&gt;0),O41/$I41*100,0)))</f>
        <v>#NAME?</v>
      </c>
      <c r="M41" s="336">
        <f ca="1">IF($A41="S",VTOTALBM,IF($A41=0,0,ROUND(SomaAgrupBM,15-13*ORÇAMENTO!$AF$11)))</f>
        <v>0</v>
      </c>
      <c r="N41" s="337">
        <f t="shared" ca="1" si="4"/>
        <v>0</v>
      </c>
      <c r="O41" s="126">
        <f ca="1">IF($A41="S",VTOTALBM,IF($A41=0,0,ROUND(SomaAgrupBM,15-13*ORÇAMENTO!$AF$11)))</f>
        <v>0</v>
      </c>
      <c r="Q41" s="338"/>
      <c r="R41" s="339"/>
      <c r="T41" s="118" t="str">
        <f t="shared" ca="1" si="5"/>
        <v/>
      </c>
      <c r="U41" s="164" t="str">
        <f t="shared" ca="1" si="6"/>
        <v/>
      </c>
      <c r="V41" s="165" t="str">
        <f ca="1">IF(AND($W41&gt;0,RegimeExecucao="Unitário"),$F41,"")</f>
        <v/>
      </c>
      <c r="W41" s="455">
        <f ca="1">IF($Y41&gt;0,CHOOSE(MATCH(RegimeExecucao,{"Unitário","Global"},0),IF($A41="S",$Y41/$X41,""),($Y41/$X41)*100),0)</f>
        <v>0</v>
      </c>
      <c r="X41" s="340" t="str">
        <f ca="1">IF($Y41&gt;0,CHOOSE(MATCH(RegimeExecucao,{"Unitário","Global"},0),IF($A41="S",ROUND($H41,ORÇAMENTO!$AF$10),""),ROUND($I41,ORÇAMENTO!$AF$11)),"")</f>
        <v/>
      </c>
      <c r="Y41" s="340">
        <f t="shared" ca="1" si="7"/>
        <v>0</v>
      </c>
      <c r="Z41" s="474"/>
      <c r="AB41" s="338"/>
      <c r="AC41" s="438"/>
      <c r="AD41" s="438"/>
      <c r="AE41" s="438"/>
      <c r="AF41" s="438"/>
      <c r="AG41" s="438"/>
      <c r="AH41" s="438"/>
      <c r="AI41" s="438"/>
      <c r="AJ41" s="438"/>
      <c r="AK41" s="438"/>
      <c r="AL41" s="438"/>
      <c r="AM41" s="339"/>
      <c r="AO41" s="675">
        <f ca="1">IF($A41="S",IF(BM!$I41=0,0,CHOOSE(MATCH(RegimeExecucao,{"Global","Unitário"},0),ROUND(ROUND(BM.MEDAcumulado,15-13*BM!$A$9)/100*BM!$I41,15-13*ORÇAMENTO!$AF$11),ROUND(ROUND(BM.MEDAcumulado,15-13*BM!$A$9)*ROUND(BM!$H41,15-13*ORÇAMENTO!$AF$10),15-13*ORÇAMENTO!$AF$11))),IF($A41=0,0,ROUND(SomaAgrupBM,15-13*ORÇAMENTO!$AF$11)))</f>
        <v>0</v>
      </c>
    </row>
    <row r="42" spans="1:41" s="675" customFormat="1" ht="25.5" x14ac:dyDescent="0.2">
      <c r="A42" s="675" t="str">
        <f ca="1">ORÇAMENTO!C42</f>
        <v>S</v>
      </c>
      <c r="B42" s="675">
        <f ca="1">ORÇAMENTO!D42</f>
        <v>0</v>
      </c>
      <c r="C42" s="115" t="str">
        <f t="shared" ca="1" si="1"/>
        <v/>
      </c>
      <c r="D42" s="118" t="str">
        <f ca="1">ORÇAMENTO!O42</f>
        <v>-</v>
      </c>
      <c r="E42" s="164" t="str">
        <f t="shared" ca="1" si="2"/>
        <v>(abra o arquivo 'Referência 09-2025.xlsm)</v>
      </c>
      <c r="F42" s="165" t="str">
        <f ca="1">IF(RegimeExecucao="Global","",ORÇAMENTO.Unidade)</f>
        <v>-</v>
      </c>
      <c r="G42" s="123">
        <f ca="1">IF(RegimeExecucao="Global","",ORÇAMENTO!T42)</f>
        <v>0.83</v>
      </c>
      <c r="H42" s="123">
        <f ca="1">IF(RegimeExecucao="Global","",ORÇAMENTO!W42)</f>
        <v>0</v>
      </c>
      <c r="I42" s="126">
        <f ca="1">ORÇAMENTO!X42</f>
        <v>0</v>
      </c>
      <c r="J42" s="334" t="e" cm="1">
        <f t="array" aca="1" ref="J42" ca="1">_xlfn.SINGLE(IF($A42="S",IF(CAIXA.Modo,BM.AFAnterior,BM.MEDAnterior),IF(AND(_xlfn.SINGLE(RegimeExecucao)="Global",$I42&gt;0,COUNTIF($AB$13:$AM$13,BM.medicao-1)&gt;0),M42/$I42*100,0)))</f>
        <v>#NAME?</v>
      </c>
      <c r="K42" s="123" t="e">
        <f t="shared" ca="1" si="3"/>
        <v>#NAME?</v>
      </c>
      <c r="L42" s="335" t="e" cm="1">
        <f t="array" aca="1" ref="L42" ca="1">_xlfn.SINGLE(IF($A42="S",IF(CAIXA.Modo,BM.AFAcumulado,BM.MEDAcumulado),IF(AND(_xlfn.SINGLE(RegimeExecucao)="Global",$I42&gt;0,COUNTIF($AB$13:$AM$13,BM.medicao)&gt;0),O42/$I42*100,0)))</f>
        <v>#NAME?</v>
      </c>
      <c r="M42" s="336">
        <f ca="1">IF($A42="S",VTOTALBM,IF($A42=0,0,ROUND(SomaAgrupBM,15-13*ORÇAMENTO!$AF$11)))</f>
        <v>0</v>
      </c>
      <c r="N42" s="337">
        <f t="shared" ca="1" si="4"/>
        <v>0</v>
      </c>
      <c r="O42" s="126">
        <f ca="1">IF($A42="S",VTOTALBM,IF($A42=0,0,ROUND(SomaAgrupBM,15-13*ORÇAMENTO!$AF$11)))</f>
        <v>0</v>
      </c>
      <c r="Q42" s="338"/>
      <c r="R42" s="339"/>
      <c r="T42" s="118" t="str">
        <f t="shared" ca="1" si="5"/>
        <v/>
      </c>
      <c r="U42" s="164" t="str">
        <f t="shared" ca="1" si="6"/>
        <v/>
      </c>
      <c r="V42" s="165" t="str">
        <f ca="1">IF(AND($W42&gt;0,RegimeExecucao="Unitário"),$F42,"")</f>
        <v/>
      </c>
      <c r="W42" s="455">
        <f ca="1">IF($Y42&gt;0,CHOOSE(MATCH(RegimeExecucao,{"Unitário","Global"},0),IF($A42="S",$Y42/$X42,""),($Y42/$X42)*100),0)</f>
        <v>0</v>
      </c>
      <c r="X42" s="340" t="str">
        <f ca="1">IF($Y42&gt;0,CHOOSE(MATCH(RegimeExecucao,{"Unitário","Global"},0),IF($A42="S",ROUND($H42,ORÇAMENTO!$AF$10),""),ROUND($I42,ORÇAMENTO!$AF$11)),"")</f>
        <v/>
      </c>
      <c r="Y42" s="340">
        <f t="shared" ca="1" si="7"/>
        <v>0</v>
      </c>
      <c r="Z42" s="474"/>
      <c r="AB42" s="338"/>
      <c r="AC42" s="438"/>
      <c r="AD42" s="438"/>
      <c r="AE42" s="438"/>
      <c r="AF42" s="438"/>
      <c r="AG42" s="438"/>
      <c r="AH42" s="438"/>
      <c r="AI42" s="438"/>
      <c r="AJ42" s="438"/>
      <c r="AK42" s="438"/>
      <c r="AL42" s="438"/>
      <c r="AM42" s="339"/>
      <c r="AO42" s="675">
        <f ca="1">IF($A42="S",IF(BM!$I42=0,0,CHOOSE(MATCH(RegimeExecucao,{"Global","Unitário"},0),ROUND(ROUND(BM.MEDAcumulado,15-13*BM!$A$9)/100*BM!$I42,15-13*ORÇAMENTO!$AF$11),ROUND(ROUND(BM.MEDAcumulado,15-13*BM!$A$9)*ROUND(BM!$H42,15-13*ORÇAMENTO!$AF$10),15-13*ORÇAMENTO!$AF$11))),IF($A42=0,0,ROUND(SomaAgrupBM,15-13*ORÇAMENTO!$AF$11)))</f>
        <v>0</v>
      </c>
    </row>
    <row r="43" spans="1:41" s="675" customFormat="1" ht="25.5" x14ac:dyDescent="0.2">
      <c r="A43" s="675" t="str">
        <f ca="1">ORÇAMENTO!C43</f>
        <v>S</v>
      </c>
      <c r="B43" s="675">
        <f ca="1">ORÇAMENTO!D43</f>
        <v>0</v>
      </c>
      <c r="C43" s="115" t="str">
        <f t="shared" ca="1" si="1"/>
        <v/>
      </c>
      <c r="D43" s="118" t="str">
        <f ca="1">ORÇAMENTO!O43</f>
        <v>-</v>
      </c>
      <c r="E43" s="164" t="str">
        <f t="shared" ca="1" si="2"/>
        <v>(abra o arquivo 'Referência 09-2025.xlsm)</v>
      </c>
      <c r="F43" s="165" t="str">
        <f ca="1">IF(RegimeExecucao="Global","",ORÇAMENTO.Unidade)</f>
        <v>-</v>
      </c>
      <c r="G43" s="123">
        <f ca="1">IF(RegimeExecucao="Global","",ORÇAMENTO!T43)</f>
        <v>2.65</v>
      </c>
      <c r="H43" s="123">
        <f ca="1">IF(RegimeExecucao="Global","",ORÇAMENTO!W43)</f>
        <v>0</v>
      </c>
      <c r="I43" s="126">
        <f ca="1">ORÇAMENTO!X43</f>
        <v>0</v>
      </c>
      <c r="J43" s="334" t="e" cm="1">
        <f t="array" aca="1" ref="J43" ca="1">_xlfn.SINGLE(IF($A43="S",IF(CAIXA.Modo,BM.AFAnterior,BM.MEDAnterior),IF(AND(_xlfn.SINGLE(RegimeExecucao)="Global",$I43&gt;0,COUNTIF($AB$13:$AM$13,BM.medicao-1)&gt;0),M43/$I43*100,0)))</f>
        <v>#NAME?</v>
      </c>
      <c r="K43" s="123" t="e">
        <f t="shared" ca="1" si="3"/>
        <v>#NAME?</v>
      </c>
      <c r="L43" s="335" t="e" cm="1">
        <f t="array" aca="1" ref="L43" ca="1">_xlfn.SINGLE(IF($A43="S",IF(CAIXA.Modo,BM.AFAcumulado,BM.MEDAcumulado),IF(AND(_xlfn.SINGLE(RegimeExecucao)="Global",$I43&gt;0,COUNTIF($AB$13:$AM$13,BM.medicao)&gt;0),O43/$I43*100,0)))</f>
        <v>#NAME?</v>
      </c>
      <c r="M43" s="336">
        <f ca="1">IF($A43="S",VTOTALBM,IF($A43=0,0,ROUND(SomaAgrupBM,15-13*ORÇAMENTO!$AF$11)))</f>
        <v>0</v>
      </c>
      <c r="N43" s="337">
        <f t="shared" ca="1" si="4"/>
        <v>0</v>
      </c>
      <c r="O43" s="126">
        <f ca="1">IF($A43="S",VTOTALBM,IF($A43=0,0,ROUND(SomaAgrupBM,15-13*ORÇAMENTO!$AF$11)))</f>
        <v>0</v>
      </c>
      <c r="Q43" s="338"/>
      <c r="R43" s="339"/>
      <c r="T43" s="118" t="str">
        <f t="shared" ca="1" si="5"/>
        <v/>
      </c>
      <c r="U43" s="164" t="str">
        <f t="shared" ca="1" si="6"/>
        <v/>
      </c>
      <c r="V43" s="165" t="str">
        <f ca="1">IF(AND($W43&gt;0,RegimeExecucao="Unitário"),$F43,"")</f>
        <v/>
      </c>
      <c r="W43" s="455">
        <f ca="1">IF($Y43&gt;0,CHOOSE(MATCH(RegimeExecucao,{"Unitário","Global"},0),IF($A43="S",$Y43/$X43,""),($Y43/$X43)*100),0)</f>
        <v>0</v>
      </c>
      <c r="X43" s="340" t="str">
        <f ca="1">IF($Y43&gt;0,CHOOSE(MATCH(RegimeExecucao,{"Unitário","Global"},0),IF($A43="S",ROUND($H43,ORÇAMENTO!$AF$10),""),ROUND($I43,ORÇAMENTO!$AF$11)),"")</f>
        <v/>
      </c>
      <c r="Y43" s="340">
        <f t="shared" ca="1" si="7"/>
        <v>0</v>
      </c>
      <c r="Z43" s="474"/>
      <c r="AB43" s="338"/>
      <c r="AC43" s="438"/>
      <c r="AD43" s="438"/>
      <c r="AE43" s="438"/>
      <c r="AF43" s="438"/>
      <c r="AG43" s="438"/>
      <c r="AH43" s="438"/>
      <c r="AI43" s="438"/>
      <c r="AJ43" s="438"/>
      <c r="AK43" s="438"/>
      <c r="AL43" s="438"/>
      <c r="AM43" s="339"/>
      <c r="AO43" s="675">
        <f ca="1">IF($A43="S",IF(BM!$I43=0,0,CHOOSE(MATCH(RegimeExecucao,{"Global","Unitário"},0),ROUND(ROUND(BM.MEDAcumulado,15-13*BM!$A$9)/100*BM!$I43,15-13*ORÇAMENTO!$AF$11),ROUND(ROUND(BM.MEDAcumulado,15-13*BM!$A$9)*ROUND(BM!$H43,15-13*ORÇAMENTO!$AF$10),15-13*ORÇAMENTO!$AF$11))),IF($A43=0,0,ROUND(SomaAgrupBM,15-13*ORÇAMENTO!$AF$11)))</f>
        <v>0</v>
      </c>
    </row>
    <row r="44" spans="1:41" s="675" customFormat="1" ht="25.5" x14ac:dyDescent="0.2">
      <c r="A44" s="675" t="str">
        <f ca="1">ORÇAMENTO!C44</f>
        <v>S</v>
      </c>
      <c r="B44" s="675">
        <f ca="1">ORÇAMENTO!D44</f>
        <v>0</v>
      </c>
      <c r="C44" s="115" t="str">
        <f t="shared" ca="1" si="1"/>
        <v/>
      </c>
      <c r="D44" s="118" t="str">
        <f ca="1">ORÇAMENTO!O44</f>
        <v>-</v>
      </c>
      <c r="E44" s="164" t="str">
        <f t="shared" ca="1" si="2"/>
        <v>(abra o arquivo 'Referência 09-2025.xlsm)</v>
      </c>
      <c r="F44" s="165" t="str">
        <f ca="1">IF(RegimeExecucao="Global","",ORÇAMENTO.Unidade)</f>
        <v>-</v>
      </c>
      <c r="G44" s="123">
        <f ca="1">IF(RegimeExecucao="Global","",ORÇAMENTO!T44)</f>
        <v>2.04</v>
      </c>
      <c r="H44" s="123">
        <f ca="1">IF(RegimeExecucao="Global","",ORÇAMENTO!W44)</f>
        <v>0</v>
      </c>
      <c r="I44" s="126">
        <f ca="1">ORÇAMENTO!X44</f>
        <v>0</v>
      </c>
      <c r="J44" s="334" t="e" cm="1">
        <f t="array" aca="1" ref="J44" ca="1">_xlfn.SINGLE(IF($A44="S",IF(CAIXA.Modo,BM.AFAnterior,BM.MEDAnterior),IF(AND(_xlfn.SINGLE(RegimeExecucao)="Global",$I44&gt;0,COUNTIF($AB$13:$AM$13,BM.medicao-1)&gt;0),M44/$I44*100,0)))</f>
        <v>#NAME?</v>
      </c>
      <c r="K44" s="123" t="e">
        <f t="shared" ca="1" si="3"/>
        <v>#NAME?</v>
      </c>
      <c r="L44" s="335" t="e" cm="1">
        <f t="array" aca="1" ref="L44" ca="1">_xlfn.SINGLE(IF($A44="S",IF(CAIXA.Modo,BM.AFAcumulado,BM.MEDAcumulado),IF(AND(_xlfn.SINGLE(RegimeExecucao)="Global",$I44&gt;0,COUNTIF($AB$13:$AM$13,BM.medicao)&gt;0),O44/$I44*100,0)))</f>
        <v>#NAME?</v>
      </c>
      <c r="M44" s="336">
        <f ca="1">IF($A44="S",VTOTALBM,IF($A44=0,0,ROUND(SomaAgrupBM,15-13*ORÇAMENTO!$AF$11)))</f>
        <v>0</v>
      </c>
      <c r="N44" s="337">
        <f t="shared" ca="1" si="4"/>
        <v>0</v>
      </c>
      <c r="O44" s="126">
        <f ca="1">IF($A44="S",VTOTALBM,IF($A44=0,0,ROUND(SomaAgrupBM,15-13*ORÇAMENTO!$AF$11)))</f>
        <v>0</v>
      </c>
      <c r="Q44" s="338"/>
      <c r="R44" s="339"/>
      <c r="T44" s="118" t="str">
        <f t="shared" ca="1" si="5"/>
        <v/>
      </c>
      <c r="U44" s="164" t="str">
        <f t="shared" ca="1" si="6"/>
        <v/>
      </c>
      <c r="V44" s="165" t="str">
        <f ca="1">IF(AND($W44&gt;0,RegimeExecucao="Unitário"),$F44,"")</f>
        <v/>
      </c>
      <c r="W44" s="455">
        <f ca="1">IF($Y44&gt;0,CHOOSE(MATCH(RegimeExecucao,{"Unitário","Global"},0),IF($A44="S",$Y44/$X44,""),($Y44/$X44)*100),0)</f>
        <v>0</v>
      </c>
      <c r="X44" s="340" t="str">
        <f ca="1">IF($Y44&gt;0,CHOOSE(MATCH(RegimeExecucao,{"Unitário","Global"},0),IF($A44="S",ROUND($H44,ORÇAMENTO!$AF$10),""),ROUND($I44,ORÇAMENTO!$AF$11)),"")</f>
        <v/>
      </c>
      <c r="Y44" s="340">
        <f t="shared" ca="1" si="7"/>
        <v>0</v>
      </c>
      <c r="Z44" s="474"/>
      <c r="AB44" s="338"/>
      <c r="AC44" s="438"/>
      <c r="AD44" s="438"/>
      <c r="AE44" s="438"/>
      <c r="AF44" s="438"/>
      <c r="AG44" s="438"/>
      <c r="AH44" s="438"/>
      <c r="AI44" s="438"/>
      <c r="AJ44" s="438"/>
      <c r="AK44" s="438"/>
      <c r="AL44" s="438"/>
      <c r="AM44" s="339"/>
      <c r="AO44" s="675">
        <f ca="1">IF($A44="S",IF(BM!$I44=0,0,CHOOSE(MATCH(RegimeExecucao,{"Global","Unitário"},0),ROUND(ROUND(BM.MEDAcumulado,15-13*BM!$A$9)/100*BM!$I44,15-13*ORÇAMENTO!$AF$11),ROUND(ROUND(BM.MEDAcumulado,15-13*BM!$A$9)*ROUND(BM!$H44,15-13*ORÇAMENTO!$AF$10),15-13*ORÇAMENTO!$AF$11))),IF($A44=0,0,ROUND(SomaAgrupBM,15-13*ORÇAMENTO!$AF$11)))</f>
        <v>0</v>
      </c>
    </row>
    <row r="45" spans="1:41" s="675" customFormat="1" ht="25.5" x14ac:dyDescent="0.2">
      <c r="A45" s="675" t="str">
        <f ca="1">ORÇAMENTO!C45</f>
        <v>S</v>
      </c>
      <c r="B45" s="675">
        <f ca="1">ORÇAMENTO!D45</f>
        <v>0</v>
      </c>
      <c r="C45" s="115" t="str">
        <f t="shared" ca="1" si="1"/>
        <v/>
      </c>
      <c r="D45" s="118" t="str">
        <f ca="1">ORÇAMENTO!O45</f>
        <v>-</v>
      </c>
      <c r="E45" s="164" t="str">
        <f t="shared" ca="1" si="2"/>
        <v>(abra o arquivo 'Referência 09-2025.xlsm)</v>
      </c>
      <c r="F45" s="165" t="str">
        <f ca="1">IF(RegimeExecucao="Global","",ORÇAMENTO.Unidade)</f>
        <v>-</v>
      </c>
      <c r="G45" s="123">
        <f ca="1">IF(RegimeExecucao="Global","",ORÇAMENTO!T45)</f>
        <v>1.2</v>
      </c>
      <c r="H45" s="123">
        <f ca="1">IF(RegimeExecucao="Global","",ORÇAMENTO!W45)</f>
        <v>0</v>
      </c>
      <c r="I45" s="126">
        <f ca="1">ORÇAMENTO!X45</f>
        <v>0</v>
      </c>
      <c r="J45" s="334" t="e" cm="1">
        <f t="array" aca="1" ref="J45" ca="1">_xlfn.SINGLE(IF($A45="S",IF(CAIXA.Modo,BM.AFAnterior,BM.MEDAnterior),IF(AND(_xlfn.SINGLE(RegimeExecucao)="Global",$I45&gt;0,COUNTIF($AB$13:$AM$13,BM.medicao-1)&gt;0),M45/$I45*100,0)))</f>
        <v>#NAME?</v>
      </c>
      <c r="K45" s="123" t="e">
        <f t="shared" ca="1" si="3"/>
        <v>#NAME?</v>
      </c>
      <c r="L45" s="335" t="e" cm="1">
        <f t="array" aca="1" ref="L45" ca="1">_xlfn.SINGLE(IF($A45="S",IF(CAIXA.Modo,BM.AFAcumulado,BM.MEDAcumulado),IF(AND(_xlfn.SINGLE(RegimeExecucao)="Global",$I45&gt;0,COUNTIF($AB$13:$AM$13,BM.medicao)&gt;0),O45/$I45*100,0)))</f>
        <v>#NAME?</v>
      </c>
      <c r="M45" s="336">
        <f ca="1">IF($A45="S",VTOTALBM,IF($A45=0,0,ROUND(SomaAgrupBM,15-13*ORÇAMENTO!$AF$11)))</f>
        <v>0</v>
      </c>
      <c r="N45" s="337">
        <f t="shared" ca="1" si="4"/>
        <v>0</v>
      </c>
      <c r="O45" s="126">
        <f ca="1">IF($A45="S",VTOTALBM,IF($A45=0,0,ROUND(SomaAgrupBM,15-13*ORÇAMENTO!$AF$11)))</f>
        <v>0</v>
      </c>
      <c r="Q45" s="338"/>
      <c r="R45" s="339"/>
      <c r="T45" s="118" t="str">
        <f t="shared" ca="1" si="5"/>
        <v/>
      </c>
      <c r="U45" s="164" t="str">
        <f t="shared" ca="1" si="6"/>
        <v/>
      </c>
      <c r="V45" s="165" t="str">
        <f ca="1">IF(AND($W45&gt;0,RegimeExecucao="Unitário"),$F45,"")</f>
        <v/>
      </c>
      <c r="W45" s="455">
        <f ca="1">IF($Y45&gt;0,CHOOSE(MATCH(RegimeExecucao,{"Unitário","Global"},0),IF($A45="S",$Y45/$X45,""),($Y45/$X45)*100),0)</f>
        <v>0</v>
      </c>
      <c r="X45" s="340" t="str">
        <f ca="1">IF($Y45&gt;0,CHOOSE(MATCH(RegimeExecucao,{"Unitário","Global"},0),IF($A45="S",ROUND($H45,ORÇAMENTO!$AF$10),""),ROUND($I45,ORÇAMENTO!$AF$11)),"")</f>
        <v/>
      </c>
      <c r="Y45" s="340">
        <f t="shared" ca="1" si="7"/>
        <v>0</v>
      </c>
      <c r="Z45" s="474"/>
      <c r="AB45" s="338"/>
      <c r="AC45" s="438"/>
      <c r="AD45" s="438"/>
      <c r="AE45" s="438"/>
      <c r="AF45" s="438"/>
      <c r="AG45" s="438"/>
      <c r="AH45" s="438"/>
      <c r="AI45" s="438"/>
      <c r="AJ45" s="438"/>
      <c r="AK45" s="438"/>
      <c r="AL45" s="438"/>
      <c r="AM45" s="339"/>
      <c r="AO45" s="675">
        <f ca="1">IF($A45="S",IF(BM!$I45=0,0,CHOOSE(MATCH(RegimeExecucao,{"Global","Unitário"},0),ROUND(ROUND(BM.MEDAcumulado,15-13*BM!$A$9)/100*BM!$I45,15-13*ORÇAMENTO!$AF$11),ROUND(ROUND(BM.MEDAcumulado,15-13*BM!$A$9)*ROUND(BM!$H45,15-13*ORÇAMENTO!$AF$10),15-13*ORÇAMENTO!$AF$11))),IF($A45=0,0,ROUND(SomaAgrupBM,15-13*ORÇAMENTO!$AF$11)))</f>
        <v>0</v>
      </c>
    </row>
    <row r="46" spans="1:41" s="675" customFormat="1" ht="25.5" x14ac:dyDescent="0.2">
      <c r="A46" s="675" t="str">
        <f ca="1">ORÇAMENTO!C46</f>
        <v>S</v>
      </c>
      <c r="B46" s="675">
        <f ca="1">ORÇAMENTO!D46</f>
        <v>0</v>
      </c>
      <c r="C46" s="115" t="str">
        <f t="shared" ca="1" si="1"/>
        <v/>
      </c>
      <c r="D46" s="118" t="str">
        <f ca="1">ORÇAMENTO!O46</f>
        <v>-</v>
      </c>
      <c r="E46" s="164" t="str">
        <f t="shared" ca="1" si="2"/>
        <v>(abra o arquivo 'Referência 09-2025.xlsm)</v>
      </c>
      <c r="F46" s="165" t="str">
        <f ca="1">IF(RegimeExecucao="Global","",ORÇAMENTO.Unidade)</f>
        <v>-</v>
      </c>
      <c r="G46" s="123">
        <f ca="1">IF(RegimeExecucao="Global","",ORÇAMENTO!T46)</f>
        <v>0.61</v>
      </c>
      <c r="H46" s="123">
        <f ca="1">IF(RegimeExecucao="Global","",ORÇAMENTO!W46)</f>
        <v>0</v>
      </c>
      <c r="I46" s="126">
        <f ca="1">ORÇAMENTO!X46</f>
        <v>0</v>
      </c>
      <c r="J46" s="334" t="e" cm="1">
        <f t="array" aca="1" ref="J46" ca="1">_xlfn.SINGLE(IF($A46="S",IF(CAIXA.Modo,BM.AFAnterior,BM.MEDAnterior),IF(AND(_xlfn.SINGLE(RegimeExecucao)="Global",$I46&gt;0,COUNTIF($AB$13:$AM$13,BM.medicao-1)&gt;0),M46/$I46*100,0)))</f>
        <v>#NAME?</v>
      </c>
      <c r="K46" s="123" t="e">
        <f t="shared" ca="1" si="3"/>
        <v>#NAME?</v>
      </c>
      <c r="L46" s="335" t="e" cm="1">
        <f t="array" aca="1" ref="L46" ca="1">_xlfn.SINGLE(IF($A46="S",IF(CAIXA.Modo,BM.AFAcumulado,BM.MEDAcumulado),IF(AND(_xlfn.SINGLE(RegimeExecucao)="Global",$I46&gt;0,COUNTIF($AB$13:$AM$13,BM.medicao)&gt;0),O46/$I46*100,0)))</f>
        <v>#NAME?</v>
      </c>
      <c r="M46" s="336">
        <f ca="1">IF($A46="S",VTOTALBM,IF($A46=0,0,ROUND(SomaAgrupBM,15-13*ORÇAMENTO!$AF$11)))</f>
        <v>0</v>
      </c>
      <c r="N46" s="337">
        <f t="shared" ca="1" si="4"/>
        <v>0</v>
      </c>
      <c r="O46" s="126">
        <f ca="1">IF($A46="S",VTOTALBM,IF($A46=0,0,ROUND(SomaAgrupBM,15-13*ORÇAMENTO!$AF$11)))</f>
        <v>0</v>
      </c>
      <c r="Q46" s="338"/>
      <c r="R46" s="339"/>
      <c r="T46" s="118" t="str">
        <f t="shared" ca="1" si="5"/>
        <v/>
      </c>
      <c r="U46" s="164" t="str">
        <f t="shared" ca="1" si="6"/>
        <v/>
      </c>
      <c r="V46" s="165" t="str">
        <f ca="1">IF(AND($W46&gt;0,RegimeExecucao="Unitário"),$F46,"")</f>
        <v/>
      </c>
      <c r="W46" s="455">
        <f ca="1">IF($Y46&gt;0,CHOOSE(MATCH(RegimeExecucao,{"Unitário","Global"},0),IF($A46="S",$Y46/$X46,""),($Y46/$X46)*100),0)</f>
        <v>0</v>
      </c>
      <c r="X46" s="340" t="str">
        <f ca="1">IF($Y46&gt;0,CHOOSE(MATCH(RegimeExecucao,{"Unitário","Global"},0),IF($A46="S",ROUND($H46,ORÇAMENTO!$AF$10),""),ROUND($I46,ORÇAMENTO!$AF$11)),"")</f>
        <v/>
      </c>
      <c r="Y46" s="340">
        <f t="shared" ca="1" si="7"/>
        <v>0</v>
      </c>
      <c r="Z46" s="474"/>
      <c r="AB46" s="338"/>
      <c r="AC46" s="438"/>
      <c r="AD46" s="438"/>
      <c r="AE46" s="438"/>
      <c r="AF46" s="438"/>
      <c r="AG46" s="438"/>
      <c r="AH46" s="438"/>
      <c r="AI46" s="438"/>
      <c r="AJ46" s="438"/>
      <c r="AK46" s="438"/>
      <c r="AL46" s="438"/>
      <c r="AM46" s="339"/>
      <c r="AO46" s="675">
        <f ca="1">IF($A46="S",IF(BM!$I46=0,0,CHOOSE(MATCH(RegimeExecucao,{"Global","Unitário"},0),ROUND(ROUND(BM.MEDAcumulado,15-13*BM!$A$9)/100*BM!$I46,15-13*ORÇAMENTO!$AF$11),ROUND(ROUND(BM.MEDAcumulado,15-13*BM!$A$9)*ROUND(BM!$H46,15-13*ORÇAMENTO!$AF$10),15-13*ORÇAMENTO!$AF$11))),IF($A46=0,0,ROUND(SomaAgrupBM,15-13*ORÇAMENTO!$AF$11)))</f>
        <v>0</v>
      </c>
    </row>
    <row r="47" spans="1:41" s="675" customFormat="1" ht="25.5" x14ac:dyDescent="0.2">
      <c r="A47" s="675" t="str">
        <f ca="1">ORÇAMENTO!C47</f>
        <v>S</v>
      </c>
      <c r="B47" s="675">
        <f ca="1">ORÇAMENTO!D47</f>
        <v>0</v>
      </c>
      <c r="C47" s="115" t="str">
        <f t="shared" ca="1" si="1"/>
        <v/>
      </c>
      <c r="D47" s="118" t="str">
        <f ca="1">ORÇAMENTO!O47</f>
        <v>-</v>
      </c>
      <c r="E47" s="164" t="str">
        <f t="shared" ca="1" si="2"/>
        <v>(abra o arquivo 'Referência 09-2025.xlsm)</v>
      </c>
      <c r="F47" s="165" t="str">
        <f ca="1">IF(RegimeExecucao="Global","",ORÇAMENTO.Unidade)</f>
        <v>-</v>
      </c>
      <c r="G47" s="123">
        <f ca="1">IF(RegimeExecucao="Global","",ORÇAMENTO!T47)</f>
        <v>2.37</v>
      </c>
      <c r="H47" s="123">
        <f ca="1">IF(RegimeExecucao="Global","",ORÇAMENTO!W47)</f>
        <v>0</v>
      </c>
      <c r="I47" s="126">
        <f ca="1">ORÇAMENTO!X47</f>
        <v>0</v>
      </c>
      <c r="J47" s="334" t="e" cm="1">
        <f t="array" aca="1" ref="J47" ca="1">_xlfn.SINGLE(IF($A47="S",IF(CAIXA.Modo,BM.AFAnterior,BM.MEDAnterior),IF(AND(_xlfn.SINGLE(RegimeExecucao)="Global",$I47&gt;0,COUNTIF($AB$13:$AM$13,BM.medicao-1)&gt;0),M47/$I47*100,0)))</f>
        <v>#NAME?</v>
      </c>
      <c r="K47" s="123" t="e">
        <f t="shared" ca="1" si="3"/>
        <v>#NAME?</v>
      </c>
      <c r="L47" s="335" t="e" cm="1">
        <f t="array" aca="1" ref="L47" ca="1">_xlfn.SINGLE(IF($A47="S",IF(CAIXA.Modo,BM.AFAcumulado,BM.MEDAcumulado),IF(AND(_xlfn.SINGLE(RegimeExecucao)="Global",$I47&gt;0,COUNTIF($AB$13:$AM$13,BM.medicao)&gt;0),O47/$I47*100,0)))</f>
        <v>#NAME?</v>
      </c>
      <c r="M47" s="336">
        <f ca="1">IF($A47="S",VTOTALBM,IF($A47=0,0,ROUND(SomaAgrupBM,15-13*ORÇAMENTO!$AF$11)))</f>
        <v>0</v>
      </c>
      <c r="N47" s="337">
        <f t="shared" ca="1" si="4"/>
        <v>0</v>
      </c>
      <c r="O47" s="126">
        <f ca="1">IF($A47="S",VTOTALBM,IF($A47=0,0,ROUND(SomaAgrupBM,15-13*ORÇAMENTO!$AF$11)))</f>
        <v>0</v>
      </c>
      <c r="Q47" s="338"/>
      <c r="R47" s="339"/>
      <c r="T47" s="118" t="str">
        <f t="shared" ca="1" si="5"/>
        <v/>
      </c>
      <c r="U47" s="164" t="str">
        <f t="shared" ca="1" si="6"/>
        <v/>
      </c>
      <c r="V47" s="165" t="str">
        <f ca="1">IF(AND($W47&gt;0,RegimeExecucao="Unitário"),$F47,"")</f>
        <v/>
      </c>
      <c r="W47" s="455">
        <f ca="1">IF($Y47&gt;0,CHOOSE(MATCH(RegimeExecucao,{"Unitário","Global"},0),IF($A47="S",$Y47/$X47,""),($Y47/$X47)*100),0)</f>
        <v>0</v>
      </c>
      <c r="X47" s="340" t="str">
        <f ca="1">IF($Y47&gt;0,CHOOSE(MATCH(RegimeExecucao,{"Unitário","Global"},0),IF($A47="S",ROUND($H47,ORÇAMENTO!$AF$10),""),ROUND($I47,ORÇAMENTO!$AF$11)),"")</f>
        <v/>
      </c>
      <c r="Y47" s="340">
        <f t="shared" ca="1" si="7"/>
        <v>0</v>
      </c>
      <c r="Z47" s="474"/>
      <c r="AB47" s="338"/>
      <c r="AC47" s="438"/>
      <c r="AD47" s="438"/>
      <c r="AE47" s="438"/>
      <c r="AF47" s="438"/>
      <c r="AG47" s="438"/>
      <c r="AH47" s="438"/>
      <c r="AI47" s="438"/>
      <c r="AJ47" s="438"/>
      <c r="AK47" s="438"/>
      <c r="AL47" s="438"/>
      <c r="AM47" s="339"/>
      <c r="AO47" s="675">
        <f ca="1">IF($A47="S",IF(BM!$I47=0,0,CHOOSE(MATCH(RegimeExecucao,{"Global","Unitário"},0),ROUND(ROUND(BM.MEDAcumulado,15-13*BM!$A$9)/100*BM!$I47,15-13*ORÇAMENTO!$AF$11),ROUND(ROUND(BM.MEDAcumulado,15-13*BM!$A$9)*ROUND(BM!$H47,15-13*ORÇAMENTO!$AF$10),15-13*ORÇAMENTO!$AF$11))),IF($A47=0,0,ROUND(SomaAgrupBM,15-13*ORÇAMENTO!$AF$11)))</f>
        <v>0</v>
      </c>
    </row>
    <row r="48" spans="1:41" s="675" customFormat="1" ht="25.5" x14ac:dyDescent="0.2">
      <c r="A48" s="675" t="str">
        <f ca="1">ORÇAMENTO!C48</f>
        <v>S</v>
      </c>
      <c r="B48" s="675">
        <f ca="1">ORÇAMENTO!D48</f>
        <v>0</v>
      </c>
      <c r="C48" s="115" t="str">
        <f t="shared" ca="1" si="1"/>
        <v/>
      </c>
      <c r="D48" s="118" t="str">
        <f ca="1">ORÇAMENTO!O48</f>
        <v>-</v>
      </c>
      <c r="E48" s="164" t="str">
        <f t="shared" ca="1" si="2"/>
        <v>(abra o arquivo 'Referência 09-2025.xlsm)</v>
      </c>
      <c r="F48" s="165" t="str">
        <f ca="1">IF(RegimeExecucao="Global","",ORÇAMENTO.Unidade)</f>
        <v>-</v>
      </c>
      <c r="G48" s="123">
        <f ca="1">IF(RegimeExecucao="Global","",ORÇAMENTO!T48)</f>
        <v>1.1000000000000001</v>
      </c>
      <c r="H48" s="123">
        <f ca="1">IF(RegimeExecucao="Global","",ORÇAMENTO!W48)</f>
        <v>0</v>
      </c>
      <c r="I48" s="126">
        <f ca="1">ORÇAMENTO!X48</f>
        <v>0</v>
      </c>
      <c r="J48" s="334" t="e" cm="1">
        <f t="array" aca="1" ref="J48" ca="1">_xlfn.SINGLE(IF($A48="S",IF(CAIXA.Modo,BM.AFAnterior,BM.MEDAnterior),IF(AND(_xlfn.SINGLE(RegimeExecucao)="Global",$I48&gt;0,COUNTIF($AB$13:$AM$13,BM.medicao-1)&gt;0),M48/$I48*100,0)))</f>
        <v>#NAME?</v>
      </c>
      <c r="K48" s="123" t="e">
        <f t="shared" ca="1" si="3"/>
        <v>#NAME?</v>
      </c>
      <c r="L48" s="335" t="e" cm="1">
        <f t="array" aca="1" ref="L48" ca="1">_xlfn.SINGLE(IF($A48="S",IF(CAIXA.Modo,BM.AFAcumulado,BM.MEDAcumulado),IF(AND(_xlfn.SINGLE(RegimeExecucao)="Global",$I48&gt;0,COUNTIF($AB$13:$AM$13,BM.medicao)&gt;0),O48/$I48*100,0)))</f>
        <v>#NAME?</v>
      </c>
      <c r="M48" s="336">
        <f ca="1">IF($A48="S",VTOTALBM,IF($A48=0,0,ROUND(SomaAgrupBM,15-13*ORÇAMENTO!$AF$11)))</f>
        <v>0</v>
      </c>
      <c r="N48" s="337">
        <f t="shared" ca="1" si="4"/>
        <v>0</v>
      </c>
      <c r="O48" s="126">
        <f ca="1">IF($A48="S",VTOTALBM,IF($A48=0,0,ROUND(SomaAgrupBM,15-13*ORÇAMENTO!$AF$11)))</f>
        <v>0</v>
      </c>
      <c r="Q48" s="338"/>
      <c r="R48" s="339"/>
      <c r="T48" s="118" t="str">
        <f t="shared" ca="1" si="5"/>
        <v/>
      </c>
      <c r="U48" s="164" t="str">
        <f t="shared" ca="1" si="6"/>
        <v/>
      </c>
      <c r="V48" s="165" t="str">
        <f ca="1">IF(AND($W48&gt;0,RegimeExecucao="Unitário"),$F48,"")</f>
        <v/>
      </c>
      <c r="W48" s="455">
        <f ca="1">IF($Y48&gt;0,CHOOSE(MATCH(RegimeExecucao,{"Unitário","Global"},0),IF($A48="S",$Y48/$X48,""),($Y48/$X48)*100),0)</f>
        <v>0</v>
      </c>
      <c r="X48" s="340" t="str">
        <f ca="1">IF($Y48&gt;0,CHOOSE(MATCH(RegimeExecucao,{"Unitário","Global"},0),IF($A48="S",ROUND($H48,ORÇAMENTO!$AF$10),""),ROUND($I48,ORÇAMENTO!$AF$11)),"")</f>
        <v/>
      </c>
      <c r="Y48" s="340">
        <f t="shared" ca="1" si="7"/>
        <v>0</v>
      </c>
      <c r="Z48" s="474"/>
      <c r="AB48" s="338"/>
      <c r="AC48" s="438"/>
      <c r="AD48" s="438"/>
      <c r="AE48" s="438"/>
      <c r="AF48" s="438"/>
      <c r="AG48" s="438"/>
      <c r="AH48" s="438"/>
      <c r="AI48" s="438"/>
      <c r="AJ48" s="438"/>
      <c r="AK48" s="438"/>
      <c r="AL48" s="438"/>
      <c r="AM48" s="339"/>
      <c r="AO48" s="675">
        <f ca="1">IF($A48="S",IF(BM!$I48=0,0,CHOOSE(MATCH(RegimeExecucao,{"Global","Unitário"},0),ROUND(ROUND(BM.MEDAcumulado,15-13*BM!$A$9)/100*BM!$I48,15-13*ORÇAMENTO!$AF$11),ROUND(ROUND(BM.MEDAcumulado,15-13*BM!$A$9)*ROUND(BM!$H48,15-13*ORÇAMENTO!$AF$10),15-13*ORÇAMENTO!$AF$11))),IF($A48=0,0,ROUND(SomaAgrupBM,15-13*ORÇAMENTO!$AF$11)))</f>
        <v>0</v>
      </c>
    </row>
    <row r="49" spans="1:41" s="675" customFormat="1" ht="25.5" x14ac:dyDescent="0.2">
      <c r="A49" s="675" t="str">
        <f ca="1">ORÇAMENTO!C49</f>
        <v>S</v>
      </c>
      <c r="B49" s="675">
        <f ca="1">ORÇAMENTO!D49</f>
        <v>0</v>
      </c>
      <c r="C49" s="115" t="str">
        <f t="shared" ca="1" si="1"/>
        <v/>
      </c>
      <c r="D49" s="118" t="str">
        <f ca="1">ORÇAMENTO!O49</f>
        <v>-</v>
      </c>
      <c r="E49" s="164" t="str">
        <f t="shared" ca="1" si="2"/>
        <v>(abra o arquivo 'Referência 09-2025.xlsm)</v>
      </c>
      <c r="F49" s="165" t="str">
        <f ca="1">IF(RegimeExecucao="Global","",ORÇAMENTO.Unidade)</f>
        <v>-</v>
      </c>
      <c r="G49" s="123">
        <f ca="1">IF(RegimeExecucao="Global","",ORÇAMENTO!T49)</f>
        <v>0.61</v>
      </c>
      <c r="H49" s="123">
        <f ca="1">IF(RegimeExecucao="Global","",ORÇAMENTO!W49)</f>
        <v>0</v>
      </c>
      <c r="I49" s="126">
        <f ca="1">ORÇAMENTO!X49</f>
        <v>0</v>
      </c>
      <c r="J49" s="334" t="e" cm="1">
        <f t="array" aca="1" ref="J49" ca="1">_xlfn.SINGLE(IF($A49="S",IF(CAIXA.Modo,BM.AFAnterior,BM.MEDAnterior),IF(AND(_xlfn.SINGLE(RegimeExecucao)="Global",$I49&gt;0,COUNTIF($AB$13:$AM$13,BM.medicao-1)&gt;0),M49/$I49*100,0)))</f>
        <v>#NAME?</v>
      </c>
      <c r="K49" s="123" t="e">
        <f t="shared" ca="1" si="3"/>
        <v>#NAME?</v>
      </c>
      <c r="L49" s="335" t="e" cm="1">
        <f t="array" aca="1" ref="L49" ca="1">_xlfn.SINGLE(IF($A49="S",IF(CAIXA.Modo,BM.AFAcumulado,BM.MEDAcumulado),IF(AND(_xlfn.SINGLE(RegimeExecucao)="Global",$I49&gt;0,COUNTIF($AB$13:$AM$13,BM.medicao)&gt;0),O49/$I49*100,0)))</f>
        <v>#NAME?</v>
      </c>
      <c r="M49" s="336">
        <f ca="1">IF($A49="S",VTOTALBM,IF($A49=0,0,ROUND(SomaAgrupBM,15-13*ORÇAMENTO!$AF$11)))</f>
        <v>0</v>
      </c>
      <c r="N49" s="337">
        <f t="shared" ca="1" si="4"/>
        <v>0</v>
      </c>
      <c r="O49" s="126">
        <f ca="1">IF($A49="S",VTOTALBM,IF($A49=0,0,ROUND(SomaAgrupBM,15-13*ORÇAMENTO!$AF$11)))</f>
        <v>0</v>
      </c>
      <c r="Q49" s="338"/>
      <c r="R49" s="339"/>
      <c r="T49" s="118" t="str">
        <f t="shared" ca="1" si="5"/>
        <v/>
      </c>
      <c r="U49" s="164" t="str">
        <f t="shared" ca="1" si="6"/>
        <v/>
      </c>
      <c r="V49" s="165" t="str">
        <f ca="1">IF(AND($W49&gt;0,RegimeExecucao="Unitário"),$F49,"")</f>
        <v/>
      </c>
      <c r="W49" s="455">
        <f ca="1">IF($Y49&gt;0,CHOOSE(MATCH(RegimeExecucao,{"Unitário","Global"},0),IF($A49="S",$Y49/$X49,""),($Y49/$X49)*100),0)</f>
        <v>0</v>
      </c>
      <c r="X49" s="340" t="str">
        <f ca="1">IF($Y49&gt;0,CHOOSE(MATCH(RegimeExecucao,{"Unitário","Global"},0),IF($A49="S",ROUND($H49,ORÇAMENTO!$AF$10),""),ROUND($I49,ORÇAMENTO!$AF$11)),"")</f>
        <v/>
      </c>
      <c r="Y49" s="340">
        <f t="shared" ca="1" si="7"/>
        <v>0</v>
      </c>
      <c r="Z49" s="474"/>
      <c r="AB49" s="338"/>
      <c r="AC49" s="438"/>
      <c r="AD49" s="438"/>
      <c r="AE49" s="438"/>
      <c r="AF49" s="438"/>
      <c r="AG49" s="438"/>
      <c r="AH49" s="438"/>
      <c r="AI49" s="438"/>
      <c r="AJ49" s="438"/>
      <c r="AK49" s="438"/>
      <c r="AL49" s="438"/>
      <c r="AM49" s="339"/>
      <c r="AO49" s="675">
        <f ca="1">IF($A49="S",IF(BM!$I49=0,0,CHOOSE(MATCH(RegimeExecucao,{"Global","Unitário"},0),ROUND(ROUND(BM.MEDAcumulado,15-13*BM!$A$9)/100*BM!$I49,15-13*ORÇAMENTO!$AF$11),ROUND(ROUND(BM.MEDAcumulado,15-13*BM!$A$9)*ROUND(BM!$H49,15-13*ORÇAMENTO!$AF$10),15-13*ORÇAMENTO!$AF$11))),IF($A49=0,0,ROUND(SomaAgrupBM,15-13*ORÇAMENTO!$AF$11)))</f>
        <v>0</v>
      </c>
    </row>
    <row r="50" spans="1:41" s="675" customFormat="1" ht="25.5" x14ac:dyDescent="0.2">
      <c r="A50" s="675" t="str">
        <f ca="1">ORÇAMENTO!C50</f>
        <v>S</v>
      </c>
      <c r="B50" s="675">
        <f ca="1">ORÇAMENTO!D50</f>
        <v>0</v>
      </c>
      <c r="C50" s="115" t="str">
        <f t="shared" ca="1" si="1"/>
        <v/>
      </c>
      <c r="D50" s="118" t="str">
        <f ca="1">ORÇAMENTO!O50</f>
        <v>-</v>
      </c>
      <c r="E50" s="164" t="str">
        <f t="shared" ca="1" si="2"/>
        <v>(abra o arquivo 'Referência 09-2025.xlsm)</v>
      </c>
      <c r="F50" s="165" t="str">
        <f ca="1">IF(RegimeExecucao="Global","",ORÇAMENTO.Unidade)</f>
        <v>-</v>
      </c>
      <c r="G50" s="123">
        <f ca="1">IF(RegimeExecucao="Global","",ORÇAMENTO!T50)</f>
        <v>0.56999999999999995</v>
      </c>
      <c r="H50" s="123">
        <f ca="1">IF(RegimeExecucao="Global","",ORÇAMENTO!W50)</f>
        <v>0</v>
      </c>
      <c r="I50" s="126">
        <f ca="1">ORÇAMENTO!X50</f>
        <v>0</v>
      </c>
      <c r="J50" s="334" t="e" cm="1">
        <f t="array" aca="1" ref="J50" ca="1">_xlfn.SINGLE(IF($A50="S",IF(CAIXA.Modo,BM.AFAnterior,BM.MEDAnterior),IF(AND(_xlfn.SINGLE(RegimeExecucao)="Global",$I50&gt;0,COUNTIF($AB$13:$AM$13,BM.medicao-1)&gt;0),M50/$I50*100,0)))</f>
        <v>#NAME?</v>
      </c>
      <c r="K50" s="123" t="e">
        <f t="shared" ca="1" si="3"/>
        <v>#NAME?</v>
      </c>
      <c r="L50" s="335" t="e" cm="1">
        <f t="array" aca="1" ref="L50" ca="1">_xlfn.SINGLE(IF($A50="S",IF(CAIXA.Modo,BM.AFAcumulado,BM.MEDAcumulado),IF(AND(_xlfn.SINGLE(RegimeExecucao)="Global",$I50&gt;0,COUNTIF($AB$13:$AM$13,BM.medicao)&gt;0),O50/$I50*100,0)))</f>
        <v>#NAME?</v>
      </c>
      <c r="M50" s="336">
        <f ca="1">IF($A50="S",VTOTALBM,IF($A50=0,0,ROUND(SomaAgrupBM,15-13*ORÇAMENTO!$AF$11)))</f>
        <v>0</v>
      </c>
      <c r="N50" s="337">
        <f t="shared" ca="1" si="4"/>
        <v>0</v>
      </c>
      <c r="O50" s="126">
        <f ca="1">IF($A50="S",VTOTALBM,IF($A50=0,0,ROUND(SomaAgrupBM,15-13*ORÇAMENTO!$AF$11)))</f>
        <v>0</v>
      </c>
      <c r="Q50" s="338"/>
      <c r="R50" s="339"/>
      <c r="T50" s="118" t="str">
        <f t="shared" ca="1" si="5"/>
        <v/>
      </c>
      <c r="U50" s="164" t="str">
        <f t="shared" ca="1" si="6"/>
        <v/>
      </c>
      <c r="V50" s="165" t="str">
        <f ca="1">IF(AND($W50&gt;0,RegimeExecucao="Unitário"),$F50,"")</f>
        <v/>
      </c>
      <c r="W50" s="455">
        <f ca="1">IF($Y50&gt;0,CHOOSE(MATCH(RegimeExecucao,{"Unitário","Global"},0),IF($A50="S",$Y50/$X50,""),($Y50/$X50)*100),0)</f>
        <v>0</v>
      </c>
      <c r="X50" s="340" t="str">
        <f ca="1">IF($Y50&gt;0,CHOOSE(MATCH(RegimeExecucao,{"Unitário","Global"},0),IF($A50="S",ROUND($H50,ORÇAMENTO!$AF$10),""),ROUND($I50,ORÇAMENTO!$AF$11)),"")</f>
        <v/>
      </c>
      <c r="Y50" s="340">
        <f t="shared" ca="1" si="7"/>
        <v>0</v>
      </c>
      <c r="Z50" s="474"/>
      <c r="AB50" s="338"/>
      <c r="AC50" s="438"/>
      <c r="AD50" s="438"/>
      <c r="AE50" s="438"/>
      <c r="AF50" s="438"/>
      <c r="AG50" s="438"/>
      <c r="AH50" s="438"/>
      <c r="AI50" s="438"/>
      <c r="AJ50" s="438"/>
      <c r="AK50" s="438"/>
      <c r="AL50" s="438"/>
      <c r="AM50" s="339"/>
      <c r="AO50" s="675">
        <f ca="1">IF($A50="S",IF(BM!$I50=0,0,CHOOSE(MATCH(RegimeExecucao,{"Global","Unitário"},0),ROUND(ROUND(BM.MEDAcumulado,15-13*BM!$A$9)/100*BM!$I50,15-13*ORÇAMENTO!$AF$11),ROUND(ROUND(BM.MEDAcumulado,15-13*BM!$A$9)*ROUND(BM!$H50,15-13*ORÇAMENTO!$AF$10),15-13*ORÇAMENTO!$AF$11))),IF($A50=0,0,ROUND(SomaAgrupBM,15-13*ORÇAMENTO!$AF$11)))</f>
        <v>0</v>
      </c>
    </row>
    <row r="51" spans="1:41" s="675" customFormat="1" ht="25.5" x14ac:dyDescent="0.2">
      <c r="A51" s="675" t="str">
        <f ca="1">ORÇAMENTO!C51</f>
        <v>S</v>
      </c>
      <c r="B51" s="675">
        <f ca="1">ORÇAMENTO!D51</f>
        <v>0</v>
      </c>
      <c r="C51" s="115" t="str">
        <f t="shared" ca="1" si="1"/>
        <v/>
      </c>
      <c r="D51" s="118" t="str">
        <f ca="1">ORÇAMENTO!O51</f>
        <v>-</v>
      </c>
      <c r="E51" s="164" t="str">
        <f t="shared" ca="1" si="2"/>
        <v>(abra o arquivo 'Referência 09-2025.xlsm)</v>
      </c>
      <c r="F51" s="165" t="str">
        <f ca="1">IF(RegimeExecucao="Global","",ORÇAMENTO.Unidade)</f>
        <v>-</v>
      </c>
      <c r="G51" s="123">
        <f ca="1">IF(RegimeExecucao="Global","",ORÇAMENTO!T51)</f>
        <v>1.1000000000000001</v>
      </c>
      <c r="H51" s="123">
        <f ca="1">IF(RegimeExecucao="Global","",ORÇAMENTO!W51)</f>
        <v>0</v>
      </c>
      <c r="I51" s="126">
        <f ca="1">ORÇAMENTO!X51</f>
        <v>0</v>
      </c>
      <c r="J51" s="334" t="e" cm="1">
        <f t="array" aca="1" ref="J51" ca="1">_xlfn.SINGLE(IF($A51="S",IF(CAIXA.Modo,BM.AFAnterior,BM.MEDAnterior),IF(AND(_xlfn.SINGLE(RegimeExecucao)="Global",$I51&gt;0,COUNTIF($AB$13:$AM$13,BM.medicao-1)&gt;0),M51/$I51*100,0)))</f>
        <v>#NAME?</v>
      </c>
      <c r="K51" s="123" t="e">
        <f t="shared" ca="1" si="3"/>
        <v>#NAME?</v>
      </c>
      <c r="L51" s="335" t="e" cm="1">
        <f t="array" aca="1" ref="L51" ca="1">_xlfn.SINGLE(IF($A51="S",IF(CAIXA.Modo,BM.AFAcumulado,BM.MEDAcumulado),IF(AND(_xlfn.SINGLE(RegimeExecucao)="Global",$I51&gt;0,COUNTIF($AB$13:$AM$13,BM.medicao)&gt;0),O51/$I51*100,0)))</f>
        <v>#NAME?</v>
      </c>
      <c r="M51" s="336">
        <f ca="1">IF($A51="S",VTOTALBM,IF($A51=0,0,ROUND(SomaAgrupBM,15-13*ORÇAMENTO!$AF$11)))</f>
        <v>0</v>
      </c>
      <c r="N51" s="337">
        <f t="shared" ca="1" si="4"/>
        <v>0</v>
      </c>
      <c r="O51" s="126">
        <f ca="1">IF($A51="S",VTOTALBM,IF($A51=0,0,ROUND(SomaAgrupBM,15-13*ORÇAMENTO!$AF$11)))</f>
        <v>0</v>
      </c>
      <c r="Q51" s="338"/>
      <c r="R51" s="339"/>
      <c r="T51" s="118" t="str">
        <f t="shared" ca="1" si="5"/>
        <v/>
      </c>
      <c r="U51" s="164" t="str">
        <f t="shared" ca="1" si="6"/>
        <v/>
      </c>
      <c r="V51" s="165" t="str">
        <f ca="1">IF(AND($W51&gt;0,RegimeExecucao="Unitário"),$F51,"")</f>
        <v/>
      </c>
      <c r="W51" s="455">
        <f ca="1">IF($Y51&gt;0,CHOOSE(MATCH(RegimeExecucao,{"Unitário","Global"},0),IF($A51="S",$Y51/$X51,""),($Y51/$X51)*100),0)</f>
        <v>0</v>
      </c>
      <c r="X51" s="340" t="str">
        <f ca="1">IF($Y51&gt;0,CHOOSE(MATCH(RegimeExecucao,{"Unitário","Global"},0),IF($A51="S",ROUND($H51,ORÇAMENTO!$AF$10),""),ROUND($I51,ORÇAMENTO!$AF$11)),"")</f>
        <v/>
      </c>
      <c r="Y51" s="340">
        <f t="shared" ca="1" si="7"/>
        <v>0</v>
      </c>
      <c r="Z51" s="474"/>
      <c r="AB51" s="338"/>
      <c r="AC51" s="438"/>
      <c r="AD51" s="438"/>
      <c r="AE51" s="438"/>
      <c r="AF51" s="438"/>
      <c r="AG51" s="438"/>
      <c r="AH51" s="438"/>
      <c r="AI51" s="438"/>
      <c r="AJ51" s="438"/>
      <c r="AK51" s="438"/>
      <c r="AL51" s="438"/>
      <c r="AM51" s="339"/>
      <c r="AO51" s="675">
        <f ca="1">IF($A51="S",IF(BM!$I51=0,0,CHOOSE(MATCH(RegimeExecucao,{"Global","Unitário"},0),ROUND(ROUND(BM.MEDAcumulado,15-13*BM!$A$9)/100*BM!$I51,15-13*ORÇAMENTO!$AF$11),ROUND(ROUND(BM.MEDAcumulado,15-13*BM!$A$9)*ROUND(BM!$H51,15-13*ORÇAMENTO!$AF$10),15-13*ORÇAMENTO!$AF$11))),IF($A51=0,0,ROUND(SomaAgrupBM,15-13*ORÇAMENTO!$AF$11)))</f>
        <v>0</v>
      </c>
    </row>
    <row r="52" spans="1:41" s="675" customFormat="1" ht="25.5" x14ac:dyDescent="0.2">
      <c r="A52" s="675" t="str">
        <f ca="1">ORÇAMENTO!C52</f>
        <v>S</v>
      </c>
      <c r="B52" s="675">
        <f ca="1">ORÇAMENTO!D52</f>
        <v>0</v>
      </c>
      <c r="C52" s="115" t="str">
        <f t="shared" ca="1" si="1"/>
        <v/>
      </c>
      <c r="D52" s="118" t="str">
        <f ca="1">ORÇAMENTO!O52</f>
        <v>-</v>
      </c>
      <c r="E52" s="164" t="str">
        <f t="shared" ca="1" si="2"/>
        <v>(abra o arquivo 'Referência 09-2025.xlsm)</v>
      </c>
      <c r="F52" s="165" t="str">
        <f ca="1">IF(RegimeExecucao="Global","",ORÇAMENTO.Unidade)</f>
        <v>-</v>
      </c>
      <c r="G52" s="123">
        <f ca="1">IF(RegimeExecucao="Global","",ORÇAMENTO!T52)</f>
        <v>1.1000000000000001</v>
      </c>
      <c r="H52" s="123">
        <f ca="1">IF(RegimeExecucao="Global","",ORÇAMENTO!W52)</f>
        <v>0</v>
      </c>
      <c r="I52" s="126">
        <f ca="1">ORÇAMENTO!X52</f>
        <v>0</v>
      </c>
      <c r="J52" s="334" t="e" cm="1">
        <f t="array" aca="1" ref="J52" ca="1">_xlfn.SINGLE(IF($A52="S",IF(CAIXA.Modo,BM.AFAnterior,BM.MEDAnterior),IF(AND(_xlfn.SINGLE(RegimeExecucao)="Global",$I52&gt;0,COUNTIF($AB$13:$AM$13,BM.medicao-1)&gt;0),M52/$I52*100,0)))</f>
        <v>#NAME?</v>
      </c>
      <c r="K52" s="123" t="e">
        <f t="shared" ca="1" si="3"/>
        <v>#NAME?</v>
      </c>
      <c r="L52" s="335" t="e" cm="1">
        <f t="array" aca="1" ref="L52" ca="1">_xlfn.SINGLE(IF($A52="S",IF(CAIXA.Modo,BM.AFAcumulado,BM.MEDAcumulado),IF(AND(_xlfn.SINGLE(RegimeExecucao)="Global",$I52&gt;0,COUNTIF($AB$13:$AM$13,BM.medicao)&gt;0),O52/$I52*100,0)))</f>
        <v>#NAME?</v>
      </c>
      <c r="M52" s="336">
        <f ca="1">IF($A52="S",VTOTALBM,IF($A52=0,0,ROUND(SomaAgrupBM,15-13*ORÇAMENTO!$AF$11)))</f>
        <v>0</v>
      </c>
      <c r="N52" s="337">
        <f t="shared" ca="1" si="4"/>
        <v>0</v>
      </c>
      <c r="O52" s="126">
        <f ca="1">IF($A52="S",VTOTALBM,IF($A52=0,0,ROUND(SomaAgrupBM,15-13*ORÇAMENTO!$AF$11)))</f>
        <v>0</v>
      </c>
      <c r="Q52" s="338"/>
      <c r="R52" s="339"/>
      <c r="T52" s="118" t="str">
        <f t="shared" ca="1" si="5"/>
        <v/>
      </c>
      <c r="U52" s="164" t="str">
        <f t="shared" ca="1" si="6"/>
        <v/>
      </c>
      <c r="V52" s="165" t="str">
        <f ca="1">IF(AND($W52&gt;0,RegimeExecucao="Unitário"),$F52,"")</f>
        <v/>
      </c>
      <c r="W52" s="455">
        <f ca="1">IF($Y52&gt;0,CHOOSE(MATCH(RegimeExecucao,{"Unitário","Global"},0),IF($A52="S",$Y52/$X52,""),($Y52/$X52)*100),0)</f>
        <v>0</v>
      </c>
      <c r="X52" s="340" t="str">
        <f ca="1">IF($Y52&gt;0,CHOOSE(MATCH(RegimeExecucao,{"Unitário","Global"},0),IF($A52="S",ROUND($H52,ORÇAMENTO!$AF$10),""),ROUND($I52,ORÇAMENTO!$AF$11)),"")</f>
        <v/>
      </c>
      <c r="Y52" s="340">
        <f t="shared" ca="1" si="7"/>
        <v>0</v>
      </c>
      <c r="Z52" s="474"/>
      <c r="AB52" s="338"/>
      <c r="AC52" s="438"/>
      <c r="AD52" s="438"/>
      <c r="AE52" s="438"/>
      <c r="AF52" s="438"/>
      <c r="AG52" s="438"/>
      <c r="AH52" s="438"/>
      <c r="AI52" s="438"/>
      <c r="AJ52" s="438"/>
      <c r="AK52" s="438"/>
      <c r="AL52" s="438"/>
      <c r="AM52" s="339"/>
      <c r="AO52" s="675">
        <f ca="1">IF($A52="S",IF(BM!$I52=0,0,CHOOSE(MATCH(RegimeExecucao,{"Global","Unitário"},0),ROUND(ROUND(BM.MEDAcumulado,15-13*BM!$A$9)/100*BM!$I52,15-13*ORÇAMENTO!$AF$11),ROUND(ROUND(BM.MEDAcumulado,15-13*BM!$A$9)*ROUND(BM!$H52,15-13*ORÇAMENTO!$AF$10),15-13*ORÇAMENTO!$AF$11))),IF($A52=0,0,ROUND(SomaAgrupBM,15-13*ORÇAMENTO!$AF$11)))</f>
        <v>0</v>
      </c>
    </row>
    <row r="53" spans="1:41" s="675" customFormat="1" ht="25.5" x14ac:dyDescent="0.2">
      <c r="A53" s="675" t="str">
        <f ca="1">ORÇAMENTO!C53</f>
        <v>S</v>
      </c>
      <c r="B53" s="675">
        <f ca="1">ORÇAMENTO!D53</f>
        <v>0</v>
      </c>
      <c r="C53" s="115" t="str">
        <f t="shared" ca="1" si="1"/>
        <v/>
      </c>
      <c r="D53" s="118" t="str">
        <f ca="1">ORÇAMENTO!O53</f>
        <v>-</v>
      </c>
      <c r="E53" s="164" t="str">
        <f t="shared" ca="1" si="2"/>
        <v>(abra o arquivo 'Referência 09-2025.xlsm)</v>
      </c>
      <c r="F53" s="165" t="str">
        <f ca="1">IF(RegimeExecucao="Global","",ORÇAMENTO.Unidade)</f>
        <v>-</v>
      </c>
      <c r="G53" s="123">
        <f ca="1">IF(RegimeExecucao="Global","",ORÇAMENTO!T53)</f>
        <v>0.83</v>
      </c>
      <c r="H53" s="123">
        <f ca="1">IF(RegimeExecucao="Global","",ORÇAMENTO!W53)</f>
        <v>0</v>
      </c>
      <c r="I53" s="126">
        <f ca="1">ORÇAMENTO!X53</f>
        <v>0</v>
      </c>
      <c r="J53" s="334" t="e" cm="1">
        <f t="array" aca="1" ref="J53" ca="1">_xlfn.SINGLE(IF($A53="S",IF(CAIXA.Modo,BM.AFAnterior,BM.MEDAnterior),IF(AND(_xlfn.SINGLE(RegimeExecucao)="Global",$I53&gt;0,COUNTIF($AB$13:$AM$13,BM.medicao-1)&gt;0),M53/$I53*100,0)))</f>
        <v>#NAME?</v>
      </c>
      <c r="K53" s="123" t="e">
        <f t="shared" ca="1" si="3"/>
        <v>#NAME?</v>
      </c>
      <c r="L53" s="335" t="e" cm="1">
        <f t="array" aca="1" ref="L53" ca="1">_xlfn.SINGLE(IF($A53="S",IF(CAIXA.Modo,BM.AFAcumulado,BM.MEDAcumulado),IF(AND(_xlfn.SINGLE(RegimeExecucao)="Global",$I53&gt;0,COUNTIF($AB$13:$AM$13,BM.medicao)&gt;0),O53/$I53*100,0)))</f>
        <v>#NAME?</v>
      </c>
      <c r="M53" s="336">
        <f ca="1">IF($A53="S",VTOTALBM,IF($A53=0,0,ROUND(SomaAgrupBM,15-13*ORÇAMENTO!$AF$11)))</f>
        <v>0</v>
      </c>
      <c r="N53" s="337">
        <f t="shared" ca="1" si="4"/>
        <v>0</v>
      </c>
      <c r="O53" s="126">
        <f ca="1">IF($A53="S",VTOTALBM,IF($A53=0,0,ROUND(SomaAgrupBM,15-13*ORÇAMENTO!$AF$11)))</f>
        <v>0</v>
      </c>
      <c r="Q53" s="338"/>
      <c r="R53" s="339"/>
      <c r="T53" s="118" t="str">
        <f t="shared" ca="1" si="5"/>
        <v/>
      </c>
      <c r="U53" s="164" t="str">
        <f t="shared" ca="1" si="6"/>
        <v/>
      </c>
      <c r="V53" s="165" t="str">
        <f ca="1">IF(AND($W53&gt;0,RegimeExecucao="Unitário"),$F53,"")</f>
        <v/>
      </c>
      <c r="W53" s="455">
        <f ca="1">IF($Y53&gt;0,CHOOSE(MATCH(RegimeExecucao,{"Unitário","Global"},0),IF($A53="S",$Y53/$X53,""),($Y53/$X53)*100),0)</f>
        <v>0</v>
      </c>
      <c r="X53" s="340" t="str">
        <f ca="1">IF($Y53&gt;0,CHOOSE(MATCH(RegimeExecucao,{"Unitário","Global"},0),IF($A53="S",ROUND($H53,ORÇAMENTO!$AF$10),""),ROUND($I53,ORÇAMENTO!$AF$11)),"")</f>
        <v/>
      </c>
      <c r="Y53" s="340">
        <f t="shared" ca="1" si="7"/>
        <v>0</v>
      </c>
      <c r="Z53" s="474"/>
      <c r="AB53" s="338"/>
      <c r="AC53" s="438"/>
      <c r="AD53" s="438"/>
      <c r="AE53" s="438"/>
      <c r="AF53" s="438"/>
      <c r="AG53" s="438"/>
      <c r="AH53" s="438"/>
      <c r="AI53" s="438"/>
      <c r="AJ53" s="438"/>
      <c r="AK53" s="438"/>
      <c r="AL53" s="438"/>
      <c r="AM53" s="339"/>
      <c r="AO53" s="675">
        <f ca="1">IF($A53="S",IF(BM!$I53=0,0,CHOOSE(MATCH(RegimeExecucao,{"Global","Unitário"},0),ROUND(ROUND(BM.MEDAcumulado,15-13*BM!$A$9)/100*BM!$I53,15-13*ORÇAMENTO!$AF$11),ROUND(ROUND(BM.MEDAcumulado,15-13*BM!$A$9)*ROUND(BM!$H53,15-13*ORÇAMENTO!$AF$10),15-13*ORÇAMENTO!$AF$11))),IF($A53=0,0,ROUND(SomaAgrupBM,15-13*ORÇAMENTO!$AF$11)))</f>
        <v>0</v>
      </c>
    </row>
    <row r="54" spans="1:41" s="675" customFormat="1" ht="25.5" x14ac:dyDescent="0.2">
      <c r="A54" s="675" t="str">
        <f ca="1">ORÇAMENTO!C54</f>
        <v>S</v>
      </c>
      <c r="B54" s="675">
        <f ca="1">ORÇAMENTO!D54</f>
        <v>0</v>
      </c>
      <c r="C54" s="115" t="str">
        <f t="shared" ca="1" si="1"/>
        <v/>
      </c>
      <c r="D54" s="118" t="str">
        <f ca="1">ORÇAMENTO!O54</f>
        <v>-</v>
      </c>
      <c r="E54" s="164" t="str">
        <f t="shared" ca="1" si="2"/>
        <v>(abra o arquivo 'Referência 09-2025.xlsm)</v>
      </c>
      <c r="F54" s="165" t="str">
        <f ca="1">IF(RegimeExecucao="Global","",ORÇAMENTO.Unidade)</f>
        <v>-</v>
      </c>
      <c r="G54" s="123">
        <f ca="1">IF(RegimeExecucao="Global","",ORÇAMENTO!T54)</f>
        <v>1.51</v>
      </c>
      <c r="H54" s="123">
        <f ca="1">IF(RegimeExecucao="Global","",ORÇAMENTO!W54)</f>
        <v>0</v>
      </c>
      <c r="I54" s="126">
        <f ca="1">ORÇAMENTO!X54</f>
        <v>0</v>
      </c>
      <c r="J54" s="334" t="e" cm="1">
        <f t="array" aca="1" ref="J54" ca="1">_xlfn.SINGLE(IF($A54="S",IF(CAIXA.Modo,BM.AFAnterior,BM.MEDAnterior),IF(AND(_xlfn.SINGLE(RegimeExecucao)="Global",$I54&gt;0,COUNTIF($AB$13:$AM$13,BM.medicao-1)&gt;0),M54/$I54*100,0)))</f>
        <v>#NAME?</v>
      </c>
      <c r="K54" s="123" t="e">
        <f t="shared" ca="1" si="3"/>
        <v>#NAME?</v>
      </c>
      <c r="L54" s="335" t="e" cm="1">
        <f t="array" aca="1" ref="L54" ca="1">_xlfn.SINGLE(IF($A54="S",IF(CAIXA.Modo,BM.AFAcumulado,BM.MEDAcumulado),IF(AND(_xlfn.SINGLE(RegimeExecucao)="Global",$I54&gt;0,COUNTIF($AB$13:$AM$13,BM.medicao)&gt;0),O54/$I54*100,0)))</f>
        <v>#NAME?</v>
      </c>
      <c r="M54" s="336">
        <f ca="1">IF($A54="S",VTOTALBM,IF($A54=0,0,ROUND(SomaAgrupBM,15-13*ORÇAMENTO!$AF$11)))</f>
        <v>0</v>
      </c>
      <c r="N54" s="337">
        <f t="shared" ca="1" si="4"/>
        <v>0</v>
      </c>
      <c r="O54" s="126">
        <f ca="1">IF($A54="S",VTOTALBM,IF($A54=0,0,ROUND(SomaAgrupBM,15-13*ORÇAMENTO!$AF$11)))</f>
        <v>0</v>
      </c>
      <c r="Q54" s="338"/>
      <c r="R54" s="339"/>
      <c r="T54" s="118" t="str">
        <f t="shared" ca="1" si="5"/>
        <v/>
      </c>
      <c r="U54" s="164" t="str">
        <f t="shared" ca="1" si="6"/>
        <v/>
      </c>
      <c r="V54" s="165" t="str">
        <f ca="1">IF(AND($W54&gt;0,RegimeExecucao="Unitário"),$F54,"")</f>
        <v/>
      </c>
      <c r="W54" s="455">
        <f ca="1">IF($Y54&gt;0,CHOOSE(MATCH(RegimeExecucao,{"Unitário","Global"},0),IF($A54="S",$Y54/$X54,""),($Y54/$X54)*100),0)</f>
        <v>0</v>
      </c>
      <c r="X54" s="340" t="str">
        <f ca="1">IF($Y54&gt;0,CHOOSE(MATCH(RegimeExecucao,{"Unitário","Global"},0),IF($A54="S",ROUND($H54,ORÇAMENTO!$AF$10),""),ROUND($I54,ORÇAMENTO!$AF$11)),"")</f>
        <v/>
      </c>
      <c r="Y54" s="340">
        <f t="shared" ca="1" si="7"/>
        <v>0</v>
      </c>
      <c r="Z54" s="474"/>
      <c r="AB54" s="338"/>
      <c r="AC54" s="438"/>
      <c r="AD54" s="438"/>
      <c r="AE54" s="438"/>
      <c r="AF54" s="438"/>
      <c r="AG54" s="438"/>
      <c r="AH54" s="438"/>
      <c r="AI54" s="438"/>
      <c r="AJ54" s="438"/>
      <c r="AK54" s="438"/>
      <c r="AL54" s="438"/>
      <c r="AM54" s="339"/>
      <c r="AO54" s="675">
        <f ca="1">IF($A54="S",IF(BM!$I54=0,0,CHOOSE(MATCH(RegimeExecucao,{"Global","Unitário"},0),ROUND(ROUND(BM.MEDAcumulado,15-13*BM!$A$9)/100*BM!$I54,15-13*ORÇAMENTO!$AF$11),ROUND(ROUND(BM.MEDAcumulado,15-13*BM!$A$9)*ROUND(BM!$H54,15-13*ORÇAMENTO!$AF$10),15-13*ORÇAMENTO!$AF$11))),IF($A54=0,0,ROUND(SomaAgrupBM,15-13*ORÇAMENTO!$AF$11)))</f>
        <v>0</v>
      </c>
    </row>
    <row r="55" spans="1:41" s="675" customFormat="1" ht="25.5" x14ac:dyDescent="0.2">
      <c r="A55" s="675" t="str">
        <f ca="1">ORÇAMENTO!C55</f>
        <v>S</v>
      </c>
      <c r="B55" s="675">
        <f ca="1">ORÇAMENTO!D55</f>
        <v>0</v>
      </c>
      <c r="C55" s="115" t="str">
        <f t="shared" ca="1" si="1"/>
        <v/>
      </c>
      <c r="D55" s="118" t="str">
        <f ca="1">ORÇAMENTO!O55</f>
        <v>-</v>
      </c>
      <c r="E55" s="164" t="str">
        <f t="shared" ca="1" si="2"/>
        <v>(abra o arquivo 'Referência 09-2025.xlsm)</v>
      </c>
      <c r="F55" s="165" t="str">
        <f ca="1">IF(RegimeExecucao="Global","",ORÇAMENTO.Unidade)</f>
        <v>-</v>
      </c>
      <c r="G55" s="123">
        <f ca="1">IF(RegimeExecucao="Global","",ORÇAMENTO!T55)</f>
        <v>0.97</v>
      </c>
      <c r="H55" s="123">
        <f ca="1">IF(RegimeExecucao="Global","",ORÇAMENTO!W55)</f>
        <v>0</v>
      </c>
      <c r="I55" s="126">
        <f ca="1">ORÇAMENTO!X55</f>
        <v>0</v>
      </c>
      <c r="J55" s="334" t="e" cm="1">
        <f t="array" aca="1" ref="J55" ca="1">_xlfn.SINGLE(IF($A55="S",IF(CAIXA.Modo,BM.AFAnterior,BM.MEDAnterior),IF(AND(_xlfn.SINGLE(RegimeExecucao)="Global",$I55&gt;0,COUNTIF($AB$13:$AM$13,BM.medicao-1)&gt;0),M55/$I55*100,0)))</f>
        <v>#NAME?</v>
      </c>
      <c r="K55" s="123" t="e">
        <f t="shared" ca="1" si="3"/>
        <v>#NAME?</v>
      </c>
      <c r="L55" s="335" t="e" cm="1">
        <f t="array" aca="1" ref="L55" ca="1">_xlfn.SINGLE(IF($A55="S",IF(CAIXA.Modo,BM.AFAcumulado,BM.MEDAcumulado),IF(AND(_xlfn.SINGLE(RegimeExecucao)="Global",$I55&gt;0,COUNTIF($AB$13:$AM$13,BM.medicao)&gt;0),O55/$I55*100,0)))</f>
        <v>#NAME?</v>
      </c>
      <c r="M55" s="336">
        <f ca="1">IF($A55="S",VTOTALBM,IF($A55=0,0,ROUND(SomaAgrupBM,15-13*ORÇAMENTO!$AF$11)))</f>
        <v>0</v>
      </c>
      <c r="N55" s="337">
        <f t="shared" ca="1" si="4"/>
        <v>0</v>
      </c>
      <c r="O55" s="126">
        <f ca="1">IF($A55="S",VTOTALBM,IF($A55=0,0,ROUND(SomaAgrupBM,15-13*ORÇAMENTO!$AF$11)))</f>
        <v>0</v>
      </c>
      <c r="Q55" s="338"/>
      <c r="R55" s="339"/>
      <c r="T55" s="118" t="str">
        <f t="shared" ca="1" si="5"/>
        <v/>
      </c>
      <c r="U55" s="164" t="str">
        <f t="shared" ca="1" si="6"/>
        <v/>
      </c>
      <c r="V55" s="165" t="str">
        <f ca="1">IF(AND($W55&gt;0,RegimeExecucao="Unitário"),$F55,"")</f>
        <v/>
      </c>
      <c r="W55" s="455">
        <f ca="1">IF($Y55&gt;0,CHOOSE(MATCH(RegimeExecucao,{"Unitário","Global"},0),IF($A55="S",$Y55/$X55,""),($Y55/$X55)*100),0)</f>
        <v>0</v>
      </c>
      <c r="X55" s="340" t="str">
        <f ca="1">IF($Y55&gt;0,CHOOSE(MATCH(RegimeExecucao,{"Unitário","Global"},0),IF($A55="S",ROUND($H55,ORÇAMENTO!$AF$10),""),ROUND($I55,ORÇAMENTO!$AF$11)),"")</f>
        <v/>
      </c>
      <c r="Y55" s="340">
        <f t="shared" ca="1" si="7"/>
        <v>0</v>
      </c>
      <c r="Z55" s="474"/>
      <c r="AB55" s="338"/>
      <c r="AC55" s="438"/>
      <c r="AD55" s="438"/>
      <c r="AE55" s="438"/>
      <c r="AF55" s="438"/>
      <c r="AG55" s="438"/>
      <c r="AH55" s="438"/>
      <c r="AI55" s="438"/>
      <c r="AJ55" s="438"/>
      <c r="AK55" s="438"/>
      <c r="AL55" s="438"/>
      <c r="AM55" s="339"/>
      <c r="AO55" s="675">
        <f ca="1">IF($A55="S",IF(BM!$I55=0,0,CHOOSE(MATCH(RegimeExecucao,{"Global","Unitário"},0),ROUND(ROUND(BM.MEDAcumulado,15-13*BM!$A$9)/100*BM!$I55,15-13*ORÇAMENTO!$AF$11),ROUND(ROUND(BM.MEDAcumulado,15-13*BM!$A$9)*ROUND(BM!$H55,15-13*ORÇAMENTO!$AF$10),15-13*ORÇAMENTO!$AF$11))),IF($A55=0,0,ROUND(SomaAgrupBM,15-13*ORÇAMENTO!$AF$11)))</f>
        <v>0</v>
      </c>
    </row>
    <row r="56" spans="1:41" s="675" customFormat="1" ht="25.5" x14ac:dyDescent="0.2">
      <c r="A56" s="675" t="str">
        <f ca="1">ORÇAMENTO!C56</f>
        <v>S</v>
      </c>
      <c r="B56" s="675">
        <f ca="1">ORÇAMENTO!D56</f>
        <v>0</v>
      </c>
      <c r="C56" s="115" t="str">
        <f t="shared" ca="1" si="1"/>
        <v/>
      </c>
      <c r="D56" s="118" t="str">
        <f ca="1">ORÇAMENTO!O56</f>
        <v>-</v>
      </c>
      <c r="E56" s="164" t="str">
        <f t="shared" ca="1" si="2"/>
        <v>(abra o arquivo 'Referência 09-2025.xlsm)</v>
      </c>
      <c r="F56" s="165" t="str">
        <f ca="1">IF(RegimeExecucao="Global","",ORÇAMENTO.Unidade)</f>
        <v>-</v>
      </c>
      <c r="G56" s="123">
        <f ca="1">IF(RegimeExecucao="Global","",ORÇAMENTO!T56)</f>
        <v>1.51</v>
      </c>
      <c r="H56" s="123">
        <f ca="1">IF(RegimeExecucao="Global","",ORÇAMENTO!W56)</f>
        <v>0</v>
      </c>
      <c r="I56" s="126">
        <f ca="1">ORÇAMENTO!X56</f>
        <v>0</v>
      </c>
      <c r="J56" s="334" t="e" cm="1">
        <f t="array" aca="1" ref="J56" ca="1">_xlfn.SINGLE(IF($A56="S",IF(CAIXA.Modo,BM.AFAnterior,BM.MEDAnterior),IF(AND(_xlfn.SINGLE(RegimeExecucao)="Global",$I56&gt;0,COUNTIF($AB$13:$AM$13,BM.medicao-1)&gt;0),M56/$I56*100,0)))</f>
        <v>#NAME?</v>
      </c>
      <c r="K56" s="123" t="e">
        <f t="shared" ca="1" si="3"/>
        <v>#NAME?</v>
      </c>
      <c r="L56" s="335" t="e" cm="1">
        <f t="array" aca="1" ref="L56" ca="1">_xlfn.SINGLE(IF($A56="S",IF(CAIXA.Modo,BM.AFAcumulado,BM.MEDAcumulado),IF(AND(_xlfn.SINGLE(RegimeExecucao)="Global",$I56&gt;0,COUNTIF($AB$13:$AM$13,BM.medicao)&gt;0),O56/$I56*100,0)))</f>
        <v>#NAME?</v>
      </c>
      <c r="M56" s="336">
        <f ca="1">IF($A56="S",VTOTALBM,IF($A56=0,0,ROUND(SomaAgrupBM,15-13*ORÇAMENTO!$AF$11)))</f>
        <v>0</v>
      </c>
      <c r="N56" s="337">
        <f t="shared" ca="1" si="4"/>
        <v>0</v>
      </c>
      <c r="O56" s="126">
        <f ca="1">IF($A56="S",VTOTALBM,IF($A56=0,0,ROUND(SomaAgrupBM,15-13*ORÇAMENTO!$AF$11)))</f>
        <v>0</v>
      </c>
      <c r="Q56" s="338"/>
      <c r="R56" s="339"/>
      <c r="T56" s="118" t="str">
        <f t="shared" ca="1" si="5"/>
        <v/>
      </c>
      <c r="U56" s="164" t="str">
        <f t="shared" ca="1" si="6"/>
        <v/>
      </c>
      <c r="V56" s="165" t="str">
        <f ca="1">IF(AND($W56&gt;0,RegimeExecucao="Unitário"),$F56,"")</f>
        <v/>
      </c>
      <c r="W56" s="455">
        <f ca="1">IF($Y56&gt;0,CHOOSE(MATCH(RegimeExecucao,{"Unitário","Global"},0),IF($A56="S",$Y56/$X56,""),($Y56/$X56)*100),0)</f>
        <v>0</v>
      </c>
      <c r="X56" s="340" t="str">
        <f ca="1">IF($Y56&gt;0,CHOOSE(MATCH(RegimeExecucao,{"Unitário","Global"},0),IF($A56="S",ROUND($H56,ORÇAMENTO!$AF$10),""),ROUND($I56,ORÇAMENTO!$AF$11)),"")</f>
        <v/>
      </c>
      <c r="Y56" s="340">
        <f t="shared" ca="1" si="7"/>
        <v>0</v>
      </c>
      <c r="Z56" s="474"/>
      <c r="AB56" s="338"/>
      <c r="AC56" s="438"/>
      <c r="AD56" s="438"/>
      <c r="AE56" s="438"/>
      <c r="AF56" s="438"/>
      <c r="AG56" s="438"/>
      <c r="AH56" s="438"/>
      <c r="AI56" s="438"/>
      <c r="AJ56" s="438"/>
      <c r="AK56" s="438"/>
      <c r="AL56" s="438"/>
      <c r="AM56" s="339"/>
      <c r="AO56" s="675">
        <f ca="1">IF($A56="S",IF(BM!$I56=0,0,CHOOSE(MATCH(RegimeExecucao,{"Global","Unitário"},0),ROUND(ROUND(BM.MEDAcumulado,15-13*BM!$A$9)/100*BM!$I56,15-13*ORÇAMENTO!$AF$11),ROUND(ROUND(BM.MEDAcumulado,15-13*BM!$A$9)*ROUND(BM!$H56,15-13*ORÇAMENTO!$AF$10),15-13*ORÇAMENTO!$AF$11))),IF($A56=0,0,ROUND(SomaAgrupBM,15-13*ORÇAMENTO!$AF$11)))</f>
        <v>0</v>
      </c>
    </row>
    <row r="57" spans="1:41" s="675" customFormat="1" ht="25.5" x14ac:dyDescent="0.2">
      <c r="A57" s="675" t="str">
        <f ca="1">ORÇAMENTO!C57</f>
        <v>S</v>
      </c>
      <c r="B57" s="675">
        <f ca="1">ORÇAMENTO!D57</f>
        <v>0</v>
      </c>
      <c r="C57" s="115" t="str">
        <f t="shared" ca="1" si="1"/>
        <v/>
      </c>
      <c r="D57" s="118" t="str">
        <f ca="1">ORÇAMENTO!O57</f>
        <v>-</v>
      </c>
      <c r="E57" s="164" t="str">
        <f t="shared" ca="1" si="2"/>
        <v>(abra o arquivo 'Referência 09-2025.xlsm)</v>
      </c>
      <c r="F57" s="165" t="str">
        <f ca="1">IF(RegimeExecucao="Global","",ORÇAMENTO.Unidade)</f>
        <v>-</v>
      </c>
      <c r="G57" s="123">
        <f ca="1">IF(RegimeExecucao="Global","",ORÇAMENTO!T57)</f>
        <v>0.34</v>
      </c>
      <c r="H57" s="123">
        <f ca="1">IF(RegimeExecucao="Global","",ORÇAMENTO!W57)</f>
        <v>0</v>
      </c>
      <c r="I57" s="126">
        <f ca="1">ORÇAMENTO!X57</f>
        <v>0</v>
      </c>
      <c r="J57" s="334" t="e" cm="1">
        <f t="array" aca="1" ref="J57" ca="1">_xlfn.SINGLE(IF($A57="S",IF(CAIXA.Modo,BM.AFAnterior,BM.MEDAnterior),IF(AND(_xlfn.SINGLE(RegimeExecucao)="Global",$I57&gt;0,COUNTIF($AB$13:$AM$13,BM.medicao-1)&gt;0),M57/$I57*100,0)))</f>
        <v>#NAME?</v>
      </c>
      <c r="K57" s="123" t="e">
        <f t="shared" ca="1" si="3"/>
        <v>#NAME?</v>
      </c>
      <c r="L57" s="335" t="e" cm="1">
        <f t="array" aca="1" ref="L57" ca="1">_xlfn.SINGLE(IF($A57="S",IF(CAIXA.Modo,BM.AFAcumulado,BM.MEDAcumulado),IF(AND(_xlfn.SINGLE(RegimeExecucao)="Global",$I57&gt;0,COUNTIF($AB$13:$AM$13,BM.medicao)&gt;0),O57/$I57*100,0)))</f>
        <v>#NAME?</v>
      </c>
      <c r="M57" s="336">
        <f ca="1">IF($A57="S",VTOTALBM,IF($A57=0,0,ROUND(SomaAgrupBM,15-13*ORÇAMENTO!$AF$11)))</f>
        <v>0</v>
      </c>
      <c r="N57" s="337">
        <f t="shared" ca="1" si="4"/>
        <v>0</v>
      </c>
      <c r="O57" s="126">
        <f ca="1">IF($A57="S",VTOTALBM,IF($A57=0,0,ROUND(SomaAgrupBM,15-13*ORÇAMENTO!$AF$11)))</f>
        <v>0</v>
      </c>
      <c r="Q57" s="338"/>
      <c r="R57" s="339"/>
      <c r="T57" s="118" t="str">
        <f t="shared" ca="1" si="5"/>
        <v/>
      </c>
      <c r="U57" s="164" t="str">
        <f t="shared" ca="1" si="6"/>
        <v/>
      </c>
      <c r="V57" s="165" t="str">
        <f ca="1">IF(AND($W57&gt;0,RegimeExecucao="Unitário"),$F57,"")</f>
        <v/>
      </c>
      <c r="W57" s="455">
        <f ca="1">IF($Y57&gt;0,CHOOSE(MATCH(RegimeExecucao,{"Unitário","Global"},0),IF($A57="S",$Y57/$X57,""),($Y57/$X57)*100),0)</f>
        <v>0</v>
      </c>
      <c r="X57" s="340" t="str">
        <f ca="1">IF($Y57&gt;0,CHOOSE(MATCH(RegimeExecucao,{"Unitário","Global"},0),IF($A57="S",ROUND($H57,ORÇAMENTO!$AF$10),""),ROUND($I57,ORÇAMENTO!$AF$11)),"")</f>
        <v/>
      </c>
      <c r="Y57" s="340">
        <f t="shared" ca="1" si="7"/>
        <v>0</v>
      </c>
      <c r="Z57" s="474"/>
      <c r="AB57" s="338"/>
      <c r="AC57" s="438"/>
      <c r="AD57" s="438"/>
      <c r="AE57" s="438"/>
      <c r="AF57" s="438"/>
      <c r="AG57" s="438"/>
      <c r="AH57" s="438"/>
      <c r="AI57" s="438"/>
      <c r="AJ57" s="438"/>
      <c r="AK57" s="438"/>
      <c r="AL57" s="438"/>
      <c r="AM57" s="339"/>
      <c r="AO57" s="675">
        <f ca="1">IF($A57="S",IF(BM!$I57=0,0,CHOOSE(MATCH(RegimeExecucao,{"Global","Unitário"},0),ROUND(ROUND(BM.MEDAcumulado,15-13*BM!$A$9)/100*BM!$I57,15-13*ORÇAMENTO!$AF$11),ROUND(ROUND(BM.MEDAcumulado,15-13*BM!$A$9)*ROUND(BM!$H57,15-13*ORÇAMENTO!$AF$10),15-13*ORÇAMENTO!$AF$11))),IF($A57=0,0,ROUND(SomaAgrupBM,15-13*ORÇAMENTO!$AF$11)))</f>
        <v>0</v>
      </c>
    </row>
    <row r="58" spans="1:41" s="675" customFormat="1" x14ac:dyDescent="0.2">
      <c r="A58" s="675">
        <f ca="1">ORÇAMENTO!C58</f>
        <v>2</v>
      </c>
      <c r="B58" s="675">
        <f ca="1">ORÇAMENTO!D58</f>
        <v>6</v>
      </c>
      <c r="C58" s="115" t="str">
        <f t="shared" ca="1" si="1"/>
        <v>F</v>
      </c>
      <c r="D58" s="118" t="str">
        <f ca="1">ORÇAMENTO!O58</f>
        <v>1.5.</v>
      </c>
      <c r="E58" s="164" t="str">
        <f t="shared" si="2"/>
        <v>TRAVESSIA RODOVIA MG-050</v>
      </c>
      <c r="F58" s="165" t="str">
        <f ca="1">IF(RegimeExecucao="Global","",ORÇAMENTO.Unidade)</f>
        <v>-</v>
      </c>
      <c r="G58" s="123">
        <f ca="1">IF(RegimeExecucao="Global","",ORÇAMENTO!T58)</f>
        <v>0</v>
      </c>
      <c r="H58" s="123">
        <f ca="1">IF(RegimeExecucao="Global","",ORÇAMENTO!W58)</f>
        <v>0</v>
      </c>
      <c r="I58" s="126">
        <f ca="1">ORÇAMENTO!X58</f>
        <v>0</v>
      </c>
      <c r="J58" s="334" t="e" cm="1">
        <f t="array" aca="1" ref="J58" ca="1">_xlfn.SINGLE(IF($A58="S",IF(CAIXA.Modo,BM.AFAnterior,BM.MEDAnterior),IF(AND(_xlfn.SINGLE(RegimeExecucao)="Global",$I58&gt;0,COUNTIF($AB$13:$AM$13,BM.medicao-1)&gt;0),M58/$I58*100,0)))</f>
        <v>#NAME?</v>
      </c>
      <c r="K58" s="123" t="e">
        <f t="shared" ca="1" si="3"/>
        <v>#NAME?</v>
      </c>
      <c r="L58" s="335" t="e" cm="1">
        <f t="array" aca="1" ref="L58" ca="1">_xlfn.SINGLE(IF($A58="S",IF(CAIXA.Modo,BM.AFAcumulado,BM.MEDAcumulado),IF(AND(_xlfn.SINGLE(RegimeExecucao)="Global",$I58&gt;0,COUNTIF($AB$13:$AM$13,BM.medicao)&gt;0),O58/$I58*100,0)))</f>
        <v>#NAME?</v>
      </c>
      <c r="M58" s="336">
        <f ca="1">IF($A58="S",VTOTALBM,IF($A58=0,0,ROUND(SomaAgrupBM,15-13*ORÇAMENTO!$AF$11)))</f>
        <v>0</v>
      </c>
      <c r="N58" s="337">
        <f t="shared" ca="1" si="4"/>
        <v>0</v>
      </c>
      <c r="O58" s="126">
        <f ca="1">IF($A58="S",VTOTALBM,IF($A58=0,0,ROUND(SomaAgrupBM,15-13*ORÇAMENTO!$AF$11)))</f>
        <v>0</v>
      </c>
      <c r="Q58" s="338"/>
      <c r="R58" s="339"/>
      <c r="T58" s="118" t="str">
        <f t="shared" ca="1" si="5"/>
        <v/>
      </c>
      <c r="U58" s="164" t="str">
        <f t="shared" ca="1" si="6"/>
        <v/>
      </c>
      <c r="V58" s="165" t="str">
        <f ca="1">IF(AND($W58&gt;0,RegimeExecucao="Unitário"),$F58,"")</f>
        <v/>
      </c>
      <c r="W58" s="455">
        <f ca="1">IF($Y58&gt;0,CHOOSE(MATCH(RegimeExecucao,{"Unitário","Global"},0),IF($A58="S",$Y58/$X58,""),($Y58/$X58)*100),0)</f>
        <v>0</v>
      </c>
      <c r="X58" s="340" t="str">
        <f ca="1">IF($Y58&gt;0,CHOOSE(MATCH(RegimeExecucao,{"Unitário","Global"},0),IF($A58="S",ROUND($H58,ORÇAMENTO!$AF$10),""),ROUND($I58,ORÇAMENTO!$AF$11)),"")</f>
        <v/>
      </c>
      <c r="Y58" s="340">
        <f t="shared" ca="1" si="7"/>
        <v>0</v>
      </c>
      <c r="Z58" s="474"/>
      <c r="AB58" s="338"/>
      <c r="AC58" s="438"/>
      <c r="AD58" s="438"/>
      <c r="AE58" s="438"/>
      <c r="AF58" s="438"/>
      <c r="AG58" s="438"/>
      <c r="AH58" s="438"/>
      <c r="AI58" s="438"/>
      <c r="AJ58" s="438"/>
      <c r="AK58" s="438"/>
      <c r="AL58" s="438"/>
      <c r="AM58" s="339"/>
      <c r="AO58" s="675">
        <f ca="1">IF($A58="S",IF(BM!$I58=0,0,CHOOSE(MATCH(RegimeExecucao,{"Global","Unitário"},0),ROUND(ROUND(BM.MEDAcumulado,15-13*BM!$A$9)/100*BM!$I58,15-13*ORÇAMENTO!$AF$11),ROUND(ROUND(BM.MEDAcumulado,15-13*BM!$A$9)*ROUND(BM!$H58,15-13*ORÇAMENTO!$AF$10),15-13*ORÇAMENTO!$AF$11))),IF($A58=0,0,ROUND(SomaAgrupBM,15-13*ORÇAMENTO!$AF$11)))</f>
        <v>0</v>
      </c>
    </row>
    <row r="59" spans="1:41" s="675" customFormat="1" ht="51" x14ac:dyDescent="0.2">
      <c r="A59" s="675" t="str">
        <f ca="1">ORÇAMENTO!C59</f>
        <v>S</v>
      </c>
      <c r="B59" s="675">
        <f ca="1">ORÇAMENTO!D59</f>
        <v>0</v>
      </c>
      <c r="C59" s="115" t="str">
        <f t="shared" ca="1" si="1"/>
        <v/>
      </c>
      <c r="D59" s="118" t="str">
        <f ca="1">ORÇAMENTO!O59</f>
        <v>-</v>
      </c>
      <c r="E59" s="164" t="str">
        <f t="shared" ca="1" si="2"/>
        <v>(abra o arquivo 'Referência 09-2025.xlsm)</v>
      </c>
      <c r="F59" s="165" t="str">
        <f ca="1">IF(RegimeExecucao="Global","",ORÇAMENTO.Unidade)</f>
        <v>-</v>
      </c>
      <c r="G59" s="123">
        <f ca="1">IF(RegimeExecucao="Global","",ORÇAMENTO!T59)</f>
        <v>1</v>
      </c>
      <c r="H59" s="123">
        <f ca="1">IF(RegimeExecucao="Global","",ORÇAMENTO!W59)</f>
        <v>0</v>
      </c>
      <c r="I59" s="126">
        <f ca="1">ORÇAMENTO!X59</f>
        <v>0</v>
      </c>
      <c r="J59" s="334" t="e" cm="1">
        <f t="array" aca="1" ref="J59" ca="1">_xlfn.SINGLE(IF($A59="S",IF(CAIXA.Modo,BM.AFAnterior,BM.MEDAnterior),IF(AND(_xlfn.SINGLE(RegimeExecucao)="Global",$I59&gt;0,COUNTIF($AB$13:$AM$13,BM.medicao-1)&gt;0),M59/$I59*100,0)))</f>
        <v>#NAME?</v>
      </c>
      <c r="K59" s="123" t="e">
        <f t="shared" ca="1" si="3"/>
        <v>#NAME?</v>
      </c>
      <c r="L59" s="335" t="e" cm="1">
        <f t="array" aca="1" ref="L59" ca="1">_xlfn.SINGLE(IF($A59="S",IF(CAIXA.Modo,BM.AFAcumulado,BM.MEDAcumulado),IF(AND(_xlfn.SINGLE(RegimeExecucao)="Global",$I59&gt;0,COUNTIF($AB$13:$AM$13,BM.medicao)&gt;0),O59/$I59*100,0)))</f>
        <v>#NAME?</v>
      </c>
      <c r="M59" s="336">
        <f ca="1">IF($A59="S",VTOTALBM,IF($A59=0,0,ROUND(SomaAgrupBM,15-13*ORÇAMENTO!$AF$11)))</f>
        <v>0</v>
      </c>
      <c r="N59" s="337">
        <f t="shared" ca="1" si="4"/>
        <v>0</v>
      </c>
      <c r="O59" s="126">
        <f ca="1">IF($A59="S",VTOTALBM,IF($A59=0,0,ROUND(SomaAgrupBM,15-13*ORÇAMENTO!$AF$11)))</f>
        <v>0</v>
      </c>
      <c r="Q59" s="338"/>
      <c r="R59" s="339"/>
      <c r="T59" s="118" t="str">
        <f t="shared" ca="1" si="5"/>
        <v/>
      </c>
      <c r="U59" s="164" t="str">
        <f t="shared" ca="1" si="6"/>
        <v/>
      </c>
      <c r="V59" s="165" t="str">
        <f ca="1">IF(AND($W59&gt;0,RegimeExecucao="Unitário"),$F59,"")</f>
        <v/>
      </c>
      <c r="W59" s="455">
        <f ca="1">IF($Y59&gt;0,CHOOSE(MATCH(RegimeExecucao,{"Unitário","Global"},0),IF($A59="S",$Y59/$X59,""),($Y59/$X59)*100),0)</f>
        <v>0</v>
      </c>
      <c r="X59" s="340" t="str">
        <f ca="1">IF($Y59&gt;0,CHOOSE(MATCH(RegimeExecucao,{"Unitário","Global"},0),IF($A59="S",ROUND($H59,ORÇAMENTO!$AF$10),""),ROUND($I59,ORÇAMENTO!$AF$11)),"")</f>
        <v/>
      </c>
      <c r="Y59" s="340">
        <f t="shared" ca="1" si="7"/>
        <v>0</v>
      </c>
      <c r="Z59" s="474"/>
      <c r="AB59" s="338"/>
      <c r="AC59" s="438"/>
      <c r="AD59" s="438"/>
      <c r="AE59" s="438"/>
      <c r="AF59" s="438"/>
      <c r="AG59" s="438"/>
      <c r="AH59" s="438"/>
      <c r="AI59" s="438"/>
      <c r="AJ59" s="438"/>
      <c r="AK59" s="438"/>
      <c r="AL59" s="438"/>
      <c r="AM59" s="339"/>
      <c r="AO59" s="675">
        <f ca="1">IF($A59="S",IF(BM!$I59=0,0,CHOOSE(MATCH(RegimeExecucao,{"Global","Unitário"},0),ROUND(ROUND(BM.MEDAcumulado,15-13*BM!$A$9)/100*BM!$I59,15-13*ORÇAMENTO!$AF$11),ROUND(ROUND(BM.MEDAcumulado,15-13*BM!$A$9)*ROUND(BM!$H59,15-13*ORÇAMENTO!$AF$10),15-13*ORÇAMENTO!$AF$11))),IF($A59=0,0,ROUND(SomaAgrupBM,15-13*ORÇAMENTO!$AF$11)))</f>
        <v>0</v>
      </c>
    </row>
    <row r="60" spans="1:41" s="675" customFormat="1" ht="38.25" x14ac:dyDescent="0.2">
      <c r="A60" s="675" t="str">
        <f ca="1">ORÇAMENTO!C60</f>
        <v>S</v>
      </c>
      <c r="B60" s="675">
        <f ca="1">ORÇAMENTO!D60</f>
        <v>0</v>
      </c>
      <c r="C60" s="115" t="str">
        <f t="shared" ca="1" si="1"/>
        <v/>
      </c>
      <c r="D60" s="118" t="str">
        <f ca="1">ORÇAMENTO!O60</f>
        <v>-</v>
      </c>
      <c r="E60" s="164" t="str">
        <f t="shared" ca="1" si="2"/>
        <v>(abra o arquivo 'Referência 09-2025.xlsm)</v>
      </c>
      <c r="F60" s="165" t="str">
        <f ca="1">IF(RegimeExecucao="Global","",ORÇAMENTO.Unidade)</f>
        <v>-</v>
      </c>
      <c r="G60" s="123">
        <f ca="1">IF(RegimeExecucao="Global","",ORÇAMENTO!T60)</f>
        <v>5</v>
      </c>
      <c r="H60" s="123">
        <f ca="1">IF(RegimeExecucao="Global","",ORÇAMENTO!W60)</f>
        <v>0</v>
      </c>
      <c r="I60" s="126">
        <f ca="1">ORÇAMENTO!X60</f>
        <v>0</v>
      </c>
      <c r="J60" s="334" t="e" cm="1">
        <f t="array" aca="1" ref="J60" ca="1">_xlfn.SINGLE(IF($A60="S",IF(CAIXA.Modo,BM.AFAnterior,BM.MEDAnterior),IF(AND(_xlfn.SINGLE(RegimeExecucao)="Global",$I60&gt;0,COUNTIF($AB$13:$AM$13,BM.medicao-1)&gt;0),M60/$I60*100,0)))</f>
        <v>#NAME?</v>
      </c>
      <c r="K60" s="123" t="e">
        <f t="shared" ca="1" si="3"/>
        <v>#NAME?</v>
      </c>
      <c r="L60" s="335" t="e" cm="1">
        <f t="array" aca="1" ref="L60" ca="1">_xlfn.SINGLE(IF($A60="S",IF(CAIXA.Modo,BM.AFAcumulado,BM.MEDAcumulado),IF(AND(_xlfn.SINGLE(RegimeExecucao)="Global",$I60&gt;0,COUNTIF($AB$13:$AM$13,BM.medicao)&gt;0),O60/$I60*100,0)))</f>
        <v>#NAME?</v>
      </c>
      <c r="M60" s="336">
        <f ca="1">IF($A60="S",VTOTALBM,IF($A60=0,0,ROUND(SomaAgrupBM,15-13*ORÇAMENTO!$AF$11)))</f>
        <v>0</v>
      </c>
      <c r="N60" s="337">
        <f t="shared" ca="1" si="4"/>
        <v>0</v>
      </c>
      <c r="O60" s="126">
        <f ca="1">IF($A60="S",VTOTALBM,IF($A60=0,0,ROUND(SomaAgrupBM,15-13*ORÇAMENTO!$AF$11)))</f>
        <v>0</v>
      </c>
      <c r="Q60" s="338"/>
      <c r="R60" s="339"/>
      <c r="T60" s="118" t="str">
        <f t="shared" ca="1" si="5"/>
        <v/>
      </c>
      <c r="U60" s="164" t="str">
        <f t="shared" ca="1" si="6"/>
        <v/>
      </c>
      <c r="V60" s="165" t="str">
        <f ca="1">IF(AND($W60&gt;0,RegimeExecucao="Unitário"),$F60,"")</f>
        <v/>
      </c>
      <c r="W60" s="455">
        <f ca="1">IF($Y60&gt;0,CHOOSE(MATCH(RegimeExecucao,{"Unitário","Global"},0),IF($A60="S",$Y60/$X60,""),($Y60/$X60)*100),0)</f>
        <v>0</v>
      </c>
      <c r="X60" s="340" t="str">
        <f ca="1">IF($Y60&gt;0,CHOOSE(MATCH(RegimeExecucao,{"Unitário","Global"},0),IF($A60="S",ROUND($H60,ORÇAMENTO!$AF$10),""),ROUND($I60,ORÇAMENTO!$AF$11)),"")</f>
        <v/>
      </c>
      <c r="Y60" s="340">
        <f t="shared" ca="1" si="7"/>
        <v>0</v>
      </c>
      <c r="Z60" s="474"/>
      <c r="AB60" s="338"/>
      <c r="AC60" s="438"/>
      <c r="AD60" s="438"/>
      <c r="AE60" s="438"/>
      <c r="AF60" s="438"/>
      <c r="AG60" s="438"/>
      <c r="AH60" s="438"/>
      <c r="AI60" s="438"/>
      <c r="AJ60" s="438"/>
      <c r="AK60" s="438"/>
      <c r="AL60" s="438"/>
      <c r="AM60" s="339"/>
      <c r="AO60" s="675">
        <f ca="1">IF($A60="S",IF(BM!$I60=0,0,CHOOSE(MATCH(RegimeExecucao,{"Global","Unitário"},0),ROUND(ROUND(BM.MEDAcumulado,15-13*BM!$A$9)/100*BM!$I60,15-13*ORÇAMENTO!$AF$11),ROUND(ROUND(BM.MEDAcumulado,15-13*BM!$A$9)*ROUND(BM!$H60,15-13*ORÇAMENTO!$AF$10),15-13*ORÇAMENTO!$AF$11))),IF($A60=0,0,ROUND(SomaAgrupBM,15-13*ORÇAMENTO!$AF$11)))</f>
        <v>0</v>
      </c>
    </row>
    <row r="61" spans="1:41" s="675" customFormat="1" x14ac:dyDescent="0.2">
      <c r="A61" s="675" t="str">
        <f ca="1">ORÇAMENTO!C61</f>
        <v>S</v>
      </c>
      <c r="B61" s="675">
        <f ca="1">ORÇAMENTO!D61</f>
        <v>0</v>
      </c>
      <c r="C61" s="115" t="str">
        <f t="shared" ca="1" si="1"/>
        <v/>
      </c>
      <c r="D61" s="118" t="str">
        <f ca="1">ORÇAMENTO!O61</f>
        <v>-</v>
      </c>
      <c r="E61" s="164" t="str">
        <f t="shared" ca="1" si="2"/>
        <v>(abra o arquivo 'Referência 09-2025.xlsm)</v>
      </c>
      <c r="F61" s="165" t="str">
        <f ca="1">IF(RegimeExecucao="Global","",ORÇAMENTO.Unidade)</f>
        <v>-</v>
      </c>
      <c r="G61" s="123">
        <f ca="1">IF(RegimeExecucao="Global","",ORÇAMENTO!T61)</f>
        <v>8</v>
      </c>
      <c r="H61" s="123">
        <f ca="1">IF(RegimeExecucao="Global","",ORÇAMENTO!W61)</f>
        <v>0</v>
      </c>
      <c r="I61" s="126">
        <f ca="1">ORÇAMENTO!X61</f>
        <v>0</v>
      </c>
      <c r="J61" s="334" t="e" cm="1">
        <f t="array" aca="1" ref="J61" ca="1">_xlfn.SINGLE(IF($A61="S",IF(CAIXA.Modo,BM.AFAnterior,BM.MEDAnterior),IF(AND(_xlfn.SINGLE(RegimeExecucao)="Global",$I61&gt;0,COUNTIF($AB$13:$AM$13,BM.medicao-1)&gt;0),M61/$I61*100,0)))</f>
        <v>#NAME?</v>
      </c>
      <c r="K61" s="123" t="e">
        <f t="shared" ca="1" si="3"/>
        <v>#NAME?</v>
      </c>
      <c r="L61" s="335" t="e" cm="1">
        <f t="array" aca="1" ref="L61" ca="1">_xlfn.SINGLE(IF($A61="S",IF(CAIXA.Modo,BM.AFAcumulado,BM.MEDAcumulado),IF(AND(_xlfn.SINGLE(RegimeExecucao)="Global",$I61&gt;0,COUNTIF($AB$13:$AM$13,BM.medicao)&gt;0),O61/$I61*100,0)))</f>
        <v>#NAME?</v>
      </c>
      <c r="M61" s="336">
        <f ca="1">IF($A61="S",VTOTALBM,IF($A61=0,0,ROUND(SomaAgrupBM,15-13*ORÇAMENTO!$AF$11)))</f>
        <v>0</v>
      </c>
      <c r="N61" s="337">
        <f t="shared" ca="1" si="4"/>
        <v>0</v>
      </c>
      <c r="O61" s="126">
        <f ca="1">IF($A61="S",VTOTALBM,IF($A61=0,0,ROUND(SomaAgrupBM,15-13*ORÇAMENTO!$AF$11)))</f>
        <v>0</v>
      </c>
      <c r="Q61" s="338"/>
      <c r="R61" s="339"/>
      <c r="T61" s="118" t="str">
        <f t="shared" ca="1" si="5"/>
        <v/>
      </c>
      <c r="U61" s="164" t="str">
        <f t="shared" ca="1" si="6"/>
        <v/>
      </c>
      <c r="V61" s="165" t="str">
        <f ca="1">IF(AND($W61&gt;0,RegimeExecucao="Unitário"),$F61,"")</f>
        <v/>
      </c>
      <c r="W61" s="455">
        <f ca="1">IF($Y61&gt;0,CHOOSE(MATCH(RegimeExecucao,{"Unitário","Global"},0),IF($A61="S",$Y61/$X61,""),($Y61/$X61)*100),0)</f>
        <v>0</v>
      </c>
      <c r="X61" s="340" t="str">
        <f ca="1">IF($Y61&gt;0,CHOOSE(MATCH(RegimeExecucao,{"Unitário","Global"},0),IF($A61="S",ROUND($H61,ORÇAMENTO!$AF$10),""),ROUND($I61,ORÇAMENTO!$AF$11)),"")</f>
        <v/>
      </c>
      <c r="Y61" s="340">
        <f t="shared" ca="1" si="7"/>
        <v>0</v>
      </c>
      <c r="Z61" s="474"/>
      <c r="AB61" s="338"/>
      <c r="AC61" s="438"/>
      <c r="AD61" s="438"/>
      <c r="AE61" s="438"/>
      <c r="AF61" s="438"/>
      <c r="AG61" s="438"/>
      <c r="AH61" s="438"/>
      <c r="AI61" s="438"/>
      <c r="AJ61" s="438"/>
      <c r="AK61" s="438"/>
      <c r="AL61" s="438"/>
      <c r="AM61" s="339"/>
      <c r="AO61" s="675">
        <f ca="1">IF($A61="S",IF(BM!$I61=0,0,CHOOSE(MATCH(RegimeExecucao,{"Global","Unitário"},0),ROUND(ROUND(BM.MEDAcumulado,15-13*BM!$A$9)/100*BM!$I61,15-13*ORÇAMENTO!$AF$11),ROUND(ROUND(BM.MEDAcumulado,15-13*BM!$A$9)*ROUND(BM!$H61,15-13*ORÇAMENTO!$AF$10),15-13*ORÇAMENTO!$AF$11))),IF($A61=0,0,ROUND(SomaAgrupBM,15-13*ORÇAMENTO!$AF$11)))</f>
        <v>0</v>
      </c>
    </row>
    <row r="62" spans="1:41" s="675" customFormat="1" ht="25.5" x14ac:dyDescent="0.2">
      <c r="A62" s="675" t="str">
        <f ca="1">ORÇAMENTO!C62</f>
        <v>S</v>
      </c>
      <c r="B62" s="675">
        <f ca="1">ORÇAMENTO!D62</f>
        <v>0</v>
      </c>
      <c r="C62" s="115" t="str">
        <f t="shared" ca="1" si="1"/>
        <v/>
      </c>
      <c r="D62" s="118" t="str">
        <f ca="1">ORÇAMENTO!O62</f>
        <v>-</v>
      </c>
      <c r="E62" s="164" t="str">
        <f t="shared" ca="1" si="2"/>
        <v>(abra o arquivo 'Referência 09-2025.xlsm)</v>
      </c>
      <c r="F62" s="165" t="str">
        <f ca="1">IF(RegimeExecucao="Global","",ORÇAMENTO.Unidade)</f>
        <v>-</v>
      </c>
      <c r="G62" s="123">
        <f ca="1">IF(RegimeExecucao="Global","",ORÇAMENTO!T62)</f>
        <v>3</v>
      </c>
      <c r="H62" s="123">
        <f ca="1">IF(RegimeExecucao="Global","",ORÇAMENTO!W62)</f>
        <v>0</v>
      </c>
      <c r="I62" s="126">
        <f ca="1">ORÇAMENTO!X62</f>
        <v>0</v>
      </c>
      <c r="J62" s="334" t="e" cm="1">
        <f t="array" aca="1" ref="J62" ca="1">_xlfn.SINGLE(IF($A62="S",IF(CAIXA.Modo,BM.AFAnterior,BM.MEDAnterior),IF(AND(_xlfn.SINGLE(RegimeExecucao)="Global",$I62&gt;0,COUNTIF($AB$13:$AM$13,BM.medicao-1)&gt;0),M62/$I62*100,0)))</f>
        <v>#NAME?</v>
      </c>
      <c r="K62" s="123" t="e">
        <f t="shared" ca="1" si="3"/>
        <v>#NAME?</v>
      </c>
      <c r="L62" s="335" t="e" cm="1">
        <f t="array" aca="1" ref="L62" ca="1">_xlfn.SINGLE(IF($A62="S",IF(CAIXA.Modo,BM.AFAcumulado,BM.MEDAcumulado),IF(AND(_xlfn.SINGLE(RegimeExecucao)="Global",$I62&gt;0,COUNTIF($AB$13:$AM$13,BM.medicao)&gt;0),O62/$I62*100,0)))</f>
        <v>#NAME?</v>
      </c>
      <c r="M62" s="336">
        <f ca="1">IF($A62="S",VTOTALBM,IF($A62=0,0,ROUND(SomaAgrupBM,15-13*ORÇAMENTO!$AF$11)))</f>
        <v>0</v>
      </c>
      <c r="N62" s="337">
        <f t="shared" ca="1" si="4"/>
        <v>0</v>
      </c>
      <c r="O62" s="126">
        <f ca="1">IF($A62="S",VTOTALBM,IF($A62=0,0,ROUND(SomaAgrupBM,15-13*ORÇAMENTO!$AF$11)))</f>
        <v>0</v>
      </c>
      <c r="Q62" s="338"/>
      <c r="R62" s="339"/>
      <c r="T62" s="118" t="str">
        <f t="shared" ca="1" si="5"/>
        <v/>
      </c>
      <c r="U62" s="164" t="str">
        <f t="shared" ca="1" si="6"/>
        <v/>
      </c>
      <c r="V62" s="165" t="str">
        <f ca="1">IF(AND($W62&gt;0,RegimeExecucao="Unitário"),$F62,"")</f>
        <v/>
      </c>
      <c r="W62" s="455">
        <f ca="1">IF($Y62&gt;0,CHOOSE(MATCH(RegimeExecucao,{"Unitário","Global"},0),IF($A62="S",$Y62/$X62,""),($Y62/$X62)*100),0)</f>
        <v>0</v>
      </c>
      <c r="X62" s="340" t="str">
        <f ca="1">IF($Y62&gt;0,CHOOSE(MATCH(RegimeExecucao,{"Unitário","Global"},0),IF($A62="S",ROUND($H62,ORÇAMENTO!$AF$10),""),ROUND($I62,ORÇAMENTO!$AF$11)),"")</f>
        <v/>
      </c>
      <c r="Y62" s="340">
        <f t="shared" ca="1" si="7"/>
        <v>0</v>
      </c>
      <c r="Z62" s="474"/>
      <c r="AB62" s="338"/>
      <c r="AC62" s="438"/>
      <c r="AD62" s="438"/>
      <c r="AE62" s="438"/>
      <c r="AF62" s="438"/>
      <c r="AG62" s="438"/>
      <c r="AH62" s="438"/>
      <c r="AI62" s="438"/>
      <c r="AJ62" s="438"/>
      <c r="AK62" s="438"/>
      <c r="AL62" s="438"/>
      <c r="AM62" s="339"/>
      <c r="AO62" s="675">
        <f ca="1">IF($A62="S",IF(BM!$I62=0,0,CHOOSE(MATCH(RegimeExecucao,{"Global","Unitário"},0),ROUND(ROUND(BM.MEDAcumulado,15-13*BM!$A$9)/100*BM!$I62,15-13*ORÇAMENTO!$AF$11),ROUND(ROUND(BM.MEDAcumulado,15-13*BM!$A$9)*ROUND(BM!$H62,15-13*ORÇAMENTO!$AF$10),15-13*ORÇAMENTO!$AF$11))),IF($A62=0,0,ROUND(SomaAgrupBM,15-13*ORÇAMENTO!$AF$11)))</f>
        <v>0</v>
      </c>
    </row>
    <row r="63" spans="1:41" s="675" customFormat="1" ht="25.5" x14ac:dyDescent="0.2">
      <c r="A63" s="675" t="str">
        <f ca="1">ORÇAMENTO!C63</f>
        <v>S</v>
      </c>
      <c r="B63" s="675">
        <f ca="1">ORÇAMENTO!D63</f>
        <v>0</v>
      </c>
      <c r="C63" s="115" t="str">
        <f t="shared" ca="1" si="1"/>
        <v/>
      </c>
      <c r="D63" s="118" t="str">
        <f ca="1">ORÇAMENTO!O63</f>
        <v>-</v>
      </c>
      <c r="E63" s="164" t="str">
        <f t="shared" ca="1" si="2"/>
        <v>(abra o arquivo 'Referência 09-2025.xlsm)</v>
      </c>
      <c r="F63" s="165" t="str">
        <f ca="1">IF(RegimeExecucao="Global","",ORÇAMENTO.Unidade)</f>
        <v>-</v>
      </c>
      <c r="G63" s="123">
        <f ca="1">IF(RegimeExecucao="Global","",ORÇAMENTO!T63)</f>
        <v>2</v>
      </c>
      <c r="H63" s="123">
        <f ca="1">IF(RegimeExecucao="Global","",ORÇAMENTO!W63)</f>
        <v>0</v>
      </c>
      <c r="I63" s="126">
        <f ca="1">ORÇAMENTO!X63</f>
        <v>0</v>
      </c>
      <c r="J63" s="334" t="e" cm="1">
        <f t="array" aca="1" ref="J63" ca="1">_xlfn.SINGLE(IF($A63="S",IF(CAIXA.Modo,BM.AFAnterior,BM.MEDAnterior),IF(AND(_xlfn.SINGLE(RegimeExecucao)="Global",$I63&gt;0,COUNTIF($AB$13:$AM$13,BM.medicao-1)&gt;0),M63/$I63*100,0)))</f>
        <v>#NAME?</v>
      </c>
      <c r="K63" s="123" t="e">
        <f t="shared" ca="1" si="3"/>
        <v>#NAME?</v>
      </c>
      <c r="L63" s="335" t="e" cm="1">
        <f t="array" aca="1" ref="L63" ca="1">_xlfn.SINGLE(IF($A63="S",IF(CAIXA.Modo,BM.AFAcumulado,BM.MEDAcumulado),IF(AND(_xlfn.SINGLE(RegimeExecucao)="Global",$I63&gt;0,COUNTIF($AB$13:$AM$13,BM.medicao)&gt;0),O63/$I63*100,0)))</f>
        <v>#NAME?</v>
      </c>
      <c r="M63" s="336">
        <f ca="1">IF($A63="S",VTOTALBM,IF($A63=0,0,ROUND(SomaAgrupBM,15-13*ORÇAMENTO!$AF$11)))</f>
        <v>0</v>
      </c>
      <c r="N63" s="337">
        <f t="shared" ca="1" si="4"/>
        <v>0</v>
      </c>
      <c r="O63" s="126">
        <f ca="1">IF($A63="S",VTOTALBM,IF($A63=0,0,ROUND(SomaAgrupBM,15-13*ORÇAMENTO!$AF$11)))</f>
        <v>0</v>
      </c>
      <c r="Q63" s="338"/>
      <c r="R63" s="339"/>
      <c r="T63" s="118" t="str">
        <f t="shared" ca="1" si="5"/>
        <v/>
      </c>
      <c r="U63" s="164" t="str">
        <f t="shared" ca="1" si="6"/>
        <v/>
      </c>
      <c r="V63" s="165" t="str">
        <f ca="1">IF(AND($W63&gt;0,RegimeExecucao="Unitário"),$F63,"")</f>
        <v/>
      </c>
      <c r="W63" s="455">
        <f ca="1">IF($Y63&gt;0,CHOOSE(MATCH(RegimeExecucao,{"Unitário","Global"},0),IF($A63="S",$Y63/$X63,""),($Y63/$X63)*100),0)</f>
        <v>0</v>
      </c>
      <c r="X63" s="340" t="str">
        <f ca="1">IF($Y63&gt;0,CHOOSE(MATCH(RegimeExecucao,{"Unitário","Global"},0),IF($A63="S",ROUND($H63,ORÇAMENTO!$AF$10),""),ROUND($I63,ORÇAMENTO!$AF$11)),"")</f>
        <v/>
      </c>
      <c r="Y63" s="340">
        <f t="shared" ca="1" si="7"/>
        <v>0</v>
      </c>
      <c r="Z63" s="474"/>
      <c r="AB63" s="338"/>
      <c r="AC63" s="438"/>
      <c r="AD63" s="438"/>
      <c r="AE63" s="438"/>
      <c r="AF63" s="438"/>
      <c r="AG63" s="438"/>
      <c r="AH63" s="438"/>
      <c r="AI63" s="438"/>
      <c r="AJ63" s="438"/>
      <c r="AK63" s="438"/>
      <c r="AL63" s="438"/>
      <c r="AM63" s="339"/>
      <c r="AO63" s="675">
        <f ca="1">IF($A63="S",IF(BM!$I63=0,0,CHOOSE(MATCH(RegimeExecucao,{"Global","Unitário"},0),ROUND(ROUND(BM.MEDAcumulado,15-13*BM!$A$9)/100*BM!$I63,15-13*ORÇAMENTO!$AF$11),ROUND(ROUND(BM.MEDAcumulado,15-13*BM!$A$9)*ROUND(BM!$H63,15-13*ORÇAMENTO!$AF$10),15-13*ORÇAMENTO!$AF$11))),IF($A63=0,0,ROUND(SomaAgrupBM,15-13*ORÇAMENTO!$AF$11)))</f>
        <v>0</v>
      </c>
    </row>
    <row r="64" spans="1:41" s="675" customFormat="1" x14ac:dyDescent="0.2">
      <c r="A64" s="675">
        <f ca="1">ORÇAMENTO!C64</f>
        <v>2</v>
      </c>
      <c r="B64" s="675">
        <f ca="1">ORÇAMENTO!D64</f>
        <v>6</v>
      </c>
      <c r="C64" s="115" t="str">
        <f t="shared" ca="1" si="1"/>
        <v>F</v>
      </c>
      <c r="D64" s="118" t="str">
        <f ca="1">ORÇAMENTO!O64</f>
        <v>1.6.</v>
      </c>
      <c r="E64" s="164" t="str">
        <f t="shared" si="2"/>
        <v>POÇO DE VISITA PARA PROTEÇÃO VENTOSAS E DESCARGAS</v>
      </c>
      <c r="F64" s="165" t="str">
        <f ca="1">IF(RegimeExecucao="Global","",ORÇAMENTO.Unidade)</f>
        <v>-</v>
      </c>
      <c r="G64" s="123">
        <f ca="1">IF(RegimeExecucao="Global","",ORÇAMENTO!T64)</f>
        <v>0</v>
      </c>
      <c r="H64" s="123">
        <f ca="1">IF(RegimeExecucao="Global","",ORÇAMENTO!W64)</f>
        <v>0</v>
      </c>
      <c r="I64" s="126">
        <f ca="1">ORÇAMENTO!X64</f>
        <v>0</v>
      </c>
      <c r="J64" s="334" t="e" cm="1">
        <f t="array" aca="1" ref="J64" ca="1">_xlfn.SINGLE(IF($A64="S",IF(CAIXA.Modo,BM.AFAnterior,BM.MEDAnterior),IF(AND(_xlfn.SINGLE(RegimeExecucao)="Global",$I64&gt;0,COUNTIF($AB$13:$AM$13,BM.medicao-1)&gt;0),M64/$I64*100,0)))</f>
        <v>#NAME?</v>
      </c>
      <c r="K64" s="123" t="e">
        <f t="shared" ca="1" si="3"/>
        <v>#NAME?</v>
      </c>
      <c r="L64" s="335" t="e" cm="1">
        <f t="array" aca="1" ref="L64" ca="1">_xlfn.SINGLE(IF($A64="S",IF(CAIXA.Modo,BM.AFAcumulado,BM.MEDAcumulado),IF(AND(_xlfn.SINGLE(RegimeExecucao)="Global",$I64&gt;0,COUNTIF($AB$13:$AM$13,BM.medicao)&gt;0),O64/$I64*100,0)))</f>
        <v>#NAME?</v>
      </c>
      <c r="M64" s="336">
        <f ca="1">IF($A64="S",VTOTALBM,IF($A64=0,0,ROUND(SomaAgrupBM,15-13*ORÇAMENTO!$AF$11)))</f>
        <v>0</v>
      </c>
      <c r="N64" s="337">
        <f t="shared" ca="1" si="4"/>
        <v>0</v>
      </c>
      <c r="O64" s="126">
        <f ca="1">IF($A64="S",VTOTALBM,IF($A64=0,0,ROUND(SomaAgrupBM,15-13*ORÇAMENTO!$AF$11)))</f>
        <v>0</v>
      </c>
      <c r="Q64" s="338"/>
      <c r="R64" s="339"/>
      <c r="T64" s="118" t="str">
        <f t="shared" ca="1" si="5"/>
        <v/>
      </c>
      <c r="U64" s="164" t="str">
        <f t="shared" ca="1" si="6"/>
        <v/>
      </c>
      <c r="V64" s="165" t="str">
        <f ca="1">IF(AND($W64&gt;0,RegimeExecucao="Unitário"),$F64,"")</f>
        <v/>
      </c>
      <c r="W64" s="455">
        <f ca="1">IF($Y64&gt;0,CHOOSE(MATCH(RegimeExecucao,{"Unitário","Global"},0),IF($A64="S",$Y64/$X64,""),($Y64/$X64)*100),0)</f>
        <v>0</v>
      </c>
      <c r="X64" s="340" t="str">
        <f ca="1">IF($Y64&gt;0,CHOOSE(MATCH(RegimeExecucao,{"Unitário","Global"},0),IF($A64="S",ROUND($H64,ORÇAMENTO!$AF$10),""),ROUND($I64,ORÇAMENTO!$AF$11)),"")</f>
        <v/>
      </c>
      <c r="Y64" s="340">
        <f t="shared" ca="1" si="7"/>
        <v>0</v>
      </c>
      <c r="Z64" s="474"/>
      <c r="AB64" s="338"/>
      <c r="AC64" s="438"/>
      <c r="AD64" s="438"/>
      <c r="AE64" s="438"/>
      <c r="AF64" s="438"/>
      <c r="AG64" s="438"/>
      <c r="AH64" s="438"/>
      <c r="AI64" s="438"/>
      <c r="AJ64" s="438"/>
      <c r="AK64" s="438"/>
      <c r="AL64" s="438"/>
      <c r="AM64" s="339"/>
      <c r="AO64" s="675">
        <f ca="1">IF($A64="S",IF(BM!$I64=0,0,CHOOSE(MATCH(RegimeExecucao,{"Global","Unitário"},0),ROUND(ROUND(BM.MEDAcumulado,15-13*BM!$A$9)/100*BM!$I64,15-13*ORÇAMENTO!$AF$11),ROUND(ROUND(BM.MEDAcumulado,15-13*BM!$A$9)*ROUND(BM!$H64,15-13*ORÇAMENTO!$AF$10),15-13*ORÇAMENTO!$AF$11))),IF($A64=0,0,ROUND(SomaAgrupBM,15-13*ORÇAMENTO!$AF$11)))</f>
        <v>0</v>
      </c>
    </row>
    <row r="65" spans="1:41" s="675" customFormat="1" ht="38.25" x14ac:dyDescent="0.2">
      <c r="A65" s="675" t="str">
        <f ca="1">ORÇAMENTO!C65</f>
        <v>S</v>
      </c>
      <c r="B65" s="675">
        <f ca="1">ORÇAMENTO!D65</f>
        <v>0</v>
      </c>
      <c r="C65" s="115" t="str">
        <f t="shared" ca="1" si="1"/>
        <v/>
      </c>
      <c r="D65" s="118" t="str">
        <f ca="1">ORÇAMENTO!O65</f>
        <v>-</v>
      </c>
      <c r="E65" s="164" t="str">
        <f t="shared" ca="1" si="2"/>
        <v>(abra o arquivo 'Referência 09-2025.xlsm)</v>
      </c>
      <c r="F65" s="165" t="str">
        <f ca="1">IF(RegimeExecucao="Global","",ORÇAMENTO.Unidade)</f>
        <v>-</v>
      </c>
      <c r="G65" s="123">
        <f ca="1">IF(RegimeExecucao="Global","",ORÇAMENTO!T65)</f>
        <v>8</v>
      </c>
      <c r="H65" s="123">
        <f ca="1">IF(RegimeExecucao="Global","",ORÇAMENTO!W65)</f>
        <v>0</v>
      </c>
      <c r="I65" s="126">
        <f ca="1">ORÇAMENTO!X65</f>
        <v>0</v>
      </c>
      <c r="J65" s="334" t="e" cm="1">
        <f t="array" aca="1" ref="J65" ca="1">_xlfn.SINGLE(IF($A65="S",IF(CAIXA.Modo,BM.AFAnterior,BM.MEDAnterior),IF(AND(_xlfn.SINGLE(RegimeExecucao)="Global",$I65&gt;0,COUNTIF($AB$13:$AM$13,BM.medicao-1)&gt;0),M65/$I65*100,0)))</f>
        <v>#NAME?</v>
      </c>
      <c r="K65" s="123" t="e">
        <f t="shared" ca="1" si="3"/>
        <v>#NAME?</v>
      </c>
      <c r="L65" s="335" t="e" cm="1">
        <f t="array" aca="1" ref="L65" ca="1">_xlfn.SINGLE(IF($A65="S",IF(CAIXA.Modo,BM.AFAcumulado,BM.MEDAcumulado),IF(AND(_xlfn.SINGLE(RegimeExecucao)="Global",$I65&gt;0,COUNTIF($AB$13:$AM$13,BM.medicao)&gt;0),O65/$I65*100,0)))</f>
        <v>#NAME?</v>
      </c>
      <c r="M65" s="336">
        <f ca="1">IF($A65="S",VTOTALBM,IF($A65=0,0,ROUND(SomaAgrupBM,15-13*ORÇAMENTO!$AF$11)))</f>
        <v>0</v>
      </c>
      <c r="N65" s="337">
        <f t="shared" ca="1" si="4"/>
        <v>0</v>
      </c>
      <c r="O65" s="126">
        <f ca="1">IF($A65="S",VTOTALBM,IF($A65=0,0,ROUND(SomaAgrupBM,15-13*ORÇAMENTO!$AF$11)))</f>
        <v>0</v>
      </c>
      <c r="Q65" s="338"/>
      <c r="R65" s="339"/>
      <c r="T65" s="118" t="str">
        <f t="shared" ca="1" si="5"/>
        <v/>
      </c>
      <c r="U65" s="164" t="str">
        <f t="shared" ca="1" si="6"/>
        <v/>
      </c>
      <c r="V65" s="165" t="str">
        <f ca="1">IF(AND($W65&gt;0,RegimeExecucao="Unitário"),$F65,"")</f>
        <v/>
      </c>
      <c r="W65" s="455">
        <f ca="1">IF($Y65&gt;0,CHOOSE(MATCH(RegimeExecucao,{"Unitário","Global"},0),IF($A65="S",$Y65/$X65,""),($Y65/$X65)*100),0)</f>
        <v>0</v>
      </c>
      <c r="X65" s="340" t="str">
        <f ca="1">IF($Y65&gt;0,CHOOSE(MATCH(RegimeExecucao,{"Unitário","Global"},0),IF($A65="S",ROUND($H65,ORÇAMENTO!$AF$10),""),ROUND($I65,ORÇAMENTO!$AF$11)),"")</f>
        <v/>
      </c>
      <c r="Y65" s="340">
        <f t="shared" ca="1" si="7"/>
        <v>0</v>
      </c>
      <c r="Z65" s="474"/>
      <c r="AB65" s="338"/>
      <c r="AC65" s="438"/>
      <c r="AD65" s="438"/>
      <c r="AE65" s="438"/>
      <c r="AF65" s="438"/>
      <c r="AG65" s="438"/>
      <c r="AH65" s="438"/>
      <c r="AI65" s="438"/>
      <c r="AJ65" s="438"/>
      <c r="AK65" s="438"/>
      <c r="AL65" s="438"/>
      <c r="AM65" s="339"/>
      <c r="AO65" s="675">
        <f ca="1">IF($A65="S",IF(BM!$I65=0,0,CHOOSE(MATCH(RegimeExecucao,{"Global","Unitário"},0),ROUND(ROUND(BM.MEDAcumulado,15-13*BM!$A$9)/100*BM!$I65,15-13*ORÇAMENTO!$AF$11),ROUND(ROUND(BM.MEDAcumulado,15-13*BM!$A$9)*ROUND(BM!$H65,15-13*ORÇAMENTO!$AF$10),15-13*ORÇAMENTO!$AF$11))),IF($A65=0,0,ROUND(SomaAgrupBM,15-13*ORÇAMENTO!$AF$11)))</f>
        <v>0</v>
      </c>
    </row>
    <row r="66" spans="1:41" s="675" customFormat="1" ht="25.5" x14ac:dyDescent="0.2">
      <c r="A66" s="675" t="str">
        <f ca="1">ORÇAMENTO!C66</f>
        <v>S</v>
      </c>
      <c r="B66" s="675">
        <f ca="1">ORÇAMENTO!D66</f>
        <v>0</v>
      </c>
      <c r="C66" s="115" t="str">
        <f t="shared" ca="1" si="1"/>
        <v/>
      </c>
      <c r="D66" s="118" t="str">
        <f ca="1">ORÇAMENTO!O66</f>
        <v>-</v>
      </c>
      <c r="E66" s="164" t="str">
        <f t="shared" ca="1" si="2"/>
        <v>(abra o arquivo 'Referência 09-2025.xlsm)</v>
      </c>
      <c r="F66" s="165" t="str">
        <f ca="1">IF(RegimeExecucao="Global","",ORÇAMENTO.Unidade)</f>
        <v>-</v>
      </c>
      <c r="G66" s="123">
        <f ca="1">IF(RegimeExecucao="Global","",ORÇAMENTO!T66)</f>
        <v>6.3</v>
      </c>
      <c r="H66" s="123">
        <f ca="1">IF(RegimeExecucao="Global","",ORÇAMENTO!W66)</f>
        <v>0</v>
      </c>
      <c r="I66" s="126">
        <f ca="1">ORÇAMENTO!X66</f>
        <v>0</v>
      </c>
      <c r="J66" s="334" t="e" cm="1">
        <f t="array" aca="1" ref="J66" ca="1">_xlfn.SINGLE(IF($A66="S",IF(CAIXA.Modo,BM.AFAnterior,BM.MEDAnterior),IF(AND(_xlfn.SINGLE(RegimeExecucao)="Global",$I66&gt;0,COUNTIF($AB$13:$AM$13,BM.medicao-1)&gt;0),M66/$I66*100,0)))</f>
        <v>#NAME?</v>
      </c>
      <c r="K66" s="123" t="e">
        <f t="shared" ca="1" si="3"/>
        <v>#NAME?</v>
      </c>
      <c r="L66" s="335" t="e" cm="1">
        <f t="array" aca="1" ref="L66" ca="1">_xlfn.SINGLE(IF($A66="S",IF(CAIXA.Modo,BM.AFAcumulado,BM.MEDAcumulado),IF(AND(_xlfn.SINGLE(RegimeExecucao)="Global",$I66&gt;0,COUNTIF($AB$13:$AM$13,BM.medicao)&gt;0),O66/$I66*100,0)))</f>
        <v>#NAME?</v>
      </c>
      <c r="M66" s="336">
        <f ca="1">IF($A66="S",VTOTALBM,IF($A66=0,0,ROUND(SomaAgrupBM,15-13*ORÇAMENTO!$AF$11)))</f>
        <v>0</v>
      </c>
      <c r="N66" s="337">
        <f t="shared" ca="1" si="4"/>
        <v>0</v>
      </c>
      <c r="O66" s="126">
        <f ca="1">IF($A66="S",VTOTALBM,IF($A66=0,0,ROUND(SomaAgrupBM,15-13*ORÇAMENTO!$AF$11)))</f>
        <v>0</v>
      </c>
      <c r="Q66" s="338"/>
      <c r="R66" s="339"/>
      <c r="T66" s="118" t="str">
        <f t="shared" ca="1" si="5"/>
        <v/>
      </c>
      <c r="U66" s="164" t="str">
        <f t="shared" ca="1" si="6"/>
        <v/>
      </c>
      <c r="V66" s="165" t="str">
        <f ca="1">IF(AND($W66&gt;0,RegimeExecucao="Unitário"),$F66,"")</f>
        <v/>
      </c>
      <c r="W66" s="455">
        <f ca="1">IF($Y66&gt;0,CHOOSE(MATCH(RegimeExecucao,{"Unitário","Global"},0),IF($A66="S",$Y66/$X66,""),($Y66/$X66)*100),0)</f>
        <v>0</v>
      </c>
      <c r="X66" s="340" t="str">
        <f ca="1">IF($Y66&gt;0,CHOOSE(MATCH(RegimeExecucao,{"Unitário","Global"},0),IF($A66="S",ROUND($H66,ORÇAMENTO!$AF$10),""),ROUND($I66,ORÇAMENTO!$AF$11)),"")</f>
        <v/>
      </c>
      <c r="Y66" s="340">
        <f t="shared" ca="1" si="7"/>
        <v>0</v>
      </c>
      <c r="Z66" s="474"/>
      <c r="AB66" s="338"/>
      <c r="AC66" s="438"/>
      <c r="AD66" s="438"/>
      <c r="AE66" s="438"/>
      <c r="AF66" s="438"/>
      <c r="AG66" s="438"/>
      <c r="AH66" s="438"/>
      <c r="AI66" s="438"/>
      <c r="AJ66" s="438"/>
      <c r="AK66" s="438"/>
      <c r="AL66" s="438"/>
      <c r="AM66" s="339"/>
      <c r="AO66" s="675">
        <f ca="1">IF($A66="S",IF(BM!$I66=0,0,CHOOSE(MATCH(RegimeExecucao,{"Global","Unitário"},0),ROUND(ROUND(BM.MEDAcumulado,15-13*BM!$A$9)/100*BM!$I66,15-13*ORÇAMENTO!$AF$11),ROUND(ROUND(BM.MEDAcumulado,15-13*BM!$A$9)*ROUND(BM!$H66,15-13*ORÇAMENTO!$AF$10),15-13*ORÇAMENTO!$AF$11))),IF($A66=0,0,ROUND(SomaAgrupBM,15-13*ORÇAMENTO!$AF$11)))</f>
        <v>0</v>
      </c>
    </row>
    <row r="67" spans="1:41" s="675" customFormat="1" ht="38.25" x14ac:dyDescent="0.2">
      <c r="A67" s="675" t="str">
        <f ca="1">ORÇAMENTO!C67</f>
        <v>S</v>
      </c>
      <c r="B67" s="675">
        <f ca="1">ORÇAMENTO!D67</f>
        <v>0</v>
      </c>
      <c r="C67" s="115" t="str">
        <f t="shared" ca="1" si="1"/>
        <v/>
      </c>
      <c r="D67" s="118" t="str">
        <f ca="1">ORÇAMENTO!O67</f>
        <v>-</v>
      </c>
      <c r="E67" s="164" t="str">
        <f t="shared" ca="1" si="2"/>
        <v>(abra o arquivo 'Referência 09-2025.xlsm)</v>
      </c>
      <c r="F67" s="165" t="str">
        <f ca="1">IF(RegimeExecucao="Global","",ORÇAMENTO.Unidade)</f>
        <v>-</v>
      </c>
      <c r="G67" s="123">
        <f ca="1">IF(RegimeExecucao="Global","",ORÇAMENTO!T67)</f>
        <v>2</v>
      </c>
      <c r="H67" s="123">
        <f ca="1">IF(RegimeExecucao="Global","",ORÇAMENTO!W67)</f>
        <v>0</v>
      </c>
      <c r="I67" s="126">
        <f ca="1">ORÇAMENTO!X67</f>
        <v>0</v>
      </c>
      <c r="J67" s="334" t="e" cm="1">
        <f t="array" aca="1" ref="J67" ca="1">_xlfn.SINGLE(IF($A67="S",IF(CAIXA.Modo,BM.AFAnterior,BM.MEDAnterior),IF(AND(_xlfn.SINGLE(RegimeExecucao)="Global",$I67&gt;0,COUNTIF($AB$13:$AM$13,BM.medicao-1)&gt;0),M67/$I67*100,0)))</f>
        <v>#NAME?</v>
      </c>
      <c r="K67" s="123" t="e">
        <f t="shared" ca="1" si="3"/>
        <v>#NAME?</v>
      </c>
      <c r="L67" s="335" t="e" cm="1">
        <f t="array" aca="1" ref="L67" ca="1">_xlfn.SINGLE(IF($A67="S",IF(CAIXA.Modo,BM.AFAcumulado,BM.MEDAcumulado),IF(AND(_xlfn.SINGLE(RegimeExecucao)="Global",$I67&gt;0,COUNTIF($AB$13:$AM$13,BM.medicao)&gt;0),O67/$I67*100,0)))</f>
        <v>#NAME?</v>
      </c>
      <c r="M67" s="336">
        <f ca="1">IF($A67="S",VTOTALBM,IF($A67=0,0,ROUND(SomaAgrupBM,15-13*ORÇAMENTO!$AF$11)))</f>
        <v>0</v>
      </c>
      <c r="N67" s="337">
        <f t="shared" ca="1" si="4"/>
        <v>0</v>
      </c>
      <c r="O67" s="126">
        <f ca="1">IF($A67="S",VTOTALBM,IF($A67=0,0,ROUND(SomaAgrupBM,15-13*ORÇAMENTO!$AF$11)))</f>
        <v>0</v>
      </c>
      <c r="Q67" s="338"/>
      <c r="R67" s="339"/>
      <c r="T67" s="118" t="str">
        <f t="shared" ca="1" si="5"/>
        <v/>
      </c>
      <c r="U67" s="164" t="str">
        <f t="shared" ca="1" si="6"/>
        <v/>
      </c>
      <c r="V67" s="165" t="str">
        <f ca="1">IF(AND($W67&gt;0,RegimeExecucao="Unitário"),$F67,"")</f>
        <v/>
      </c>
      <c r="W67" s="455">
        <f ca="1">IF($Y67&gt;0,CHOOSE(MATCH(RegimeExecucao,{"Unitário","Global"},0),IF($A67="S",$Y67/$X67,""),($Y67/$X67)*100),0)</f>
        <v>0</v>
      </c>
      <c r="X67" s="340" t="str">
        <f ca="1">IF($Y67&gt;0,CHOOSE(MATCH(RegimeExecucao,{"Unitário","Global"},0),IF($A67="S",ROUND($H67,ORÇAMENTO!$AF$10),""),ROUND($I67,ORÇAMENTO!$AF$11)),"")</f>
        <v/>
      </c>
      <c r="Y67" s="340">
        <f t="shared" ca="1" si="7"/>
        <v>0</v>
      </c>
      <c r="Z67" s="474"/>
      <c r="AB67" s="338"/>
      <c r="AC67" s="438"/>
      <c r="AD67" s="438"/>
      <c r="AE67" s="438"/>
      <c r="AF67" s="438"/>
      <c r="AG67" s="438"/>
      <c r="AH67" s="438"/>
      <c r="AI67" s="438"/>
      <c r="AJ67" s="438"/>
      <c r="AK67" s="438"/>
      <c r="AL67" s="438"/>
      <c r="AM67" s="339"/>
      <c r="AO67" s="675">
        <f ca="1">IF($A67="S",IF(BM!$I67=0,0,CHOOSE(MATCH(RegimeExecucao,{"Global","Unitário"},0),ROUND(ROUND(BM.MEDAcumulado,15-13*BM!$A$9)/100*BM!$I67,15-13*ORÇAMENTO!$AF$11),ROUND(ROUND(BM.MEDAcumulado,15-13*BM!$A$9)*ROUND(BM!$H67,15-13*ORÇAMENTO!$AF$10),15-13*ORÇAMENTO!$AF$11))),IF($A67=0,0,ROUND(SomaAgrupBM,15-13*ORÇAMENTO!$AF$11)))</f>
        <v>0</v>
      </c>
    </row>
    <row r="68" spans="1:41" s="675" customFormat="1" ht="25.5" x14ac:dyDescent="0.2">
      <c r="A68" s="675" t="str">
        <f ca="1">ORÇAMENTO!C68</f>
        <v>S</v>
      </c>
      <c r="B68" s="675">
        <f ca="1">ORÇAMENTO!D68</f>
        <v>0</v>
      </c>
      <c r="C68" s="115" t="str">
        <f t="shared" ca="1" si="1"/>
        <v/>
      </c>
      <c r="D68" s="118" t="str">
        <f ca="1">ORÇAMENTO!O68</f>
        <v>-</v>
      </c>
      <c r="E68" s="164" t="str">
        <f t="shared" ca="1" si="2"/>
        <v>(abra o arquivo 'Referência 09-2025.xlsm)</v>
      </c>
      <c r="F68" s="165" t="str">
        <f ca="1">IF(RegimeExecucao="Global","",ORÇAMENTO.Unidade)</f>
        <v>-</v>
      </c>
      <c r="G68" s="123">
        <f ca="1">IF(RegimeExecucao="Global","",ORÇAMENTO!T68)</f>
        <v>2.4</v>
      </c>
      <c r="H68" s="123">
        <f ca="1">IF(RegimeExecucao="Global","",ORÇAMENTO!W68)</f>
        <v>0</v>
      </c>
      <c r="I68" s="126">
        <f ca="1">ORÇAMENTO!X68</f>
        <v>0</v>
      </c>
      <c r="J68" s="334" t="e" cm="1">
        <f t="array" aca="1" ref="J68" ca="1">_xlfn.SINGLE(IF($A68="S",IF(CAIXA.Modo,BM.AFAnterior,BM.MEDAnterior),IF(AND(_xlfn.SINGLE(RegimeExecucao)="Global",$I68&gt;0,COUNTIF($AB$13:$AM$13,BM.medicao-1)&gt;0),M68/$I68*100,0)))</f>
        <v>#NAME?</v>
      </c>
      <c r="K68" s="123" t="e">
        <f t="shared" ca="1" si="3"/>
        <v>#NAME?</v>
      </c>
      <c r="L68" s="335" t="e" cm="1">
        <f t="array" aca="1" ref="L68" ca="1">_xlfn.SINGLE(IF($A68="S",IF(CAIXA.Modo,BM.AFAcumulado,BM.MEDAcumulado),IF(AND(_xlfn.SINGLE(RegimeExecucao)="Global",$I68&gt;0,COUNTIF($AB$13:$AM$13,BM.medicao)&gt;0),O68/$I68*100,0)))</f>
        <v>#NAME?</v>
      </c>
      <c r="M68" s="336">
        <f ca="1">IF($A68="S",VTOTALBM,IF($A68=0,0,ROUND(SomaAgrupBM,15-13*ORÇAMENTO!$AF$11)))</f>
        <v>0</v>
      </c>
      <c r="N68" s="337">
        <f t="shared" ca="1" si="4"/>
        <v>0</v>
      </c>
      <c r="O68" s="126">
        <f ca="1">IF($A68="S",VTOTALBM,IF($A68=0,0,ROUND(SomaAgrupBM,15-13*ORÇAMENTO!$AF$11)))</f>
        <v>0</v>
      </c>
      <c r="Q68" s="338"/>
      <c r="R68" s="339"/>
      <c r="T68" s="118" t="str">
        <f t="shared" ca="1" si="5"/>
        <v/>
      </c>
      <c r="U68" s="164" t="str">
        <f t="shared" ca="1" si="6"/>
        <v/>
      </c>
      <c r="V68" s="165" t="str">
        <f ca="1">IF(AND($W68&gt;0,RegimeExecucao="Unitário"),$F68,"")</f>
        <v/>
      </c>
      <c r="W68" s="455">
        <f ca="1">IF($Y68&gt;0,CHOOSE(MATCH(RegimeExecucao,{"Unitário","Global"},0),IF($A68="S",$Y68/$X68,""),($Y68/$X68)*100),0)</f>
        <v>0</v>
      </c>
      <c r="X68" s="340" t="str">
        <f ca="1">IF($Y68&gt;0,CHOOSE(MATCH(RegimeExecucao,{"Unitário","Global"},0),IF($A68="S",ROUND($H68,ORÇAMENTO!$AF$10),""),ROUND($I68,ORÇAMENTO!$AF$11)),"")</f>
        <v/>
      </c>
      <c r="Y68" s="340">
        <f t="shared" ca="1" si="7"/>
        <v>0</v>
      </c>
      <c r="Z68" s="474"/>
      <c r="AB68" s="338"/>
      <c r="AC68" s="438"/>
      <c r="AD68" s="438"/>
      <c r="AE68" s="438"/>
      <c r="AF68" s="438"/>
      <c r="AG68" s="438"/>
      <c r="AH68" s="438"/>
      <c r="AI68" s="438"/>
      <c r="AJ68" s="438"/>
      <c r="AK68" s="438"/>
      <c r="AL68" s="438"/>
      <c r="AM68" s="339"/>
      <c r="AO68" s="675">
        <f ca="1">IF($A68="S",IF(BM!$I68=0,0,CHOOSE(MATCH(RegimeExecucao,{"Global","Unitário"},0),ROUND(ROUND(BM.MEDAcumulado,15-13*BM!$A$9)/100*BM!$I68,15-13*ORÇAMENTO!$AF$11),ROUND(ROUND(BM.MEDAcumulado,15-13*BM!$A$9)*ROUND(BM!$H68,15-13*ORÇAMENTO!$AF$10),15-13*ORÇAMENTO!$AF$11))),IF($A68=0,0,ROUND(SomaAgrupBM,15-13*ORÇAMENTO!$AF$11)))</f>
        <v>0</v>
      </c>
    </row>
    <row r="69" spans="1:41" s="675" customFormat="1" ht="25.5" x14ac:dyDescent="0.2">
      <c r="A69" s="675" t="str">
        <f ca="1">ORÇAMENTO!C69</f>
        <v>S</v>
      </c>
      <c r="B69" s="675">
        <f ca="1">ORÇAMENTO!D69</f>
        <v>0</v>
      </c>
      <c r="C69" s="115" t="str">
        <f t="shared" ca="1" si="1"/>
        <v/>
      </c>
      <c r="D69" s="118" t="str">
        <f ca="1">ORÇAMENTO!O69</f>
        <v>-</v>
      </c>
      <c r="E69" s="164" t="str">
        <f t="shared" ca="1" si="2"/>
        <v>(abra o arquivo 'Referência 09-2025.xlsm)</v>
      </c>
      <c r="F69" s="165" t="str">
        <f ca="1">IF(RegimeExecucao="Global","",ORÇAMENTO.Unidade)</f>
        <v>-</v>
      </c>
      <c r="G69" s="123">
        <f ca="1">IF(RegimeExecucao="Global","",ORÇAMENTO!T69)</f>
        <v>10</v>
      </c>
      <c r="H69" s="123">
        <f ca="1">IF(RegimeExecucao="Global","",ORÇAMENTO!W69)</f>
        <v>0</v>
      </c>
      <c r="I69" s="126">
        <f ca="1">ORÇAMENTO!X69</f>
        <v>0</v>
      </c>
      <c r="J69" s="334" t="e" cm="1">
        <f t="array" aca="1" ref="J69" ca="1">_xlfn.SINGLE(IF($A69="S",IF(CAIXA.Modo,BM.AFAnterior,BM.MEDAnterior),IF(AND(_xlfn.SINGLE(RegimeExecucao)="Global",$I69&gt;0,COUNTIF($AB$13:$AM$13,BM.medicao-1)&gt;0),M69/$I69*100,0)))</f>
        <v>#NAME?</v>
      </c>
      <c r="K69" s="123" t="e">
        <f t="shared" ca="1" si="3"/>
        <v>#NAME?</v>
      </c>
      <c r="L69" s="335" t="e" cm="1">
        <f t="array" aca="1" ref="L69" ca="1">_xlfn.SINGLE(IF($A69="S",IF(CAIXA.Modo,BM.AFAcumulado,BM.MEDAcumulado),IF(AND(_xlfn.SINGLE(RegimeExecucao)="Global",$I69&gt;0,COUNTIF($AB$13:$AM$13,BM.medicao)&gt;0),O69/$I69*100,0)))</f>
        <v>#NAME?</v>
      </c>
      <c r="M69" s="336">
        <f ca="1">IF($A69="S",VTOTALBM,IF($A69=0,0,ROUND(SomaAgrupBM,15-13*ORÇAMENTO!$AF$11)))</f>
        <v>0</v>
      </c>
      <c r="N69" s="337">
        <f t="shared" ca="1" si="4"/>
        <v>0</v>
      </c>
      <c r="O69" s="126">
        <f ca="1">IF($A69="S",VTOTALBM,IF($A69=0,0,ROUND(SomaAgrupBM,15-13*ORÇAMENTO!$AF$11)))</f>
        <v>0</v>
      </c>
      <c r="Q69" s="338"/>
      <c r="R69" s="339"/>
      <c r="T69" s="118" t="str">
        <f t="shared" ca="1" si="5"/>
        <v/>
      </c>
      <c r="U69" s="164" t="str">
        <f t="shared" ca="1" si="6"/>
        <v/>
      </c>
      <c r="V69" s="165" t="str">
        <f ca="1">IF(AND($W69&gt;0,RegimeExecucao="Unitário"),$F69,"")</f>
        <v/>
      </c>
      <c r="W69" s="455">
        <f ca="1">IF($Y69&gt;0,CHOOSE(MATCH(RegimeExecucao,{"Unitário","Global"},0),IF($A69="S",$Y69/$X69,""),($Y69/$X69)*100),0)</f>
        <v>0</v>
      </c>
      <c r="X69" s="340" t="str">
        <f ca="1">IF($Y69&gt;0,CHOOSE(MATCH(RegimeExecucao,{"Unitário","Global"},0),IF($A69="S",ROUND($H69,ORÇAMENTO!$AF$10),""),ROUND($I69,ORÇAMENTO!$AF$11)),"")</f>
        <v/>
      </c>
      <c r="Y69" s="340">
        <f t="shared" ca="1" si="7"/>
        <v>0</v>
      </c>
      <c r="Z69" s="474"/>
      <c r="AB69" s="338"/>
      <c r="AC69" s="438"/>
      <c r="AD69" s="438"/>
      <c r="AE69" s="438"/>
      <c r="AF69" s="438"/>
      <c r="AG69" s="438"/>
      <c r="AH69" s="438"/>
      <c r="AI69" s="438"/>
      <c r="AJ69" s="438"/>
      <c r="AK69" s="438"/>
      <c r="AL69" s="438"/>
      <c r="AM69" s="339"/>
      <c r="AO69" s="675">
        <f ca="1">IF($A69="S",IF(BM!$I69=0,0,CHOOSE(MATCH(RegimeExecucao,{"Global","Unitário"},0),ROUND(ROUND(BM.MEDAcumulado,15-13*BM!$A$9)/100*BM!$I69,15-13*ORÇAMENTO!$AF$11),ROUND(ROUND(BM.MEDAcumulado,15-13*BM!$A$9)*ROUND(BM!$H69,15-13*ORÇAMENTO!$AF$10),15-13*ORÇAMENTO!$AF$11))),IF($A69=0,0,ROUND(SomaAgrupBM,15-13*ORÇAMENTO!$AF$11)))</f>
        <v>0</v>
      </c>
    </row>
    <row r="70" spans="1:41" s="675" customFormat="1" x14ac:dyDescent="0.2">
      <c r="A70" s="675">
        <f ca="1">ORÇAMENTO!C70</f>
        <v>2</v>
      </c>
      <c r="B70" s="675">
        <f ca="1">ORÇAMENTO!D70</f>
        <v>4</v>
      </c>
      <c r="C70" s="115" t="str">
        <f t="shared" ca="1" si="1"/>
        <v>F</v>
      </c>
      <c r="D70" s="118" t="str">
        <f ca="1">ORÇAMENTO!O70</f>
        <v>1.7.</v>
      </c>
      <c r="E70" s="164" t="str">
        <f t="shared" si="2"/>
        <v>BY-PASS</v>
      </c>
      <c r="F70" s="165" t="str">
        <f ca="1">IF(RegimeExecucao="Global","",ORÇAMENTO.Unidade)</f>
        <v>-</v>
      </c>
      <c r="G70" s="123">
        <f ca="1">IF(RegimeExecucao="Global","",ORÇAMENTO!T70)</f>
        <v>0</v>
      </c>
      <c r="H70" s="123">
        <f ca="1">IF(RegimeExecucao="Global","",ORÇAMENTO!W70)</f>
        <v>0</v>
      </c>
      <c r="I70" s="126">
        <f ca="1">ORÇAMENTO!X70</f>
        <v>0</v>
      </c>
      <c r="J70" s="334" t="e" cm="1">
        <f t="array" aca="1" ref="J70" ca="1">_xlfn.SINGLE(IF($A70="S",IF(CAIXA.Modo,BM.AFAnterior,BM.MEDAnterior),IF(AND(_xlfn.SINGLE(RegimeExecucao)="Global",$I70&gt;0,COUNTIF($AB$13:$AM$13,BM.medicao-1)&gt;0),M70/$I70*100,0)))</f>
        <v>#NAME?</v>
      </c>
      <c r="K70" s="123" t="e">
        <f t="shared" ca="1" si="3"/>
        <v>#NAME?</v>
      </c>
      <c r="L70" s="335" t="e" cm="1">
        <f t="array" aca="1" ref="L70" ca="1">_xlfn.SINGLE(IF($A70="S",IF(CAIXA.Modo,BM.AFAcumulado,BM.MEDAcumulado),IF(AND(_xlfn.SINGLE(RegimeExecucao)="Global",$I70&gt;0,COUNTIF($AB$13:$AM$13,BM.medicao)&gt;0),O70/$I70*100,0)))</f>
        <v>#NAME?</v>
      </c>
      <c r="M70" s="336">
        <f ca="1">IF($A70="S",VTOTALBM,IF($A70=0,0,ROUND(SomaAgrupBM,15-13*ORÇAMENTO!$AF$11)))</f>
        <v>0</v>
      </c>
      <c r="N70" s="337">
        <f t="shared" ca="1" si="4"/>
        <v>0</v>
      </c>
      <c r="O70" s="126">
        <f ca="1">IF($A70="S",VTOTALBM,IF($A70=0,0,ROUND(SomaAgrupBM,15-13*ORÇAMENTO!$AF$11)))</f>
        <v>0</v>
      </c>
      <c r="Q70" s="338"/>
      <c r="R70" s="339"/>
      <c r="T70" s="118" t="str">
        <f t="shared" ca="1" si="5"/>
        <v/>
      </c>
      <c r="U70" s="164" t="str">
        <f t="shared" ca="1" si="6"/>
        <v/>
      </c>
      <c r="V70" s="165" t="str">
        <f ca="1">IF(AND($W70&gt;0,RegimeExecucao="Unitário"),$F70,"")</f>
        <v/>
      </c>
      <c r="W70" s="455">
        <f ca="1">IF($Y70&gt;0,CHOOSE(MATCH(RegimeExecucao,{"Unitário","Global"},0),IF($A70="S",$Y70/$X70,""),($Y70/$X70)*100),0)</f>
        <v>0</v>
      </c>
      <c r="X70" s="340" t="str">
        <f ca="1">IF($Y70&gt;0,CHOOSE(MATCH(RegimeExecucao,{"Unitário","Global"},0),IF($A70="S",ROUND($H70,ORÇAMENTO!$AF$10),""),ROUND($I70,ORÇAMENTO!$AF$11)),"")</f>
        <v/>
      </c>
      <c r="Y70" s="340">
        <f t="shared" ca="1" si="7"/>
        <v>0</v>
      </c>
      <c r="Z70" s="474"/>
      <c r="AB70" s="338"/>
      <c r="AC70" s="438"/>
      <c r="AD70" s="438"/>
      <c r="AE70" s="438"/>
      <c r="AF70" s="438"/>
      <c r="AG70" s="438"/>
      <c r="AH70" s="438"/>
      <c r="AI70" s="438"/>
      <c r="AJ70" s="438"/>
      <c r="AK70" s="438"/>
      <c r="AL70" s="438"/>
      <c r="AM70" s="339"/>
      <c r="AO70" s="675">
        <f ca="1">IF($A70="S",IF(BM!$I70=0,0,CHOOSE(MATCH(RegimeExecucao,{"Global","Unitário"},0),ROUND(ROUND(BM.MEDAcumulado,15-13*BM!$A$9)/100*BM!$I70,15-13*ORÇAMENTO!$AF$11),ROUND(ROUND(BM.MEDAcumulado,15-13*BM!$A$9)*ROUND(BM!$H70,15-13*ORÇAMENTO!$AF$10),15-13*ORÇAMENTO!$AF$11))),IF($A70=0,0,ROUND(SomaAgrupBM,15-13*ORÇAMENTO!$AF$11)))</f>
        <v>0</v>
      </c>
    </row>
    <row r="71" spans="1:41" s="675" customFormat="1" ht="38.25" x14ac:dyDescent="0.2">
      <c r="A71" s="675" t="str">
        <f ca="1">ORÇAMENTO!C71</f>
        <v>S</v>
      </c>
      <c r="B71" s="675">
        <f ca="1">ORÇAMENTO!D71</f>
        <v>0</v>
      </c>
      <c r="C71" s="115" t="str">
        <f t="shared" ca="1" si="1"/>
        <v/>
      </c>
      <c r="D71" s="118" t="str">
        <f ca="1">ORÇAMENTO!O71</f>
        <v>-</v>
      </c>
      <c r="E71" s="164" t="str">
        <f t="shared" ca="1" si="2"/>
        <v>(abra o arquivo 'Referência 09-2025.xlsm)</v>
      </c>
      <c r="F71" s="165" t="str">
        <f ca="1">IF(RegimeExecucao="Global","",ORÇAMENTO.Unidade)</f>
        <v>-</v>
      </c>
      <c r="G71" s="123">
        <f ca="1">IF(RegimeExecucao="Global","",ORÇAMENTO!T71)</f>
        <v>1</v>
      </c>
      <c r="H71" s="123">
        <f ca="1">IF(RegimeExecucao="Global","",ORÇAMENTO!W71)</f>
        <v>0</v>
      </c>
      <c r="I71" s="126">
        <f ca="1">ORÇAMENTO!X71</f>
        <v>0</v>
      </c>
      <c r="J71" s="334" t="e" cm="1">
        <f t="array" aca="1" ref="J71" ca="1">_xlfn.SINGLE(IF($A71="S",IF(CAIXA.Modo,BM.AFAnterior,BM.MEDAnterior),IF(AND(_xlfn.SINGLE(RegimeExecucao)="Global",$I71&gt;0,COUNTIF($AB$13:$AM$13,BM.medicao-1)&gt;0),M71/$I71*100,0)))</f>
        <v>#NAME?</v>
      </c>
      <c r="K71" s="123" t="e">
        <f t="shared" ca="1" si="3"/>
        <v>#NAME?</v>
      </c>
      <c r="L71" s="335" t="e" cm="1">
        <f t="array" aca="1" ref="L71" ca="1">_xlfn.SINGLE(IF($A71="S",IF(CAIXA.Modo,BM.AFAcumulado,BM.MEDAcumulado),IF(AND(_xlfn.SINGLE(RegimeExecucao)="Global",$I71&gt;0,COUNTIF($AB$13:$AM$13,BM.medicao)&gt;0),O71/$I71*100,0)))</f>
        <v>#NAME?</v>
      </c>
      <c r="M71" s="336">
        <f ca="1">IF($A71="S",VTOTALBM,IF($A71=0,0,ROUND(SomaAgrupBM,15-13*ORÇAMENTO!$AF$11)))</f>
        <v>0</v>
      </c>
      <c r="N71" s="337">
        <f t="shared" ca="1" si="4"/>
        <v>0</v>
      </c>
      <c r="O71" s="126">
        <f ca="1">IF($A71="S",VTOTALBM,IF($A71=0,0,ROUND(SomaAgrupBM,15-13*ORÇAMENTO!$AF$11)))</f>
        <v>0</v>
      </c>
      <c r="Q71" s="338"/>
      <c r="R71" s="339"/>
      <c r="T71" s="118" t="str">
        <f t="shared" ca="1" si="5"/>
        <v/>
      </c>
      <c r="U71" s="164" t="str">
        <f t="shared" ca="1" si="6"/>
        <v/>
      </c>
      <c r="V71" s="165" t="str">
        <f ca="1">IF(AND($W71&gt;0,RegimeExecucao="Unitário"),$F71,"")</f>
        <v/>
      </c>
      <c r="W71" s="455">
        <f ca="1">IF($Y71&gt;0,CHOOSE(MATCH(RegimeExecucao,{"Unitário","Global"},0),IF($A71="S",$Y71/$X71,""),($Y71/$X71)*100),0)</f>
        <v>0</v>
      </c>
      <c r="X71" s="340" t="str">
        <f ca="1">IF($Y71&gt;0,CHOOSE(MATCH(RegimeExecucao,{"Unitário","Global"},0),IF($A71="S",ROUND($H71,ORÇAMENTO!$AF$10),""),ROUND($I71,ORÇAMENTO!$AF$11)),"")</f>
        <v/>
      </c>
      <c r="Y71" s="340">
        <f t="shared" ca="1" si="7"/>
        <v>0</v>
      </c>
      <c r="Z71" s="474"/>
      <c r="AB71" s="338"/>
      <c r="AC71" s="438"/>
      <c r="AD71" s="438"/>
      <c r="AE71" s="438"/>
      <c r="AF71" s="438"/>
      <c r="AG71" s="438"/>
      <c r="AH71" s="438"/>
      <c r="AI71" s="438"/>
      <c r="AJ71" s="438"/>
      <c r="AK71" s="438"/>
      <c r="AL71" s="438"/>
      <c r="AM71" s="339"/>
      <c r="AO71" s="675">
        <f ca="1">IF($A71="S",IF(BM!$I71=0,0,CHOOSE(MATCH(RegimeExecucao,{"Global","Unitário"},0),ROUND(ROUND(BM.MEDAcumulado,15-13*BM!$A$9)/100*BM!$I71,15-13*ORÇAMENTO!$AF$11),ROUND(ROUND(BM.MEDAcumulado,15-13*BM!$A$9)*ROUND(BM!$H71,15-13*ORÇAMENTO!$AF$10),15-13*ORÇAMENTO!$AF$11))),IF($A71=0,0,ROUND(SomaAgrupBM,15-13*ORÇAMENTO!$AF$11)))</f>
        <v>0</v>
      </c>
    </row>
    <row r="72" spans="1:41" s="675" customFormat="1" ht="25.5" x14ac:dyDescent="0.2">
      <c r="A72" s="675" t="str">
        <f ca="1">ORÇAMENTO!C72</f>
        <v>S</v>
      </c>
      <c r="B72" s="675">
        <f ca="1">ORÇAMENTO!D72</f>
        <v>0</v>
      </c>
      <c r="C72" s="115" t="str">
        <f t="shared" ca="1" si="1"/>
        <v/>
      </c>
      <c r="D72" s="118" t="str">
        <f ca="1">ORÇAMENTO!O72</f>
        <v>-</v>
      </c>
      <c r="E72" s="164" t="str">
        <f t="shared" ca="1" si="2"/>
        <v>(abra o arquivo 'Referência 09-2025.xlsm)</v>
      </c>
      <c r="F72" s="165" t="str">
        <f ca="1">IF(RegimeExecucao="Global","",ORÇAMENTO.Unidade)</f>
        <v>-</v>
      </c>
      <c r="G72" s="123">
        <f ca="1">IF(RegimeExecucao="Global","",ORÇAMENTO!T72)</f>
        <v>1</v>
      </c>
      <c r="H72" s="123">
        <f ca="1">IF(RegimeExecucao="Global","",ORÇAMENTO!W72)</f>
        <v>0</v>
      </c>
      <c r="I72" s="126">
        <f ca="1">ORÇAMENTO!X72</f>
        <v>0</v>
      </c>
      <c r="J72" s="334" t="e" cm="1">
        <f t="array" aca="1" ref="J72" ca="1">_xlfn.SINGLE(IF($A72="S",IF(CAIXA.Modo,BM.AFAnterior,BM.MEDAnterior),IF(AND(_xlfn.SINGLE(RegimeExecucao)="Global",$I72&gt;0,COUNTIF($AB$13:$AM$13,BM.medicao-1)&gt;0),M72/$I72*100,0)))</f>
        <v>#NAME?</v>
      </c>
      <c r="K72" s="123" t="e">
        <f t="shared" ca="1" si="3"/>
        <v>#NAME?</v>
      </c>
      <c r="L72" s="335" t="e" cm="1">
        <f t="array" aca="1" ref="L72" ca="1">_xlfn.SINGLE(IF($A72="S",IF(CAIXA.Modo,BM.AFAcumulado,BM.MEDAcumulado),IF(AND(_xlfn.SINGLE(RegimeExecucao)="Global",$I72&gt;0,COUNTIF($AB$13:$AM$13,BM.medicao)&gt;0),O72/$I72*100,0)))</f>
        <v>#NAME?</v>
      </c>
      <c r="M72" s="336">
        <f ca="1">IF($A72="S",VTOTALBM,IF($A72=0,0,ROUND(SomaAgrupBM,15-13*ORÇAMENTO!$AF$11)))</f>
        <v>0</v>
      </c>
      <c r="N72" s="337">
        <f t="shared" ca="1" si="4"/>
        <v>0</v>
      </c>
      <c r="O72" s="126">
        <f ca="1">IF($A72="S",VTOTALBM,IF($A72=0,0,ROUND(SomaAgrupBM,15-13*ORÇAMENTO!$AF$11)))</f>
        <v>0</v>
      </c>
      <c r="Q72" s="338"/>
      <c r="R72" s="339"/>
      <c r="T72" s="118" t="str">
        <f t="shared" ca="1" si="5"/>
        <v/>
      </c>
      <c r="U72" s="164" t="str">
        <f t="shared" ca="1" si="6"/>
        <v/>
      </c>
      <c r="V72" s="165" t="str">
        <f ca="1">IF(AND($W72&gt;0,RegimeExecucao="Unitário"),$F72,"")</f>
        <v/>
      </c>
      <c r="W72" s="455">
        <f ca="1">IF($Y72&gt;0,CHOOSE(MATCH(RegimeExecucao,{"Unitário","Global"},0),IF($A72="S",$Y72/$X72,""),($Y72/$X72)*100),0)</f>
        <v>0</v>
      </c>
      <c r="X72" s="340" t="str">
        <f ca="1">IF($Y72&gt;0,CHOOSE(MATCH(RegimeExecucao,{"Unitário","Global"},0),IF($A72="S",ROUND($H72,ORÇAMENTO!$AF$10),""),ROUND($I72,ORÇAMENTO!$AF$11)),"")</f>
        <v/>
      </c>
      <c r="Y72" s="340">
        <f t="shared" ca="1" si="7"/>
        <v>0</v>
      </c>
      <c r="Z72" s="474"/>
      <c r="AB72" s="338"/>
      <c r="AC72" s="438"/>
      <c r="AD72" s="438"/>
      <c r="AE72" s="438"/>
      <c r="AF72" s="438"/>
      <c r="AG72" s="438"/>
      <c r="AH72" s="438"/>
      <c r="AI72" s="438"/>
      <c r="AJ72" s="438"/>
      <c r="AK72" s="438"/>
      <c r="AL72" s="438"/>
      <c r="AM72" s="339"/>
      <c r="AO72" s="675">
        <f ca="1">IF($A72="S",IF(BM!$I72=0,0,CHOOSE(MATCH(RegimeExecucao,{"Global","Unitário"},0),ROUND(ROUND(BM.MEDAcumulado,15-13*BM!$A$9)/100*BM!$I72,15-13*ORÇAMENTO!$AF$11),ROUND(ROUND(BM.MEDAcumulado,15-13*BM!$A$9)*ROUND(BM!$H72,15-13*ORÇAMENTO!$AF$10),15-13*ORÇAMENTO!$AF$11))),IF($A72=0,0,ROUND(SomaAgrupBM,15-13*ORÇAMENTO!$AF$11)))</f>
        <v>0</v>
      </c>
    </row>
    <row r="73" spans="1:41" s="675" customFormat="1" ht="25.5" x14ac:dyDescent="0.2">
      <c r="A73" s="675" t="str">
        <f ca="1">ORÇAMENTO!C73</f>
        <v>S</v>
      </c>
      <c r="B73" s="675">
        <f ca="1">ORÇAMENTO!D73</f>
        <v>0</v>
      </c>
      <c r="C73" s="115" t="str">
        <f t="shared" ca="1" si="1"/>
        <v/>
      </c>
      <c r="D73" s="118" t="str">
        <f ca="1">ORÇAMENTO!O73</f>
        <v>-</v>
      </c>
      <c r="E73" s="164" t="str">
        <f t="shared" ca="1" si="2"/>
        <v>(abra o arquivo 'Referência 09-2025.xlsm)</v>
      </c>
      <c r="F73" s="165" t="str">
        <f ca="1">IF(RegimeExecucao="Global","",ORÇAMENTO.Unidade)</f>
        <v>-</v>
      </c>
      <c r="G73" s="123">
        <f ca="1">IF(RegimeExecucao="Global","",ORÇAMENTO!T73)</f>
        <v>1</v>
      </c>
      <c r="H73" s="123">
        <f ca="1">IF(RegimeExecucao="Global","",ORÇAMENTO!W73)</f>
        <v>0</v>
      </c>
      <c r="I73" s="126">
        <f ca="1">ORÇAMENTO!X73</f>
        <v>0</v>
      </c>
      <c r="J73" s="334" t="e" cm="1">
        <f t="array" aca="1" ref="J73" ca="1">_xlfn.SINGLE(IF($A73="S",IF(CAIXA.Modo,BM.AFAnterior,BM.MEDAnterior),IF(AND(_xlfn.SINGLE(RegimeExecucao)="Global",$I73&gt;0,COUNTIF($AB$13:$AM$13,BM.medicao-1)&gt;0),M73/$I73*100,0)))</f>
        <v>#NAME?</v>
      </c>
      <c r="K73" s="123" t="e">
        <f t="shared" ca="1" si="3"/>
        <v>#NAME?</v>
      </c>
      <c r="L73" s="335" t="e" cm="1">
        <f t="array" aca="1" ref="L73" ca="1">_xlfn.SINGLE(IF($A73="S",IF(CAIXA.Modo,BM.AFAcumulado,BM.MEDAcumulado),IF(AND(_xlfn.SINGLE(RegimeExecucao)="Global",$I73&gt;0,COUNTIF($AB$13:$AM$13,BM.medicao)&gt;0),O73/$I73*100,0)))</f>
        <v>#NAME?</v>
      </c>
      <c r="M73" s="336">
        <f ca="1">IF($A73="S",VTOTALBM,IF($A73=0,0,ROUND(SomaAgrupBM,15-13*ORÇAMENTO!$AF$11)))</f>
        <v>0</v>
      </c>
      <c r="N73" s="337">
        <f t="shared" ca="1" si="4"/>
        <v>0</v>
      </c>
      <c r="O73" s="126">
        <f ca="1">IF($A73="S",VTOTALBM,IF($A73=0,0,ROUND(SomaAgrupBM,15-13*ORÇAMENTO!$AF$11)))</f>
        <v>0</v>
      </c>
      <c r="Q73" s="338"/>
      <c r="R73" s="339"/>
      <c r="T73" s="118" t="str">
        <f t="shared" ca="1" si="5"/>
        <v/>
      </c>
      <c r="U73" s="164" t="str">
        <f t="shared" ca="1" si="6"/>
        <v/>
      </c>
      <c r="V73" s="165" t="str">
        <f ca="1">IF(AND($W73&gt;0,RegimeExecucao="Unitário"),$F73,"")</f>
        <v/>
      </c>
      <c r="W73" s="455">
        <f ca="1">IF($Y73&gt;0,CHOOSE(MATCH(RegimeExecucao,{"Unitário","Global"},0),IF($A73="S",$Y73/$X73,""),($Y73/$X73)*100),0)</f>
        <v>0</v>
      </c>
      <c r="X73" s="340" t="str">
        <f ca="1">IF($Y73&gt;0,CHOOSE(MATCH(RegimeExecucao,{"Unitário","Global"},0),IF($A73="S",ROUND($H73,ORÇAMENTO!$AF$10),""),ROUND($I73,ORÇAMENTO!$AF$11)),"")</f>
        <v/>
      </c>
      <c r="Y73" s="340">
        <f t="shared" ca="1" si="7"/>
        <v>0</v>
      </c>
      <c r="Z73" s="474"/>
      <c r="AB73" s="338"/>
      <c r="AC73" s="438"/>
      <c r="AD73" s="438"/>
      <c r="AE73" s="438"/>
      <c r="AF73" s="438"/>
      <c r="AG73" s="438"/>
      <c r="AH73" s="438"/>
      <c r="AI73" s="438"/>
      <c r="AJ73" s="438"/>
      <c r="AK73" s="438"/>
      <c r="AL73" s="438"/>
      <c r="AM73" s="339"/>
      <c r="AO73" s="675">
        <f ca="1">IF($A73="S",IF(BM!$I73=0,0,CHOOSE(MATCH(RegimeExecucao,{"Global","Unitário"},0),ROUND(ROUND(BM.MEDAcumulado,15-13*BM!$A$9)/100*BM!$I73,15-13*ORÇAMENTO!$AF$11),ROUND(ROUND(BM.MEDAcumulado,15-13*BM!$A$9)*ROUND(BM!$H73,15-13*ORÇAMENTO!$AF$10),15-13*ORÇAMENTO!$AF$11))),IF($A73=0,0,ROUND(SomaAgrupBM,15-13*ORÇAMENTO!$AF$11)))</f>
        <v>0</v>
      </c>
    </row>
    <row r="74" spans="1:41" s="675" customFormat="1" x14ac:dyDescent="0.2">
      <c r="A74" s="675">
        <f ca="1">ORÇAMENTO!C74</f>
        <v>2</v>
      </c>
      <c r="B74" s="675">
        <f ca="1">ORÇAMENTO!D74</f>
        <v>18</v>
      </c>
      <c r="C74" s="115" t="str">
        <f t="shared" ref="C74:C141" ca="1" si="8">IF(OR($I74&gt;0,$A74=1,$A74=2,$A74=3,$A74=4),"F","")</f>
        <v>F</v>
      </c>
      <c r="D74" s="118" t="str">
        <f ca="1">ORÇAMENTO!O74</f>
        <v>1.8.</v>
      </c>
      <c r="E74" s="164" t="str">
        <f t="shared" ref="E74:E141" si="9">ORÇAMENTO.Descricao</f>
        <v>LINHA DE RECALQUE INCLUI TRAVESSIA - MATERIAIS</v>
      </c>
      <c r="F74" s="165" t="str">
        <f ca="1">IF(RegimeExecucao="Global","",ORÇAMENTO.Unidade)</f>
        <v>-</v>
      </c>
      <c r="G74" s="123">
        <f ca="1">IF(RegimeExecucao="Global","",ORÇAMENTO!T74)</f>
        <v>0</v>
      </c>
      <c r="H74" s="123">
        <f ca="1">IF(RegimeExecucao="Global","",ORÇAMENTO!W74)</f>
        <v>0</v>
      </c>
      <c r="I74" s="126">
        <f ca="1">ORÇAMENTO!X74</f>
        <v>0</v>
      </c>
      <c r="J74" s="334" t="e" cm="1">
        <f t="array" aca="1" ref="J74" ca="1">_xlfn.SINGLE(IF($A74="S",IF(CAIXA.Modo,BM.AFAnterior,BM.MEDAnterior),IF(AND(_xlfn.SINGLE(RegimeExecucao)="Global",$I74&gt;0,COUNTIF($AB$13:$AM$13,BM.medicao-1)&gt;0),M74/$I74*100,0)))</f>
        <v>#NAME?</v>
      </c>
      <c r="K74" s="123" t="e">
        <f t="shared" ref="K74:K141" ca="1" si="10">L74-J74</f>
        <v>#NAME?</v>
      </c>
      <c r="L74" s="335" t="e" cm="1">
        <f t="array" aca="1" ref="L74" ca="1">_xlfn.SINGLE(IF($A74="S",IF(CAIXA.Modo,BM.AFAcumulado,BM.MEDAcumulado),IF(AND(_xlfn.SINGLE(RegimeExecucao)="Global",$I74&gt;0,COUNTIF($AB$13:$AM$13,BM.medicao)&gt;0),O74/$I74*100,0)))</f>
        <v>#NAME?</v>
      </c>
      <c r="M74" s="336">
        <f ca="1">IF($A74="S",VTOTALBM,IF($A74=0,0,ROUND(SomaAgrupBM,15-13*ORÇAMENTO!$AF$11)))</f>
        <v>0</v>
      </c>
      <c r="N74" s="337">
        <f t="shared" ref="N74:N141" ca="1" si="11">O74-M74</f>
        <v>0</v>
      </c>
      <c r="O74" s="126">
        <f ca="1">IF($A74="S",VTOTALBM,IF($A74=0,0,ROUND(SomaAgrupBM,15-13*ORÇAMENTO!$AF$11)))</f>
        <v>0</v>
      </c>
      <c r="Q74" s="338"/>
      <c r="R74" s="339"/>
      <c r="T74" s="118" t="str">
        <f t="shared" ref="T74:T141" ca="1" si="12">IF($W74&gt;0,$D74,"")</f>
        <v/>
      </c>
      <c r="U74" s="164" t="str">
        <f t="shared" ref="U74:U141" ca="1" si="13">IF($W74&gt;0,$E74,"")</f>
        <v/>
      </c>
      <c r="V74" s="165" t="str">
        <f ca="1">IF(AND($W74&gt;0,RegimeExecucao="Unitário"),$F74,"")</f>
        <v/>
      </c>
      <c r="W74" s="455">
        <f ca="1">IF($Y74&gt;0,CHOOSE(MATCH(RegimeExecucao,{"Unitário","Global"},0),IF($A74="S",$Y74/$X74,""),($Y74/$X74)*100),0)</f>
        <v>0</v>
      </c>
      <c r="X74" s="340" t="str">
        <f ca="1">IF($Y74&gt;0,CHOOSE(MATCH(RegimeExecucao,{"Unitário","Global"},0),IF($A74="S",ROUND($H74,ORÇAMENTO!$AF$10),""),ROUND($I74,ORÇAMENTO!$AF$11)),"")</f>
        <v/>
      </c>
      <c r="Y74" s="340">
        <f t="shared" ref="Y74:Y141" ca="1" si="14">AO74-O74</f>
        <v>0</v>
      </c>
      <c r="Z74" s="474"/>
      <c r="AB74" s="338"/>
      <c r="AC74" s="438"/>
      <c r="AD74" s="438"/>
      <c r="AE74" s="438"/>
      <c r="AF74" s="438"/>
      <c r="AG74" s="438"/>
      <c r="AH74" s="438"/>
      <c r="AI74" s="438"/>
      <c r="AJ74" s="438"/>
      <c r="AK74" s="438"/>
      <c r="AL74" s="438"/>
      <c r="AM74" s="339"/>
      <c r="AO74" s="675">
        <f ca="1">IF($A74="S",IF(BM!$I74=0,0,CHOOSE(MATCH(RegimeExecucao,{"Global","Unitário"},0),ROUND(ROUND(BM.MEDAcumulado,15-13*BM!$A$9)/100*BM!$I74,15-13*ORÇAMENTO!$AF$11),ROUND(ROUND(BM.MEDAcumulado,15-13*BM!$A$9)*ROUND(BM!$H74,15-13*ORÇAMENTO!$AF$10),15-13*ORÇAMENTO!$AF$11))),IF($A74=0,0,ROUND(SomaAgrupBM,15-13*ORÇAMENTO!$AF$11)))</f>
        <v>0</v>
      </c>
    </row>
    <row r="75" spans="1:41" s="675" customFormat="1" x14ac:dyDescent="0.2">
      <c r="A75" s="675" t="str">
        <f ca="1">ORÇAMENTO!C75</f>
        <v>S</v>
      </c>
      <c r="B75" s="675">
        <f ca="1">ORÇAMENTO!D75</f>
        <v>0</v>
      </c>
      <c r="C75" s="115" t="str">
        <f t="shared" ca="1" si="8"/>
        <v/>
      </c>
      <c r="D75" s="118" t="str">
        <f ca="1">ORÇAMENTO!O75</f>
        <v>-</v>
      </c>
      <c r="E75" s="164" t="str">
        <f t="shared" ca="1" si="9"/>
        <v>(abra o arquivo 'Referência 09-2025.xlsm)</v>
      </c>
      <c r="F75" s="165" t="str">
        <f ca="1">IF(RegimeExecucao="Global","",ORÇAMENTO.Unidade)</f>
        <v>-</v>
      </c>
      <c r="G75" s="123">
        <f ca="1">IF(RegimeExecucao="Global","",ORÇAMENTO!T75)</f>
        <v>212</v>
      </c>
      <c r="H75" s="123">
        <f ca="1">IF(RegimeExecucao="Global","",ORÇAMENTO!W75)</f>
        <v>0</v>
      </c>
      <c r="I75" s="126">
        <f ca="1">ORÇAMENTO!X75</f>
        <v>0</v>
      </c>
      <c r="J75" s="334" t="e" cm="1">
        <f t="array" aca="1" ref="J75" ca="1">_xlfn.SINGLE(IF($A75="S",IF(CAIXA.Modo,BM.AFAnterior,BM.MEDAnterior),IF(AND(_xlfn.SINGLE(RegimeExecucao)="Global",$I75&gt;0,COUNTIF($AB$13:$AM$13,BM.medicao-1)&gt;0),M75/$I75*100,0)))</f>
        <v>#NAME?</v>
      </c>
      <c r="K75" s="123" t="e">
        <f t="shared" ca="1" si="10"/>
        <v>#NAME?</v>
      </c>
      <c r="L75" s="335" t="e" cm="1">
        <f t="array" aca="1" ref="L75" ca="1">_xlfn.SINGLE(IF($A75="S",IF(CAIXA.Modo,BM.AFAcumulado,BM.MEDAcumulado),IF(AND(_xlfn.SINGLE(RegimeExecucao)="Global",$I75&gt;0,COUNTIF($AB$13:$AM$13,BM.medicao)&gt;0),O75/$I75*100,0)))</f>
        <v>#NAME?</v>
      </c>
      <c r="M75" s="336">
        <f ca="1">IF($A75="S",VTOTALBM,IF($A75=0,0,ROUND(SomaAgrupBM,15-13*ORÇAMENTO!$AF$11)))</f>
        <v>0</v>
      </c>
      <c r="N75" s="337">
        <f t="shared" ca="1" si="11"/>
        <v>0</v>
      </c>
      <c r="O75" s="126">
        <f ca="1">IF($A75="S",VTOTALBM,IF($A75=0,0,ROUND(SomaAgrupBM,15-13*ORÇAMENTO!$AF$11)))</f>
        <v>0</v>
      </c>
      <c r="Q75" s="338"/>
      <c r="R75" s="339"/>
      <c r="T75" s="118" t="str">
        <f t="shared" ca="1" si="12"/>
        <v/>
      </c>
      <c r="U75" s="164" t="str">
        <f t="shared" ca="1" si="13"/>
        <v/>
      </c>
      <c r="V75" s="165" t="str">
        <f ca="1">IF(AND($W75&gt;0,RegimeExecucao="Unitário"),$F75,"")</f>
        <v/>
      </c>
      <c r="W75" s="455">
        <f ca="1">IF($Y75&gt;0,CHOOSE(MATCH(RegimeExecucao,{"Unitário","Global"},0),IF($A75="S",$Y75/$X75,""),($Y75/$X75)*100),0)</f>
        <v>0</v>
      </c>
      <c r="X75" s="340" t="str">
        <f ca="1">IF($Y75&gt;0,CHOOSE(MATCH(RegimeExecucao,{"Unitário","Global"},0),IF($A75="S",ROUND($H75,ORÇAMENTO!$AF$10),""),ROUND($I75,ORÇAMENTO!$AF$11)),"")</f>
        <v/>
      </c>
      <c r="Y75" s="340">
        <f t="shared" ca="1" si="14"/>
        <v>0</v>
      </c>
      <c r="Z75" s="474"/>
      <c r="AB75" s="338"/>
      <c r="AC75" s="438"/>
      <c r="AD75" s="438"/>
      <c r="AE75" s="438"/>
      <c r="AF75" s="438"/>
      <c r="AG75" s="438"/>
      <c r="AH75" s="438"/>
      <c r="AI75" s="438"/>
      <c r="AJ75" s="438"/>
      <c r="AK75" s="438"/>
      <c r="AL75" s="438"/>
      <c r="AM75" s="339"/>
      <c r="AO75" s="675">
        <f ca="1">IF($A75="S",IF(BM!$I75=0,0,CHOOSE(MATCH(RegimeExecucao,{"Global","Unitário"},0),ROUND(ROUND(BM.MEDAcumulado,15-13*BM!$A$9)/100*BM!$I75,15-13*ORÇAMENTO!$AF$11),ROUND(ROUND(BM.MEDAcumulado,15-13*BM!$A$9)*ROUND(BM!$H75,15-13*ORÇAMENTO!$AF$10),15-13*ORÇAMENTO!$AF$11))),IF($A75=0,0,ROUND(SomaAgrupBM,15-13*ORÇAMENTO!$AF$11)))</f>
        <v>0</v>
      </c>
    </row>
    <row r="76" spans="1:41" s="675" customFormat="1" x14ac:dyDescent="0.2">
      <c r="A76" s="675" t="str">
        <f ca="1">ORÇAMENTO!C76</f>
        <v>S</v>
      </c>
      <c r="B76" s="675">
        <f ca="1">ORÇAMENTO!D76</f>
        <v>0</v>
      </c>
      <c r="C76" s="115" t="str">
        <f t="shared" ca="1" si="8"/>
        <v/>
      </c>
      <c r="D76" s="118" t="str">
        <f ca="1">ORÇAMENTO!O76</f>
        <v>-</v>
      </c>
      <c r="E76" s="164" t="str">
        <f t="shared" ca="1" si="9"/>
        <v>(abra o arquivo 'Referência 09-2025.xlsm)</v>
      </c>
      <c r="F76" s="165" t="str">
        <f ca="1">IF(RegimeExecucao="Global","",ORÇAMENTO.Unidade)</f>
        <v>-</v>
      </c>
      <c r="G76" s="123">
        <f ca="1">IF(RegimeExecucao="Global","",ORÇAMENTO!T76)</f>
        <v>6</v>
      </c>
      <c r="H76" s="123">
        <f ca="1">IF(RegimeExecucao="Global","",ORÇAMENTO!W76)</f>
        <v>0</v>
      </c>
      <c r="I76" s="126">
        <f ca="1">ORÇAMENTO!X76</f>
        <v>0</v>
      </c>
      <c r="J76" s="334" t="e" cm="1">
        <f t="array" aca="1" ref="J76" ca="1">_xlfn.SINGLE(IF($A76="S",IF(CAIXA.Modo,BM.AFAnterior,BM.MEDAnterior),IF(AND(_xlfn.SINGLE(RegimeExecucao)="Global",$I76&gt;0,COUNTIF($AB$13:$AM$13,BM.medicao-1)&gt;0),M76/$I76*100,0)))</f>
        <v>#NAME?</v>
      </c>
      <c r="K76" s="123" t="e">
        <f t="shared" ca="1" si="10"/>
        <v>#NAME?</v>
      </c>
      <c r="L76" s="335" t="e" cm="1">
        <f t="array" aca="1" ref="L76" ca="1">_xlfn.SINGLE(IF($A76="S",IF(CAIXA.Modo,BM.AFAcumulado,BM.MEDAcumulado),IF(AND(_xlfn.SINGLE(RegimeExecucao)="Global",$I76&gt;0,COUNTIF($AB$13:$AM$13,BM.medicao)&gt;0),O76/$I76*100,0)))</f>
        <v>#NAME?</v>
      </c>
      <c r="M76" s="336">
        <f ca="1">IF($A76="S",VTOTALBM,IF($A76=0,0,ROUND(SomaAgrupBM,15-13*ORÇAMENTO!$AF$11)))</f>
        <v>0</v>
      </c>
      <c r="N76" s="337">
        <f t="shared" ca="1" si="11"/>
        <v>0</v>
      </c>
      <c r="O76" s="126">
        <f ca="1">IF($A76="S",VTOTALBM,IF($A76=0,0,ROUND(SomaAgrupBM,15-13*ORÇAMENTO!$AF$11)))</f>
        <v>0</v>
      </c>
      <c r="Q76" s="338"/>
      <c r="R76" s="339"/>
      <c r="T76" s="118" t="str">
        <f t="shared" ca="1" si="12"/>
        <v/>
      </c>
      <c r="U76" s="164" t="str">
        <f t="shared" ca="1" si="13"/>
        <v/>
      </c>
      <c r="V76" s="165" t="str">
        <f ca="1">IF(AND($W76&gt;0,RegimeExecucao="Unitário"),$F76,"")</f>
        <v/>
      </c>
      <c r="W76" s="455">
        <f ca="1">IF($Y76&gt;0,CHOOSE(MATCH(RegimeExecucao,{"Unitário","Global"},0),IF($A76="S",$Y76/$X76,""),($Y76/$X76)*100),0)</f>
        <v>0</v>
      </c>
      <c r="X76" s="340" t="str">
        <f ca="1">IF($Y76&gt;0,CHOOSE(MATCH(RegimeExecucao,{"Unitário","Global"},0),IF($A76="S",ROUND($H76,ORÇAMENTO!$AF$10),""),ROUND($I76,ORÇAMENTO!$AF$11)),"")</f>
        <v/>
      </c>
      <c r="Y76" s="340">
        <f t="shared" ca="1" si="14"/>
        <v>0</v>
      </c>
      <c r="Z76" s="474"/>
      <c r="AB76" s="338"/>
      <c r="AC76" s="438"/>
      <c r="AD76" s="438"/>
      <c r="AE76" s="438"/>
      <c r="AF76" s="438"/>
      <c r="AG76" s="438"/>
      <c r="AH76" s="438"/>
      <c r="AI76" s="438"/>
      <c r="AJ76" s="438"/>
      <c r="AK76" s="438"/>
      <c r="AL76" s="438"/>
      <c r="AM76" s="339"/>
      <c r="AO76" s="675">
        <f ca="1">IF($A76="S",IF(BM!$I76=0,0,CHOOSE(MATCH(RegimeExecucao,{"Global","Unitário"},0),ROUND(ROUND(BM.MEDAcumulado,15-13*BM!$A$9)/100*BM!$I76,15-13*ORÇAMENTO!$AF$11),ROUND(ROUND(BM.MEDAcumulado,15-13*BM!$A$9)*ROUND(BM!$H76,15-13*ORÇAMENTO!$AF$10),15-13*ORÇAMENTO!$AF$11))),IF($A76=0,0,ROUND(SomaAgrupBM,15-13*ORÇAMENTO!$AF$11)))</f>
        <v>0</v>
      </c>
    </row>
    <row r="77" spans="1:41" s="675" customFormat="1" x14ac:dyDescent="0.2">
      <c r="A77" s="675" t="str">
        <f ca="1">ORÇAMENTO!C77</f>
        <v>S</v>
      </c>
      <c r="B77" s="675">
        <f ca="1">ORÇAMENTO!D77</f>
        <v>0</v>
      </c>
      <c r="C77" s="115" t="str">
        <f t="shared" ca="1" si="8"/>
        <v/>
      </c>
      <c r="D77" s="118" t="str">
        <f ca="1">ORÇAMENTO!O77</f>
        <v>-</v>
      </c>
      <c r="E77" s="164" t="str">
        <f t="shared" ca="1" si="9"/>
        <v>(abra o arquivo 'Referência 09-2025.xlsm)</v>
      </c>
      <c r="F77" s="165" t="str">
        <f ca="1">IF(RegimeExecucao="Global","",ORÇAMENTO.Unidade)</f>
        <v>-</v>
      </c>
      <c r="G77" s="123">
        <f ca="1">IF(RegimeExecucao="Global","",ORÇAMENTO!T77)</f>
        <v>6</v>
      </c>
      <c r="H77" s="123">
        <f ca="1">IF(RegimeExecucao="Global","",ORÇAMENTO!W77)</f>
        <v>0</v>
      </c>
      <c r="I77" s="126">
        <f ca="1">ORÇAMENTO!X77</f>
        <v>0</v>
      </c>
      <c r="J77" s="334" t="e" cm="1">
        <f t="array" aca="1" ref="J77" ca="1">_xlfn.SINGLE(IF($A77="S",IF(CAIXA.Modo,BM.AFAnterior,BM.MEDAnterior),IF(AND(_xlfn.SINGLE(RegimeExecucao)="Global",$I77&gt;0,COUNTIF($AB$13:$AM$13,BM.medicao-1)&gt;0),M77/$I77*100,0)))</f>
        <v>#NAME?</v>
      </c>
      <c r="K77" s="123" t="e">
        <f t="shared" ca="1" si="10"/>
        <v>#NAME?</v>
      </c>
      <c r="L77" s="335" t="e" cm="1">
        <f t="array" aca="1" ref="L77" ca="1">_xlfn.SINGLE(IF($A77="S",IF(CAIXA.Modo,BM.AFAcumulado,BM.MEDAcumulado),IF(AND(_xlfn.SINGLE(RegimeExecucao)="Global",$I77&gt;0,COUNTIF($AB$13:$AM$13,BM.medicao)&gt;0),O77/$I77*100,0)))</f>
        <v>#NAME?</v>
      </c>
      <c r="M77" s="336">
        <f ca="1">IF($A77="S",VTOTALBM,IF($A77=0,0,ROUND(SomaAgrupBM,15-13*ORÇAMENTO!$AF$11)))</f>
        <v>0</v>
      </c>
      <c r="N77" s="337">
        <f t="shared" ca="1" si="11"/>
        <v>0</v>
      </c>
      <c r="O77" s="126">
        <f ca="1">IF($A77="S",VTOTALBM,IF($A77=0,0,ROUND(SomaAgrupBM,15-13*ORÇAMENTO!$AF$11)))</f>
        <v>0</v>
      </c>
      <c r="Q77" s="338"/>
      <c r="R77" s="339"/>
      <c r="T77" s="118" t="str">
        <f t="shared" ca="1" si="12"/>
        <v/>
      </c>
      <c r="U77" s="164" t="str">
        <f t="shared" ca="1" si="13"/>
        <v/>
      </c>
      <c r="V77" s="165" t="str">
        <f ca="1">IF(AND($W77&gt;0,RegimeExecucao="Unitário"),$F77,"")</f>
        <v/>
      </c>
      <c r="W77" s="455">
        <f ca="1">IF($Y77&gt;0,CHOOSE(MATCH(RegimeExecucao,{"Unitário","Global"},0),IF($A77="S",$Y77/$X77,""),($Y77/$X77)*100),0)</f>
        <v>0</v>
      </c>
      <c r="X77" s="340" t="str">
        <f ca="1">IF($Y77&gt;0,CHOOSE(MATCH(RegimeExecucao,{"Unitário","Global"},0),IF($A77="S",ROUND($H77,ORÇAMENTO!$AF$10),""),ROUND($I77,ORÇAMENTO!$AF$11)),"")</f>
        <v/>
      </c>
      <c r="Y77" s="340">
        <f t="shared" ca="1" si="14"/>
        <v>0</v>
      </c>
      <c r="Z77" s="474"/>
      <c r="AB77" s="338"/>
      <c r="AC77" s="438"/>
      <c r="AD77" s="438"/>
      <c r="AE77" s="438"/>
      <c r="AF77" s="438"/>
      <c r="AG77" s="438"/>
      <c r="AH77" s="438"/>
      <c r="AI77" s="438"/>
      <c r="AJ77" s="438"/>
      <c r="AK77" s="438"/>
      <c r="AL77" s="438"/>
      <c r="AM77" s="339"/>
      <c r="AO77" s="675">
        <f ca="1">IF($A77="S",IF(BM!$I77=0,0,CHOOSE(MATCH(RegimeExecucao,{"Global","Unitário"},0),ROUND(ROUND(BM.MEDAcumulado,15-13*BM!$A$9)/100*BM!$I77,15-13*ORÇAMENTO!$AF$11),ROUND(ROUND(BM.MEDAcumulado,15-13*BM!$A$9)*ROUND(BM!$H77,15-13*ORÇAMENTO!$AF$10),15-13*ORÇAMENTO!$AF$11))),IF($A77=0,0,ROUND(SomaAgrupBM,15-13*ORÇAMENTO!$AF$11)))</f>
        <v>0</v>
      </c>
    </row>
    <row r="78" spans="1:41" s="675" customFormat="1" x14ac:dyDescent="0.2">
      <c r="A78" s="675" t="str">
        <f ca="1">ORÇAMENTO!C78</f>
        <v>S</v>
      </c>
      <c r="B78" s="675">
        <f ca="1">ORÇAMENTO!D78</f>
        <v>0</v>
      </c>
      <c r="C78" s="115" t="str">
        <f t="shared" ca="1" si="8"/>
        <v/>
      </c>
      <c r="D78" s="118" t="str">
        <f ca="1">ORÇAMENTO!O78</f>
        <v>-</v>
      </c>
      <c r="E78" s="164" t="str">
        <f t="shared" ca="1" si="9"/>
        <v>(abra o arquivo 'Referência 09-2025.xlsm)</v>
      </c>
      <c r="F78" s="165" t="str">
        <f ca="1">IF(RegimeExecucao="Global","",ORÇAMENTO.Unidade)</f>
        <v>-</v>
      </c>
      <c r="G78" s="123">
        <f ca="1">IF(RegimeExecucao="Global","",ORÇAMENTO!T78)</f>
        <v>6</v>
      </c>
      <c r="H78" s="123">
        <f ca="1">IF(RegimeExecucao="Global","",ORÇAMENTO!W78)</f>
        <v>0</v>
      </c>
      <c r="I78" s="126">
        <f ca="1">ORÇAMENTO!X78</f>
        <v>0</v>
      </c>
      <c r="J78" s="334" t="e" cm="1">
        <f t="array" aca="1" ref="J78" ca="1">_xlfn.SINGLE(IF($A78="S",IF(CAIXA.Modo,BM.AFAnterior,BM.MEDAnterior),IF(AND(_xlfn.SINGLE(RegimeExecucao)="Global",$I78&gt;0,COUNTIF($AB$13:$AM$13,BM.medicao-1)&gt;0),M78/$I78*100,0)))</f>
        <v>#NAME?</v>
      </c>
      <c r="K78" s="123" t="e">
        <f t="shared" ca="1" si="10"/>
        <v>#NAME?</v>
      </c>
      <c r="L78" s="335" t="e" cm="1">
        <f t="array" aca="1" ref="L78" ca="1">_xlfn.SINGLE(IF($A78="S",IF(CAIXA.Modo,BM.AFAcumulado,BM.MEDAcumulado),IF(AND(_xlfn.SINGLE(RegimeExecucao)="Global",$I78&gt;0,COUNTIF($AB$13:$AM$13,BM.medicao)&gt;0),O78/$I78*100,0)))</f>
        <v>#NAME?</v>
      </c>
      <c r="M78" s="336">
        <f ca="1">IF($A78="S",VTOTALBM,IF($A78=0,0,ROUND(SomaAgrupBM,15-13*ORÇAMENTO!$AF$11)))</f>
        <v>0</v>
      </c>
      <c r="N78" s="337">
        <f t="shared" ca="1" si="11"/>
        <v>0</v>
      </c>
      <c r="O78" s="126">
        <f ca="1">IF($A78="S",VTOTALBM,IF($A78=0,0,ROUND(SomaAgrupBM,15-13*ORÇAMENTO!$AF$11)))</f>
        <v>0</v>
      </c>
      <c r="Q78" s="338"/>
      <c r="R78" s="339"/>
      <c r="T78" s="118" t="str">
        <f t="shared" ca="1" si="12"/>
        <v/>
      </c>
      <c r="U78" s="164" t="str">
        <f t="shared" ca="1" si="13"/>
        <v/>
      </c>
      <c r="V78" s="165" t="str">
        <f ca="1">IF(AND($W78&gt;0,RegimeExecucao="Unitário"),$F78,"")</f>
        <v/>
      </c>
      <c r="W78" s="455">
        <f ca="1">IF($Y78&gt;0,CHOOSE(MATCH(RegimeExecucao,{"Unitário","Global"},0),IF($A78="S",$Y78/$X78,""),($Y78/$X78)*100),0)</f>
        <v>0</v>
      </c>
      <c r="X78" s="340" t="str">
        <f ca="1">IF($Y78&gt;0,CHOOSE(MATCH(RegimeExecucao,{"Unitário","Global"},0),IF($A78="S",ROUND($H78,ORÇAMENTO!$AF$10),""),ROUND($I78,ORÇAMENTO!$AF$11)),"")</f>
        <v/>
      </c>
      <c r="Y78" s="340">
        <f t="shared" ca="1" si="14"/>
        <v>0</v>
      </c>
      <c r="Z78" s="474"/>
      <c r="AB78" s="338"/>
      <c r="AC78" s="438"/>
      <c r="AD78" s="438"/>
      <c r="AE78" s="438"/>
      <c r="AF78" s="438"/>
      <c r="AG78" s="438"/>
      <c r="AH78" s="438"/>
      <c r="AI78" s="438"/>
      <c r="AJ78" s="438"/>
      <c r="AK78" s="438"/>
      <c r="AL78" s="438"/>
      <c r="AM78" s="339"/>
      <c r="AO78" s="675">
        <f ca="1">IF($A78="S",IF(BM!$I78=0,0,CHOOSE(MATCH(RegimeExecucao,{"Global","Unitário"},0),ROUND(ROUND(BM.MEDAcumulado,15-13*BM!$A$9)/100*BM!$I78,15-13*ORÇAMENTO!$AF$11),ROUND(ROUND(BM.MEDAcumulado,15-13*BM!$A$9)*ROUND(BM!$H78,15-13*ORÇAMENTO!$AF$10),15-13*ORÇAMENTO!$AF$11))),IF($A78=0,0,ROUND(SomaAgrupBM,15-13*ORÇAMENTO!$AF$11)))</f>
        <v>0</v>
      </c>
    </row>
    <row r="79" spans="1:41" s="675" customFormat="1" x14ac:dyDescent="0.2">
      <c r="A79" s="675" t="str">
        <f ca="1">ORÇAMENTO!C79</f>
        <v>S</v>
      </c>
      <c r="B79" s="675">
        <f ca="1">ORÇAMENTO!D79</f>
        <v>0</v>
      </c>
      <c r="C79" s="115" t="str">
        <f t="shared" ca="1" si="8"/>
        <v/>
      </c>
      <c r="D79" s="118" t="str">
        <f ca="1">ORÇAMENTO!O79</f>
        <v>-</v>
      </c>
      <c r="E79" s="164" t="str">
        <f t="shared" ca="1" si="9"/>
        <v>(abra o arquivo 'Referência 09-2025.xlsm)</v>
      </c>
      <c r="F79" s="165" t="str">
        <f ca="1">IF(RegimeExecucao="Global","",ORÇAMENTO.Unidade)</f>
        <v>-</v>
      </c>
      <c r="G79" s="123">
        <f ca="1">IF(RegimeExecucao="Global","",ORÇAMENTO!T79)</f>
        <v>1</v>
      </c>
      <c r="H79" s="123">
        <f ca="1">IF(RegimeExecucao="Global","",ORÇAMENTO!W79)</f>
        <v>0</v>
      </c>
      <c r="I79" s="126">
        <f ca="1">ORÇAMENTO!X79</f>
        <v>0</v>
      </c>
      <c r="J79" s="334" t="e" cm="1">
        <f t="array" aca="1" ref="J79" ca="1">_xlfn.SINGLE(IF($A79="S",IF(CAIXA.Modo,BM.AFAnterior,BM.MEDAnterior),IF(AND(_xlfn.SINGLE(RegimeExecucao)="Global",$I79&gt;0,COUNTIF($AB$13:$AM$13,BM.medicao-1)&gt;0),M79/$I79*100,0)))</f>
        <v>#NAME?</v>
      </c>
      <c r="K79" s="123" t="e">
        <f t="shared" ca="1" si="10"/>
        <v>#NAME?</v>
      </c>
      <c r="L79" s="335" t="e" cm="1">
        <f t="array" aca="1" ref="L79" ca="1">_xlfn.SINGLE(IF($A79="S",IF(CAIXA.Modo,BM.AFAcumulado,BM.MEDAcumulado),IF(AND(_xlfn.SINGLE(RegimeExecucao)="Global",$I79&gt;0,COUNTIF($AB$13:$AM$13,BM.medicao)&gt;0),O79/$I79*100,0)))</f>
        <v>#NAME?</v>
      </c>
      <c r="M79" s="336">
        <f ca="1">IF($A79="S",VTOTALBM,IF($A79=0,0,ROUND(SomaAgrupBM,15-13*ORÇAMENTO!$AF$11)))</f>
        <v>0</v>
      </c>
      <c r="N79" s="337">
        <f t="shared" ca="1" si="11"/>
        <v>0</v>
      </c>
      <c r="O79" s="126">
        <f ca="1">IF($A79="S",VTOTALBM,IF($A79=0,0,ROUND(SomaAgrupBM,15-13*ORÇAMENTO!$AF$11)))</f>
        <v>0</v>
      </c>
      <c r="Q79" s="338"/>
      <c r="R79" s="339"/>
      <c r="T79" s="118" t="str">
        <f t="shared" ca="1" si="12"/>
        <v/>
      </c>
      <c r="U79" s="164" t="str">
        <f t="shared" ca="1" si="13"/>
        <v/>
      </c>
      <c r="V79" s="165" t="str">
        <f ca="1">IF(AND($W79&gt;0,RegimeExecucao="Unitário"),$F79,"")</f>
        <v/>
      </c>
      <c r="W79" s="455">
        <f ca="1">IF($Y79&gt;0,CHOOSE(MATCH(RegimeExecucao,{"Unitário","Global"},0),IF($A79="S",$Y79/$X79,""),($Y79/$X79)*100),0)</f>
        <v>0</v>
      </c>
      <c r="X79" s="340" t="str">
        <f ca="1">IF($Y79&gt;0,CHOOSE(MATCH(RegimeExecucao,{"Unitário","Global"},0),IF($A79="S",ROUND($H79,ORÇAMENTO!$AF$10),""),ROUND($I79,ORÇAMENTO!$AF$11)),"")</f>
        <v/>
      </c>
      <c r="Y79" s="340">
        <f t="shared" ca="1" si="14"/>
        <v>0</v>
      </c>
      <c r="Z79" s="474"/>
      <c r="AB79" s="338"/>
      <c r="AC79" s="438"/>
      <c r="AD79" s="438"/>
      <c r="AE79" s="438"/>
      <c r="AF79" s="438"/>
      <c r="AG79" s="438"/>
      <c r="AH79" s="438"/>
      <c r="AI79" s="438"/>
      <c r="AJ79" s="438"/>
      <c r="AK79" s="438"/>
      <c r="AL79" s="438"/>
      <c r="AM79" s="339"/>
      <c r="AO79" s="675">
        <f ca="1">IF($A79="S",IF(BM!$I79=0,0,CHOOSE(MATCH(RegimeExecucao,{"Global","Unitário"},0),ROUND(ROUND(BM.MEDAcumulado,15-13*BM!$A$9)/100*BM!$I79,15-13*ORÇAMENTO!$AF$11),ROUND(ROUND(BM.MEDAcumulado,15-13*BM!$A$9)*ROUND(BM!$H79,15-13*ORÇAMENTO!$AF$10),15-13*ORÇAMENTO!$AF$11))),IF($A79=0,0,ROUND(SomaAgrupBM,15-13*ORÇAMENTO!$AF$11)))</f>
        <v>0</v>
      </c>
    </row>
    <row r="80" spans="1:41" s="675" customFormat="1" x14ac:dyDescent="0.2">
      <c r="A80" s="675" t="str">
        <f ca="1">ORÇAMENTO!C80</f>
        <v>S</v>
      </c>
      <c r="B80" s="675">
        <f ca="1">ORÇAMENTO!D80</f>
        <v>0</v>
      </c>
      <c r="C80" s="115" t="str">
        <f t="shared" ca="1" si="8"/>
        <v/>
      </c>
      <c r="D80" s="118" t="str">
        <f ca="1">ORÇAMENTO!O80</f>
        <v>-</v>
      </c>
      <c r="E80" s="164" t="str">
        <f t="shared" ca="1" si="9"/>
        <v>(abra o arquivo 'Referência 09-2025.xlsm)</v>
      </c>
      <c r="F80" s="165" t="str">
        <f ca="1">IF(RegimeExecucao="Global","",ORÇAMENTO.Unidade)</f>
        <v>-</v>
      </c>
      <c r="G80" s="123">
        <f ca="1">IF(RegimeExecucao="Global","",ORÇAMENTO!T80)</f>
        <v>2</v>
      </c>
      <c r="H80" s="123">
        <f ca="1">IF(RegimeExecucao="Global","",ORÇAMENTO!W80)</f>
        <v>0</v>
      </c>
      <c r="I80" s="126">
        <f ca="1">ORÇAMENTO!X80</f>
        <v>0</v>
      </c>
      <c r="J80" s="334" t="e" cm="1">
        <f t="array" aca="1" ref="J80" ca="1">_xlfn.SINGLE(IF($A80="S",IF(CAIXA.Modo,BM.AFAnterior,BM.MEDAnterior),IF(AND(_xlfn.SINGLE(RegimeExecucao)="Global",$I80&gt;0,COUNTIF($AB$13:$AM$13,BM.medicao-1)&gt;0),M80/$I80*100,0)))</f>
        <v>#NAME?</v>
      </c>
      <c r="K80" s="123" t="e">
        <f t="shared" ca="1" si="10"/>
        <v>#NAME?</v>
      </c>
      <c r="L80" s="335" t="e" cm="1">
        <f t="array" aca="1" ref="L80" ca="1">_xlfn.SINGLE(IF($A80="S",IF(CAIXA.Modo,BM.AFAcumulado,BM.MEDAcumulado),IF(AND(_xlfn.SINGLE(RegimeExecucao)="Global",$I80&gt;0,COUNTIF($AB$13:$AM$13,BM.medicao)&gt;0),O80/$I80*100,0)))</f>
        <v>#NAME?</v>
      </c>
      <c r="M80" s="336">
        <f ca="1">IF($A80="S",VTOTALBM,IF($A80=0,0,ROUND(SomaAgrupBM,15-13*ORÇAMENTO!$AF$11)))</f>
        <v>0</v>
      </c>
      <c r="N80" s="337">
        <f t="shared" ca="1" si="11"/>
        <v>0</v>
      </c>
      <c r="O80" s="126">
        <f ca="1">IF($A80="S",VTOTALBM,IF($A80=0,0,ROUND(SomaAgrupBM,15-13*ORÇAMENTO!$AF$11)))</f>
        <v>0</v>
      </c>
      <c r="Q80" s="338"/>
      <c r="R80" s="339"/>
      <c r="T80" s="118" t="str">
        <f t="shared" ca="1" si="12"/>
        <v/>
      </c>
      <c r="U80" s="164" t="str">
        <f t="shared" ca="1" si="13"/>
        <v/>
      </c>
      <c r="V80" s="165" t="str">
        <f ca="1">IF(AND($W80&gt;0,RegimeExecucao="Unitário"),$F80,"")</f>
        <v/>
      </c>
      <c r="W80" s="455">
        <f ca="1">IF($Y80&gt;0,CHOOSE(MATCH(RegimeExecucao,{"Unitário","Global"},0),IF($A80="S",$Y80/$X80,""),($Y80/$X80)*100),0)</f>
        <v>0</v>
      </c>
      <c r="X80" s="340" t="str">
        <f ca="1">IF($Y80&gt;0,CHOOSE(MATCH(RegimeExecucao,{"Unitário","Global"},0),IF($A80="S",ROUND($H80,ORÇAMENTO!$AF$10),""),ROUND($I80,ORÇAMENTO!$AF$11)),"")</f>
        <v/>
      </c>
      <c r="Y80" s="340">
        <f t="shared" ca="1" si="14"/>
        <v>0</v>
      </c>
      <c r="Z80" s="474"/>
      <c r="AB80" s="338"/>
      <c r="AC80" s="438"/>
      <c r="AD80" s="438"/>
      <c r="AE80" s="438"/>
      <c r="AF80" s="438"/>
      <c r="AG80" s="438"/>
      <c r="AH80" s="438"/>
      <c r="AI80" s="438"/>
      <c r="AJ80" s="438"/>
      <c r="AK80" s="438"/>
      <c r="AL80" s="438"/>
      <c r="AM80" s="339"/>
      <c r="AO80" s="675">
        <f ca="1">IF($A80="S",IF(BM!$I80=0,0,CHOOSE(MATCH(RegimeExecucao,{"Global","Unitário"},0),ROUND(ROUND(BM.MEDAcumulado,15-13*BM!$A$9)/100*BM!$I80,15-13*ORÇAMENTO!$AF$11),ROUND(ROUND(BM.MEDAcumulado,15-13*BM!$A$9)*ROUND(BM!$H80,15-13*ORÇAMENTO!$AF$10),15-13*ORÇAMENTO!$AF$11))),IF($A80=0,0,ROUND(SomaAgrupBM,15-13*ORÇAMENTO!$AF$11)))</f>
        <v>0</v>
      </c>
    </row>
    <row r="81" spans="1:41" s="675" customFormat="1" x14ac:dyDescent="0.2">
      <c r="A81" s="675" t="str">
        <f ca="1">ORÇAMENTO!C81</f>
        <v>S</v>
      </c>
      <c r="B81" s="675">
        <f ca="1">ORÇAMENTO!D81</f>
        <v>0</v>
      </c>
      <c r="C81" s="115" t="str">
        <f t="shared" ca="1" si="8"/>
        <v/>
      </c>
      <c r="D81" s="118" t="str">
        <f ca="1">ORÇAMENTO!O81</f>
        <v>-</v>
      </c>
      <c r="E81" s="164" t="str">
        <f t="shared" ca="1" si="9"/>
        <v>(abra o arquivo 'Referência 09-2025.xlsm)</v>
      </c>
      <c r="F81" s="165" t="str">
        <f ca="1">IF(RegimeExecucao="Global","",ORÇAMENTO.Unidade)</f>
        <v>-</v>
      </c>
      <c r="G81" s="123">
        <f ca="1">IF(RegimeExecucao="Global","",ORÇAMENTO!T81)</f>
        <v>1</v>
      </c>
      <c r="H81" s="123">
        <f ca="1">IF(RegimeExecucao="Global","",ORÇAMENTO!W81)</f>
        <v>0</v>
      </c>
      <c r="I81" s="126">
        <f ca="1">ORÇAMENTO!X81</f>
        <v>0</v>
      </c>
      <c r="J81" s="334" t="e" cm="1">
        <f t="array" aca="1" ref="J81" ca="1">_xlfn.SINGLE(IF($A81="S",IF(CAIXA.Modo,BM.AFAnterior,BM.MEDAnterior),IF(AND(_xlfn.SINGLE(RegimeExecucao)="Global",$I81&gt;0,COUNTIF($AB$13:$AM$13,BM.medicao-1)&gt;0),M81/$I81*100,0)))</f>
        <v>#NAME?</v>
      </c>
      <c r="K81" s="123" t="e">
        <f t="shared" ca="1" si="10"/>
        <v>#NAME?</v>
      </c>
      <c r="L81" s="335" t="e" cm="1">
        <f t="array" aca="1" ref="L81" ca="1">_xlfn.SINGLE(IF($A81="S",IF(CAIXA.Modo,BM.AFAcumulado,BM.MEDAcumulado),IF(AND(_xlfn.SINGLE(RegimeExecucao)="Global",$I81&gt;0,COUNTIF($AB$13:$AM$13,BM.medicao)&gt;0),O81/$I81*100,0)))</f>
        <v>#NAME?</v>
      </c>
      <c r="M81" s="336">
        <f ca="1">IF($A81="S",VTOTALBM,IF($A81=0,0,ROUND(SomaAgrupBM,15-13*ORÇAMENTO!$AF$11)))</f>
        <v>0</v>
      </c>
      <c r="N81" s="337">
        <f t="shared" ca="1" si="11"/>
        <v>0</v>
      </c>
      <c r="O81" s="126">
        <f ca="1">IF($A81="S",VTOTALBM,IF($A81=0,0,ROUND(SomaAgrupBM,15-13*ORÇAMENTO!$AF$11)))</f>
        <v>0</v>
      </c>
      <c r="Q81" s="338"/>
      <c r="R81" s="339"/>
      <c r="T81" s="118" t="str">
        <f t="shared" ca="1" si="12"/>
        <v/>
      </c>
      <c r="U81" s="164" t="str">
        <f t="shared" ca="1" si="13"/>
        <v/>
      </c>
      <c r="V81" s="165" t="str">
        <f ca="1">IF(AND($W81&gt;0,RegimeExecucao="Unitário"),$F81,"")</f>
        <v/>
      </c>
      <c r="W81" s="455">
        <f ca="1">IF($Y81&gt;0,CHOOSE(MATCH(RegimeExecucao,{"Unitário","Global"},0),IF($A81="S",$Y81/$X81,""),($Y81/$X81)*100),0)</f>
        <v>0</v>
      </c>
      <c r="X81" s="340" t="str">
        <f ca="1">IF($Y81&gt;0,CHOOSE(MATCH(RegimeExecucao,{"Unitário","Global"},0),IF($A81="S",ROUND($H81,ORÇAMENTO!$AF$10),""),ROUND($I81,ORÇAMENTO!$AF$11)),"")</f>
        <v/>
      </c>
      <c r="Y81" s="340">
        <f t="shared" ca="1" si="14"/>
        <v>0</v>
      </c>
      <c r="Z81" s="474"/>
      <c r="AB81" s="338"/>
      <c r="AC81" s="438"/>
      <c r="AD81" s="438"/>
      <c r="AE81" s="438"/>
      <c r="AF81" s="438"/>
      <c r="AG81" s="438"/>
      <c r="AH81" s="438"/>
      <c r="AI81" s="438"/>
      <c r="AJ81" s="438"/>
      <c r="AK81" s="438"/>
      <c r="AL81" s="438"/>
      <c r="AM81" s="339"/>
      <c r="AO81" s="675">
        <f ca="1">IF($A81="S",IF(BM!$I81=0,0,CHOOSE(MATCH(RegimeExecucao,{"Global","Unitário"},0),ROUND(ROUND(BM.MEDAcumulado,15-13*BM!$A$9)/100*BM!$I81,15-13*ORÇAMENTO!$AF$11),ROUND(ROUND(BM.MEDAcumulado,15-13*BM!$A$9)*ROUND(BM!$H81,15-13*ORÇAMENTO!$AF$10),15-13*ORÇAMENTO!$AF$11))),IF($A81=0,0,ROUND(SomaAgrupBM,15-13*ORÇAMENTO!$AF$11)))</f>
        <v>0</v>
      </c>
    </row>
    <row r="82" spans="1:41" s="720" customFormat="1" x14ac:dyDescent="0.2">
      <c r="A82" s="720" t="str">
        <f ca="1">ORÇAMENTO!C82</f>
        <v>S</v>
      </c>
      <c r="B82" s="720">
        <f ca="1">ORÇAMENTO!D82</f>
        <v>0</v>
      </c>
      <c r="C82" s="115" t="str">
        <f t="shared" ca="1" si="8"/>
        <v/>
      </c>
      <c r="D82" s="118" t="str">
        <f ca="1">ORÇAMENTO!O82</f>
        <v>-</v>
      </c>
      <c r="E82" s="164" t="str">
        <f t="shared" ca="1" si="9"/>
        <v>(abra o arquivo 'Referência 09-2025.xlsm)</v>
      </c>
      <c r="F82" s="165" t="str">
        <f ca="1">IF(RegimeExecucao="Global","",ORÇAMENTO.Unidade)</f>
        <v>-</v>
      </c>
      <c r="G82" s="123">
        <f ca="1">IF(RegimeExecucao="Global","",ORÇAMENTO!T82)</f>
        <v>8</v>
      </c>
      <c r="H82" s="123">
        <f ca="1">IF(RegimeExecucao="Global","",ORÇAMENTO!W82)</f>
        <v>0</v>
      </c>
      <c r="I82" s="126">
        <f ca="1">ORÇAMENTO!X82</f>
        <v>0</v>
      </c>
      <c r="J82" s="334" t="e" cm="1">
        <f t="array" aca="1" ref="J82" ca="1">_xlfn.SINGLE(IF($A82="S",IF(CAIXA.Modo,BM.AFAnterior,BM.MEDAnterior),IF(AND(_xlfn.SINGLE(RegimeExecucao)="Global",$I82&gt;0,COUNTIF($AB$13:$AM$13,BM.medicao-1)&gt;0),M82/$I82*100,0)))</f>
        <v>#NAME?</v>
      </c>
      <c r="K82" s="123" t="e">
        <f t="shared" ca="1" si="10"/>
        <v>#NAME?</v>
      </c>
      <c r="L82" s="335" t="e" cm="1">
        <f t="array" aca="1" ref="L82" ca="1">_xlfn.SINGLE(IF($A82="S",IF(CAIXA.Modo,BM.AFAcumulado,BM.MEDAcumulado),IF(AND(_xlfn.SINGLE(RegimeExecucao)="Global",$I82&gt;0,COUNTIF($AB$13:$AM$13,BM.medicao)&gt;0),O82/$I82*100,0)))</f>
        <v>#NAME?</v>
      </c>
      <c r="M82" s="336">
        <f ca="1">IF($A82="S",VTOTALBM,IF($A82=0,0,ROUND(SomaAgrupBM,15-13*ORÇAMENTO!$AF$11)))</f>
        <v>0</v>
      </c>
      <c r="N82" s="337">
        <f t="shared" ca="1" si="11"/>
        <v>0</v>
      </c>
      <c r="O82" s="126">
        <f ca="1">IF($A82="S",VTOTALBM,IF($A82=0,0,ROUND(SomaAgrupBM,15-13*ORÇAMENTO!$AF$11)))</f>
        <v>0</v>
      </c>
      <c r="Q82" s="338"/>
      <c r="R82" s="339"/>
      <c r="T82" s="118" t="str">
        <f t="shared" ca="1" si="12"/>
        <v/>
      </c>
      <c r="U82" s="164" t="str">
        <f t="shared" ca="1" si="13"/>
        <v/>
      </c>
      <c r="V82" s="165" t="str">
        <f ca="1">IF(AND($W82&gt;0,RegimeExecucao="Unitário"),$F82,"")</f>
        <v/>
      </c>
      <c r="W82" s="455">
        <f ca="1">IF($Y82&gt;0,CHOOSE(MATCH(RegimeExecucao,{"Unitário","Global"},0),IF($A82="S",$Y82/$X82,""),($Y82/$X82)*100),0)</f>
        <v>0</v>
      </c>
      <c r="X82" s="340" t="str">
        <f ca="1">IF($Y82&gt;0,CHOOSE(MATCH(RegimeExecucao,{"Unitário","Global"},0),IF($A82="S",ROUND($H82,ORÇAMENTO!$AF$10),""),ROUND($I82,ORÇAMENTO!$AF$11)),"")</f>
        <v/>
      </c>
      <c r="Y82" s="340">
        <f t="shared" ca="1" si="14"/>
        <v>0</v>
      </c>
      <c r="Z82" s="474"/>
      <c r="AB82" s="338"/>
      <c r="AC82" s="438"/>
      <c r="AD82" s="438"/>
      <c r="AE82" s="438"/>
      <c r="AF82" s="438"/>
      <c r="AG82" s="438"/>
      <c r="AH82" s="438"/>
      <c r="AI82" s="438"/>
      <c r="AJ82" s="438"/>
      <c r="AK82" s="438"/>
      <c r="AL82" s="438"/>
      <c r="AM82" s="339"/>
      <c r="AO82" s="720">
        <f ca="1">IF($A82="S",IF(BM!$I82=0,0,CHOOSE(MATCH(RegimeExecucao,{"Global","Unitário"},0),ROUND(ROUND(BM.MEDAcumulado,15-13*BM!$A$9)/100*BM!$I82,15-13*ORÇAMENTO!$AF$11),ROUND(ROUND(BM.MEDAcumulado,15-13*BM!$A$9)*ROUND(BM!$H82,15-13*ORÇAMENTO!$AF$10),15-13*ORÇAMENTO!$AF$11))),IF($A82=0,0,ROUND(SomaAgrupBM,15-13*ORÇAMENTO!$AF$11)))</f>
        <v>0</v>
      </c>
    </row>
    <row r="83" spans="1:41" s="720" customFormat="1" x14ac:dyDescent="0.2">
      <c r="A83" s="720" t="str">
        <f ca="1">ORÇAMENTO!C83</f>
        <v>S</v>
      </c>
      <c r="B83" s="720">
        <f ca="1">ORÇAMENTO!D83</f>
        <v>0</v>
      </c>
      <c r="C83" s="115" t="str">
        <f t="shared" ca="1" si="8"/>
        <v/>
      </c>
      <c r="D83" s="118" t="str">
        <f ca="1">ORÇAMENTO!O83</f>
        <v>-</v>
      </c>
      <c r="E83" s="164" t="str">
        <f t="shared" ca="1" si="9"/>
        <v>(abra o arquivo 'Referência 09-2025.xlsm)</v>
      </c>
      <c r="F83" s="165" t="str">
        <f ca="1">IF(RegimeExecucao="Global","",ORÇAMENTO.Unidade)</f>
        <v>-</v>
      </c>
      <c r="G83" s="123">
        <f ca="1">IF(RegimeExecucao="Global","",ORÇAMENTO!T83)</f>
        <v>2</v>
      </c>
      <c r="H83" s="123">
        <f ca="1">IF(RegimeExecucao="Global","",ORÇAMENTO!W83)</f>
        <v>0</v>
      </c>
      <c r="I83" s="126">
        <f ca="1">ORÇAMENTO!X83</f>
        <v>0</v>
      </c>
      <c r="J83" s="334" t="e" cm="1">
        <f t="array" aca="1" ref="J83" ca="1">_xlfn.SINGLE(IF($A83="S",IF(CAIXA.Modo,BM.AFAnterior,BM.MEDAnterior),IF(AND(_xlfn.SINGLE(RegimeExecucao)="Global",$I83&gt;0,COUNTIF($AB$13:$AM$13,BM.medicao-1)&gt;0),M83/$I83*100,0)))</f>
        <v>#NAME?</v>
      </c>
      <c r="K83" s="123" t="e">
        <f t="shared" ca="1" si="10"/>
        <v>#NAME?</v>
      </c>
      <c r="L83" s="335" t="e" cm="1">
        <f t="array" aca="1" ref="L83" ca="1">_xlfn.SINGLE(IF($A83="S",IF(CAIXA.Modo,BM.AFAcumulado,BM.MEDAcumulado),IF(AND(_xlfn.SINGLE(RegimeExecucao)="Global",$I83&gt;0,COUNTIF($AB$13:$AM$13,BM.medicao)&gt;0),O83/$I83*100,0)))</f>
        <v>#NAME?</v>
      </c>
      <c r="M83" s="336">
        <f ca="1">IF($A83="S",VTOTALBM,IF($A83=0,0,ROUND(SomaAgrupBM,15-13*ORÇAMENTO!$AF$11)))</f>
        <v>0</v>
      </c>
      <c r="N83" s="337">
        <f t="shared" ca="1" si="11"/>
        <v>0</v>
      </c>
      <c r="O83" s="126">
        <f ca="1">IF($A83="S",VTOTALBM,IF($A83=0,0,ROUND(SomaAgrupBM,15-13*ORÇAMENTO!$AF$11)))</f>
        <v>0</v>
      </c>
      <c r="Q83" s="338"/>
      <c r="R83" s="339"/>
      <c r="T83" s="118" t="str">
        <f t="shared" ca="1" si="12"/>
        <v/>
      </c>
      <c r="U83" s="164" t="str">
        <f t="shared" ca="1" si="13"/>
        <v/>
      </c>
      <c r="V83" s="165" t="str">
        <f ca="1">IF(AND($W83&gt;0,RegimeExecucao="Unitário"),$F83,"")</f>
        <v/>
      </c>
      <c r="W83" s="455">
        <f ca="1">IF($Y83&gt;0,CHOOSE(MATCH(RegimeExecucao,{"Unitário","Global"},0),IF($A83="S",$Y83/$X83,""),($Y83/$X83)*100),0)</f>
        <v>0</v>
      </c>
      <c r="X83" s="340" t="str">
        <f ca="1">IF($Y83&gt;0,CHOOSE(MATCH(RegimeExecucao,{"Unitário","Global"},0),IF($A83="S",ROUND($H83,ORÇAMENTO!$AF$10),""),ROUND($I83,ORÇAMENTO!$AF$11)),"")</f>
        <v/>
      </c>
      <c r="Y83" s="340">
        <f t="shared" ca="1" si="14"/>
        <v>0</v>
      </c>
      <c r="Z83" s="474"/>
      <c r="AB83" s="338"/>
      <c r="AC83" s="438"/>
      <c r="AD83" s="438"/>
      <c r="AE83" s="438"/>
      <c r="AF83" s="438"/>
      <c r="AG83" s="438"/>
      <c r="AH83" s="438"/>
      <c r="AI83" s="438"/>
      <c r="AJ83" s="438"/>
      <c r="AK83" s="438"/>
      <c r="AL83" s="438"/>
      <c r="AM83" s="339"/>
      <c r="AO83" s="720">
        <f ca="1">IF($A83="S",IF(BM!$I83=0,0,CHOOSE(MATCH(RegimeExecucao,{"Global","Unitário"},0),ROUND(ROUND(BM.MEDAcumulado,15-13*BM!$A$9)/100*BM!$I83,15-13*ORÇAMENTO!$AF$11),ROUND(ROUND(BM.MEDAcumulado,15-13*BM!$A$9)*ROUND(BM!$H83,15-13*ORÇAMENTO!$AF$10),15-13*ORÇAMENTO!$AF$11))),IF($A83=0,0,ROUND(SomaAgrupBM,15-13*ORÇAMENTO!$AF$11)))</f>
        <v>0</v>
      </c>
    </row>
    <row r="84" spans="1:41" s="675" customFormat="1" ht="25.5" x14ac:dyDescent="0.2">
      <c r="A84" s="675" t="str">
        <f ca="1">ORÇAMENTO!C84</f>
        <v>S</v>
      </c>
      <c r="B84" s="675">
        <f ca="1">ORÇAMENTO!D84</f>
        <v>0</v>
      </c>
      <c r="C84" s="115" t="str">
        <f t="shared" ca="1" si="8"/>
        <v/>
      </c>
      <c r="D84" s="118" t="str">
        <f ca="1">ORÇAMENTO!O84</f>
        <v>-</v>
      </c>
      <c r="E84" s="164" t="str">
        <f t="shared" ca="1" si="9"/>
        <v>(abra o arquivo 'Referência 09-2025.xlsm)</v>
      </c>
      <c r="F84" s="165" t="str">
        <f ca="1">IF(RegimeExecucao="Global","",ORÇAMENTO.Unidade)</f>
        <v>-</v>
      </c>
      <c r="G84" s="123">
        <f ca="1">IF(RegimeExecucao="Global","",ORÇAMENTO!T84)</f>
        <v>8</v>
      </c>
      <c r="H84" s="123">
        <f ca="1">IF(RegimeExecucao="Global","",ORÇAMENTO!W84)</f>
        <v>0</v>
      </c>
      <c r="I84" s="126">
        <f ca="1">ORÇAMENTO!X84</f>
        <v>0</v>
      </c>
      <c r="J84" s="334" t="e" cm="1">
        <f t="array" aca="1" ref="J84" ca="1">_xlfn.SINGLE(IF($A84="S",IF(CAIXA.Modo,BM.AFAnterior,BM.MEDAnterior),IF(AND(_xlfn.SINGLE(RegimeExecucao)="Global",$I84&gt;0,COUNTIF($AB$13:$AM$13,BM.medicao-1)&gt;0),M84/$I84*100,0)))</f>
        <v>#NAME?</v>
      </c>
      <c r="K84" s="123" t="e">
        <f t="shared" ca="1" si="10"/>
        <v>#NAME?</v>
      </c>
      <c r="L84" s="335" t="e" cm="1">
        <f t="array" aca="1" ref="L84" ca="1">_xlfn.SINGLE(IF($A84="S",IF(CAIXA.Modo,BM.AFAcumulado,BM.MEDAcumulado),IF(AND(_xlfn.SINGLE(RegimeExecucao)="Global",$I84&gt;0,COUNTIF($AB$13:$AM$13,BM.medicao)&gt;0),O84/$I84*100,0)))</f>
        <v>#NAME?</v>
      </c>
      <c r="M84" s="336">
        <f ca="1">IF($A84="S",VTOTALBM,IF($A84=0,0,ROUND(SomaAgrupBM,15-13*ORÇAMENTO!$AF$11)))</f>
        <v>0</v>
      </c>
      <c r="N84" s="337">
        <f t="shared" ca="1" si="11"/>
        <v>0</v>
      </c>
      <c r="O84" s="126">
        <f ca="1">IF($A84="S",VTOTALBM,IF($A84=0,0,ROUND(SomaAgrupBM,15-13*ORÇAMENTO!$AF$11)))</f>
        <v>0</v>
      </c>
      <c r="Q84" s="338"/>
      <c r="R84" s="339"/>
      <c r="T84" s="118" t="str">
        <f t="shared" ca="1" si="12"/>
        <v/>
      </c>
      <c r="U84" s="164" t="str">
        <f t="shared" ca="1" si="13"/>
        <v/>
      </c>
      <c r="V84" s="165" t="str">
        <f ca="1">IF(AND($W84&gt;0,RegimeExecucao="Unitário"),$F84,"")</f>
        <v/>
      </c>
      <c r="W84" s="455">
        <f ca="1">IF($Y84&gt;0,CHOOSE(MATCH(RegimeExecucao,{"Unitário","Global"},0),IF($A84="S",$Y84/$X84,""),($Y84/$X84)*100),0)</f>
        <v>0</v>
      </c>
      <c r="X84" s="340" t="str">
        <f ca="1">IF($Y84&gt;0,CHOOSE(MATCH(RegimeExecucao,{"Unitário","Global"},0),IF($A84="S",ROUND($H84,ORÇAMENTO!$AF$10),""),ROUND($I84,ORÇAMENTO!$AF$11)),"")</f>
        <v/>
      </c>
      <c r="Y84" s="340">
        <f t="shared" ca="1" si="14"/>
        <v>0</v>
      </c>
      <c r="Z84" s="474"/>
      <c r="AB84" s="338"/>
      <c r="AC84" s="438"/>
      <c r="AD84" s="438"/>
      <c r="AE84" s="438"/>
      <c r="AF84" s="438"/>
      <c r="AG84" s="438"/>
      <c r="AH84" s="438"/>
      <c r="AI84" s="438"/>
      <c r="AJ84" s="438"/>
      <c r="AK84" s="438"/>
      <c r="AL84" s="438"/>
      <c r="AM84" s="339"/>
      <c r="AO84" s="675">
        <f ca="1">IF($A84="S",IF(BM!$I84=0,0,CHOOSE(MATCH(RegimeExecucao,{"Global","Unitário"},0),ROUND(ROUND(BM.MEDAcumulado,15-13*BM!$A$9)/100*BM!$I84,15-13*ORÇAMENTO!$AF$11),ROUND(ROUND(BM.MEDAcumulado,15-13*BM!$A$9)*ROUND(BM!$H84,15-13*ORÇAMENTO!$AF$10),15-13*ORÇAMENTO!$AF$11))),IF($A84=0,0,ROUND(SomaAgrupBM,15-13*ORÇAMENTO!$AF$11)))</f>
        <v>0</v>
      </c>
    </row>
    <row r="85" spans="1:41" s="675" customFormat="1" ht="25.5" x14ac:dyDescent="0.2">
      <c r="A85" s="675" t="str">
        <f ca="1">ORÇAMENTO!C85</f>
        <v>S</v>
      </c>
      <c r="B85" s="675">
        <f ca="1">ORÇAMENTO!D85</f>
        <v>0</v>
      </c>
      <c r="C85" s="115" t="str">
        <f t="shared" ca="1" si="8"/>
        <v/>
      </c>
      <c r="D85" s="118" t="str">
        <f ca="1">ORÇAMENTO!O85</f>
        <v>-</v>
      </c>
      <c r="E85" s="164" t="str">
        <f t="shared" ca="1" si="9"/>
        <v>(abra o arquivo 'Referência 09-2025.xlsm)</v>
      </c>
      <c r="F85" s="165" t="str">
        <f ca="1">IF(RegimeExecucao="Global","",ORÇAMENTO.Unidade)</f>
        <v>-</v>
      </c>
      <c r="G85" s="123">
        <f ca="1">IF(RegimeExecucao="Global","",ORÇAMENTO!T85)</f>
        <v>2</v>
      </c>
      <c r="H85" s="123">
        <f ca="1">IF(RegimeExecucao="Global","",ORÇAMENTO!W85)</f>
        <v>0</v>
      </c>
      <c r="I85" s="126">
        <f ca="1">ORÇAMENTO!X85</f>
        <v>0</v>
      </c>
      <c r="J85" s="334" t="e" cm="1">
        <f t="array" aca="1" ref="J85" ca="1">_xlfn.SINGLE(IF($A85="S",IF(CAIXA.Modo,BM.AFAnterior,BM.MEDAnterior),IF(AND(_xlfn.SINGLE(RegimeExecucao)="Global",$I85&gt;0,COUNTIF($AB$13:$AM$13,BM.medicao-1)&gt;0),M85/$I85*100,0)))</f>
        <v>#NAME?</v>
      </c>
      <c r="K85" s="123" t="e">
        <f t="shared" ca="1" si="10"/>
        <v>#NAME?</v>
      </c>
      <c r="L85" s="335" t="e" cm="1">
        <f t="array" aca="1" ref="L85" ca="1">_xlfn.SINGLE(IF($A85="S",IF(CAIXA.Modo,BM.AFAcumulado,BM.MEDAcumulado),IF(AND(_xlfn.SINGLE(RegimeExecucao)="Global",$I85&gt;0,COUNTIF($AB$13:$AM$13,BM.medicao)&gt;0),O85/$I85*100,0)))</f>
        <v>#NAME?</v>
      </c>
      <c r="M85" s="336">
        <f ca="1">IF($A85="S",VTOTALBM,IF($A85=0,0,ROUND(SomaAgrupBM,15-13*ORÇAMENTO!$AF$11)))</f>
        <v>0</v>
      </c>
      <c r="N85" s="337">
        <f t="shared" ca="1" si="11"/>
        <v>0</v>
      </c>
      <c r="O85" s="126">
        <f ca="1">IF($A85="S",VTOTALBM,IF($A85=0,0,ROUND(SomaAgrupBM,15-13*ORÇAMENTO!$AF$11)))</f>
        <v>0</v>
      </c>
      <c r="Q85" s="338"/>
      <c r="R85" s="339"/>
      <c r="T85" s="118" t="str">
        <f t="shared" ca="1" si="12"/>
        <v/>
      </c>
      <c r="U85" s="164" t="str">
        <f t="shared" ca="1" si="13"/>
        <v/>
      </c>
      <c r="V85" s="165" t="str">
        <f ca="1">IF(AND($W85&gt;0,RegimeExecucao="Unitário"),$F85,"")</f>
        <v/>
      </c>
      <c r="W85" s="455">
        <f ca="1">IF($Y85&gt;0,CHOOSE(MATCH(RegimeExecucao,{"Unitário","Global"},0),IF($A85="S",$Y85/$X85,""),($Y85/$X85)*100),0)</f>
        <v>0</v>
      </c>
      <c r="X85" s="340" t="str">
        <f ca="1">IF($Y85&gt;0,CHOOSE(MATCH(RegimeExecucao,{"Unitário","Global"},0),IF($A85="S",ROUND($H85,ORÇAMENTO!$AF$10),""),ROUND($I85,ORÇAMENTO!$AF$11)),"")</f>
        <v/>
      </c>
      <c r="Y85" s="340">
        <f t="shared" ca="1" si="14"/>
        <v>0</v>
      </c>
      <c r="Z85" s="474"/>
      <c r="AB85" s="338"/>
      <c r="AC85" s="438"/>
      <c r="AD85" s="438"/>
      <c r="AE85" s="438"/>
      <c r="AF85" s="438"/>
      <c r="AG85" s="438"/>
      <c r="AH85" s="438"/>
      <c r="AI85" s="438"/>
      <c r="AJ85" s="438"/>
      <c r="AK85" s="438"/>
      <c r="AL85" s="438"/>
      <c r="AM85" s="339"/>
      <c r="AO85" s="675">
        <f ca="1">IF($A85="S",IF(BM!$I85=0,0,CHOOSE(MATCH(RegimeExecucao,{"Global","Unitário"},0),ROUND(ROUND(BM.MEDAcumulado,15-13*BM!$A$9)/100*BM!$I85,15-13*ORÇAMENTO!$AF$11),ROUND(ROUND(BM.MEDAcumulado,15-13*BM!$A$9)*ROUND(BM!$H85,15-13*ORÇAMENTO!$AF$10),15-13*ORÇAMENTO!$AF$11))),IF($A85=0,0,ROUND(SomaAgrupBM,15-13*ORÇAMENTO!$AF$11)))</f>
        <v>0</v>
      </c>
    </row>
    <row r="86" spans="1:41" s="675" customFormat="1" ht="25.5" x14ac:dyDescent="0.2">
      <c r="A86" s="675" t="str">
        <f ca="1">ORÇAMENTO!C86</f>
        <v>S</v>
      </c>
      <c r="B86" s="675">
        <f ca="1">ORÇAMENTO!D86</f>
        <v>0</v>
      </c>
      <c r="C86" s="115" t="str">
        <f t="shared" ca="1" si="8"/>
        <v/>
      </c>
      <c r="D86" s="118" t="str">
        <f ca="1">ORÇAMENTO!O86</f>
        <v>-</v>
      </c>
      <c r="E86" s="164" t="str">
        <f t="shared" ca="1" si="9"/>
        <v>(abra o arquivo 'Referência 09-2025.xlsm)</v>
      </c>
      <c r="F86" s="165" t="str">
        <f ca="1">IF(RegimeExecucao="Global","",ORÇAMENTO.Unidade)</f>
        <v>-</v>
      </c>
      <c r="G86" s="123">
        <f ca="1">IF(RegimeExecucao="Global","",ORÇAMENTO!T86)</f>
        <v>6</v>
      </c>
      <c r="H86" s="123">
        <f ca="1">IF(RegimeExecucao="Global","",ORÇAMENTO!W86)</f>
        <v>0</v>
      </c>
      <c r="I86" s="126">
        <f ca="1">ORÇAMENTO!X86</f>
        <v>0</v>
      </c>
      <c r="J86" s="334" t="e" cm="1">
        <f t="array" aca="1" ref="J86" ca="1">_xlfn.SINGLE(IF($A86="S",IF(CAIXA.Modo,BM.AFAnterior,BM.MEDAnterior),IF(AND(_xlfn.SINGLE(RegimeExecucao)="Global",$I86&gt;0,COUNTIF($AB$13:$AM$13,BM.medicao-1)&gt;0),M86/$I86*100,0)))</f>
        <v>#NAME?</v>
      </c>
      <c r="K86" s="123" t="e">
        <f t="shared" ca="1" si="10"/>
        <v>#NAME?</v>
      </c>
      <c r="L86" s="335" t="e" cm="1">
        <f t="array" aca="1" ref="L86" ca="1">_xlfn.SINGLE(IF($A86="S",IF(CAIXA.Modo,BM.AFAcumulado,BM.MEDAcumulado),IF(AND(_xlfn.SINGLE(RegimeExecucao)="Global",$I86&gt;0,COUNTIF($AB$13:$AM$13,BM.medicao)&gt;0),O86/$I86*100,0)))</f>
        <v>#NAME?</v>
      </c>
      <c r="M86" s="336">
        <f ca="1">IF($A86="S",VTOTALBM,IF($A86=0,0,ROUND(SomaAgrupBM,15-13*ORÇAMENTO!$AF$11)))</f>
        <v>0</v>
      </c>
      <c r="N86" s="337">
        <f t="shared" ca="1" si="11"/>
        <v>0</v>
      </c>
      <c r="O86" s="126">
        <f ca="1">IF($A86="S",VTOTALBM,IF($A86=0,0,ROUND(SomaAgrupBM,15-13*ORÇAMENTO!$AF$11)))</f>
        <v>0</v>
      </c>
      <c r="Q86" s="338"/>
      <c r="R86" s="339"/>
      <c r="T86" s="118" t="str">
        <f t="shared" ca="1" si="12"/>
        <v/>
      </c>
      <c r="U86" s="164" t="str">
        <f t="shared" ca="1" si="13"/>
        <v/>
      </c>
      <c r="V86" s="165" t="str">
        <f ca="1">IF(AND($W86&gt;0,RegimeExecucao="Unitário"),$F86,"")</f>
        <v/>
      </c>
      <c r="W86" s="455">
        <f ca="1">IF($Y86&gt;0,CHOOSE(MATCH(RegimeExecucao,{"Unitário","Global"},0),IF($A86="S",$Y86/$X86,""),($Y86/$X86)*100),0)</f>
        <v>0</v>
      </c>
      <c r="X86" s="340" t="str">
        <f ca="1">IF($Y86&gt;0,CHOOSE(MATCH(RegimeExecucao,{"Unitário","Global"},0),IF($A86="S",ROUND($H86,ORÇAMENTO!$AF$10),""),ROUND($I86,ORÇAMENTO!$AF$11)),"")</f>
        <v/>
      </c>
      <c r="Y86" s="340">
        <f t="shared" ca="1" si="14"/>
        <v>0</v>
      </c>
      <c r="Z86" s="474"/>
      <c r="AB86" s="338"/>
      <c r="AC86" s="438"/>
      <c r="AD86" s="438"/>
      <c r="AE86" s="438"/>
      <c r="AF86" s="438"/>
      <c r="AG86" s="438"/>
      <c r="AH86" s="438"/>
      <c r="AI86" s="438"/>
      <c r="AJ86" s="438"/>
      <c r="AK86" s="438"/>
      <c r="AL86" s="438"/>
      <c r="AM86" s="339"/>
      <c r="AO86" s="675">
        <f ca="1">IF($A86="S",IF(BM!$I86=0,0,CHOOSE(MATCH(RegimeExecucao,{"Global","Unitário"},0),ROUND(ROUND(BM.MEDAcumulado,15-13*BM!$A$9)/100*BM!$I86,15-13*ORÇAMENTO!$AF$11),ROUND(ROUND(BM.MEDAcumulado,15-13*BM!$A$9)*ROUND(BM!$H86,15-13*ORÇAMENTO!$AF$10),15-13*ORÇAMENTO!$AF$11))),IF($A86=0,0,ROUND(SomaAgrupBM,15-13*ORÇAMENTO!$AF$11)))</f>
        <v>0</v>
      </c>
    </row>
    <row r="87" spans="1:41" s="675" customFormat="1" ht="38.25" x14ac:dyDescent="0.2">
      <c r="A87" s="675" t="str">
        <f ca="1">ORÇAMENTO!C87</f>
        <v>S</v>
      </c>
      <c r="B87" s="675">
        <f ca="1">ORÇAMENTO!D87</f>
        <v>0</v>
      </c>
      <c r="C87" s="115" t="str">
        <f t="shared" ca="1" si="8"/>
        <v/>
      </c>
      <c r="D87" s="118" t="str">
        <f ca="1">ORÇAMENTO!O87</f>
        <v>-</v>
      </c>
      <c r="E87" s="164" t="str">
        <f t="shared" ca="1" si="9"/>
        <v>(abra o arquivo 'Referência 09-2025.xlsm)</v>
      </c>
      <c r="F87" s="165" t="str">
        <f ca="1">IF(RegimeExecucao="Global","",ORÇAMENTO.Unidade)</f>
        <v>-</v>
      </c>
      <c r="G87" s="123">
        <f ca="1">IF(RegimeExecucao="Global","",ORÇAMENTO!T87)</f>
        <v>8</v>
      </c>
      <c r="H87" s="123">
        <f ca="1">IF(RegimeExecucao="Global","",ORÇAMENTO!W87)</f>
        <v>0</v>
      </c>
      <c r="I87" s="126">
        <f ca="1">ORÇAMENTO!X87</f>
        <v>0</v>
      </c>
      <c r="J87" s="334" t="e" cm="1">
        <f t="array" aca="1" ref="J87" ca="1">_xlfn.SINGLE(IF($A87="S",IF(CAIXA.Modo,BM.AFAnterior,BM.MEDAnterior),IF(AND(_xlfn.SINGLE(RegimeExecucao)="Global",$I87&gt;0,COUNTIF($AB$13:$AM$13,BM.medicao-1)&gt;0),M87/$I87*100,0)))</f>
        <v>#NAME?</v>
      </c>
      <c r="K87" s="123" t="e">
        <f t="shared" ca="1" si="10"/>
        <v>#NAME?</v>
      </c>
      <c r="L87" s="335" t="e" cm="1">
        <f t="array" aca="1" ref="L87" ca="1">_xlfn.SINGLE(IF($A87="S",IF(CAIXA.Modo,BM.AFAcumulado,BM.MEDAcumulado),IF(AND(_xlfn.SINGLE(RegimeExecucao)="Global",$I87&gt;0,COUNTIF($AB$13:$AM$13,BM.medicao)&gt;0),O87/$I87*100,0)))</f>
        <v>#NAME?</v>
      </c>
      <c r="M87" s="336">
        <f ca="1">IF($A87="S",VTOTALBM,IF($A87=0,0,ROUND(SomaAgrupBM,15-13*ORÇAMENTO!$AF$11)))</f>
        <v>0</v>
      </c>
      <c r="N87" s="337">
        <f t="shared" ca="1" si="11"/>
        <v>0</v>
      </c>
      <c r="O87" s="126">
        <f ca="1">IF($A87="S",VTOTALBM,IF($A87=0,0,ROUND(SomaAgrupBM,15-13*ORÇAMENTO!$AF$11)))</f>
        <v>0</v>
      </c>
      <c r="Q87" s="338"/>
      <c r="R87" s="339"/>
      <c r="T87" s="118" t="str">
        <f t="shared" ca="1" si="12"/>
        <v/>
      </c>
      <c r="U87" s="164" t="str">
        <f t="shared" ca="1" si="13"/>
        <v/>
      </c>
      <c r="V87" s="165" t="str">
        <f ca="1">IF(AND($W87&gt;0,RegimeExecucao="Unitário"),$F87,"")</f>
        <v/>
      </c>
      <c r="W87" s="455">
        <f ca="1">IF($Y87&gt;0,CHOOSE(MATCH(RegimeExecucao,{"Unitário","Global"},0),IF($A87="S",$Y87/$X87,""),($Y87/$X87)*100),0)</f>
        <v>0</v>
      </c>
      <c r="X87" s="340" t="str">
        <f ca="1">IF($Y87&gt;0,CHOOSE(MATCH(RegimeExecucao,{"Unitário","Global"},0),IF($A87="S",ROUND($H87,ORÇAMENTO!$AF$10),""),ROUND($I87,ORÇAMENTO!$AF$11)),"")</f>
        <v/>
      </c>
      <c r="Y87" s="340">
        <f t="shared" ca="1" si="14"/>
        <v>0</v>
      </c>
      <c r="Z87" s="474"/>
      <c r="AB87" s="338"/>
      <c r="AC87" s="438"/>
      <c r="AD87" s="438"/>
      <c r="AE87" s="438"/>
      <c r="AF87" s="438"/>
      <c r="AG87" s="438"/>
      <c r="AH87" s="438"/>
      <c r="AI87" s="438"/>
      <c r="AJ87" s="438"/>
      <c r="AK87" s="438"/>
      <c r="AL87" s="438"/>
      <c r="AM87" s="339"/>
      <c r="AO87" s="675">
        <f ca="1">IF($A87="S",IF(BM!$I87=0,0,CHOOSE(MATCH(RegimeExecucao,{"Global","Unitário"},0),ROUND(ROUND(BM.MEDAcumulado,15-13*BM!$A$9)/100*BM!$I87,15-13*ORÇAMENTO!$AF$11),ROUND(ROUND(BM.MEDAcumulado,15-13*BM!$A$9)*ROUND(BM!$H87,15-13*ORÇAMENTO!$AF$10),15-13*ORÇAMENTO!$AF$11))),IF($A87=0,0,ROUND(SomaAgrupBM,15-13*ORÇAMENTO!$AF$11)))</f>
        <v>0</v>
      </c>
    </row>
    <row r="88" spans="1:41" s="675" customFormat="1" x14ac:dyDescent="0.2">
      <c r="A88" s="675" t="str">
        <f ca="1">ORÇAMENTO!C88</f>
        <v>S</v>
      </c>
      <c r="B88" s="675">
        <f ca="1">ORÇAMENTO!D88</f>
        <v>0</v>
      </c>
      <c r="C88" s="115" t="str">
        <f t="shared" ca="1" si="8"/>
        <v/>
      </c>
      <c r="D88" s="118" t="str">
        <f ca="1">ORÇAMENTO!O88</f>
        <v>-</v>
      </c>
      <c r="E88" s="164" t="str">
        <f t="shared" ca="1" si="9"/>
        <v>(abra o arquivo 'Referência 09-2025.xlsm)</v>
      </c>
      <c r="F88" s="165" t="str">
        <f ca="1">IF(RegimeExecucao="Global","",ORÇAMENTO.Unidade)</f>
        <v>-</v>
      </c>
      <c r="G88" s="123">
        <f ca="1">IF(RegimeExecucao="Global","",ORÇAMENTO!T88)</f>
        <v>16</v>
      </c>
      <c r="H88" s="123">
        <f ca="1">IF(RegimeExecucao="Global","",ORÇAMENTO!W88)</f>
        <v>0</v>
      </c>
      <c r="I88" s="126">
        <f ca="1">ORÇAMENTO!X88</f>
        <v>0</v>
      </c>
      <c r="J88" s="334" t="e" cm="1">
        <f t="array" aca="1" ref="J88" ca="1">_xlfn.SINGLE(IF($A88="S",IF(CAIXA.Modo,BM.AFAnterior,BM.MEDAnterior),IF(AND(_xlfn.SINGLE(RegimeExecucao)="Global",$I88&gt;0,COUNTIF($AB$13:$AM$13,BM.medicao-1)&gt;0),M88/$I88*100,0)))</f>
        <v>#NAME?</v>
      </c>
      <c r="K88" s="123" t="e">
        <f t="shared" ca="1" si="10"/>
        <v>#NAME?</v>
      </c>
      <c r="L88" s="335" t="e" cm="1">
        <f t="array" aca="1" ref="L88" ca="1">_xlfn.SINGLE(IF($A88="S",IF(CAIXA.Modo,BM.AFAcumulado,BM.MEDAcumulado),IF(AND(_xlfn.SINGLE(RegimeExecucao)="Global",$I88&gt;0,COUNTIF($AB$13:$AM$13,BM.medicao)&gt;0),O88/$I88*100,0)))</f>
        <v>#NAME?</v>
      </c>
      <c r="M88" s="336">
        <f ca="1">IF($A88="S",VTOTALBM,IF($A88=0,0,ROUND(SomaAgrupBM,15-13*ORÇAMENTO!$AF$11)))</f>
        <v>0</v>
      </c>
      <c r="N88" s="337">
        <f t="shared" ca="1" si="11"/>
        <v>0</v>
      </c>
      <c r="O88" s="126">
        <f ca="1">IF($A88="S",VTOTALBM,IF($A88=0,0,ROUND(SomaAgrupBM,15-13*ORÇAMENTO!$AF$11)))</f>
        <v>0</v>
      </c>
      <c r="Q88" s="338"/>
      <c r="R88" s="339"/>
      <c r="T88" s="118" t="str">
        <f t="shared" ca="1" si="12"/>
        <v/>
      </c>
      <c r="U88" s="164" t="str">
        <f t="shared" ca="1" si="13"/>
        <v/>
      </c>
      <c r="V88" s="165" t="str">
        <f ca="1">IF(AND($W88&gt;0,RegimeExecucao="Unitário"),$F88,"")</f>
        <v/>
      </c>
      <c r="W88" s="455">
        <f ca="1">IF($Y88&gt;0,CHOOSE(MATCH(RegimeExecucao,{"Unitário","Global"},0),IF($A88="S",$Y88/$X88,""),($Y88/$X88)*100),0)</f>
        <v>0</v>
      </c>
      <c r="X88" s="340" t="str">
        <f ca="1">IF($Y88&gt;0,CHOOSE(MATCH(RegimeExecucao,{"Unitário","Global"},0),IF($A88="S",ROUND($H88,ORÇAMENTO!$AF$10),""),ROUND($I88,ORÇAMENTO!$AF$11)),"")</f>
        <v/>
      </c>
      <c r="Y88" s="340">
        <f t="shared" ca="1" si="14"/>
        <v>0</v>
      </c>
      <c r="Z88" s="474"/>
      <c r="AB88" s="338"/>
      <c r="AC88" s="438"/>
      <c r="AD88" s="438"/>
      <c r="AE88" s="438"/>
      <c r="AF88" s="438"/>
      <c r="AG88" s="438"/>
      <c r="AH88" s="438"/>
      <c r="AI88" s="438"/>
      <c r="AJ88" s="438"/>
      <c r="AK88" s="438"/>
      <c r="AL88" s="438"/>
      <c r="AM88" s="339"/>
      <c r="AO88" s="675">
        <f ca="1">IF($A88="S",IF(BM!$I88=0,0,CHOOSE(MATCH(RegimeExecucao,{"Global","Unitário"},0),ROUND(ROUND(BM.MEDAcumulado,15-13*BM!$A$9)/100*BM!$I88,15-13*ORÇAMENTO!$AF$11),ROUND(ROUND(BM.MEDAcumulado,15-13*BM!$A$9)*ROUND(BM!$H88,15-13*ORÇAMENTO!$AF$10),15-13*ORÇAMENTO!$AF$11))),IF($A88=0,0,ROUND(SomaAgrupBM,15-13*ORÇAMENTO!$AF$11)))</f>
        <v>0</v>
      </c>
    </row>
    <row r="89" spans="1:41" s="675" customFormat="1" x14ac:dyDescent="0.2">
      <c r="A89" s="675" t="str">
        <f ca="1">ORÇAMENTO!C89</f>
        <v>S</v>
      </c>
      <c r="B89" s="675">
        <f ca="1">ORÇAMENTO!D89</f>
        <v>0</v>
      </c>
      <c r="C89" s="115" t="str">
        <f t="shared" ca="1" si="8"/>
        <v/>
      </c>
      <c r="D89" s="118" t="str">
        <f ca="1">ORÇAMENTO!O89</f>
        <v>-</v>
      </c>
      <c r="E89" s="164" t="str">
        <f t="shared" ca="1" si="9"/>
        <v>(abra o arquivo 'Referência 09-2025.xlsm)</v>
      </c>
      <c r="F89" s="165" t="str">
        <f ca="1">IF(RegimeExecucao="Global","",ORÇAMENTO.Unidade)</f>
        <v>-</v>
      </c>
      <c r="G89" s="123">
        <f ca="1">IF(RegimeExecucao="Global","",ORÇAMENTO!T89)</f>
        <v>6</v>
      </c>
      <c r="H89" s="123">
        <f ca="1">IF(RegimeExecucao="Global","",ORÇAMENTO!W89)</f>
        <v>0</v>
      </c>
      <c r="I89" s="126">
        <f ca="1">ORÇAMENTO!X89</f>
        <v>0</v>
      </c>
      <c r="J89" s="334" t="e" cm="1">
        <f t="array" aca="1" ref="J89" ca="1">_xlfn.SINGLE(IF($A89="S",IF(CAIXA.Modo,BM.AFAnterior,BM.MEDAnterior),IF(AND(_xlfn.SINGLE(RegimeExecucao)="Global",$I89&gt;0,COUNTIF($AB$13:$AM$13,BM.medicao-1)&gt;0),M89/$I89*100,0)))</f>
        <v>#NAME?</v>
      </c>
      <c r="K89" s="123" t="e">
        <f t="shared" ca="1" si="10"/>
        <v>#NAME?</v>
      </c>
      <c r="L89" s="335" t="e" cm="1">
        <f t="array" aca="1" ref="L89" ca="1">_xlfn.SINGLE(IF($A89="S",IF(CAIXA.Modo,BM.AFAcumulado,BM.MEDAcumulado),IF(AND(_xlfn.SINGLE(RegimeExecucao)="Global",$I89&gt;0,COUNTIF($AB$13:$AM$13,BM.medicao)&gt;0),O89/$I89*100,0)))</f>
        <v>#NAME?</v>
      </c>
      <c r="M89" s="336">
        <f ca="1">IF($A89="S",VTOTALBM,IF($A89=0,0,ROUND(SomaAgrupBM,15-13*ORÇAMENTO!$AF$11)))</f>
        <v>0</v>
      </c>
      <c r="N89" s="337">
        <f t="shared" ca="1" si="11"/>
        <v>0</v>
      </c>
      <c r="O89" s="126">
        <f ca="1">IF($A89="S",VTOTALBM,IF($A89=0,0,ROUND(SomaAgrupBM,15-13*ORÇAMENTO!$AF$11)))</f>
        <v>0</v>
      </c>
      <c r="Q89" s="338"/>
      <c r="R89" s="339"/>
      <c r="T89" s="118" t="str">
        <f t="shared" ca="1" si="12"/>
        <v/>
      </c>
      <c r="U89" s="164" t="str">
        <f t="shared" ca="1" si="13"/>
        <v/>
      </c>
      <c r="V89" s="165" t="str">
        <f ca="1">IF(AND($W89&gt;0,RegimeExecucao="Unitário"),$F89,"")</f>
        <v/>
      </c>
      <c r="W89" s="455">
        <f ca="1">IF($Y89&gt;0,CHOOSE(MATCH(RegimeExecucao,{"Unitário","Global"},0),IF($A89="S",$Y89/$X89,""),($Y89/$X89)*100),0)</f>
        <v>0</v>
      </c>
      <c r="X89" s="340" t="str">
        <f ca="1">IF($Y89&gt;0,CHOOSE(MATCH(RegimeExecucao,{"Unitário","Global"},0),IF($A89="S",ROUND($H89,ORÇAMENTO!$AF$10),""),ROUND($I89,ORÇAMENTO!$AF$11)),"")</f>
        <v/>
      </c>
      <c r="Y89" s="340">
        <f t="shared" ca="1" si="14"/>
        <v>0</v>
      </c>
      <c r="Z89" s="474"/>
      <c r="AB89" s="338"/>
      <c r="AC89" s="438"/>
      <c r="AD89" s="438"/>
      <c r="AE89" s="438"/>
      <c r="AF89" s="438"/>
      <c r="AG89" s="438"/>
      <c r="AH89" s="438"/>
      <c r="AI89" s="438"/>
      <c r="AJ89" s="438"/>
      <c r="AK89" s="438"/>
      <c r="AL89" s="438"/>
      <c r="AM89" s="339"/>
      <c r="AO89" s="675">
        <f ca="1">IF($A89="S",IF(BM!$I89=0,0,CHOOSE(MATCH(RegimeExecucao,{"Global","Unitário"},0),ROUND(ROUND(BM.MEDAcumulado,15-13*BM!$A$9)/100*BM!$I89,15-13*ORÇAMENTO!$AF$11),ROUND(ROUND(BM.MEDAcumulado,15-13*BM!$A$9)*ROUND(BM!$H89,15-13*ORÇAMENTO!$AF$10),15-13*ORÇAMENTO!$AF$11))),IF($A89=0,0,ROUND(SomaAgrupBM,15-13*ORÇAMENTO!$AF$11)))</f>
        <v>0</v>
      </c>
    </row>
    <row r="90" spans="1:41" s="675" customFormat="1" ht="25.5" x14ac:dyDescent="0.2">
      <c r="A90" s="675" t="str">
        <f ca="1">ORÇAMENTO!C90</f>
        <v>S</v>
      </c>
      <c r="B90" s="675">
        <f ca="1">ORÇAMENTO!D90</f>
        <v>0</v>
      </c>
      <c r="C90" s="115" t="str">
        <f t="shared" ca="1" si="8"/>
        <v/>
      </c>
      <c r="D90" s="118" t="str">
        <f ca="1">ORÇAMENTO!O90</f>
        <v>-</v>
      </c>
      <c r="E90" s="164" t="str">
        <f t="shared" ca="1" si="9"/>
        <v>(abra o arquivo 'Referência 09-2025.xlsm)</v>
      </c>
      <c r="F90" s="165" t="str">
        <f ca="1">IF(RegimeExecucao="Global","",ORÇAMENTO.Unidade)</f>
        <v>-</v>
      </c>
      <c r="G90" s="123">
        <f ca="1">IF(RegimeExecucao="Global","",ORÇAMENTO!T90)</f>
        <v>72</v>
      </c>
      <c r="H90" s="123">
        <f ca="1">IF(RegimeExecucao="Global","",ORÇAMENTO!W90)</f>
        <v>0</v>
      </c>
      <c r="I90" s="126">
        <f ca="1">ORÇAMENTO!X90</f>
        <v>0</v>
      </c>
      <c r="J90" s="334" t="e" cm="1">
        <f t="array" aca="1" ref="J90" ca="1">_xlfn.SINGLE(IF($A90="S",IF(CAIXA.Modo,BM.AFAnterior,BM.MEDAnterior),IF(AND(_xlfn.SINGLE(RegimeExecucao)="Global",$I90&gt;0,COUNTIF($AB$13:$AM$13,BM.medicao-1)&gt;0),M90/$I90*100,0)))</f>
        <v>#NAME?</v>
      </c>
      <c r="K90" s="123" t="e">
        <f t="shared" ca="1" si="10"/>
        <v>#NAME?</v>
      </c>
      <c r="L90" s="335" t="e" cm="1">
        <f t="array" aca="1" ref="L90" ca="1">_xlfn.SINGLE(IF($A90="S",IF(CAIXA.Modo,BM.AFAcumulado,BM.MEDAcumulado),IF(AND(_xlfn.SINGLE(RegimeExecucao)="Global",$I90&gt;0,COUNTIF($AB$13:$AM$13,BM.medicao)&gt;0),O90/$I90*100,0)))</f>
        <v>#NAME?</v>
      </c>
      <c r="M90" s="336">
        <f ca="1">IF($A90="S",VTOTALBM,IF($A90=0,0,ROUND(SomaAgrupBM,15-13*ORÇAMENTO!$AF$11)))</f>
        <v>0</v>
      </c>
      <c r="N90" s="337">
        <f t="shared" ca="1" si="11"/>
        <v>0</v>
      </c>
      <c r="O90" s="126">
        <f ca="1">IF($A90="S",VTOTALBM,IF($A90=0,0,ROUND(SomaAgrupBM,15-13*ORÇAMENTO!$AF$11)))</f>
        <v>0</v>
      </c>
      <c r="Q90" s="338"/>
      <c r="R90" s="339"/>
      <c r="T90" s="118" t="str">
        <f t="shared" ca="1" si="12"/>
        <v/>
      </c>
      <c r="U90" s="164" t="str">
        <f t="shared" ca="1" si="13"/>
        <v/>
      </c>
      <c r="V90" s="165" t="str">
        <f ca="1">IF(AND($W90&gt;0,RegimeExecucao="Unitário"),$F90,"")</f>
        <v/>
      </c>
      <c r="W90" s="455">
        <f ca="1">IF($Y90&gt;0,CHOOSE(MATCH(RegimeExecucao,{"Unitário","Global"},0),IF($A90="S",$Y90/$X90,""),($Y90/$X90)*100),0)</f>
        <v>0</v>
      </c>
      <c r="X90" s="340" t="str">
        <f ca="1">IF($Y90&gt;0,CHOOSE(MATCH(RegimeExecucao,{"Unitário","Global"},0),IF($A90="S",ROUND($H90,ORÇAMENTO!$AF$10),""),ROUND($I90,ORÇAMENTO!$AF$11)),"")</f>
        <v/>
      </c>
      <c r="Y90" s="340">
        <f t="shared" ca="1" si="14"/>
        <v>0</v>
      </c>
      <c r="Z90" s="474"/>
      <c r="AB90" s="338"/>
      <c r="AC90" s="438"/>
      <c r="AD90" s="438"/>
      <c r="AE90" s="438"/>
      <c r="AF90" s="438"/>
      <c r="AG90" s="438"/>
      <c r="AH90" s="438"/>
      <c r="AI90" s="438"/>
      <c r="AJ90" s="438"/>
      <c r="AK90" s="438"/>
      <c r="AL90" s="438"/>
      <c r="AM90" s="339"/>
      <c r="AO90" s="675">
        <f ca="1">IF($A90="S",IF(BM!$I90=0,0,CHOOSE(MATCH(RegimeExecucao,{"Global","Unitário"},0),ROUND(ROUND(BM.MEDAcumulado,15-13*BM!$A$9)/100*BM!$I90,15-13*ORÇAMENTO!$AF$11),ROUND(ROUND(BM.MEDAcumulado,15-13*BM!$A$9)*ROUND(BM!$H90,15-13*ORÇAMENTO!$AF$10),15-13*ORÇAMENTO!$AF$11))),IF($A90=0,0,ROUND(SomaAgrupBM,15-13*ORÇAMENTO!$AF$11)))</f>
        <v>0</v>
      </c>
    </row>
    <row r="91" spans="1:41" s="675" customFormat="1" ht="25.5" x14ac:dyDescent="0.2">
      <c r="A91" s="675" t="str">
        <f ca="1">ORÇAMENTO!C91</f>
        <v>S</v>
      </c>
      <c r="B91" s="675">
        <f ca="1">ORÇAMENTO!D91</f>
        <v>0</v>
      </c>
      <c r="C91" s="115" t="str">
        <f t="shared" ca="1" si="8"/>
        <v/>
      </c>
      <c r="D91" s="118" t="str">
        <f ca="1">ORÇAMENTO!O91</f>
        <v>-</v>
      </c>
      <c r="E91" s="164" t="str">
        <f t="shared" ca="1" si="9"/>
        <v>(abra o arquivo 'Referência 09-2025.xlsm)</v>
      </c>
      <c r="F91" s="165" t="str">
        <f ca="1">IF(RegimeExecucao="Global","",ORÇAMENTO.Unidade)</f>
        <v>-</v>
      </c>
      <c r="G91" s="123">
        <f ca="1">IF(RegimeExecucao="Global","",ORÇAMENTO!T91)</f>
        <v>64</v>
      </c>
      <c r="H91" s="123">
        <f ca="1">IF(RegimeExecucao="Global","",ORÇAMENTO!W91)</f>
        <v>0</v>
      </c>
      <c r="I91" s="126">
        <f ca="1">ORÇAMENTO!X91</f>
        <v>0</v>
      </c>
      <c r="J91" s="334" t="e" cm="1">
        <f t="array" aca="1" ref="J91" ca="1">_xlfn.SINGLE(IF($A91="S",IF(CAIXA.Modo,BM.AFAnterior,BM.MEDAnterior),IF(AND(_xlfn.SINGLE(RegimeExecucao)="Global",$I91&gt;0,COUNTIF($AB$13:$AM$13,BM.medicao-1)&gt;0),M91/$I91*100,0)))</f>
        <v>#NAME?</v>
      </c>
      <c r="K91" s="123" t="e">
        <f t="shared" ca="1" si="10"/>
        <v>#NAME?</v>
      </c>
      <c r="L91" s="335" t="e" cm="1">
        <f t="array" aca="1" ref="L91" ca="1">_xlfn.SINGLE(IF($A91="S",IF(CAIXA.Modo,BM.AFAcumulado,BM.MEDAcumulado),IF(AND(_xlfn.SINGLE(RegimeExecucao)="Global",$I91&gt;0,COUNTIF($AB$13:$AM$13,BM.medicao)&gt;0),O91/$I91*100,0)))</f>
        <v>#NAME?</v>
      </c>
      <c r="M91" s="336">
        <f ca="1">IF($A91="S",VTOTALBM,IF($A91=0,0,ROUND(SomaAgrupBM,15-13*ORÇAMENTO!$AF$11)))</f>
        <v>0</v>
      </c>
      <c r="N91" s="337">
        <f t="shared" ca="1" si="11"/>
        <v>0</v>
      </c>
      <c r="O91" s="126">
        <f ca="1">IF($A91="S",VTOTALBM,IF($A91=0,0,ROUND(SomaAgrupBM,15-13*ORÇAMENTO!$AF$11)))</f>
        <v>0</v>
      </c>
      <c r="Q91" s="338"/>
      <c r="R91" s="339"/>
      <c r="T91" s="118" t="str">
        <f t="shared" ca="1" si="12"/>
        <v/>
      </c>
      <c r="U91" s="164" t="str">
        <f t="shared" ca="1" si="13"/>
        <v/>
      </c>
      <c r="V91" s="165" t="str">
        <f ca="1">IF(AND($W91&gt;0,RegimeExecucao="Unitário"),$F91,"")</f>
        <v/>
      </c>
      <c r="W91" s="455">
        <f ca="1">IF($Y91&gt;0,CHOOSE(MATCH(RegimeExecucao,{"Unitário","Global"},0),IF($A91="S",$Y91/$X91,""),($Y91/$X91)*100),0)</f>
        <v>0</v>
      </c>
      <c r="X91" s="340" t="str">
        <f ca="1">IF($Y91&gt;0,CHOOSE(MATCH(RegimeExecucao,{"Unitário","Global"},0),IF($A91="S",ROUND($H91,ORÇAMENTO!$AF$10),""),ROUND($I91,ORÇAMENTO!$AF$11)),"")</f>
        <v/>
      </c>
      <c r="Y91" s="340">
        <f t="shared" ca="1" si="14"/>
        <v>0</v>
      </c>
      <c r="Z91" s="474"/>
      <c r="AB91" s="338"/>
      <c r="AC91" s="438"/>
      <c r="AD91" s="438"/>
      <c r="AE91" s="438"/>
      <c r="AF91" s="438"/>
      <c r="AG91" s="438"/>
      <c r="AH91" s="438"/>
      <c r="AI91" s="438"/>
      <c r="AJ91" s="438"/>
      <c r="AK91" s="438"/>
      <c r="AL91" s="438"/>
      <c r="AM91" s="339"/>
      <c r="AO91" s="675">
        <f ca="1">IF($A91="S",IF(BM!$I91=0,0,CHOOSE(MATCH(RegimeExecucao,{"Global","Unitário"},0),ROUND(ROUND(BM.MEDAcumulado,15-13*BM!$A$9)/100*BM!$I91,15-13*ORÇAMENTO!$AF$11),ROUND(ROUND(BM.MEDAcumulado,15-13*BM!$A$9)*ROUND(BM!$H91,15-13*ORÇAMENTO!$AF$10),15-13*ORÇAMENTO!$AF$11))),IF($A91=0,0,ROUND(SomaAgrupBM,15-13*ORÇAMENTO!$AF$11)))</f>
        <v>0</v>
      </c>
    </row>
    <row r="92" spans="1:41" s="675" customFormat="1" x14ac:dyDescent="0.2">
      <c r="A92" s="675">
        <f ca="1">ORÇAMENTO!C92</f>
        <v>2</v>
      </c>
      <c r="B92" s="675">
        <f ca="1">ORÇAMENTO!D92</f>
        <v>3</v>
      </c>
      <c r="C92" s="115" t="str">
        <f t="shared" ca="1" si="8"/>
        <v>F</v>
      </c>
      <c r="D92" s="118" t="str">
        <f ca="1">ORÇAMENTO!O92</f>
        <v>1.9.</v>
      </c>
      <c r="E92" s="164" t="str">
        <f t="shared" si="9"/>
        <v xml:space="preserve">TRAVESSIA RODOVIA MG-050 - MATERIAIS </v>
      </c>
      <c r="F92" s="165" t="str">
        <f ca="1">IF(RegimeExecucao="Global","",ORÇAMENTO.Unidade)</f>
        <v>-</v>
      </c>
      <c r="G92" s="123">
        <f ca="1">IF(RegimeExecucao="Global","",ORÇAMENTO!T92)</f>
        <v>0</v>
      </c>
      <c r="H92" s="123">
        <f ca="1">IF(RegimeExecucao="Global","",ORÇAMENTO!W92)</f>
        <v>0</v>
      </c>
      <c r="I92" s="126">
        <f ca="1">ORÇAMENTO!X92</f>
        <v>0</v>
      </c>
      <c r="J92" s="334" t="e" cm="1">
        <f t="array" aca="1" ref="J92" ca="1">_xlfn.SINGLE(IF($A92="S",IF(CAIXA.Modo,BM.AFAnterior,BM.MEDAnterior),IF(AND(_xlfn.SINGLE(RegimeExecucao)="Global",$I92&gt;0,COUNTIF($AB$13:$AM$13,BM.medicao-1)&gt;0),M92/$I92*100,0)))</f>
        <v>#NAME?</v>
      </c>
      <c r="K92" s="123" t="e">
        <f t="shared" ca="1" si="10"/>
        <v>#NAME?</v>
      </c>
      <c r="L92" s="335" t="e" cm="1">
        <f t="array" aca="1" ref="L92" ca="1">_xlfn.SINGLE(IF($A92="S",IF(CAIXA.Modo,BM.AFAcumulado,BM.MEDAcumulado),IF(AND(_xlfn.SINGLE(RegimeExecucao)="Global",$I92&gt;0,COUNTIF($AB$13:$AM$13,BM.medicao)&gt;0),O92/$I92*100,0)))</f>
        <v>#NAME?</v>
      </c>
      <c r="M92" s="336">
        <f ca="1">IF($A92="S",VTOTALBM,IF($A92=0,0,ROUND(SomaAgrupBM,15-13*ORÇAMENTO!$AF$11)))</f>
        <v>0</v>
      </c>
      <c r="N92" s="337">
        <f t="shared" ca="1" si="11"/>
        <v>0</v>
      </c>
      <c r="O92" s="126">
        <f ca="1">IF($A92="S",VTOTALBM,IF($A92=0,0,ROUND(SomaAgrupBM,15-13*ORÇAMENTO!$AF$11)))</f>
        <v>0</v>
      </c>
      <c r="Q92" s="338"/>
      <c r="R92" s="339"/>
      <c r="T92" s="118" t="str">
        <f t="shared" ca="1" si="12"/>
        <v/>
      </c>
      <c r="U92" s="164" t="str">
        <f t="shared" ca="1" si="13"/>
        <v/>
      </c>
      <c r="V92" s="165" t="str">
        <f ca="1">IF(AND($W92&gt;0,RegimeExecucao="Unitário"),$F92,"")</f>
        <v/>
      </c>
      <c r="W92" s="455">
        <f ca="1">IF($Y92&gt;0,CHOOSE(MATCH(RegimeExecucao,{"Unitário","Global"},0),IF($A92="S",$Y92/$X92,""),($Y92/$X92)*100),0)</f>
        <v>0</v>
      </c>
      <c r="X92" s="340" t="str">
        <f ca="1">IF($Y92&gt;0,CHOOSE(MATCH(RegimeExecucao,{"Unitário","Global"},0),IF($A92="S",ROUND($H92,ORÇAMENTO!$AF$10),""),ROUND($I92,ORÇAMENTO!$AF$11)),"")</f>
        <v/>
      </c>
      <c r="Y92" s="340">
        <f t="shared" ca="1" si="14"/>
        <v>0</v>
      </c>
      <c r="Z92" s="474"/>
      <c r="AB92" s="338"/>
      <c r="AC92" s="438"/>
      <c r="AD92" s="438"/>
      <c r="AE92" s="438"/>
      <c r="AF92" s="438"/>
      <c r="AG92" s="438"/>
      <c r="AH92" s="438"/>
      <c r="AI92" s="438"/>
      <c r="AJ92" s="438"/>
      <c r="AK92" s="438"/>
      <c r="AL92" s="438"/>
      <c r="AM92" s="339"/>
      <c r="AO92" s="675">
        <f ca="1">IF($A92="S",IF(BM!$I92=0,0,CHOOSE(MATCH(RegimeExecucao,{"Global","Unitário"},0),ROUND(ROUND(BM.MEDAcumulado,15-13*BM!$A$9)/100*BM!$I92,15-13*ORÇAMENTO!$AF$11),ROUND(ROUND(BM.MEDAcumulado,15-13*BM!$A$9)*ROUND(BM!$H92,15-13*ORÇAMENTO!$AF$10),15-13*ORÇAMENTO!$AF$11))),IF($A92=0,0,ROUND(SomaAgrupBM,15-13*ORÇAMENTO!$AF$11)))</f>
        <v>0</v>
      </c>
    </row>
    <row r="93" spans="1:41" s="675" customFormat="1" ht="38.25" x14ac:dyDescent="0.2">
      <c r="A93" s="675" t="str">
        <f ca="1">ORÇAMENTO!C93</f>
        <v>S</v>
      </c>
      <c r="B93" s="675">
        <f ca="1">ORÇAMENTO!D93</f>
        <v>0</v>
      </c>
      <c r="C93" s="115" t="str">
        <f t="shared" ca="1" si="8"/>
        <v/>
      </c>
      <c r="D93" s="118" t="str">
        <f ca="1">ORÇAMENTO!O93</f>
        <v>-</v>
      </c>
      <c r="E93" s="164" t="str">
        <f t="shared" ca="1" si="9"/>
        <v>(abra o arquivo 'Referência 09-2025.xlsm)</v>
      </c>
      <c r="F93" s="165" t="str">
        <f ca="1">IF(RegimeExecucao="Global","",ORÇAMENTO.Unidade)</f>
        <v>-</v>
      </c>
      <c r="G93" s="123">
        <f ca="1">IF(RegimeExecucao="Global","",ORÇAMENTO!T93)</f>
        <v>52</v>
      </c>
      <c r="H93" s="123">
        <f ca="1">IF(RegimeExecucao="Global","",ORÇAMENTO!W93)</f>
        <v>0</v>
      </c>
      <c r="I93" s="126">
        <f ca="1">ORÇAMENTO!X93</f>
        <v>0</v>
      </c>
      <c r="J93" s="334" t="e" cm="1">
        <f t="array" aca="1" ref="J93" ca="1">_xlfn.SINGLE(IF($A93="S",IF(CAIXA.Modo,BM.AFAnterior,BM.MEDAnterior),IF(AND(_xlfn.SINGLE(RegimeExecucao)="Global",$I93&gt;0,COUNTIF($AB$13:$AM$13,BM.medicao-1)&gt;0),M93/$I93*100,0)))</f>
        <v>#NAME?</v>
      </c>
      <c r="K93" s="123" t="e">
        <f t="shared" ca="1" si="10"/>
        <v>#NAME?</v>
      </c>
      <c r="L93" s="335" t="e" cm="1">
        <f t="array" aca="1" ref="L93" ca="1">_xlfn.SINGLE(IF($A93="S",IF(CAIXA.Modo,BM.AFAcumulado,BM.MEDAcumulado),IF(AND(_xlfn.SINGLE(RegimeExecucao)="Global",$I93&gt;0,COUNTIF($AB$13:$AM$13,BM.medicao)&gt;0),O93/$I93*100,0)))</f>
        <v>#NAME?</v>
      </c>
      <c r="M93" s="336">
        <f ca="1">IF($A93="S",VTOTALBM,IF($A93=0,0,ROUND(SomaAgrupBM,15-13*ORÇAMENTO!$AF$11)))</f>
        <v>0</v>
      </c>
      <c r="N93" s="337">
        <f t="shared" ca="1" si="11"/>
        <v>0</v>
      </c>
      <c r="O93" s="126">
        <f ca="1">IF($A93="S",VTOTALBM,IF($A93=0,0,ROUND(SomaAgrupBM,15-13*ORÇAMENTO!$AF$11)))</f>
        <v>0</v>
      </c>
      <c r="Q93" s="338"/>
      <c r="R93" s="339"/>
      <c r="T93" s="118" t="str">
        <f t="shared" ca="1" si="12"/>
        <v/>
      </c>
      <c r="U93" s="164" t="str">
        <f t="shared" ca="1" si="13"/>
        <v/>
      </c>
      <c r="V93" s="165" t="str">
        <f ca="1">IF(AND($W93&gt;0,RegimeExecucao="Unitário"),$F93,"")</f>
        <v/>
      </c>
      <c r="W93" s="455">
        <f ca="1">IF($Y93&gt;0,CHOOSE(MATCH(RegimeExecucao,{"Unitário","Global"},0),IF($A93="S",$Y93/$X93,""),($Y93/$X93)*100),0)</f>
        <v>0</v>
      </c>
      <c r="X93" s="340" t="str">
        <f ca="1">IF($Y93&gt;0,CHOOSE(MATCH(RegimeExecucao,{"Unitário","Global"},0),IF($A93="S",ROUND($H93,ORÇAMENTO!$AF$10),""),ROUND($I93,ORÇAMENTO!$AF$11)),"")</f>
        <v/>
      </c>
      <c r="Y93" s="340">
        <f t="shared" ca="1" si="14"/>
        <v>0</v>
      </c>
      <c r="Z93" s="474"/>
      <c r="AB93" s="338"/>
      <c r="AC93" s="438"/>
      <c r="AD93" s="438"/>
      <c r="AE93" s="438"/>
      <c r="AF93" s="438"/>
      <c r="AG93" s="438"/>
      <c r="AH93" s="438"/>
      <c r="AI93" s="438"/>
      <c r="AJ93" s="438"/>
      <c r="AK93" s="438"/>
      <c r="AL93" s="438"/>
      <c r="AM93" s="339"/>
      <c r="AO93" s="675">
        <f ca="1">IF($A93="S",IF(BM!$I93=0,0,CHOOSE(MATCH(RegimeExecucao,{"Global","Unitário"},0),ROUND(ROUND(BM.MEDAcumulado,15-13*BM!$A$9)/100*BM!$I93,15-13*ORÇAMENTO!$AF$11),ROUND(ROUND(BM.MEDAcumulado,15-13*BM!$A$9)*ROUND(BM!$H93,15-13*ORÇAMENTO!$AF$10),15-13*ORÇAMENTO!$AF$11))),IF($A93=0,0,ROUND(SomaAgrupBM,15-13*ORÇAMENTO!$AF$11)))</f>
        <v>0</v>
      </c>
    </row>
    <row r="94" spans="1:41" s="675" customFormat="1" ht="38.25" x14ac:dyDescent="0.2">
      <c r="A94" s="675" t="str">
        <f ca="1">ORÇAMENTO!C94</f>
        <v>S</v>
      </c>
      <c r="B94" s="675">
        <f ca="1">ORÇAMENTO!D94</f>
        <v>0</v>
      </c>
      <c r="C94" s="115" t="str">
        <f t="shared" ca="1" si="8"/>
        <v/>
      </c>
      <c r="D94" s="118" t="str">
        <f ca="1">ORÇAMENTO!O94</f>
        <v>-</v>
      </c>
      <c r="E94" s="164" t="str">
        <f t="shared" ca="1" si="9"/>
        <v>(abra o arquivo 'Referência 09-2025.xlsm)</v>
      </c>
      <c r="F94" s="165" t="str">
        <f ca="1">IF(RegimeExecucao="Global","",ORÇAMENTO.Unidade)</f>
        <v>-</v>
      </c>
      <c r="G94" s="123">
        <f ca="1">IF(RegimeExecucao="Global","",ORÇAMENTO!T94)</f>
        <v>2</v>
      </c>
      <c r="H94" s="123">
        <f ca="1">IF(RegimeExecucao="Global","",ORÇAMENTO!W94)</f>
        <v>0</v>
      </c>
      <c r="I94" s="126">
        <f ca="1">ORÇAMENTO!X94</f>
        <v>0</v>
      </c>
      <c r="J94" s="334" t="e" cm="1">
        <f t="array" aca="1" ref="J94" ca="1">_xlfn.SINGLE(IF($A94="S",IF(CAIXA.Modo,BM.AFAnterior,BM.MEDAnterior),IF(AND(_xlfn.SINGLE(RegimeExecucao)="Global",$I94&gt;0,COUNTIF($AB$13:$AM$13,BM.medicao-1)&gt;0),M94/$I94*100,0)))</f>
        <v>#NAME?</v>
      </c>
      <c r="K94" s="123" t="e">
        <f t="shared" ca="1" si="10"/>
        <v>#NAME?</v>
      </c>
      <c r="L94" s="335" t="e" cm="1">
        <f t="array" aca="1" ref="L94" ca="1">_xlfn.SINGLE(IF($A94="S",IF(CAIXA.Modo,BM.AFAcumulado,BM.MEDAcumulado),IF(AND(_xlfn.SINGLE(RegimeExecucao)="Global",$I94&gt;0,COUNTIF($AB$13:$AM$13,BM.medicao)&gt;0),O94/$I94*100,0)))</f>
        <v>#NAME?</v>
      </c>
      <c r="M94" s="336">
        <f ca="1">IF($A94="S",VTOTALBM,IF($A94=0,0,ROUND(SomaAgrupBM,15-13*ORÇAMENTO!$AF$11)))</f>
        <v>0</v>
      </c>
      <c r="N94" s="337">
        <f t="shared" ca="1" si="11"/>
        <v>0</v>
      </c>
      <c r="O94" s="126">
        <f ca="1">IF($A94="S",VTOTALBM,IF($A94=0,0,ROUND(SomaAgrupBM,15-13*ORÇAMENTO!$AF$11)))</f>
        <v>0</v>
      </c>
      <c r="Q94" s="338"/>
      <c r="R94" s="339"/>
      <c r="T94" s="118" t="str">
        <f t="shared" ca="1" si="12"/>
        <v/>
      </c>
      <c r="U94" s="164" t="str">
        <f t="shared" ca="1" si="13"/>
        <v/>
      </c>
      <c r="V94" s="165" t="str">
        <f ca="1">IF(AND($W94&gt;0,RegimeExecucao="Unitário"),$F94,"")</f>
        <v/>
      </c>
      <c r="W94" s="455">
        <f ca="1">IF($Y94&gt;0,CHOOSE(MATCH(RegimeExecucao,{"Unitário","Global"},0),IF($A94="S",$Y94/$X94,""),($Y94/$X94)*100),0)</f>
        <v>0</v>
      </c>
      <c r="X94" s="340" t="str">
        <f ca="1">IF($Y94&gt;0,CHOOSE(MATCH(RegimeExecucao,{"Unitário","Global"},0),IF($A94="S",ROUND($H94,ORÇAMENTO!$AF$10),""),ROUND($I94,ORÇAMENTO!$AF$11)),"")</f>
        <v/>
      </c>
      <c r="Y94" s="340">
        <f t="shared" ca="1" si="14"/>
        <v>0</v>
      </c>
      <c r="Z94" s="474"/>
      <c r="AB94" s="338"/>
      <c r="AC94" s="438"/>
      <c r="AD94" s="438"/>
      <c r="AE94" s="438"/>
      <c r="AF94" s="438"/>
      <c r="AG94" s="438"/>
      <c r="AH94" s="438"/>
      <c r="AI94" s="438"/>
      <c r="AJ94" s="438"/>
      <c r="AK94" s="438"/>
      <c r="AL94" s="438"/>
      <c r="AM94" s="339"/>
      <c r="AO94" s="675">
        <f ca="1">IF($A94="S",IF(BM!$I94=0,0,CHOOSE(MATCH(RegimeExecucao,{"Global","Unitário"},0),ROUND(ROUND(BM.MEDAcumulado,15-13*BM!$A$9)/100*BM!$I94,15-13*ORÇAMENTO!$AF$11),ROUND(ROUND(BM.MEDAcumulado,15-13*BM!$A$9)*ROUND(BM!$H94,15-13*ORÇAMENTO!$AF$10),15-13*ORÇAMENTO!$AF$11))),IF($A94=0,0,ROUND(SomaAgrupBM,15-13*ORÇAMENTO!$AF$11)))</f>
        <v>0</v>
      </c>
    </row>
    <row r="95" spans="1:41" s="675" customFormat="1" x14ac:dyDescent="0.2">
      <c r="A95" s="675">
        <f ca="1">ORÇAMENTO!C95</f>
        <v>2</v>
      </c>
      <c r="B95" s="675">
        <f ca="1">ORÇAMENTO!D95</f>
        <v>3</v>
      </c>
      <c r="C95" s="115" t="str">
        <f t="shared" ca="1" si="8"/>
        <v>F</v>
      </c>
      <c r="D95" s="118" t="str">
        <f ca="1">ORÇAMENTO!O95</f>
        <v>1.10.</v>
      </c>
      <c r="E95" s="164" t="str">
        <f t="shared" si="9"/>
        <v>BY-PASS - MATERIAIS</v>
      </c>
      <c r="F95" s="165" t="str">
        <f ca="1">IF(RegimeExecucao="Global","",ORÇAMENTO.Unidade)</f>
        <v>-</v>
      </c>
      <c r="G95" s="123">
        <f ca="1">IF(RegimeExecucao="Global","",ORÇAMENTO!T95)</f>
        <v>0</v>
      </c>
      <c r="H95" s="123">
        <f ca="1">IF(RegimeExecucao="Global","",ORÇAMENTO!W95)</f>
        <v>0</v>
      </c>
      <c r="I95" s="126">
        <f ca="1">ORÇAMENTO!X95</f>
        <v>0</v>
      </c>
      <c r="J95" s="334" t="e" cm="1">
        <f t="array" aca="1" ref="J95" ca="1">_xlfn.SINGLE(IF($A95="S",IF(CAIXA.Modo,BM.AFAnterior,BM.MEDAnterior),IF(AND(_xlfn.SINGLE(RegimeExecucao)="Global",$I95&gt;0,COUNTIF($AB$13:$AM$13,BM.medicao-1)&gt;0),M95/$I95*100,0)))</f>
        <v>#NAME?</v>
      </c>
      <c r="K95" s="123" t="e">
        <f t="shared" ca="1" si="10"/>
        <v>#NAME?</v>
      </c>
      <c r="L95" s="335" t="e" cm="1">
        <f t="array" aca="1" ref="L95" ca="1">_xlfn.SINGLE(IF($A95="S",IF(CAIXA.Modo,BM.AFAcumulado,BM.MEDAcumulado),IF(AND(_xlfn.SINGLE(RegimeExecucao)="Global",$I95&gt;0,COUNTIF($AB$13:$AM$13,BM.medicao)&gt;0),O95/$I95*100,0)))</f>
        <v>#NAME?</v>
      </c>
      <c r="M95" s="336">
        <f ca="1">IF($A95="S",VTOTALBM,IF($A95=0,0,ROUND(SomaAgrupBM,15-13*ORÇAMENTO!$AF$11)))</f>
        <v>0</v>
      </c>
      <c r="N95" s="337">
        <f t="shared" ca="1" si="11"/>
        <v>0</v>
      </c>
      <c r="O95" s="126">
        <f ca="1">IF($A95="S",VTOTALBM,IF($A95=0,0,ROUND(SomaAgrupBM,15-13*ORÇAMENTO!$AF$11)))</f>
        <v>0</v>
      </c>
      <c r="Q95" s="338"/>
      <c r="R95" s="339"/>
      <c r="T95" s="118" t="str">
        <f t="shared" ca="1" si="12"/>
        <v/>
      </c>
      <c r="U95" s="164" t="str">
        <f t="shared" ca="1" si="13"/>
        <v/>
      </c>
      <c r="V95" s="165" t="str">
        <f ca="1">IF(AND($W95&gt;0,RegimeExecucao="Unitário"),$F95,"")</f>
        <v/>
      </c>
      <c r="W95" s="455">
        <f ca="1">IF($Y95&gt;0,CHOOSE(MATCH(RegimeExecucao,{"Unitário","Global"},0),IF($A95="S",$Y95/$X95,""),($Y95/$X95)*100),0)</f>
        <v>0</v>
      </c>
      <c r="X95" s="340" t="str">
        <f ca="1">IF($Y95&gt;0,CHOOSE(MATCH(RegimeExecucao,{"Unitário","Global"},0),IF($A95="S",ROUND($H95,ORÇAMENTO!$AF$10),""),ROUND($I95,ORÇAMENTO!$AF$11)),"")</f>
        <v/>
      </c>
      <c r="Y95" s="340">
        <f t="shared" ca="1" si="14"/>
        <v>0</v>
      </c>
      <c r="Z95" s="474"/>
      <c r="AB95" s="338"/>
      <c r="AC95" s="438"/>
      <c r="AD95" s="438"/>
      <c r="AE95" s="438"/>
      <c r="AF95" s="438"/>
      <c r="AG95" s="438"/>
      <c r="AH95" s="438"/>
      <c r="AI95" s="438"/>
      <c r="AJ95" s="438"/>
      <c r="AK95" s="438"/>
      <c r="AL95" s="438"/>
      <c r="AM95" s="339"/>
      <c r="AO95" s="675">
        <f ca="1">IF($A95="S",IF(BM!$I95=0,0,CHOOSE(MATCH(RegimeExecucao,{"Global","Unitário"},0),ROUND(ROUND(BM.MEDAcumulado,15-13*BM!$A$9)/100*BM!$I95,15-13*ORÇAMENTO!$AF$11),ROUND(ROUND(BM.MEDAcumulado,15-13*BM!$A$9)*ROUND(BM!$H95,15-13*ORÇAMENTO!$AF$10),15-13*ORÇAMENTO!$AF$11))),IF($A95=0,0,ROUND(SomaAgrupBM,15-13*ORÇAMENTO!$AF$11)))</f>
        <v>0</v>
      </c>
    </row>
    <row r="96" spans="1:41" s="675" customFormat="1" x14ac:dyDescent="0.2">
      <c r="A96" s="675" t="str">
        <f ca="1">ORÇAMENTO!C96</f>
        <v>S</v>
      </c>
      <c r="B96" s="675">
        <f ca="1">ORÇAMENTO!D96</f>
        <v>0</v>
      </c>
      <c r="C96" s="115" t="str">
        <f t="shared" ca="1" si="8"/>
        <v/>
      </c>
      <c r="D96" s="118" t="str">
        <f ca="1">ORÇAMENTO!O96</f>
        <v>-</v>
      </c>
      <c r="E96" s="164" t="str">
        <f t="shared" ca="1" si="9"/>
        <v>(abra o arquivo 'Referência 09-2025.xlsm)</v>
      </c>
      <c r="F96" s="165" t="str">
        <f ca="1">IF(RegimeExecucao="Global","",ORÇAMENTO.Unidade)</f>
        <v>-</v>
      </c>
      <c r="G96" s="123">
        <f ca="1">IF(RegimeExecucao="Global","",ORÇAMENTO!T96)</f>
        <v>2</v>
      </c>
      <c r="H96" s="123">
        <f ca="1">IF(RegimeExecucao="Global","",ORÇAMENTO!W96)</f>
        <v>0</v>
      </c>
      <c r="I96" s="126">
        <f ca="1">ORÇAMENTO!X96</f>
        <v>0</v>
      </c>
      <c r="J96" s="334" t="e" cm="1">
        <f t="array" aca="1" ref="J96" ca="1">_xlfn.SINGLE(IF($A96="S",IF(CAIXA.Modo,BM.AFAnterior,BM.MEDAnterior),IF(AND(_xlfn.SINGLE(RegimeExecucao)="Global",$I96&gt;0,COUNTIF($AB$13:$AM$13,BM.medicao-1)&gt;0),M96/$I96*100,0)))</f>
        <v>#NAME?</v>
      </c>
      <c r="K96" s="123" t="e">
        <f t="shared" ca="1" si="10"/>
        <v>#NAME?</v>
      </c>
      <c r="L96" s="335" t="e" cm="1">
        <f t="array" aca="1" ref="L96" ca="1">_xlfn.SINGLE(IF($A96="S",IF(CAIXA.Modo,BM.AFAcumulado,BM.MEDAcumulado),IF(AND(_xlfn.SINGLE(RegimeExecucao)="Global",$I96&gt;0,COUNTIF($AB$13:$AM$13,BM.medicao)&gt;0),O96/$I96*100,0)))</f>
        <v>#NAME?</v>
      </c>
      <c r="M96" s="336">
        <f ca="1">IF($A96="S",VTOTALBM,IF($A96=0,0,ROUND(SomaAgrupBM,15-13*ORÇAMENTO!$AF$11)))</f>
        <v>0</v>
      </c>
      <c r="N96" s="337">
        <f t="shared" ca="1" si="11"/>
        <v>0</v>
      </c>
      <c r="O96" s="126">
        <f ca="1">IF($A96="S",VTOTALBM,IF($A96=0,0,ROUND(SomaAgrupBM,15-13*ORÇAMENTO!$AF$11)))</f>
        <v>0</v>
      </c>
      <c r="Q96" s="338"/>
      <c r="R96" s="339"/>
      <c r="T96" s="118" t="str">
        <f t="shared" ca="1" si="12"/>
        <v/>
      </c>
      <c r="U96" s="164" t="str">
        <f t="shared" ca="1" si="13"/>
        <v/>
      </c>
      <c r="V96" s="165" t="str">
        <f ca="1">IF(AND($W96&gt;0,RegimeExecucao="Unitário"),$F96,"")</f>
        <v/>
      </c>
      <c r="W96" s="455">
        <f ca="1">IF($Y96&gt;0,CHOOSE(MATCH(RegimeExecucao,{"Unitário","Global"},0),IF($A96="S",$Y96/$X96,""),($Y96/$X96)*100),0)</f>
        <v>0</v>
      </c>
      <c r="X96" s="340" t="str">
        <f ca="1">IF($Y96&gt;0,CHOOSE(MATCH(RegimeExecucao,{"Unitário","Global"},0),IF($A96="S",ROUND($H96,ORÇAMENTO!$AF$10),""),ROUND($I96,ORÇAMENTO!$AF$11)),"")</f>
        <v/>
      </c>
      <c r="Y96" s="340">
        <f t="shared" ca="1" si="14"/>
        <v>0</v>
      </c>
      <c r="Z96" s="474"/>
      <c r="AB96" s="338"/>
      <c r="AC96" s="438"/>
      <c r="AD96" s="438"/>
      <c r="AE96" s="438"/>
      <c r="AF96" s="438"/>
      <c r="AG96" s="438"/>
      <c r="AH96" s="438"/>
      <c r="AI96" s="438"/>
      <c r="AJ96" s="438"/>
      <c r="AK96" s="438"/>
      <c r="AL96" s="438"/>
      <c r="AM96" s="339"/>
      <c r="AO96" s="675">
        <f ca="1">IF($A96="S",IF(BM!$I96=0,0,CHOOSE(MATCH(RegimeExecucao,{"Global","Unitário"},0),ROUND(ROUND(BM.MEDAcumulado,15-13*BM!$A$9)/100*BM!$I96,15-13*ORÇAMENTO!$AF$11),ROUND(ROUND(BM.MEDAcumulado,15-13*BM!$A$9)*ROUND(BM!$H96,15-13*ORÇAMENTO!$AF$10),15-13*ORÇAMENTO!$AF$11))),IF($A96=0,0,ROUND(SomaAgrupBM,15-13*ORÇAMENTO!$AF$11)))</f>
        <v>0</v>
      </c>
    </row>
    <row r="97" spans="1:41" s="675" customFormat="1" ht="38.25" x14ac:dyDescent="0.2">
      <c r="A97" s="675" t="str">
        <f ca="1">ORÇAMENTO!C97</f>
        <v>S</v>
      </c>
      <c r="B97" s="675">
        <f ca="1">ORÇAMENTO!D97</f>
        <v>0</v>
      </c>
      <c r="C97" s="115" t="str">
        <f t="shared" ca="1" si="8"/>
        <v/>
      </c>
      <c r="D97" s="118" t="str">
        <f ca="1">ORÇAMENTO!O97</f>
        <v>-</v>
      </c>
      <c r="E97" s="164" t="str">
        <f t="shared" ca="1" si="9"/>
        <v>(abra o arquivo 'Referência 09-2025.xlsm)</v>
      </c>
      <c r="F97" s="165" t="str">
        <f ca="1">IF(RegimeExecucao="Global","",ORÇAMENTO.Unidade)</f>
        <v>-</v>
      </c>
      <c r="G97" s="123">
        <f ca="1">IF(RegimeExecucao="Global","",ORÇAMENTO!T97)</f>
        <v>1</v>
      </c>
      <c r="H97" s="123">
        <f ca="1">IF(RegimeExecucao="Global","",ORÇAMENTO!W97)</f>
        <v>0</v>
      </c>
      <c r="I97" s="126">
        <f ca="1">ORÇAMENTO!X97</f>
        <v>0</v>
      </c>
      <c r="J97" s="334" t="e" cm="1">
        <f t="array" aca="1" ref="J97" ca="1">_xlfn.SINGLE(IF($A97="S",IF(CAIXA.Modo,BM.AFAnterior,BM.MEDAnterior),IF(AND(_xlfn.SINGLE(RegimeExecucao)="Global",$I97&gt;0,COUNTIF($AB$13:$AM$13,BM.medicao-1)&gt;0),M97/$I97*100,0)))</f>
        <v>#NAME?</v>
      </c>
      <c r="K97" s="123" t="e">
        <f t="shared" ca="1" si="10"/>
        <v>#NAME?</v>
      </c>
      <c r="L97" s="335" t="e" cm="1">
        <f t="array" aca="1" ref="L97" ca="1">_xlfn.SINGLE(IF($A97="S",IF(CAIXA.Modo,BM.AFAcumulado,BM.MEDAcumulado),IF(AND(_xlfn.SINGLE(RegimeExecucao)="Global",$I97&gt;0,COUNTIF($AB$13:$AM$13,BM.medicao)&gt;0),O97/$I97*100,0)))</f>
        <v>#NAME?</v>
      </c>
      <c r="M97" s="336">
        <f ca="1">IF($A97="S",VTOTALBM,IF($A97=0,0,ROUND(SomaAgrupBM,15-13*ORÇAMENTO!$AF$11)))</f>
        <v>0</v>
      </c>
      <c r="N97" s="337">
        <f t="shared" ca="1" si="11"/>
        <v>0</v>
      </c>
      <c r="O97" s="126">
        <f ca="1">IF($A97="S",VTOTALBM,IF($A97=0,0,ROUND(SomaAgrupBM,15-13*ORÇAMENTO!$AF$11)))</f>
        <v>0</v>
      </c>
      <c r="Q97" s="338"/>
      <c r="R97" s="339"/>
      <c r="T97" s="118" t="str">
        <f t="shared" ca="1" si="12"/>
        <v/>
      </c>
      <c r="U97" s="164" t="str">
        <f t="shared" ca="1" si="13"/>
        <v/>
      </c>
      <c r="V97" s="165" t="str">
        <f ca="1">IF(AND($W97&gt;0,RegimeExecucao="Unitário"),$F97,"")</f>
        <v/>
      </c>
      <c r="W97" s="455">
        <f ca="1">IF($Y97&gt;0,CHOOSE(MATCH(RegimeExecucao,{"Unitário","Global"},0),IF($A97="S",$Y97/$X97,""),($Y97/$X97)*100),0)</f>
        <v>0</v>
      </c>
      <c r="X97" s="340" t="str">
        <f ca="1">IF($Y97&gt;0,CHOOSE(MATCH(RegimeExecucao,{"Unitário","Global"},0),IF($A97="S",ROUND($H97,ORÇAMENTO!$AF$10),""),ROUND($I97,ORÇAMENTO!$AF$11)),"")</f>
        <v/>
      </c>
      <c r="Y97" s="340">
        <f t="shared" ca="1" si="14"/>
        <v>0</v>
      </c>
      <c r="Z97" s="474"/>
      <c r="AB97" s="338"/>
      <c r="AC97" s="438"/>
      <c r="AD97" s="438"/>
      <c r="AE97" s="438"/>
      <c r="AF97" s="438"/>
      <c r="AG97" s="438"/>
      <c r="AH97" s="438"/>
      <c r="AI97" s="438"/>
      <c r="AJ97" s="438"/>
      <c r="AK97" s="438"/>
      <c r="AL97" s="438"/>
      <c r="AM97" s="339"/>
      <c r="AO97" s="675">
        <f ca="1">IF($A97="S",IF(BM!$I97=0,0,CHOOSE(MATCH(RegimeExecucao,{"Global","Unitário"},0),ROUND(ROUND(BM.MEDAcumulado,15-13*BM!$A$9)/100*BM!$I97,15-13*ORÇAMENTO!$AF$11),ROUND(ROUND(BM.MEDAcumulado,15-13*BM!$A$9)*ROUND(BM!$H97,15-13*ORÇAMENTO!$AF$10),15-13*ORÇAMENTO!$AF$11))),IF($A97=0,0,ROUND(SomaAgrupBM,15-13*ORÇAMENTO!$AF$11)))</f>
        <v>0</v>
      </c>
    </row>
    <row r="98" spans="1:41" s="720" customFormat="1" x14ac:dyDescent="0.2">
      <c r="A98" s="720">
        <f ca="1">ORÇAMENTO!C98</f>
        <v>2</v>
      </c>
      <c r="B98" s="720">
        <f ca="1">ORÇAMENTO!D98</f>
        <v>1</v>
      </c>
      <c r="C98" s="115" t="str">
        <f t="shared" ca="1" si="8"/>
        <v>F</v>
      </c>
      <c r="D98" s="118" t="str">
        <f ca="1">ORÇAMENTO!O98</f>
        <v>1.11.</v>
      </c>
      <c r="E98" s="164" t="str">
        <f t="shared" si="9"/>
        <v>PAVIMENTAÇÃO</v>
      </c>
      <c r="F98" s="165" t="str">
        <f ca="1">IF(RegimeExecucao="Global","",ORÇAMENTO.Unidade)</f>
        <v>-</v>
      </c>
      <c r="G98" s="123">
        <f ca="1">IF(RegimeExecucao="Global","",ORÇAMENTO!T98)</f>
        <v>0</v>
      </c>
      <c r="H98" s="123">
        <f ca="1">IF(RegimeExecucao="Global","",ORÇAMENTO!W98)</f>
        <v>0</v>
      </c>
      <c r="I98" s="126">
        <f ca="1">ORÇAMENTO!X98</f>
        <v>0</v>
      </c>
      <c r="J98" s="334" t="e" cm="1">
        <f t="array" aca="1" ref="J98" ca="1">_xlfn.SINGLE(IF($A98="S",IF(CAIXA.Modo,BM.AFAnterior,BM.MEDAnterior),IF(AND(_xlfn.SINGLE(RegimeExecucao)="Global",$I98&gt;0,COUNTIF($AB$13:$AM$13,BM.medicao-1)&gt;0),M98/$I98*100,0)))</f>
        <v>#NAME?</v>
      </c>
      <c r="K98" s="123" t="e">
        <f t="shared" ca="1" si="10"/>
        <v>#NAME?</v>
      </c>
      <c r="L98" s="335" t="e" cm="1">
        <f t="array" aca="1" ref="L98" ca="1">_xlfn.SINGLE(IF($A98="S",IF(CAIXA.Modo,BM.AFAcumulado,BM.MEDAcumulado),IF(AND(_xlfn.SINGLE(RegimeExecucao)="Global",$I98&gt;0,COUNTIF($AB$13:$AM$13,BM.medicao)&gt;0),O98/$I98*100,0)))</f>
        <v>#NAME?</v>
      </c>
      <c r="M98" s="336">
        <f ca="1">IF($A98="S",VTOTALBM,IF($A98=0,0,ROUND(SomaAgrupBM,15-13*ORÇAMENTO!$AF$11)))</f>
        <v>0</v>
      </c>
      <c r="N98" s="337">
        <f t="shared" ca="1" si="11"/>
        <v>0</v>
      </c>
      <c r="O98" s="126">
        <f ca="1">IF($A98="S",VTOTALBM,IF($A98=0,0,ROUND(SomaAgrupBM,15-13*ORÇAMENTO!$AF$11)))</f>
        <v>0</v>
      </c>
      <c r="Q98" s="338"/>
      <c r="R98" s="339"/>
      <c r="T98" s="118" t="str">
        <f t="shared" ca="1" si="12"/>
        <v/>
      </c>
      <c r="U98" s="164" t="str">
        <f t="shared" ca="1" si="13"/>
        <v/>
      </c>
      <c r="V98" s="165" t="str">
        <f ca="1">IF(AND($W98&gt;0,RegimeExecucao="Unitário"),$F98,"")</f>
        <v/>
      </c>
      <c r="W98" s="455">
        <f ca="1">IF($Y98&gt;0,CHOOSE(MATCH(RegimeExecucao,{"Unitário","Global"},0),IF($A98="S",$Y98/$X98,""),($Y98/$X98)*100),0)</f>
        <v>0</v>
      </c>
      <c r="X98" s="340" t="str">
        <f ca="1">IF($Y98&gt;0,CHOOSE(MATCH(RegimeExecucao,{"Unitário","Global"},0),IF($A98="S",ROUND($H98,ORÇAMENTO!$AF$10),""),ROUND($I98,ORÇAMENTO!$AF$11)),"")</f>
        <v/>
      </c>
      <c r="Y98" s="340">
        <f t="shared" ca="1" si="14"/>
        <v>0</v>
      </c>
      <c r="Z98" s="474"/>
      <c r="AB98" s="338"/>
      <c r="AC98" s="438"/>
      <c r="AD98" s="438"/>
      <c r="AE98" s="438"/>
      <c r="AF98" s="438"/>
      <c r="AG98" s="438"/>
      <c r="AH98" s="438"/>
      <c r="AI98" s="438"/>
      <c r="AJ98" s="438"/>
      <c r="AK98" s="438"/>
      <c r="AL98" s="438"/>
      <c r="AM98" s="339"/>
      <c r="AO98" s="720">
        <f ca="1">IF($A98="S",IF(BM!$I98=0,0,CHOOSE(MATCH(RegimeExecucao,{"Global","Unitário"},0),ROUND(ROUND(BM.MEDAcumulado,15-13*BM!$A$9)/100*BM!$I98,15-13*ORÇAMENTO!$AF$11),ROUND(ROUND(BM.MEDAcumulado,15-13*BM!$A$9)*ROUND(BM!$H98,15-13*ORÇAMENTO!$AF$10),15-13*ORÇAMENTO!$AF$11))),IF($A98=0,0,ROUND(SomaAgrupBM,15-13*ORÇAMENTO!$AF$11)))</f>
        <v>0</v>
      </c>
    </row>
    <row r="99" spans="1:41" s="720" customFormat="1" x14ac:dyDescent="0.2">
      <c r="A99" s="720">
        <f ca="1">ORÇAMENTO!C99</f>
        <v>2</v>
      </c>
      <c r="B99" s="720">
        <f ca="1">ORÇAMENTO!D99</f>
        <v>10</v>
      </c>
      <c r="C99" s="115" t="str">
        <f ca="1">IF(OR($I99&gt;0,$A99=1,$A99=2,$A99=3,$A99=4),"F","")</f>
        <v>F</v>
      </c>
      <c r="D99" s="118" t="str">
        <f ca="1">ORÇAMENTO!O99</f>
        <v>1.12.</v>
      </c>
      <c r="E99" s="164" t="str">
        <f>ORÇAMENTO.Descricao</f>
        <v>SERVIÇOS PRELIMINARES</v>
      </c>
      <c r="F99" s="165" t="str">
        <f ca="1">IF(RegimeExecucao="Global","",ORÇAMENTO.Unidade)</f>
        <v>-</v>
      </c>
      <c r="G99" s="123">
        <f ca="1">IF(RegimeExecucao="Global","",ORÇAMENTO!T99)</f>
        <v>0</v>
      </c>
      <c r="H99" s="123">
        <f ca="1">IF(RegimeExecucao="Global","",ORÇAMENTO!W99)</f>
        <v>0</v>
      </c>
      <c r="I99" s="126">
        <f ca="1">ORÇAMENTO!X99</f>
        <v>0</v>
      </c>
      <c r="J99" s="334" t="e" cm="1">
        <f t="array" aca="1" ref="J99" ca="1">_xlfn.SINGLE(IF($A99="S",IF(CAIXA.Modo,BM.AFAnterior,BM.MEDAnterior),IF(AND(_xlfn.SINGLE(RegimeExecucao)="Global",$I99&gt;0,COUNTIF($AB$13:$AM$13,BM.medicao-1)&gt;0),M99/$I99*100,0)))</f>
        <v>#NAME?</v>
      </c>
      <c r="K99" s="123" t="e">
        <f ca="1">L99-J99</f>
        <v>#NAME?</v>
      </c>
      <c r="L99" s="335" t="e" cm="1">
        <f t="array" aca="1" ref="L99" ca="1">_xlfn.SINGLE(IF($A99="S",IF(CAIXA.Modo,BM.AFAcumulado,BM.MEDAcumulado),IF(AND(_xlfn.SINGLE(RegimeExecucao)="Global",$I99&gt;0,COUNTIF($AB$13:$AM$13,BM.medicao)&gt;0),O99/$I99*100,0)))</f>
        <v>#NAME?</v>
      </c>
      <c r="M99" s="336">
        <f ca="1">IF($A99="S",VTOTALBM,IF($A99=0,0,ROUND(SomaAgrupBM,15-13*ORÇAMENTO!$AF$11)))</f>
        <v>0</v>
      </c>
      <c r="N99" s="337">
        <f ca="1">O99-M99</f>
        <v>0</v>
      </c>
      <c r="O99" s="126">
        <f ca="1">IF($A99="S",VTOTALBM,IF($A99=0,0,ROUND(SomaAgrupBM,15-13*ORÇAMENTO!$AF$11)))</f>
        <v>0</v>
      </c>
      <c r="Q99" s="338"/>
      <c r="R99" s="339"/>
      <c r="T99" s="118" t="str">
        <f ca="1">IF($W99&gt;0,$D99,"")</f>
        <v/>
      </c>
      <c r="U99" s="164" t="str">
        <f ca="1">IF($W99&gt;0,$E99,"")</f>
        <v/>
      </c>
      <c r="V99" s="165" t="str">
        <f ca="1">IF(AND($W99&gt;0,RegimeExecucao="Unitário"),$F99,"")</f>
        <v/>
      </c>
      <c r="W99" s="455">
        <f ca="1">IF($Y99&gt;0,CHOOSE(MATCH(RegimeExecucao,{"Unitário","Global"},0),IF($A99="S",$Y99/$X99,""),($Y99/$X99)*100),0)</f>
        <v>0</v>
      </c>
      <c r="X99" s="340" t="str">
        <f ca="1">IF($Y99&gt;0,CHOOSE(MATCH(RegimeExecucao,{"Unitário","Global"},0),IF($A99="S",ROUND($H99,ORÇAMENTO!$AF$10),""),ROUND($I99,ORÇAMENTO!$AF$11)),"")</f>
        <v/>
      </c>
      <c r="Y99" s="340">
        <f ca="1">AO99-O99</f>
        <v>0</v>
      </c>
      <c r="Z99" s="474"/>
      <c r="AB99" s="338"/>
      <c r="AC99" s="438"/>
      <c r="AD99" s="438"/>
      <c r="AE99" s="438"/>
      <c r="AF99" s="438"/>
      <c r="AG99" s="438"/>
      <c r="AH99" s="438"/>
      <c r="AI99" s="438"/>
      <c r="AJ99" s="438"/>
      <c r="AK99" s="438"/>
      <c r="AL99" s="438"/>
      <c r="AM99" s="339"/>
      <c r="AO99" s="720">
        <f ca="1">IF($A99="S",IF(BM!$I99=0,0,CHOOSE(MATCH(RegimeExecucao,{"Global","Unitário"},0),ROUND(ROUND(BM.MEDAcumulado,15-13*BM!$A$9)/100*BM!$I99,15-13*ORÇAMENTO!$AF$11),ROUND(ROUND(BM.MEDAcumulado,15-13*BM!$A$9)*ROUND(BM!$H99,15-13*ORÇAMENTO!$AF$10),15-13*ORÇAMENTO!$AF$11))),IF($A99=0,0,ROUND(SomaAgrupBM,15-13*ORÇAMENTO!$AF$11)))</f>
        <v>0</v>
      </c>
    </row>
    <row r="100" spans="1:41" s="720" customFormat="1" ht="25.5" x14ac:dyDescent="0.2">
      <c r="A100" s="720" t="str">
        <f ca="1">ORÇAMENTO!C100</f>
        <v>S</v>
      </c>
      <c r="B100" s="720">
        <f ca="1">ORÇAMENTO!D100</f>
        <v>0</v>
      </c>
      <c r="C100" s="115" t="str">
        <f t="shared" ca="1" si="8"/>
        <v/>
      </c>
      <c r="D100" s="118" t="str">
        <f ca="1">ORÇAMENTO!O100</f>
        <v>-</v>
      </c>
      <c r="E100" s="164" t="str">
        <f t="shared" ca="1" si="9"/>
        <v>(abra o arquivo 'Referência 09-2025.xlsm)</v>
      </c>
      <c r="F100" s="165" t="str">
        <f ca="1">IF(RegimeExecucao="Global","",ORÇAMENTO.Unidade)</f>
        <v>-</v>
      </c>
      <c r="G100" s="123">
        <f ca="1">IF(RegimeExecucao="Global","",ORÇAMENTO!T100)</f>
        <v>246</v>
      </c>
      <c r="H100" s="123">
        <f ca="1">IF(RegimeExecucao="Global","",ORÇAMENTO!W100)</f>
        <v>0</v>
      </c>
      <c r="I100" s="126">
        <f ca="1">ORÇAMENTO!X100</f>
        <v>0</v>
      </c>
      <c r="J100" s="334" t="e" cm="1">
        <f t="array" aca="1" ref="J100" ca="1">_xlfn.SINGLE(IF($A100="S",IF(CAIXA.Modo,BM.AFAnterior,BM.MEDAnterior),IF(AND(_xlfn.SINGLE(RegimeExecucao)="Global",$I100&gt;0,COUNTIF($AB$13:$AM$13,BM.medicao-1)&gt;0),M100/$I100*100,0)))</f>
        <v>#NAME?</v>
      </c>
      <c r="K100" s="123" t="e">
        <f t="shared" ca="1" si="10"/>
        <v>#NAME?</v>
      </c>
      <c r="L100" s="335" t="e" cm="1">
        <f t="array" aca="1" ref="L100" ca="1">_xlfn.SINGLE(IF($A100="S",IF(CAIXA.Modo,BM.AFAcumulado,BM.MEDAcumulado),IF(AND(_xlfn.SINGLE(RegimeExecucao)="Global",$I100&gt;0,COUNTIF($AB$13:$AM$13,BM.medicao)&gt;0),O100/$I100*100,0)))</f>
        <v>#NAME?</v>
      </c>
      <c r="M100" s="336">
        <f ca="1">IF($A100="S",VTOTALBM,IF($A100=0,0,ROUND(SomaAgrupBM,15-13*ORÇAMENTO!$AF$11)))</f>
        <v>0</v>
      </c>
      <c r="N100" s="337">
        <f t="shared" ca="1" si="11"/>
        <v>0</v>
      </c>
      <c r="O100" s="126">
        <f ca="1">IF($A100="S",VTOTALBM,IF($A100=0,0,ROUND(SomaAgrupBM,15-13*ORÇAMENTO!$AF$11)))</f>
        <v>0</v>
      </c>
      <c r="Q100" s="338"/>
      <c r="R100" s="339"/>
      <c r="T100" s="118" t="str">
        <f t="shared" ca="1" si="12"/>
        <v/>
      </c>
      <c r="U100" s="164" t="str">
        <f t="shared" ca="1" si="13"/>
        <v/>
      </c>
      <c r="V100" s="165" t="str">
        <f ca="1">IF(AND($W100&gt;0,RegimeExecucao="Unitário"),$F100,"")</f>
        <v/>
      </c>
      <c r="W100" s="455">
        <f ca="1">IF($Y100&gt;0,CHOOSE(MATCH(RegimeExecucao,{"Unitário","Global"},0),IF($A100="S",$Y100/$X100,""),($Y100/$X100)*100),0)</f>
        <v>0</v>
      </c>
      <c r="X100" s="340" t="str">
        <f ca="1">IF($Y100&gt;0,CHOOSE(MATCH(RegimeExecucao,{"Unitário","Global"},0),IF($A100="S",ROUND($H100,ORÇAMENTO!$AF$10),""),ROUND($I100,ORÇAMENTO!$AF$11)),"")</f>
        <v/>
      </c>
      <c r="Y100" s="340">
        <f t="shared" ca="1" si="14"/>
        <v>0</v>
      </c>
      <c r="Z100" s="474"/>
      <c r="AB100" s="338"/>
      <c r="AC100" s="438"/>
      <c r="AD100" s="438"/>
      <c r="AE100" s="438"/>
      <c r="AF100" s="438"/>
      <c r="AG100" s="438"/>
      <c r="AH100" s="438"/>
      <c r="AI100" s="438"/>
      <c r="AJ100" s="438"/>
      <c r="AK100" s="438"/>
      <c r="AL100" s="438"/>
      <c r="AM100" s="339"/>
      <c r="AO100" s="720">
        <f ca="1">IF($A100="S",IF(BM!$I100=0,0,CHOOSE(MATCH(RegimeExecucao,{"Global","Unitário"},0),ROUND(ROUND(BM.MEDAcumulado,15-13*BM!$A$9)/100*BM!$I100,15-13*ORÇAMENTO!$AF$11),ROUND(ROUND(BM.MEDAcumulado,15-13*BM!$A$9)*ROUND(BM!$H100,15-13*ORÇAMENTO!$AF$10),15-13*ORÇAMENTO!$AF$11))),IF($A100=0,0,ROUND(SomaAgrupBM,15-13*ORÇAMENTO!$AF$11)))</f>
        <v>0</v>
      </c>
    </row>
    <row r="101" spans="1:41" s="720" customFormat="1" ht="25.5" x14ac:dyDescent="0.2">
      <c r="A101" s="720" t="str">
        <f ca="1">ORÇAMENTO!C101</f>
        <v>S</v>
      </c>
      <c r="B101" s="720">
        <f ca="1">ORÇAMENTO!D101</f>
        <v>0</v>
      </c>
      <c r="C101" s="115" t="str">
        <f t="shared" ca="1" si="8"/>
        <v/>
      </c>
      <c r="D101" s="118" t="str">
        <f ca="1">ORÇAMENTO!O101</f>
        <v>-</v>
      </c>
      <c r="E101" s="164" t="str">
        <f t="shared" ca="1" si="9"/>
        <v>(abra o arquivo 'Referência 09-2025.xlsm)</v>
      </c>
      <c r="F101" s="165" t="str">
        <f ca="1">IF(RegimeExecucao="Global","",ORÇAMENTO.Unidade)</f>
        <v>-</v>
      </c>
      <c r="G101" s="123">
        <f ca="1">IF(RegimeExecucao="Global","",ORÇAMENTO!T101)</f>
        <v>246</v>
      </c>
      <c r="H101" s="123">
        <f ca="1">IF(RegimeExecucao="Global","",ORÇAMENTO!W101)</f>
        <v>0</v>
      </c>
      <c r="I101" s="126">
        <f ca="1">ORÇAMENTO!X101</f>
        <v>0</v>
      </c>
      <c r="J101" s="334" t="e" cm="1">
        <f t="array" aca="1" ref="J101" ca="1">_xlfn.SINGLE(IF($A101="S",IF(CAIXA.Modo,BM.AFAnterior,BM.MEDAnterior),IF(AND(_xlfn.SINGLE(RegimeExecucao)="Global",$I101&gt;0,COUNTIF($AB$13:$AM$13,BM.medicao-1)&gt;0),M101/$I101*100,0)))</f>
        <v>#NAME?</v>
      </c>
      <c r="K101" s="123" t="e">
        <f t="shared" ca="1" si="10"/>
        <v>#NAME?</v>
      </c>
      <c r="L101" s="335" t="e" cm="1">
        <f t="array" aca="1" ref="L101" ca="1">_xlfn.SINGLE(IF($A101="S",IF(CAIXA.Modo,BM.AFAcumulado,BM.MEDAcumulado),IF(AND(_xlfn.SINGLE(RegimeExecucao)="Global",$I101&gt;0,COUNTIF($AB$13:$AM$13,BM.medicao)&gt;0),O101/$I101*100,0)))</f>
        <v>#NAME?</v>
      </c>
      <c r="M101" s="336">
        <f ca="1">IF($A101="S",VTOTALBM,IF($A101=0,0,ROUND(SomaAgrupBM,15-13*ORÇAMENTO!$AF$11)))</f>
        <v>0</v>
      </c>
      <c r="N101" s="337">
        <f t="shared" ca="1" si="11"/>
        <v>0</v>
      </c>
      <c r="O101" s="126">
        <f ca="1">IF($A101="S",VTOTALBM,IF($A101=0,0,ROUND(SomaAgrupBM,15-13*ORÇAMENTO!$AF$11)))</f>
        <v>0</v>
      </c>
      <c r="Q101" s="338"/>
      <c r="R101" s="339"/>
      <c r="T101" s="118" t="str">
        <f t="shared" ca="1" si="12"/>
        <v/>
      </c>
      <c r="U101" s="164" t="str">
        <f t="shared" ca="1" si="13"/>
        <v/>
      </c>
      <c r="V101" s="165" t="str">
        <f ca="1">IF(AND($W101&gt;0,RegimeExecucao="Unitário"),$F101,"")</f>
        <v/>
      </c>
      <c r="W101" s="455">
        <f ca="1">IF($Y101&gt;0,CHOOSE(MATCH(RegimeExecucao,{"Unitário","Global"},0),IF($A101="S",$Y101/$X101,""),($Y101/$X101)*100),0)</f>
        <v>0</v>
      </c>
      <c r="X101" s="340" t="str">
        <f ca="1">IF($Y101&gt;0,CHOOSE(MATCH(RegimeExecucao,{"Unitário","Global"},0),IF($A101="S",ROUND($H101,ORÇAMENTO!$AF$10),""),ROUND($I101,ORÇAMENTO!$AF$11)),"")</f>
        <v/>
      </c>
      <c r="Y101" s="340">
        <f t="shared" ca="1" si="14"/>
        <v>0</v>
      </c>
      <c r="Z101" s="474"/>
      <c r="AB101" s="338"/>
      <c r="AC101" s="438"/>
      <c r="AD101" s="438"/>
      <c r="AE101" s="438"/>
      <c r="AF101" s="438"/>
      <c r="AG101" s="438"/>
      <c r="AH101" s="438"/>
      <c r="AI101" s="438"/>
      <c r="AJ101" s="438"/>
      <c r="AK101" s="438"/>
      <c r="AL101" s="438"/>
      <c r="AM101" s="339"/>
      <c r="AO101" s="720">
        <f ca="1">IF($A101="S",IF(BM!$I101=0,0,CHOOSE(MATCH(RegimeExecucao,{"Global","Unitário"},0),ROUND(ROUND(BM.MEDAcumulado,15-13*BM!$A$9)/100*BM!$I101,15-13*ORÇAMENTO!$AF$11),ROUND(ROUND(BM.MEDAcumulado,15-13*BM!$A$9)*ROUND(BM!$H101,15-13*ORÇAMENTO!$AF$10),15-13*ORÇAMENTO!$AF$11))),IF($A101=0,0,ROUND(SomaAgrupBM,15-13*ORÇAMENTO!$AF$11)))</f>
        <v>0</v>
      </c>
    </row>
    <row r="102" spans="1:41" s="720" customFormat="1" ht="25.5" x14ac:dyDescent="0.2">
      <c r="A102" s="720" t="str">
        <f ca="1">ORÇAMENTO!C102</f>
        <v>S</v>
      </c>
      <c r="B102" s="720">
        <f ca="1">ORÇAMENTO!D102</f>
        <v>0</v>
      </c>
      <c r="C102" s="115" t="str">
        <f t="shared" ca="1" si="8"/>
        <v/>
      </c>
      <c r="D102" s="118" t="str">
        <f ca="1">ORÇAMENTO!O102</f>
        <v>-</v>
      </c>
      <c r="E102" s="164" t="str">
        <f t="shared" ca="1" si="9"/>
        <v>(abra o arquivo 'Referência 09-2025.xlsm)</v>
      </c>
      <c r="F102" s="165" t="str">
        <f ca="1">IF(RegimeExecucao="Global","",ORÇAMENTO.Unidade)</f>
        <v>-</v>
      </c>
      <c r="G102" s="123">
        <f ca="1">IF(RegimeExecucao="Global","",ORÇAMENTO!T102)</f>
        <v>600</v>
      </c>
      <c r="H102" s="123">
        <f ca="1">IF(RegimeExecucao="Global","",ORÇAMENTO!W102)</f>
        <v>0</v>
      </c>
      <c r="I102" s="126">
        <f ca="1">ORÇAMENTO!X102</f>
        <v>0</v>
      </c>
      <c r="J102" s="334" t="e" cm="1">
        <f t="array" aca="1" ref="J102" ca="1">_xlfn.SINGLE(IF($A102="S",IF(CAIXA.Modo,BM.AFAnterior,BM.MEDAnterior),IF(AND(_xlfn.SINGLE(RegimeExecucao)="Global",$I102&gt;0,COUNTIF($AB$13:$AM$13,BM.medicao-1)&gt;0),M102/$I102*100,0)))</f>
        <v>#NAME?</v>
      </c>
      <c r="K102" s="123" t="e">
        <f t="shared" ca="1" si="10"/>
        <v>#NAME?</v>
      </c>
      <c r="L102" s="335" t="e" cm="1">
        <f t="array" aca="1" ref="L102" ca="1">_xlfn.SINGLE(IF($A102="S",IF(CAIXA.Modo,BM.AFAcumulado,BM.MEDAcumulado),IF(AND(_xlfn.SINGLE(RegimeExecucao)="Global",$I102&gt;0,COUNTIF($AB$13:$AM$13,BM.medicao)&gt;0),O102/$I102*100,0)))</f>
        <v>#NAME?</v>
      </c>
      <c r="M102" s="336">
        <f ca="1">IF($A102="S",VTOTALBM,IF($A102=0,0,ROUND(SomaAgrupBM,15-13*ORÇAMENTO!$AF$11)))</f>
        <v>0</v>
      </c>
      <c r="N102" s="337">
        <f t="shared" ca="1" si="11"/>
        <v>0</v>
      </c>
      <c r="O102" s="126">
        <f ca="1">IF($A102="S",VTOTALBM,IF($A102=0,0,ROUND(SomaAgrupBM,15-13*ORÇAMENTO!$AF$11)))</f>
        <v>0</v>
      </c>
      <c r="Q102" s="338"/>
      <c r="R102" s="339"/>
      <c r="T102" s="118" t="str">
        <f t="shared" ca="1" si="12"/>
        <v/>
      </c>
      <c r="U102" s="164" t="str">
        <f t="shared" ca="1" si="13"/>
        <v/>
      </c>
      <c r="V102" s="165" t="str">
        <f ca="1">IF(AND($W102&gt;0,RegimeExecucao="Unitário"),$F102,"")</f>
        <v/>
      </c>
      <c r="W102" s="455">
        <f ca="1">IF($Y102&gt;0,CHOOSE(MATCH(RegimeExecucao,{"Unitário","Global"},0),IF($A102="S",$Y102/$X102,""),($Y102/$X102)*100),0)</f>
        <v>0</v>
      </c>
      <c r="X102" s="340" t="str">
        <f ca="1">IF($Y102&gt;0,CHOOSE(MATCH(RegimeExecucao,{"Unitário","Global"},0),IF($A102="S",ROUND($H102,ORÇAMENTO!$AF$10),""),ROUND($I102,ORÇAMENTO!$AF$11)),"")</f>
        <v/>
      </c>
      <c r="Y102" s="340">
        <f t="shared" ca="1" si="14"/>
        <v>0</v>
      </c>
      <c r="Z102" s="474"/>
      <c r="AB102" s="338"/>
      <c r="AC102" s="438"/>
      <c r="AD102" s="438"/>
      <c r="AE102" s="438"/>
      <c r="AF102" s="438"/>
      <c r="AG102" s="438"/>
      <c r="AH102" s="438"/>
      <c r="AI102" s="438"/>
      <c r="AJ102" s="438"/>
      <c r="AK102" s="438"/>
      <c r="AL102" s="438"/>
      <c r="AM102" s="339"/>
      <c r="AO102" s="720">
        <f ca="1">IF($A102="S",IF(BM!$I102=0,0,CHOOSE(MATCH(RegimeExecucao,{"Global","Unitário"},0),ROUND(ROUND(BM.MEDAcumulado,15-13*BM!$A$9)/100*BM!$I102,15-13*ORÇAMENTO!$AF$11),ROUND(ROUND(BM.MEDAcumulado,15-13*BM!$A$9)*ROUND(BM!$H102,15-13*ORÇAMENTO!$AF$10),15-13*ORÇAMENTO!$AF$11))),IF($A102=0,0,ROUND(SomaAgrupBM,15-13*ORÇAMENTO!$AF$11)))</f>
        <v>0</v>
      </c>
    </row>
    <row r="103" spans="1:41" s="720" customFormat="1" ht="25.5" x14ac:dyDescent="0.2">
      <c r="A103" s="720" t="str">
        <f ca="1">ORÇAMENTO!C103</f>
        <v>S</v>
      </c>
      <c r="B103" s="720">
        <f ca="1">ORÇAMENTO!D103</f>
        <v>0</v>
      </c>
      <c r="C103" s="115" t="str">
        <f t="shared" ca="1" si="8"/>
        <v/>
      </c>
      <c r="D103" s="118" t="str">
        <f ca="1">ORÇAMENTO!O103</f>
        <v>-</v>
      </c>
      <c r="E103" s="164" t="str">
        <f t="shared" ca="1" si="9"/>
        <v>(abra o arquivo 'Referência 09-2025.xlsm)</v>
      </c>
      <c r="F103" s="165" t="str">
        <f ca="1">IF(RegimeExecucao="Global","",ORÇAMENTO.Unidade)</f>
        <v>-</v>
      </c>
      <c r="G103" s="123">
        <f ca="1">IF(RegimeExecucao="Global","",ORÇAMENTO!T103)</f>
        <v>150</v>
      </c>
      <c r="H103" s="123">
        <f ca="1">IF(RegimeExecucao="Global","",ORÇAMENTO!W103)</f>
        <v>0</v>
      </c>
      <c r="I103" s="126">
        <f ca="1">ORÇAMENTO!X103</f>
        <v>0</v>
      </c>
      <c r="J103" s="334" t="e" cm="1">
        <f t="array" aca="1" ref="J103" ca="1">_xlfn.SINGLE(IF($A103="S",IF(CAIXA.Modo,BM.AFAnterior,BM.MEDAnterior),IF(AND(_xlfn.SINGLE(RegimeExecucao)="Global",$I103&gt;0,COUNTIF($AB$13:$AM$13,BM.medicao-1)&gt;0),M103/$I103*100,0)))</f>
        <v>#NAME?</v>
      </c>
      <c r="K103" s="123" t="e">
        <f t="shared" ca="1" si="10"/>
        <v>#NAME?</v>
      </c>
      <c r="L103" s="335" t="e" cm="1">
        <f t="array" aca="1" ref="L103" ca="1">_xlfn.SINGLE(IF($A103="S",IF(CAIXA.Modo,BM.AFAcumulado,BM.MEDAcumulado),IF(AND(_xlfn.SINGLE(RegimeExecucao)="Global",$I103&gt;0,COUNTIF($AB$13:$AM$13,BM.medicao)&gt;0),O103/$I103*100,0)))</f>
        <v>#NAME?</v>
      </c>
      <c r="M103" s="336">
        <f ca="1">IF($A103="S",VTOTALBM,IF($A103=0,0,ROUND(SomaAgrupBM,15-13*ORÇAMENTO!$AF$11)))</f>
        <v>0</v>
      </c>
      <c r="N103" s="337">
        <f t="shared" ca="1" si="11"/>
        <v>0</v>
      </c>
      <c r="O103" s="126">
        <f ca="1">IF($A103="S",VTOTALBM,IF($A103=0,0,ROUND(SomaAgrupBM,15-13*ORÇAMENTO!$AF$11)))</f>
        <v>0</v>
      </c>
      <c r="Q103" s="338"/>
      <c r="R103" s="339"/>
      <c r="T103" s="118" t="str">
        <f t="shared" ca="1" si="12"/>
        <v/>
      </c>
      <c r="U103" s="164" t="str">
        <f t="shared" ca="1" si="13"/>
        <v/>
      </c>
      <c r="V103" s="165" t="str">
        <f ca="1">IF(AND($W103&gt;0,RegimeExecucao="Unitário"),$F103,"")</f>
        <v/>
      </c>
      <c r="W103" s="455">
        <f ca="1">IF($Y103&gt;0,CHOOSE(MATCH(RegimeExecucao,{"Unitário","Global"},0),IF($A103="S",$Y103/$X103,""),($Y103/$X103)*100),0)</f>
        <v>0</v>
      </c>
      <c r="X103" s="340" t="str">
        <f ca="1">IF($Y103&gt;0,CHOOSE(MATCH(RegimeExecucao,{"Unitário","Global"},0),IF($A103="S",ROUND($H103,ORÇAMENTO!$AF$10),""),ROUND($I103,ORÇAMENTO!$AF$11)),"")</f>
        <v/>
      </c>
      <c r="Y103" s="340">
        <f t="shared" ca="1" si="14"/>
        <v>0</v>
      </c>
      <c r="Z103" s="474"/>
      <c r="AB103" s="338"/>
      <c r="AC103" s="438"/>
      <c r="AD103" s="438"/>
      <c r="AE103" s="438"/>
      <c r="AF103" s="438"/>
      <c r="AG103" s="438"/>
      <c r="AH103" s="438"/>
      <c r="AI103" s="438"/>
      <c r="AJ103" s="438"/>
      <c r="AK103" s="438"/>
      <c r="AL103" s="438"/>
      <c r="AM103" s="339"/>
      <c r="AO103" s="720">
        <f ca="1">IF($A103="S",IF(BM!$I103=0,0,CHOOSE(MATCH(RegimeExecucao,{"Global","Unitário"},0),ROUND(ROUND(BM.MEDAcumulado,15-13*BM!$A$9)/100*BM!$I103,15-13*ORÇAMENTO!$AF$11),ROUND(ROUND(BM.MEDAcumulado,15-13*BM!$A$9)*ROUND(BM!$H103,15-13*ORÇAMENTO!$AF$10),15-13*ORÇAMENTO!$AF$11))),IF($A103=0,0,ROUND(SomaAgrupBM,15-13*ORÇAMENTO!$AF$11)))</f>
        <v>0</v>
      </c>
    </row>
    <row r="104" spans="1:41" s="720" customFormat="1" x14ac:dyDescent="0.2">
      <c r="A104" s="720" t="str">
        <f ca="1">ORÇAMENTO!C104</f>
        <v>S</v>
      </c>
      <c r="B104" s="720">
        <f ca="1">ORÇAMENTO!D104</f>
        <v>0</v>
      </c>
      <c r="C104" s="115" t="str">
        <f t="shared" ca="1" si="8"/>
        <v/>
      </c>
      <c r="D104" s="118" t="str">
        <f ca="1">ORÇAMENTO!O104</f>
        <v>-</v>
      </c>
      <c r="E104" s="164" t="str">
        <f t="shared" ca="1" si="9"/>
        <v>(abra o arquivo 'Referência 09-2025.xlsm)</v>
      </c>
      <c r="F104" s="165" t="str">
        <f ca="1">IF(RegimeExecucao="Global","",ORÇAMENTO.Unidade)</f>
        <v>-</v>
      </c>
      <c r="G104" s="123">
        <f ca="1">IF(RegimeExecucao="Global","",ORÇAMENTO!T104)</f>
        <v>15</v>
      </c>
      <c r="H104" s="123">
        <f ca="1">IF(RegimeExecucao="Global","",ORÇAMENTO!W104)</f>
        <v>0</v>
      </c>
      <c r="I104" s="126">
        <f ca="1">ORÇAMENTO!X104</f>
        <v>0</v>
      </c>
      <c r="J104" s="334" t="e" cm="1">
        <f t="array" aca="1" ref="J104" ca="1">_xlfn.SINGLE(IF($A104="S",IF(CAIXA.Modo,BM.AFAnterior,BM.MEDAnterior),IF(AND(_xlfn.SINGLE(RegimeExecucao)="Global",$I104&gt;0,COUNTIF($AB$13:$AM$13,BM.medicao-1)&gt;0),M104/$I104*100,0)))</f>
        <v>#NAME?</v>
      </c>
      <c r="K104" s="123" t="e">
        <f t="shared" ca="1" si="10"/>
        <v>#NAME?</v>
      </c>
      <c r="L104" s="335" t="e" cm="1">
        <f t="array" aca="1" ref="L104" ca="1">_xlfn.SINGLE(IF($A104="S",IF(CAIXA.Modo,BM.AFAcumulado,BM.MEDAcumulado),IF(AND(_xlfn.SINGLE(RegimeExecucao)="Global",$I104&gt;0,COUNTIF($AB$13:$AM$13,BM.medicao)&gt;0),O104/$I104*100,0)))</f>
        <v>#NAME?</v>
      </c>
      <c r="M104" s="336">
        <f ca="1">IF($A104="S",VTOTALBM,IF($A104=0,0,ROUND(SomaAgrupBM,15-13*ORÇAMENTO!$AF$11)))</f>
        <v>0</v>
      </c>
      <c r="N104" s="337">
        <f t="shared" ca="1" si="11"/>
        <v>0</v>
      </c>
      <c r="O104" s="126">
        <f ca="1">IF($A104="S",VTOTALBM,IF($A104=0,0,ROUND(SomaAgrupBM,15-13*ORÇAMENTO!$AF$11)))</f>
        <v>0</v>
      </c>
      <c r="Q104" s="338"/>
      <c r="R104" s="339"/>
      <c r="T104" s="118" t="str">
        <f t="shared" ca="1" si="12"/>
        <v/>
      </c>
      <c r="U104" s="164" t="str">
        <f t="shared" ca="1" si="13"/>
        <v/>
      </c>
      <c r="V104" s="165" t="str">
        <f ca="1">IF(AND($W104&gt;0,RegimeExecucao="Unitário"),$F104,"")</f>
        <v/>
      </c>
      <c r="W104" s="455">
        <f ca="1">IF($Y104&gt;0,CHOOSE(MATCH(RegimeExecucao,{"Unitário","Global"},0),IF($A104="S",$Y104/$X104,""),($Y104/$X104)*100),0)</f>
        <v>0</v>
      </c>
      <c r="X104" s="340" t="str">
        <f ca="1">IF($Y104&gt;0,CHOOSE(MATCH(RegimeExecucao,{"Unitário","Global"},0),IF($A104="S",ROUND($H104,ORÇAMENTO!$AF$10),""),ROUND($I104,ORÇAMENTO!$AF$11)),"")</f>
        <v/>
      </c>
      <c r="Y104" s="340">
        <f t="shared" ca="1" si="14"/>
        <v>0</v>
      </c>
      <c r="Z104" s="474"/>
      <c r="AB104" s="338"/>
      <c r="AC104" s="438"/>
      <c r="AD104" s="438"/>
      <c r="AE104" s="438"/>
      <c r="AF104" s="438"/>
      <c r="AG104" s="438"/>
      <c r="AH104" s="438"/>
      <c r="AI104" s="438"/>
      <c r="AJ104" s="438"/>
      <c r="AK104" s="438"/>
      <c r="AL104" s="438"/>
      <c r="AM104" s="339"/>
      <c r="AO104" s="720">
        <f ca="1">IF($A104="S",IF(BM!$I104=0,0,CHOOSE(MATCH(RegimeExecucao,{"Global","Unitário"},0),ROUND(ROUND(BM.MEDAcumulado,15-13*BM!$A$9)/100*BM!$I104,15-13*ORÇAMENTO!$AF$11),ROUND(ROUND(BM.MEDAcumulado,15-13*BM!$A$9)*ROUND(BM!$H104,15-13*ORÇAMENTO!$AF$10),15-13*ORÇAMENTO!$AF$11))),IF($A104=0,0,ROUND(SomaAgrupBM,15-13*ORÇAMENTO!$AF$11)))</f>
        <v>0</v>
      </c>
    </row>
    <row r="105" spans="1:41" s="720" customFormat="1" ht="25.5" x14ac:dyDescent="0.2">
      <c r="A105" s="720" t="str">
        <f ca="1">ORÇAMENTO!C105</f>
        <v>S</v>
      </c>
      <c r="B105" s="720">
        <f ca="1">ORÇAMENTO!D105</f>
        <v>0</v>
      </c>
      <c r="C105" s="115" t="str">
        <f t="shared" ca="1" si="8"/>
        <v/>
      </c>
      <c r="D105" s="118" t="str">
        <f ca="1">ORÇAMENTO!O105</f>
        <v>-</v>
      </c>
      <c r="E105" s="164" t="str">
        <f t="shared" ca="1" si="9"/>
        <v>(abra o arquivo 'Referência 09-2025.xlsm)</v>
      </c>
      <c r="F105" s="165" t="str">
        <f ca="1">IF(RegimeExecucao="Global","",ORÇAMENTO.Unidade)</f>
        <v>-</v>
      </c>
      <c r="G105" s="123">
        <f ca="1">IF(RegimeExecucao="Global","",ORÇAMENTO!T105)</f>
        <v>150</v>
      </c>
      <c r="H105" s="123">
        <f ca="1">IF(RegimeExecucao="Global","",ORÇAMENTO!W105)</f>
        <v>0</v>
      </c>
      <c r="I105" s="126">
        <f ca="1">ORÇAMENTO!X105</f>
        <v>0</v>
      </c>
      <c r="J105" s="334" t="e" cm="1">
        <f t="array" aca="1" ref="J105" ca="1">_xlfn.SINGLE(IF($A105="S",IF(CAIXA.Modo,BM.AFAnterior,BM.MEDAnterior),IF(AND(_xlfn.SINGLE(RegimeExecucao)="Global",$I105&gt;0,COUNTIF($AB$13:$AM$13,BM.medicao-1)&gt;0),M105/$I105*100,0)))</f>
        <v>#NAME?</v>
      </c>
      <c r="K105" s="123" t="e">
        <f t="shared" ca="1" si="10"/>
        <v>#NAME?</v>
      </c>
      <c r="L105" s="335" t="e" cm="1">
        <f t="array" aca="1" ref="L105" ca="1">_xlfn.SINGLE(IF($A105="S",IF(CAIXA.Modo,BM.AFAcumulado,BM.MEDAcumulado),IF(AND(_xlfn.SINGLE(RegimeExecucao)="Global",$I105&gt;0,COUNTIF($AB$13:$AM$13,BM.medicao)&gt;0),O105/$I105*100,0)))</f>
        <v>#NAME?</v>
      </c>
      <c r="M105" s="336">
        <f ca="1">IF($A105="S",VTOTALBM,IF($A105=0,0,ROUND(SomaAgrupBM,15-13*ORÇAMENTO!$AF$11)))</f>
        <v>0</v>
      </c>
      <c r="N105" s="337">
        <f t="shared" ca="1" si="11"/>
        <v>0</v>
      </c>
      <c r="O105" s="126">
        <f ca="1">IF($A105="S",VTOTALBM,IF($A105=0,0,ROUND(SomaAgrupBM,15-13*ORÇAMENTO!$AF$11)))</f>
        <v>0</v>
      </c>
      <c r="Q105" s="338"/>
      <c r="R105" s="339"/>
      <c r="T105" s="118" t="str">
        <f t="shared" ca="1" si="12"/>
        <v/>
      </c>
      <c r="U105" s="164" t="str">
        <f t="shared" ca="1" si="13"/>
        <v/>
      </c>
      <c r="V105" s="165" t="str">
        <f ca="1">IF(AND($W105&gt;0,RegimeExecucao="Unitário"),$F105,"")</f>
        <v/>
      </c>
      <c r="W105" s="455">
        <f ca="1">IF($Y105&gt;0,CHOOSE(MATCH(RegimeExecucao,{"Unitário","Global"},0),IF($A105="S",$Y105/$X105,""),($Y105/$X105)*100),0)</f>
        <v>0</v>
      </c>
      <c r="X105" s="340" t="str">
        <f ca="1">IF($Y105&gt;0,CHOOSE(MATCH(RegimeExecucao,{"Unitário","Global"},0),IF($A105="S",ROUND($H105,ORÇAMENTO!$AF$10),""),ROUND($I105,ORÇAMENTO!$AF$11)),"")</f>
        <v/>
      </c>
      <c r="Y105" s="340">
        <f t="shared" ca="1" si="14"/>
        <v>0</v>
      </c>
      <c r="Z105" s="474"/>
      <c r="AB105" s="338"/>
      <c r="AC105" s="438"/>
      <c r="AD105" s="438"/>
      <c r="AE105" s="438"/>
      <c r="AF105" s="438"/>
      <c r="AG105" s="438"/>
      <c r="AH105" s="438"/>
      <c r="AI105" s="438"/>
      <c r="AJ105" s="438"/>
      <c r="AK105" s="438"/>
      <c r="AL105" s="438"/>
      <c r="AM105" s="339"/>
      <c r="AO105" s="720">
        <f ca="1">IF($A105="S",IF(BM!$I105=0,0,CHOOSE(MATCH(RegimeExecucao,{"Global","Unitário"},0),ROUND(ROUND(BM.MEDAcumulado,15-13*BM!$A$9)/100*BM!$I105,15-13*ORÇAMENTO!$AF$11),ROUND(ROUND(BM.MEDAcumulado,15-13*BM!$A$9)*ROUND(BM!$H105,15-13*ORÇAMENTO!$AF$10),15-13*ORÇAMENTO!$AF$11))),IF($A105=0,0,ROUND(SomaAgrupBM,15-13*ORÇAMENTO!$AF$11)))</f>
        <v>0</v>
      </c>
    </row>
    <row r="106" spans="1:41" s="720" customFormat="1" ht="38.25" x14ac:dyDescent="0.2">
      <c r="A106" s="720" t="str">
        <f ca="1">ORÇAMENTO!C106</f>
        <v>S</v>
      </c>
      <c r="B106" s="720">
        <f ca="1">ORÇAMENTO!D106</f>
        <v>0</v>
      </c>
      <c r="C106" s="115" t="str">
        <f t="shared" ca="1" si="8"/>
        <v/>
      </c>
      <c r="D106" s="118" t="str">
        <f ca="1">ORÇAMENTO!O106</f>
        <v>-</v>
      </c>
      <c r="E106" s="164" t="str">
        <f t="shared" ca="1" si="9"/>
        <v>(abra o arquivo 'Referência 09-2025.xlsm)</v>
      </c>
      <c r="F106" s="165" t="str">
        <f ca="1">IF(RegimeExecucao="Global","",ORÇAMENTO.Unidade)</f>
        <v>-</v>
      </c>
      <c r="G106" s="123">
        <f ca="1">IF(RegimeExecucao="Global","",ORÇAMENTO!T106)</f>
        <v>100</v>
      </c>
      <c r="H106" s="123">
        <f ca="1">IF(RegimeExecucao="Global","",ORÇAMENTO!W106)</f>
        <v>0</v>
      </c>
      <c r="I106" s="126">
        <f ca="1">ORÇAMENTO!X106</f>
        <v>0</v>
      </c>
      <c r="J106" s="334" t="e" cm="1">
        <f t="array" aca="1" ref="J106" ca="1">_xlfn.SINGLE(IF($A106="S",IF(CAIXA.Modo,BM.AFAnterior,BM.MEDAnterior),IF(AND(_xlfn.SINGLE(RegimeExecucao)="Global",$I106&gt;0,COUNTIF($AB$13:$AM$13,BM.medicao-1)&gt;0),M106/$I106*100,0)))</f>
        <v>#NAME?</v>
      </c>
      <c r="K106" s="123" t="e">
        <f t="shared" ca="1" si="10"/>
        <v>#NAME?</v>
      </c>
      <c r="L106" s="335" t="e" cm="1">
        <f t="array" aca="1" ref="L106" ca="1">_xlfn.SINGLE(IF($A106="S",IF(CAIXA.Modo,BM.AFAcumulado,BM.MEDAcumulado),IF(AND(_xlfn.SINGLE(RegimeExecucao)="Global",$I106&gt;0,COUNTIF($AB$13:$AM$13,BM.medicao)&gt;0),O106/$I106*100,0)))</f>
        <v>#NAME?</v>
      </c>
      <c r="M106" s="336">
        <f ca="1">IF($A106="S",VTOTALBM,IF($A106=0,0,ROUND(SomaAgrupBM,15-13*ORÇAMENTO!$AF$11)))</f>
        <v>0</v>
      </c>
      <c r="N106" s="337">
        <f t="shared" ca="1" si="11"/>
        <v>0</v>
      </c>
      <c r="O106" s="126">
        <f ca="1">IF($A106="S",VTOTALBM,IF($A106=0,0,ROUND(SomaAgrupBM,15-13*ORÇAMENTO!$AF$11)))</f>
        <v>0</v>
      </c>
      <c r="Q106" s="338"/>
      <c r="R106" s="339"/>
      <c r="T106" s="118" t="str">
        <f t="shared" ca="1" si="12"/>
        <v/>
      </c>
      <c r="U106" s="164" t="str">
        <f t="shared" ca="1" si="13"/>
        <v/>
      </c>
      <c r="V106" s="165" t="str">
        <f ca="1">IF(AND($W106&gt;0,RegimeExecucao="Unitário"),$F106,"")</f>
        <v/>
      </c>
      <c r="W106" s="455">
        <f ca="1">IF($Y106&gt;0,CHOOSE(MATCH(RegimeExecucao,{"Unitário","Global"},0),IF($A106="S",$Y106/$X106,""),($Y106/$X106)*100),0)</f>
        <v>0</v>
      </c>
      <c r="X106" s="340" t="str">
        <f ca="1">IF($Y106&gt;0,CHOOSE(MATCH(RegimeExecucao,{"Unitário","Global"},0),IF($A106="S",ROUND($H106,ORÇAMENTO!$AF$10),""),ROUND($I106,ORÇAMENTO!$AF$11)),"")</f>
        <v/>
      </c>
      <c r="Y106" s="340">
        <f t="shared" ca="1" si="14"/>
        <v>0</v>
      </c>
      <c r="Z106" s="474"/>
      <c r="AB106" s="338"/>
      <c r="AC106" s="438"/>
      <c r="AD106" s="438"/>
      <c r="AE106" s="438"/>
      <c r="AF106" s="438"/>
      <c r="AG106" s="438"/>
      <c r="AH106" s="438"/>
      <c r="AI106" s="438"/>
      <c r="AJ106" s="438"/>
      <c r="AK106" s="438"/>
      <c r="AL106" s="438"/>
      <c r="AM106" s="339"/>
      <c r="AO106" s="720">
        <f ca="1">IF($A106="S",IF(BM!$I106=0,0,CHOOSE(MATCH(RegimeExecucao,{"Global","Unitário"},0),ROUND(ROUND(BM.MEDAcumulado,15-13*BM!$A$9)/100*BM!$I106,15-13*ORÇAMENTO!$AF$11),ROUND(ROUND(BM.MEDAcumulado,15-13*BM!$A$9)*ROUND(BM!$H106,15-13*ORÇAMENTO!$AF$10),15-13*ORÇAMENTO!$AF$11))),IF($A106=0,0,ROUND(SomaAgrupBM,15-13*ORÇAMENTO!$AF$11)))</f>
        <v>0</v>
      </c>
    </row>
    <row r="107" spans="1:41" s="720" customFormat="1" x14ac:dyDescent="0.2">
      <c r="A107" s="720" t="str">
        <f ca="1">ORÇAMENTO!C107</f>
        <v>S</v>
      </c>
      <c r="B107" s="720">
        <f ca="1">ORÇAMENTO!D107</f>
        <v>0</v>
      </c>
      <c r="C107" s="115" t="str">
        <f t="shared" ca="1" si="8"/>
        <v/>
      </c>
      <c r="D107" s="118" t="str">
        <f ca="1">ORÇAMENTO!O107</f>
        <v>-</v>
      </c>
      <c r="E107" s="164" t="str">
        <f t="shared" ca="1" si="9"/>
        <v>(abra o arquivo 'Referência 09-2025.xlsm)</v>
      </c>
      <c r="F107" s="165" t="str">
        <f ca="1">IF(RegimeExecucao="Global","",ORÇAMENTO.Unidade)</f>
        <v>-</v>
      </c>
      <c r="G107" s="123">
        <f ca="1">IF(RegimeExecucao="Global","",ORÇAMENTO!T107)</f>
        <v>300</v>
      </c>
      <c r="H107" s="123">
        <f ca="1">IF(RegimeExecucao="Global","",ORÇAMENTO!W107)</f>
        <v>0</v>
      </c>
      <c r="I107" s="126">
        <f ca="1">ORÇAMENTO!X107</f>
        <v>0</v>
      </c>
      <c r="J107" s="334" t="e" cm="1">
        <f t="array" aca="1" ref="J107" ca="1">_xlfn.SINGLE(IF($A107="S",IF(CAIXA.Modo,BM.AFAnterior,BM.MEDAnterior),IF(AND(_xlfn.SINGLE(RegimeExecucao)="Global",$I107&gt;0,COUNTIF($AB$13:$AM$13,BM.medicao-1)&gt;0),M107/$I107*100,0)))</f>
        <v>#NAME?</v>
      </c>
      <c r="K107" s="123" t="e">
        <f t="shared" ca="1" si="10"/>
        <v>#NAME?</v>
      </c>
      <c r="L107" s="335" t="e" cm="1">
        <f t="array" aca="1" ref="L107" ca="1">_xlfn.SINGLE(IF($A107="S",IF(CAIXA.Modo,BM.AFAcumulado,BM.MEDAcumulado),IF(AND(_xlfn.SINGLE(RegimeExecucao)="Global",$I107&gt;0,COUNTIF($AB$13:$AM$13,BM.medicao)&gt;0),O107/$I107*100,0)))</f>
        <v>#NAME?</v>
      </c>
      <c r="M107" s="336">
        <f ca="1">IF($A107="S",VTOTALBM,IF($A107=0,0,ROUND(SomaAgrupBM,15-13*ORÇAMENTO!$AF$11)))</f>
        <v>0</v>
      </c>
      <c r="N107" s="337">
        <f t="shared" ca="1" si="11"/>
        <v>0</v>
      </c>
      <c r="O107" s="126">
        <f ca="1">IF($A107="S",VTOTALBM,IF($A107=0,0,ROUND(SomaAgrupBM,15-13*ORÇAMENTO!$AF$11)))</f>
        <v>0</v>
      </c>
      <c r="Q107" s="338"/>
      <c r="R107" s="339"/>
      <c r="T107" s="118" t="str">
        <f t="shared" ca="1" si="12"/>
        <v/>
      </c>
      <c r="U107" s="164" t="str">
        <f t="shared" ca="1" si="13"/>
        <v/>
      </c>
      <c r="V107" s="165" t="str">
        <f ca="1">IF(AND($W107&gt;0,RegimeExecucao="Unitário"),$F107,"")</f>
        <v/>
      </c>
      <c r="W107" s="455">
        <f ca="1">IF($Y107&gt;0,CHOOSE(MATCH(RegimeExecucao,{"Unitário","Global"},0),IF($A107="S",$Y107/$X107,""),($Y107/$X107)*100),0)</f>
        <v>0</v>
      </c>
      <c r="X107" s="340" t="str">
        <f ca="1">IF($Y107&gt;0,CHOOSE(MATCH(RegimeExecucao,{"Unitário","Global"},0),IF($A107="S",ROUND($H107,ORÇAMENTO!$AF$10),""),ROUND($I107,ORÇAMENTO!$AF$11)),"")</f>
        <v/>
      </c>
      <c r="Y107" s="340">
        <f t="shared" ca="1" si="14"/>
        <v>0</v>
      </c>
      <c r="Z107" s="474"/>
      <c r="AB107" s="338"/>
      <c r="AC107" s="438"/>
      <c r="AD107" s="438"/>
      <c r="AE107" s="438"/>
      <c r="AF107" s="438"/>
      <c r="AG107" s="438"/>
      <c r="AH107" s="438"/>
      <c r="AI107" s="438"/>
      <c r="AJ107" s="438"/>
      <c r="AK107" s="438"/>
      <c r="AL107" s="438"/>
      <c r="AM107" s="339"/>
      <c r="AO107" s="720">
        <f ca="1">IF($A107="S",IF(BM!$I107=0,0,CHOOSE(MATCH(RegimeExecucao,{"Global","Unitário"},0),ROUND(ROUND(BM.MEDAcumulado,15-13*BM!$A$9)/100*BM!$I107,15-13*ORÇAMENTO!$AF$11),ROUND(ROUND(BM.MEDAcumulado,15-13*BM!$A$9)*ROUND(BM!$H107,15-13*ORÇAMENTO!$AF$10),15-13*ORÇAMENTO!$AF$11))),IF($A107=0,0,ROUND(SomaAgrupBM,15-13*ORÇAMENTO!$AF$11)))</f>
        <v>0</v>
      </c>
    </row>
    <row r="108" spans="1:41" s="720" customFormat="1" ht="25.5" x14ac:dyDescent="0.2">
      <c r="A108" s="720" t="str">
        <f ca="1">ORÇAMENTO!C108</f>
        <v>S</v>
      </c>
      <c r="B108" s="720">
        <f ca="1">ORÇAMENTO!D108</f>
        <v>0</v>
      </c>
      <c r="C108" s="115" t="str">
        <f ca="1">IF(OR($I108&gt;0,$A108=1,$A108=2,$A108=3,$A108=4),"F","")</f>
        <v/>
      </c>
      <c r="D108" s="118" t="str">
        <f ca="1">ORÇAMENTO!O108</f>
        <v>-</v>
      </c>
      <c r="E108" s="164" t="str">
        <f ca="1">ORÇAMENTO.Descricao</f>
        <v>(abra o arquivo 'Referência 09-2025.xlsm)</v>
      </c>
      <c r="F108" s="165" t="str">
        <f ca="1">IF(RegimeExecucao="Global","",ORÇAMENTO.Unidade)</f>
        <v>-</v>
      </c>
      <c r="G108" s="123">
        <f ca="1">IF(RegimeExecucao="Global","",ORÇAMENTO!T108)</f>
        <v>100</v>
      </c>
      <c r="H108" s="123">
        <f ca="1">IF(RegimeExecucao="Global","",ORÇAMENTO!W108)</f>
        <v>0</v>
      </c>
      <c r="I108" s="126">
        <f ca="1">ORÇAMENTO!X108</f>
        <v>0</v>
      </c>
      <c r="J108" s="334" t="e" cm="1">
        <f t="array" aca="1" ref="J108" ca="1">_xlfn.SINGLE(IF($A108="S",IF(CAIXA.Modo,BM.AFAnterior,BM.MEDAnterior),IF(AND(_xlfn.SINGLE(RegimeExecucao)="Global",$I108&gt;0,COUNTIF($AB$13:$AM$13,BM.medicao-1)&gt;0),M108/$I108*100,0)))</f>
        <v>#NAME?</v>
      </c>
      <c r="K108" s="123" t="e">
        <f ca="1">L108-J108</f>
        <v>#NAME?</v>
      </c>
      <c r="L108" s="335" t="e" cm="1">
        <f t="array" aca="1" ref="L108" ca="1">_xlfn.SINGLE(IF($A108="S",IF(CAIXA.Modo,BM.AFAcumulado,BM.MEDAcumulado),IF(AND(_xlfn.SINGLE(RegimeExecucao)="Global",$I108&gt;0,COUNTIF($AB$13:$AM$13,BM.medicao)&gt;0),O108/$I108*100,0)))</f>
        <v>#NAME?</v>
      </c>
      <c r="M108" s="336">
        <f ca="1">IF($A108="S",VTOTALBM,IF($A108=0,0,ROUND(SomaAgrupBM,15-13*ORÇAMENTO!$AF$11)))</f>
        <v>0</v>
      </c>
      <c r="N108" s="337">
        <f ca="1">O108-M108</f>
        <v>0</v>
      </c>
      <c r="O108" s="126">
        <f ca="1">IF($A108="S",VTOTALBM,IF($A108=0,0,ROUND(SomaAgrupBM,15-13*ORÇAMENTO!$AF$11)))</f>
        <v>0</v>
      </c>
      <c r="Q108" s="338"/>
      <c r="R108" s="339"/>
      <c r="T108" s="118" t="str">
        <f ca="1">IF($W108&gt;0,$D108,"")</f>
        <v/>
      </c>
      <c r="U108" s="164" t="str">
        <f ca="1">IF($W108&gt;0,$E108,"")</f>
        <v/>
      </c>
      <c r="V108" s="165" t="str">
        <f ca="1">IF(AND($W108&gt;0,RegimeExecucao="Unitário"),$F108,"")</f>
        <v/>
      </c>
      <c r="W108" s="455">
        <f ca="1">IF($Y108&gt;0,CHOOSE(MATCH(RegimeExecucao,{"Unitário","Global"},0),IF($A108="S",$Y108/$X108,""),($Y108/$X108)*100),0)</f>
        <v>0</v>
      </c>
      <c r="X108" s="340" t="str">
        <f ca="1">IF($Y108&gt;0,CHOOSE(MATCH(RegimeExecucao,{"Unitário","Global"},0),IF($A108="S",ROUND($H108,ORÇAMENTO!$AF$10),""),ROUND($I108,ORÇAMENTO!$AF$11)),"")</f>
        <v/>
      </c>
      <c r="Y108" s="340">
        <f ca="1">AO108-O108</f>
        <v>0</v>
      </c>
      <c r="Z108" s="474"/>
      <c r="AB108" s="338"/>
      <c r="AC108" s="438"/>
      <c r="AD108" s="438"/>
      <c r="AE108" s="438"/>
      <c r="AF108" s="438"/>
      <c r="AG108" s="438"/>
      <c r="AH108" s="438"/>
      <c r="AI108" s="438"/>
      <c r="AJ108" s="438"/>
      <c r="AK108" s="438"/>
      <c r="AL108" s="438"/>
      <c r="AM108" s="339"/>
      <c r="AO108" s="720">
        <f ca="1">IF($A108="S",IF(BM!$I108=0,0,CHOOSE(MATCH(RegimeExecucao,{"Global","Unitário"},0),ROUND(ROUND(BM.MEDAcumulado,15-13*BM!$A$9)/100*BM!$I108,15-13*ORÇAMENTO!$AF$11),ROUND(ROUND(BM.MEDAcumulado,15-13*BM!$A$9)*ROUND(BM!$H108,15-13*ORÇAMENTO!$AF$10),15-13*ORÇAMENTO!$AF$11))),IF($A108=0,0,ROUND(SomaAgrupBM,15-13*ORÇAMENTO!$AF$11)))</f>
        <v>0</v>
      </c>
    </row>
    <row r="109" spans="1:41" s="675" customFormat="1" x14ac:dyDescent="0.2">
      <c r="A109" s="675">
        <f ca="1">ORÇAMENTO!C109</f>
        <v>2</v>
      </c>
      <c r="B109" s="675">
        <f ca="1">ORÇAMENTO!D109</f>
        <v>1</v>
      </c>
      <c r="C109" s="115" t="str">
        <f t="shared" ca="1" si="8"/>
        <v>F</v>
      </c>
      <c r="D109" s="118" t="str">
        <f ca="1">ORÇAMENTO!O109</f>
        <v>1.13.</v>
      </c>
      <c r="E109" s="164" t="str">
        <f t="shared" si="9"/>
        <v>REDE EMISSÁRIO DE ESGOTO</v>
      </c>
      <c r="F109" s="165" t="str">
        <f ca="1">IF(RegimeExecucao="Global","",ORÇAMENTO.Unidade)</f>
        <v>-</v>
      </c>
      <c r="G109" s="123">
        <f ca="1">IF(RegimeExecucao="Global","",ORÇAMENTO!T109)</f>
        <v>0</v>
      </c>
      <c r="H109" s="123">
        <f ca="1">IF(RegimeExecucao="Global","",ORÇAMENTO!W109)</f>
        <v>0</v>
      </c>
      <c r="I109" s="126">
        <f ca="1">ORÇAMENTO!X109</f>
        <v>0</v>
      </c>
      <c r="J109" s="334" t="e" cm="1">
        <f t="array" aca="1" ref="J109" ca="1">_xlfn.SINGLE(IF($A109="S",IF(CAIXA.Modo,BM.AFAnterior,BM.MEDAnterior),IF(AND(_xlfn.SINGLE(RegimeExecucao)="Global",$I109&gt;0,COUNTIF($AB$13:$AM$13,BM.medicao-1)&gt;0),M109/$I109*100,0)))</f>
        <v>#NAME?</v>
      </c>
      <c r="K109" s="123" t="e">
        <f t="shared" ca="1" si="10"/>
        <v>#NAME?</v>
      </c>
      <c r="L109" s="335" t="e" cm="1">
        <f t="array" aca="1" ref="L109" ca="1">_xlfn.SINGLE(IF($A109="S",IF(CAIXA.Modo,BM.AFAcumulado,BM.MEDAcumulado),IF(AND(_xlfn.SINGLE(RegimeExecucao)="Global",$I109&gt;0,COUNTIF($AB$13:$AM$13,BM.medicao)&gt;0),O109/$I109*100,0)))</f>
        <v>#NAME?</v>
      </c>
      <c r="M109" s="336">
        <f ca="1">IF($A109="S",VTOTALBM,IF($A109=0,0,ROUND(SomaAgrupBM,15-13*ORÇAMENTO!$AF$11)))</f>
        <v>0</v>
      </c>
      <c r="N109" s="337">
        <f t="shared" ca="1" si="11"/>
        <v>0</v>
      </c>
      <c r="O109" s="126">
        <f ca="1">IF($A109="S",VTOTALBM,IF($A109=0,0,ROUND(SomaAgrupBM,15-13*ORÇAMENTO!$AF$11)))</f>
        <v>0</v>
      </c>
      <c r="Q109" s="338"/>
      <c r="R109" s="339"/>
      <c r="T109" s="118" t="str">
        <f t="shared" ca="1" si="12"/>
        <v/>
      </c>
      <c r="U109" s="164" t="str">
        <f t="shared" ca="1" si="13"/>
        <v/>
      </c>
      <c r="V109" s="165" t="str">
        <f ca="1">IF(AND($W109&gt;0,RegimeExecucao="Unitário"),$F109,"")</f>
        <v/>
      </c>
      <c r="W109" s="455">
        <f ca="1">IF($Y109&gt;0,CHOOSE(MATCH(RegimeExecucao,{"Unitário","Global"},0),IF($A109="S",$Y109/$X109,""),($Y109/$X109)*100),0)</f>
        <v>0</v>
      </c>
      <c r="X109" s="340" t="str">
        <f ca="1">IF($Y109&gt;0,CHOOSE(MATCH(RegimeExecucao,{"Unitário","Global"},0),IF($A109="S",ROUND($H109,ORÇAMENTO!$AF$10),""),ROUND($I109,ORÇAMENTO!$AF$11)),"")</f>
        <v/>
      </c>
      <c r="Y109" s="340">
        <f t="shared" ca="1" si="14"/>
        <v>0</v>
      </c>
      <c r="Z109" s="474"/>
      <c r="AB109" s="338"/>
      <c r="AC109" s="438"/>
      <c r="AD109" s="438"/>
      <c r="AE109" s="438"/>
      <c r="AF109" s="438"/>
      <c r="AG109" s="438"/>
      <c r="AH109" s="438"/>
      <c r="AI109" s="438"/>
      <c r="AJ109" s="438"/>
      <c r="AK109" s="438"/>
      <c r="AL109" s="438"/>
      <c r="AM109" s="339"/>
      <c r="AO109" s="675">
        <f ca="1">IF($A109="S",IF(BM!$I109=0,0,CHOOSE(MATCH(RegimeExecucao,{"Global","Unitário"},0),ROUND(ROUND(BM.MEDAcumulado,15-13*BM!$A$9)/100*BM!$I109,15-13*ORÇAMENTO!$AF$11),ROUND(ROUND(BM.MEDAcumulado,15-13*BM!$A$9)*ROUND(BM!$H109,15-13*ORÇAMENTO!$AF$10),15-13*ORÇAMENTO!$AF$11))),IF($A109=0,0,ROUND(SomaAgrupBM,15-13*ORÇAMENTO!$AF$11)))</f>
        <v>0</v>
      </c>
    </row>
    <row r="110" spans="1:41" s="675" customFormat="1" x14ac:dyDescent="0.2">
      <c r="A110" s="675">
        <f ca="1">ORÇAMENTO!C110</f>
        <v>2</v>
      </c>
      <c r="B110" s="675">
        <f ca="1">ORÇAMENTO!D110</f>
        <v>12</v>
      </c>
      <c r="C110" s="115" t="str">
        <f t="shared" ca="1" si="8"/>
        <v>F</v>
      </c>
      <c r="D110" s="118" t="str">
        <f ca="1">ORÇAMENTO!O110</f>
        <v>1.14.</v>
      </c>
      <c r="E110" s="164" t="str">
        <f t="shared" si="9"/>
        <v>MOVIMENTO DE TERRA</v>
      </c>
      <c r="F110" s="165" t="str">
        <f ca="1">IF(RegimeExecucao="Global","",ORÇAMENTO.Unidade)</f>
        <v>-</v>
      </c>
      <c r="G110" s="123">
        <f ca="1">IF(RegimeExecucao="Global","",ORÇAMENTO!T110)</f>
        <v>0</v>
      </c>
      <c r="H110" s="123">
        <f ca="1">IF(RegimeExecucao="Global","",ORÇAMENTO!W110)</f>
        <v>0</v>
      </c>
      <c r="I110" s="126">
        <f ca="1">ORÇAMENTO!X110</f>
        <v>0</v>
      </c>
      <c r="J110" s="334" t="e" cm="1">
        <f t="array" aca="1" ref="J110" ca="1">_xlfn.SINGLE(IF($A110="S",IF(CAIXA.Modo,BM.AFAnterior,BM.MEDAnterior),IF(AND(_xlfn.SINGLE(RegimeExecucao)="Global",$I110&gt;0,COUNTIF($AB$13:$AM$13,BM.medicao-1)&gt;0),M110/$I110*100,0)))</f>
        <v>#NAME?</v>
      </c>
      <c r="K110" s="123" t="e">
        <f t="shared" ca="1" si="10"/>
        <v>#NAME?</v>
      </c>
      <c r="L110" s="335" t="e" cm="1">
        <f t="array" aca="1" ref="L110" ca="1">_xlfn.SINGLE(IF($A110="S",IF(CAIXA.Modo,BM.AFAcumulado,BM.MEDAcumulado),IF(AND(_xlfn.SINGLE(RegimeExecucao)="Global",$I110&gt;0,COUNTIF($AB$13:$AM$13,BM.medicao)&gt;0),O110/$I110*100,0)))</f>
        <v>#NAME?</v>
      </c>
      <c r="M110" s="336">
        <f ca="1">IF($A110="S",VTOTALBM,IF($A110=0,0,ROUND(SomaAgrupBM,15-13*ORÇAMENTO!$AF$11)))</f>
        <v>0</v>
      </c>
      <c r="N110" s="337">
        <f t="shared" ca="1" si="11"/>
        <v>0</v>
      </c>
      <c r="O110" s="126">
        <f ca="1">IF($A110="S",VTOTALBM,IF($A110=0,0,ROUND(SomaAgrupBM,15-13*ORÇAMENTO!$AF$11)))</f>
        <v>0</v>
      </c>
      <c r="Q110" s="338"/>
      <c r="R110" s="339"/>
      <c r="T110" s="118" t="str">
        <f t="shared" ca="1" si="12"/>
        <v/>
      </c>
      <c r="U110" s="164" t="str">
        <f t="shared" ca="1" si="13"/>
        <v/>
      </c>
      <c r="V110" s="165" t="str">
        <f ca="1">IF(AND($W110&gt;0,RegimeExecucao="Unitário"),$F110,"")</f>
        <v/>
      </c>
      <c r="W110" s="455">
        <f ca="1">IF($Y110&gt;0,CHOOSE(MATCH(RegimeExecucao,{"Unitário","Global"},0),IF($A110="S",$Y110/$X110,""),($Y110/$X110)*100),0)</f>
        <v>0</v>
      </c>
      <c r="X110" s="340" t="str">
        <f ca="1">IF($Y110&gt;0,CHOOSE(MATCH(RegimeExecucao,{"Unitário","Global"},0),IF($A110="S",ROUND($H110,ORÇAMENTO!$AF$10),""),ROUND($I110,ORÇAMENTO!$AF$11)),"")</f>
        <v/>
      </c>
      <c r="Y110" s="340">
        <f t="shared" ca="1" si="14"/>
        <v>0</v>
      </c>
      <c r="Z110" s="474"/>
      <c r="AB110" s="338"/>
      <c r="AC110" s="438"/>
      <c r="AD110" s="438"/>
      <c r="AE110" s="438"/>
      <c r="AF110" s="438"/>
      <c r="AG110" s="438"/>
      <c r="AH110" s="438"/>
      <c r="AI110" s="438"/>
      <c r="AJ110" s="438"/>
      <c r="AK110" s="438"/>
      <c r="AL110" s="438"/>
      <c r="AM110" s="339"/>
      <c r="AO110" s="675">
        <f ca="1">IF($A110="S",IF(BM!$I110=0,0,CHOOSE(MATCH(RegimeExecucao,{"Global","Unitário"},0),ROUND(ROUND(BM.MEDAcumulado,15-13*BM!$A$9)/100*BM!$I110,15-13*ORÇAMENTO!$AF$11),ROUND(ROUND(BM.MEDAcumulado,15-13*BM!$A$9)*ROUND(BM!$H110,15-13*ORÇAMENTO!$AF$10),15-13*ORÇAMENTO!$AF$11))),IF($A110=0,0,ROUND(SomaAgrupBM,15-13*ORÇAMENTO!$AF$11)))</f>
        <v>0</v>
      </c>
    </row>
    <row r="111" spans="1:41" s="720" customFormat="1" ht="38.25" x14ac:dyDescent="0.2">
      <c r="A111" s="720" t="str">
        <f ca="1">ORÇAMENTO!C111</f>
        <v>S</v>
      </c>
      <c r="B111" s="720">
        <f ca="1">ORÇAMENTO!D111</f>
        <v>0</v>
      </c>
      <c r="C111" s="115" t="str">
        <f t="shared" ca="1" si="8"/>
        <v/>
      </c>
      <c r="D111" s="118" t="str">
        <f ca="1">ORÇAMENTO!O111</f>
        <v>-</v>
      </c>
      <c r="E111" s="164" t="str">
        <f t="shared" ca="1" si="9"/>
        <v>(abra o arquivo 'Referência 09-2025.xlsm)</v>
      </c>
      <c r="F111" s="165" t="str">
        <f ca="1">IF(RegimeExecucao="Global","",ORÇAMENTO.Unidade)</f>
        <v>-</v>
      </c>
      <c r="G111" s="123">
        <f ca="1">IF(RegimeExecucao="Global","",ORÇAMENTO!T111)</f>
        <v>2</v>
      </c>
      <c r="H111" s="123">
        <f ca="1">IF(RegimeExecucao="Global","",ORÇAMENTO!W111)</f>
        <v>0</v>
      </c>
      <c r="I111" s="126">
        <f ca="1">ORÇAMENTO!X111</f>
        <v>0</v>
      </c>
      <c r="J111" s="334" t="e" cm="1">
        <f t="array" aca="1" ref="J111" ca="1">_xlfn.SINGLE(IF($A111="S",IF(CAIXA.Modo,BM.AFAnterior,BM.MEDAnterior),IF(AND(_xlfn.SINGLE(RegimeExecucao)="Global",$I111&gt;0,COUNTIF($AB$13:$AM$13,BM.medicao-1)&gt;0),M111/$I111*100,0)))</f>
        <v>#NAME?</v>
      </c>
      <c r="K111" s="123" t="e">
        <f t="shared" ca="1" si="10"/>
        <v>#NAME?</v>
      </c>
      <c r="L111" s="335" t="e" cm="1">
        <f t="array" aca="1" ref="L111" ca="1">_xlfn.SINGLE(IF($A111="S",IF(CAIXA.Modo,BM.AFAcumulado,BM.MEDAcumulado),IF(AND(_xlfn.SINGLE(RegimeExecucao)="Global",$I111&gt;0,COUNTIF($AB$13:$AM$13,BM.medicao)&gt;0),O111/$I111*100,0)))</f>
        <v>#NAME?</v>
      </c>
      <c r="M111" s="336">
        <f ca="1">IF($A111="S",VTOTALBM,IF($A111=0,0,ROUND(SomaAgrupBM,15-13*ORÇAMENTO!$AF$11)))</f>
        <v>0</v>
      </c>
      <c r="N111" s="337">
        <f t="shared" ca="1" si="11"/>
        <v>0</v>
      </c>
      <c r="O111" s="126">
        <f ca="1">IF($A111="S",VTOTALBM,IF($A111=0,0,ROUND(SomaAgrupBM,15-13*ORÇAMENTO!$AF$11)))</f>
        <v>0</v>
      </c>
      <c r="Q111" s="338"/>
      <c r="R111" s="339"/>
      <c r="T111" s="118" t="str">
        <f t="shared" ca="1" si="12"/>
        <v/>
      </c>
      <c r="U111" s="164" t="str">
        <f t="shared" ca="1" si="13"/>
        <v/>
      </c>
      <c r="V111" s="165" t="str">
        <f ca="1">IF(AND($W111&gt;0,RegimeExecucao="Unitário"),$F111,"")</f>
        <v/>
      </c>
      <c r="W111" s="455">
        <f ca="1">IF($Y111&gt;0,CHOOSE(MATCH(RegimeExecucao,{"Unitário","Global"},0),IF($A111="S",$Y111/$X111,""),($Y111/$X111)*100),0)</f>
        <v>0</v>
      </c>
      <c r="X111" s="340" t="str">
        <f ca="1">IF($Y111&gt;0,CHOOSE(MATCH(RegimeExecucao,{"Unitário","Global"},0),IF($A111="S",ROUND($H111,ORÇAMENTO!$AF$10),""),ROUND($I111,ORÇAMENTO!$AF$11)),"")</f>
        <v/>
      </c>
      <c r="Y111" s="340">
        <f t="shared" ca="1" si="14"/>
        <v>0</v>
      </c>
      <c r="Z111" s="474"/>
      <c r="AB111" s="338"/>
      <c r="AC111" s="438"/>
      <c r="AD111" s="438"/>
      <c r="AE111" s="438"/>
      <c r="AF111" s="438"/>
      <c r="AG111" s="438"/>
      <c r="AH111" s="438"/>
      <c r="AI111" s="438"/>
      <c r="AJ111" s="438"/>
      <c r="AK111" s="438"/>
      <c r="AL111" s="438"/>
      <c r="AM111" s="339"/>
      <c r="AO111" s="720">
        <f ca="1">IF($A111="S",IF(BM!$I111=0,0,CHOOSE(MATCH(RegimeExecucao,{"Global","Unitário"},0),ROUND(ROUND(BM.MEDAcumulado,15-13*BM!$A$9)/100*BM!$I111,15-13*ORÇAMENTO!$AF$11),ROUND(ROUND(BM.MEDAcumulado,15-13*BM!$A$9)*ROUND(BM!$H111,15-13*ORÇAMENTO!$AF$10),15-13*ORÇAMENTO!$AF$11))),IF($A111=0,0,ROUND(SomaAgrupBM,15-13*ORÇAMENTO!$AF$11)))</f>
        <v>0</v>
      </c>
    </row>
    <row r="112" spans="1:41" s="720" customFormat="1" ht="38.25" x14ac:dyDescent="0.2">
      <c r="A112" s="720" t="str">
        <f ca="1">ORÇAMENTO!C112</f>
        <v>S</v>
      </c>
      <c r="B112" s="720">
        <f ca="1">ORÇAMENTO!D112</f>
        <v>0</v>
      </c>
      <c r="C112" s="115" t="str">
        <f t="shared" ca="1" si="8"/>
        <v/>
      </c>
      <c r="D112" s="118" t="str">
        <f ca="1">ORÇAMENTO!O112</f>
        <v>-</v>
      </c>
      <c r="E112" s="164" t="str">
        <f t="shared" ca="1" si="9"/>
        <v>(abra o arquivo 'Referência 09-2025.xlsm)</v>
      </c>
      <c r="F112" s="165" t="str">
        <f ca="1">IF(RegimeExecucao="Global","",ORÇAMENTO.Unidade)</f>
        <v>-</v>
      </c>
      <c r="G112" s="123">
        <f ca="1">IF(RegimeExecucao="Global","",ORÇAMENTO!T112)</f>
        <v>70</v>
      </c>
      <c r="H112" s="123">
        <f ca="1">IF(RegimeExecucao="Global","",ORÇAMENTO!W112)</f>
        <v>0</v>
      </c>
      <c r="I112" s="126">
        <f ca="1">ORÇAMENTO!X112</f>
        <v>0</v>
      </c>
      <c r="J112" s="334" t="e" cm="1">
        <f t="array" aca="1" ref="J112" ca="1">_xlfn.SINGLE(IF($A112="S",IF(CAIXA.Modo,BM.AFAnterior,BM.MEDAnterior),IF(AND(_xlfn.SINGLE(RegimeExecucao)="Global",$I112&gt;0,COUNTIF($AB$13:$AM$13,BM.medicao-1)&gt;0),M112/$I112*100,0)))</f>
        <v>#NAME?</v>
      </c>
      <c r="K112" s="123" t="e">
        <f t="shared" ca="1" si="10"/>
        <v>#NAME?</v>
      </c>
      <c r="L112" s="335" t="e" cm="1">
        <f t="array" aca="1" ref="L112" ca="1">_xlfn.SINGLE(IF($A112="S",IF(CAIXA.Modo,BM.AFAcumulado,BM.MEDAcumulado),IF(AND(_xlfn.SINGLE(RegimeExecucao)="Global",$I112&gt;0,COUNTIF($AB$13:$AM$13,BM.medicao)&gt;0),O112/$I112*100,0)))</f>
        <v>#NAME?</v>
      </c>
      <c r="M112" s="336">
        <f ca="1">IF($A112="S",VTOTALBM,IF($A112=0,0,ROUND(SomaAgrupBM,15-13*ORÇAMENTO!$AF$11)))</f>
        <v>0</v>
      </c>
      <c r="N112" s="337">
        <f t="shared" ca="1" si="11"/>
        <v>0</v>
      </c>
      <c r="O112" s="126">
        <f ca="1">IF($A112="S",VTOTALBM,IF($A112=0,0,ROUND(SomaAgrupBM,15-13*ORÇAMENTO!$AF$11)))</f>
        <v>0</v>
      </c>
      <c r="Q112" s="338"/>
      <c r="R112" s="339"/>
      <c r="T112" s="118" t="str">
        <f t="shared" ca="1" si="12"/>
        <v/>
      </c>
      <c r="U112" s="164" t="str">
        <f t="shared" ca="1" si="13"/>
        <v/>
      </c>
      <c r="V112" s="165" t="str">
        <f ca="1">IF(AND($W112&gt;0,RegimeExecucao="Unitário"),$F112,"")</f>
        <v/>
      </c>
      <c r="W112" s="455">
        <f ca="1">IF($Y112&gt;0,CHOOSE(MATCH(RegimeExecucao,{"Unitário","Global"},0),IF($A112="S",$Y112/$X112,""),($Y112/$X112)*100),0)</f>
        <v>0</v>
      </c>
      <c r="X112" s="340" t="str">
        <f ca="1">IF($Y112&gt;0,CHOOSE(MATCH(RegimeExecucao,{"Unitário","Global"},0),IF($A112="S",ROUND($H112,ORÇAMENTO!$AF$10),""),ROUND($I112,ORÇAMENTO!$AF$11)),"")</f>
        <v/>
      </c>
      <c r="Y112" s="340">
        <f t="shared" ca="1" si="14"/>
        <v>0</v>
      </c>
      <c r="Z112" s="474"/>
      <c r="AB112" s="338"/>
      <c r="AC112" s="438"/>
      <c r="AD112" s="438"/>
      <c r="AE112" s="438"/>
      <c r="AF112" s="438"/>
      <c r="AG112" s="438"/>
      <c r="AH112" s="438"/>
      <c r="AI112" s="438"/>
      <c r="AJ112" s="438"/>
      <c r="AK112" s="438"/>
      <c r="AL112" s="438"/>
      <c r="AM112" s="339"/>
      <c r="AO112" s="720">
        <f ca="1">IF($A112="S",IF(BM!$I112=0,0,CHOOSE(MATCH(RegimeExecucao,{"Global","Unitário"},0),ROUND(ROUND(BM.MEDAcumulado,15-13*BM!$A$9)/100*BM!$I112,15-13*ORÇAMENTO!$AF$11),ROUND(ROUND(BM.MEDAcumulado,15-13*BM!$A$9)*ROUND(BM!$H112,15-13*ORÇAMENTO!$AF$10),15-13*ORÇAMENTO!$AF$11))),IF($A112=0,0,ROUND(SomaAgrupBM,15-13*ORÇAMENTO!$AF$11)))</f>
        <v>0</v>
      </c>
    </row>
    <row r="113" spans="1:41" s="675" customFormat="1" ht="25.5" x14ac:dyDescent="0.2">
      <c r="A113" s="675" t="str">
        <f ca="1">ORÇAMENTO!C113</f>
        <v>S</v>
      </c>
      <c r="B113" s="675">
        <f ca="1">ORÇAMENTO!D113</f>
        <v>0</v>
      </c>
      <c r="C113" s="115" t="str">
        <f t="shared" ca="1" si="8"/>
        <v/>
      </c>
      <c r="D113" s="118" t="str">
        <f ca="1">ORÇAMENTO!O113</f>
        <v>-</v>
      </c>
      <c r="E113" s="164" t="str">
        <f t="shared" ca="1" si="9"/>
        <v>(abra o arquivo 'Referência 09-2025.xlsm)</v>
      </c>
      <c r="F113" s="165" t="str">
        <f ca="1">IF(RegimeExecucao="Global","",ORÇAMENTO.Unidade)</f>
        <v>-</v>
      </c>
      <c r="G113" s="123">
        <f ca="1">IF(RegimeExecucao="Global","",ORÇAMENTO!T113)</f>
        <v>2116.46</v>
      </c>
      <c r="H113" s="123">
        <f ca="1">IF(RegimeExecucao="Global","",ORÇAMENTO!W113)</f>
        <v>0</v>
      </c>
      <c r="I113" s="126">
        <f ca="1">ORÇAMENTO!X113</f>
        <v>0</v>
      </c>
      <c r="J113" s="334" t="e" cm="1">
        <f t="array" aca="1" ref="J113" ca="1">_xlfn.SINGLE(IF($A113="S",IF(CAIXA.Modo,BM.AFAnterior,BM.MEDAnterior),IF(AND(_xlfn.SINGLE(RegimeExecucao)="Global",$I113&gt;0,COUNTIF($AB$13:$AM$13,BM.medicao-1)&gt;0),M113/$I113*100,0)))</f>
        <v>#NAME?</v>
      </c>
      <c r="K113" s="123" t="e">
        <f t="shared" ca="1" si="10"/>
        <v>#NAME?</v>
      </c>
      <c r="L113" s="335" t="e" cm="1">
        <f t="array" aca="1" ref="L113" ca="1">_xlfn.SINGLE(IF($A113="S",IF(CAIXA.Modo,BM.AFAcumulado,BM.MEDAcumulado),IF(AND(_xlfn.SINGLE(RegimeExecucao)="Global",$I113&gt;0,COUNTIF($AB$13:$AM$13,BM.medicao)&gt;0),O113/$I113*100,0)))</f>
        <v>#NAME?</v>
      </c>
      <c r="M113" s="336">
        <f ca="1">IF($A113="S",VTOTALBM,IF($A113=0,0,ROUND(SomaAgrupBM,15-13*ORÇAMENTO!$AF$11)))</f>
        <v>0</v>
      </c>
      <c r="N113" s="337">
        <f t="shared" ca="1" si="11"/>
        <v>0</v>
      </c>
      <c r="O113" s="126">
        <f ca="1">IF($A113="S",VTOTALBM,IF($A113=0,0,ROUND(SomaAgrupBM,15-13*ORÇAMENTO!$AF$11)))</f>
        <v>0</v>
      </c>
      <c r="Q113" s="338"/>
      <c r="R113" s="339"/>
      <c r="T113" s="118" t="str">
        <f t="shared" ca="1" si="12"/>
        <v/>
      </c>
      <c r="U113" s="164" t="str">
        <f t="shared" ca="1" si="13"/>
        <v/>
      </c>
      <c r="V113" s="165" t="str">
        <f ca="1">IF(AND($W113&gt;0,RegimeExecucao="Unitário"),$F113,"")</f>
        <v/>
      </c>
      <c r="W113" s="455">
        <f ca="1">IF($Y113&gt;0,CHOOSE(MATCH(RegimeExecucao,{"Unitário","Global"},0),IF($A113="S",$Y113/$X113,""),($Y113/$X113)*100),0)</f>
        <v>0</v>
      </c>
      <c r="X113" s="340" t="str">
        <f ca="1">IF($Y113&gt;0,CHOOSE(MATCH(RegimeExecucao,{"Unitário","Global"},0),IF($A113="S",ROUND($H113,ORÇAMENTO!$AF$10),""),ROUND($I113,ORÇAMENTO!$AF$11)),"")</f>
        <v/>
      </c>
      <c r="Y113" s="340">
        <f t="shared" ca="1" si="14"/>
        <v>0</v>
      </c>
      <c r="Z113" s="474"/>
      <c r="AB113" s="338"/>
      <c r="AC113" s="438"/>
      <c r="AD113" s="438"/>
      <c r="AE113" s="438"/>
      <c r="AF113" s="438"/>
      <c r="AG113" s="438"/>
      <c r="AH113" s="438"/>
      <c r="AI113" s="438"/>
      <c r="AJ113" s="438"/>
      <c r="AK113" s="438"/>
      <c r="AL113" s="438"/>
      <c r="AM113" s="339"/>
      <c r="AO113" s="675">
        <f ca="1">IF($A113="S",IF(BM!$I113=0,0,CHOOSE(MATCH(RegimeExecucao,{"Global","Unitário"},0),ROUND(ROUND(BM.MEDAcumulado,15-13*BM!$A$9)/100*BM!$I113,15-13*ORÇAMENTO!$AF$11),ROUND(ROUND(BM.MEDAcumulado,15-13*BM!$A$9)*ROUND(BM!$H113,15-13*ORÇAMENTO!$AF$10),15-13*ORÇAMENTO!$AF$11))),IF($A113=0,0,ROUND(SomaAgrupBM,15-13*ORÇAMENTO!$AF$11)))</f>
        <v>0</v>
      </c>
    </row>
    <row r="114" spans="1:41" s="675" customFormat="1" ht="25.5" x14ac:dyDescent="0.2">
      <c r="A114" s="675" t="str">
        <f ca="1">ORÇAMENTO!C114</f>
        <v>S</v>
      </c>
      <c r="B114" s="675">
        <f ca="1">ORÇAMENTO!D114</f>
        <v>0</v>
      </c>
      <c r="C114" s="115" t="str">
        <f t="shared" ca="1" si="8"/>
        <v/>
      </c>
      <c r="D114" s="118" t="str">
        <f ca="1">ORÇAMENTO!O114</f>
        <v>-</v>
      </c>
      <c r="E114" s="164" t="str">
        <f t="shared" ca="1" si="9"/>
        <v>(abra o arquivo 'Referência 09-2025.xlsm)</v>
      </c>
      <c r="F114" s="165" t="str">
        <f ca="1">IF(RegimeExecucao="Global","",ORÇAMENTO.Unidade)</f>
        <v>-</v>
      </c>
      <c r="G114" s="123">
        <f ca="1">IF(RegimeExecucao="Global","",ORÇAMENTO!T114)</f>
        <v>3511.35</v>
      </c>
      <c r="H114" s="123">
        <f ca="1">IF(RegimeExecucao="Global","",ORÇAMENTO!W114)</f>
        <v>0</v>
      </c>
      <c r="I114" s="126">
        <f ca="1">ORÇAMENTO!X114</f>
        <v>0</v>
      </c>
      <c r="J114" s="334" t="e" cm="1">
        <f t="array" aca="1" ref="J114" ca="1">_xlfn.SINGLE(IF($A114="S",IF(CAIXA.Modo,BM.AFAnterior,BM.MEDAnterior),IF(AND(_xlfn.SINGLE(RegimeExecucao)="Global",$I114&gt;0,COUNTIF($AB$13:$AM$13,BM.medicao-1)&gt;0),M114/$I114*100,0)))</f>
        <v>#NAME?</v>
      </c>
      <c r="K114" s="123" t="e">
        <f t="shared" ca="1" si="10"/>
        <v>#NAME?</v>
      </c>
      <c r="L114" s="335" t="e" cm="1">
        <f t="array" aca="1" ref="L114" ca="1">_xlfn.SINGLE(IF($A114="S",IF(CAIXA.Modo,BM.AFAcumulado,BM.MEDAcumulado),IF(AND(_xlfn.SINGLE(RegimeExecucao)="Global",$I114&gt;0,COUNTIF($AB$13:$AM$13,BM.medicao)&gt;0),O114/$I114*100,0)))</f>
        <v>#NAME?</v>
      </c>
      <c r="M114" s="336">
        <f ca="1">IF($A114="S",VTOTALBM,IF($A114=0,0,ROUND(SomaAgrupBM,15-13*ORÇAMENTO!$AF$11)))</f>
        <v>0</v>
      </c>
      <c r="N114" s="337">
        <f t="shared" ca="1" si="11"/>
        <v>0</v>
      </c>
      <c r="O114" s="126">
        <f ca="1">IF($A114="S",VTOTALBM,IF($A114=0,0,ROUND(SomaAgrupBM,15-13*ORÇAMENTO!$AF$11)))</f>
        <v>0</v>
      </c>
      <c r="Q114" s="338"/>
      <c r="R114" s="339"/>
      <c r="T114" s="118" t="str">
        <f t="shared" ca="1" si="12"/>
        <v/>
      </c>
      <c r="U114" s="164" t="str">
        <f t="shared" ca="1" si="13"/>
        <v/>
      </c>
      <c r="V114" s="165" t="str">
        <f ca="1">IF(AND($W114&gt;0,RegimeExecucao="Unitário"),$F114,"")</f>
        <v/>
      </c>
      <c r="W114" s="455">
        <f ca="1">IF($Y114&gt;0,CHOOSE(MATCH(RegimeExecucao,{"Unitário","Global"},0),IF($A114="S",$Y114/$X114,""),($Y114/$X114)*100),0)</f>
        <v>0</v>
      </c>
      <c r="X114" s="340" t="str">
        <f ca="1">IF($Y114&gt;0,CHOOSE(MATCH(RegimeExecucao,{"Unitário","Global"},0),IF($A114="S",ROUND($H114,ORÇAMENTO!$AF$10),""),ROUND($I114,ORÇAMENTO!$AF$11)),"")</f>
        <v/>
      </c>
      <c r="Y114" s="340">
        <f t="shared" ca="1" si="14"/>
        <v>0</v>
      </c>
      <c r="Z114" s="474"/>
      <c r="AB114" s="338"/>
      <c r="AC114" s="438"/>
      <c r="AD114" s="438"/>
      <c r="AE114" s="438"/>
      <c r="AF114" s="438"/>
      <c r="AG114" s="438"/>
      <c r="AH114" s="438"/>
      <c r="AI114" s="438"/>
      <c r="AJ114" s="438"/>
      <c r="AK114" s="438"/>
      <c r="AL114" s="438"/>
      <c r="AM114" s="339"/>
      <c r="AO114" s="675">
        <f ca="1">IF($A114="S",IF(BM!$I114=0,0,CHOOSE(MATCH(RegimeExecucao,{"Global","Unitário"},0),ROUND(ROUND(BM.MEDAcumulado,15-13*BM!$A$9)/100*BM!$I114,15-13*ORÇAMENTO!$AF$11),ROUND(ROUND(BM.MEDAcumulado,15-13*BM!$A$9)*ROUND(BM!$H114,15-13*ORÇAMENTO!$AF$10),15-13*ORÇAMENTO!$AF$11))),IF($A114=0,0,ROUND(SomaAgrupBM,15-13*ORÇAMENTO!$AF$11)))</f>
        <v>0</v>
      </c>
    </row>
    <row r="115" spans="1:41" s="675" customFormat="1" ht="25.5" x14ac:dyDescent="0.2">
      <c r="A115" s="675" t="str">
        <f ca="1">ORÇAMENTO!C115</f>
        <v>S</v>
      </c>
      <c r="B115" s="675">
        <f ca="1">ORÇAMENTO!D115</f>
        <v>0</v>
      </c>
      <c r="C115" s="115" t="str">
        <f t="shared" ca="1" si="8"/>
        <v/>
      </c>
      <c r="D115" s="118" t="str">
        <f ca="1">ORÇAMENTO!O115</f>
        <v>-</v>
      </c>
      <c r="E115" s="164" t="str">
        <f t="shared" ca="1" si="9"/>
        <v>(abra o arquivo 'Referência 09-2025.xlsm)</v>
      </c>
      <c r="F115" s="165" t="str">
        <f ca="1">IF(RegimeExecucao="Global","",ORÇAMENTO.Unidade)</f>
        <v>-</v>
      </c>
      <c r="G115" s="123">
        <f ca="1">IF(RegimeExecucao="Global","",ORÇAMENTO!T115)</f>
        <v>2126.5300000000002</v>
      </c>
      <c r="H115" s="123">
        <f ca="1">IF(RegimeExecucao="Global","",ORÇAMENTO!W115)</f>
        <v>0</v>
      </c>
      <c r="I115" s="126">
        <f ca="1">ORÇAMENTO!X115</f>
        <v>0</v>
      </c>
      <c r="J115" s="334" t="e" cm="1">
        <f t="array" aca="1" ref="J115" ca="1">_xlfn.SINGLE(IF($A115="S",IF(CAIXA.Modo,BM.AFAnterior,BM.MEDAnterior),IF(AND(_xlfn.SINGLE(RegimeExecucao)="Global",$I115&gt;0,COUNTIF($AB$13:$AM$13,BM.medicao-1)&gt;0),M115/$I115*100,0)))</f>
        <v>#NAME?</v>
      </c>
      <c r="K115" s="123" t="e">
        <f t="shared" ca="1" si="10"/>
        <v>#NAME?</v>
      </c>
      <c r="L115" s="335" t="e" cm="1">
        <f t="array" aca="1" ref="L115" ca="1">_xlfn.SINGLE(IF($A115="S",IF(CAIXA.Modo,BM.AFAcumulado,BM.MEDAcumulado),IF(AND(_xlfn.SINGLE(RegimeExecucao)="Global",$I115&gt;0,COUNTIF($AB$13:$AM$13,BM.medicao)&gt;0),O115/$I115*100,0)))</f>
        <v>#NAME?</v>
      </c>
      <c r="M115" s="336">
        <f ca="1">IF($A115="S",VTOTALBM,IF($A115=0,0,ROUND(SomaAgrupBM,15-13*ORÇAMENTO!$AF$11)))</f>
        <v>0</v>
      </c>
      <c r="N115" s="337">
        <f t="shared" ca="1" si="11"/>
        <v>0</v>
      </c>
      <c r="O115" s="126">
        <f ca="1">IF($A115="S",VTOTALBM,IF($A115=0,0,ROUND(SomaAgrupBM,15-13*ORÇAMENTO!$AF$11)))</f>
        <v>0</v>
      </c>
      <c r="Q115" s="338"/>
      <c r="R115" s="339"/>
      <c r="T115" s="118" t="str">
        <f t="shared" ca="1" si="12"/>
        <v/>
      </c>
      <c r="U115" s="164" t="str">
        <f t="shared" ca="1" si="13"/>
        <v/>
      </c>
      <c r="V115" s="165" t="str">
        <f ca="1">IF(AND($W115&gt;0,RegimeExecucao="Unitário"),$F115,"")</f>
        <v/>
      </c>
      <c r="W115" s="455">
        <f ca="1">IF($Y115&gt;0,CHOOSE(MATCH(RegimeExecucao,{"Unitário","Global"},0),IF($A115="S",$Y115/$X115,""),($Y115/$X115)*100),0)</f>
        <v>0</v>
      </c>
      <c r="X115" s="340" t="str">
        <f ca="1">IF($Y115&gt;0,CHOOSE(MATCH(RegimeExecucao,{"Unitário","Global"},0),IF($A115="S",ROUND($H115,ORÇAMENTO!$AF$10),""),ROUND($I115,ORÇAMENTO!$AF$11)),"")</f>
        <v/>
      </c>
      <c r="Y115" s="340">
        <f t="shared" ca="1" si="14"/>
        <v>0</v>
      </c>
      <c r="Z115" s="474"/>
      <c r="AB115" s="338"/>
      <c r="AC115" s="438"/>
      <c r="AD115" s="438"/>
      <c r="AE115" s="438"/>
      <c r="AF115" s="438"/>
      <c r="AG115" s="438"/>
      <c r="AH115" s="438"/>
      <c r="AI115" s="438"/>
      <c r="AJ115" s="438"/>
      <c r="AK115" s="438"/>
      <c r="AL115" s="438"/>
      <c r="AM115" s="339"/>
      <c r="AO115" s="675">
        <f ca="1">IF($A115="S",IF(BM!$I115=0,0,CHOOSE(MATCH(RegimeExecucao,{"Global","Unitário"},0),ROUND(ROUND(BM.MEDAcumulado,15-13*BM!$A$9)/100*BM!$I115,15-13*ORÇAMENTO!$AF$11),ROUND(ROUND(BM.MEDAcumulado,15-13*BM!$A$9)*ROUND(BM!$H115,15-13*ORÇAMENTO!$AF$10),15-13*ORÇAMENTO!$AF$11))),IF($A115=0,0,ROUND(SomaAgrupBM,15-13*ORÇAMENTO!$AF$11)))</f>
        <v>0</v>
      </c>
    </row>
    <row r="116" spans="1:41" s="675" customFormat="1" x14ac:dyDescent="0.2">
      <c r="A116" s="675" t="str">
        <f ca="1">ORÇAMENTO!C116</f>
        <v>S</v>
      </c>
      <c r="B116" s="675">
        <f ca="1">ORÇAMENTO!D116</f>
        <v>0</v>
      </c>
      <c r="C116" s="115" t="str">
        <f t="shared" ca="1" si="8"/>
        <v/>
      </c>
      <c r="D116" s="118" t="str">
        <f ca="1">ORÇAMENTO!O116</f>
        <v>-</v>
      </c>
      <c r="E116" s="164" t="str">
        <f t="shared" ca="1" si="9"/>
        <v>(abra o arquivo 'Referência 09-2025.xlsm)</v>
      </c>
      <c r="F116" s="165" t="str">
        <f ca="1">IF(RegimeExecucao="Global","",ORÇAMENTO.Unidade)</f>
        <v>-</v>
      </c>
      <c r="G116" s="123">
        <f ca="1">IF(RegimeExecucao="Global","",ORÇAMENTO!T116)</f>
        <v>1</v>
      </c>
      <c r="H116" s="123">
        <f ca="1">IF(RegimeExecucao="Global","",ORÇAMENTO!W116)</f>
        <v>0</v>
      </c>
      <c r="I116" s="126">
        <f ca="1">ORÇAMENTO!X116</f>
        <v>0</v>
      </c>
      <c r="J116" s="334" t="e" cm="1">
        <f t="array" aca="1" ref="J116" ca="1">_xlfn.SINGLE(IF($A116="S",IF(CAIXA.Modo,BM.AFAnterior,BM.MEDAnterior),IF(AND(_xlfn.SINGLE(RegimeExecucao)="Global",$I116&gt;0,COUNTIF($AB$13:$AM$13,BM.medicao-1)&gt;0),M116/$I116*100,0)))</f>
        <v>#NAME?</v>
      </c>
      <c r="K116" s="123" t="e">
        <f t="shared" ca="1" si="10"/>
        <v>#NAME?</v>
      </c>
      <c r="L116" s="335" t="e" cm="1">
        <f t="array" aca="1" ref="L116" ca="1">_xlfn.SINGLE(IF($A116="S",IF(CAIXA.Modo,BM.AFAcumulado,BM.MEDAcumulado),IF(AND(_xlfn.SINGLE(RegimeExecucao)="Global",$I116&gt;0,COUNTIF($AB$13:$AM$13,BM.medicao)&gt;0),O116/$I116*100,0)))</f>
        <v>#NAME?</v>
      </c>
      <c r="M116" s="336">
        <f ca="1">IF($A116="S",VTOTALBM,IF($A116=0,0,ROUND(SomaAgrupBM,15-13*ORÇAMENTO!$AF$11)))</f>
        <v>0</v>
      </c>
      <c r="N116" s="337">
        <f t="shared" ca="1" si="11"/>
        <v>0</v>
      </c>
      <c r="O116" s="126">
        <f ca="1">IF($A116="S",VTOTALBM,IF($A116=0,0,ROUND(SomaAgrupBM,15-13*ORÇAMENTO!$AF$11)))</f>
        <v>0</v>
      </c>
      <c r="Q116" s="338"/>
      <c r="R116" s="339"/>
      <c r="T116" s="118" t="str">
        <f t="shared" ca="1" si="12"/>
        <v/>
      </c>
      <c r="U116" s="164" t="str">
        <f t="shared" ca="1" si="13"/>
        <v/>
      </c>
      <c r="V116" s="165" t="str">
        <f ca="1">IF(AND($W116&gt;0,RegimeExecucao="Unitário"),$F116,"")</f>
        <v/>
      </c>
      <c r="W116" s="455">
        <f ca="1">IF($Y116&gt;0,CHOOSE(MATCH(RegimeExecucao,{"Unitário","Global"},0),IF($A116="S",$Y116/$X116,""),($Y116/$X116)*100),0)</f>
        <v>0</v>
      </c>
      <c r="X116" s="340" t="str">
        <f ca="1">IF($Y116&gt;0,CHOOSE(MATCH(RegimeExecucao,{"Unitário","Global"},0),IF($A116="S",ROUND($H116,ORÇAMENTO!$AF$10),""),ROUND($I116,ORÇAMENTO!$AF$11)),"")</f>
        <v/>
      </c>
      <c r="Y116" s="340">
        <f t="shared" ca="1" si="14"/>
        <v>0</v>
      </c>
      <c r="Z116" s="474"/>
      <c r="AB116" s="338"/>
      <c r="AC116" s="438"/>
      <c r="AD116" s="438"/>
      <c r="AE116" s="438"/>
      <c r="AF116" s="438"/>
      <c r="AG116" s="438"/>
      <c r="AH116" s="438"/>
      <c r="AI116" s="438"/>
      <c r="AJ116" s="438"/>
      <c r="AK116" s="438"/>
      <c r="AL116" s="438"/>
      <c r="AM116" s="339"/>
      <c r="AO116" s="675">
        <f ca="1">IF($A116="S",IF(BM!$I116=0,0,CHOOSE(MATCH(RegimeExecucao,{"Global","Unitário"},0),ROUND(ROUND(BM.MEDAcumulado,15-13*BM!$A$9)/100*BM!$I116,15-13*ORÇAMENTO!$AF$11),ROUND(ROUND(BM.MEDAcumulado,15-13*BM!$A$9)*ROUND(BM!$H116,15-13*ORÇAMENTO!$AF$10),15-13*ORÇAMENTO!$AF$11))),IF($A116=0,0,ROUND(SomaAgrupBM,15-13*ORÇAMENTO!$AF$11)))</f>
        <v>0</v>
      </c>
    </row>
    <row r="117" spans="1:41" s="675" customFormat="1" x14ac:dyDescent="0.2">
      <c r="A117" s="675" t="str">
        <f ca="1">ORÇAMENTO!C117</f>
        <v>S</v>
      </c>
      <c r="B117" s="675">
        <f ca="1">ORÇAMENTO!D117</f>
        <v>0</v>
      </c>
      <c r="C117" s="115" t="str">
        <f t="shared" ca="1" si="8"/>
        <v/>
      </c>
      <c r="D117" s="118" t="str">
        <f ca="1">ORÇAMENTO!O117</f>
        <v>-</v>
      </c>
      <c r="E117" s="164" t="str">
        <f t="shared" ca="1" si="9"/>
        <v>(abra o arquivo 'Referência 09-2025.xlsm)</v>
      </c>
      <c r="F117" s="165" t="str">
        <f ca="1">IF(RegimeExecucao="Global","",ORÇAMENTO.Unidade)</f>
        <v>-</v>
      </c>
      <c r="G117" s="123">
        <f ca="1">IF(RegimeExecucao="Global","",ORÇAMENTO!T117)</f>
        <v>2890</v>
      </c>
      <c r="H117" s="123">
        <f ca="1">IF(RegimeExecucao="Global","",ORÇAMENTO!W117)</f>
        <v>0</v>
      </c>
      <c r="I117" s="126">
        <f ca="1">ORÇAMENTO!X117</f>
        <v>0</v>
      </c>
      <c r="J117" s="334" t="e" cm="1">
        <f t="array" aca="1" ref="J117" ca="1">_xlfn.SINGLE(IF($A117="S",IF(CAIXA.Modo,BM.AFAnterior,BM.MEDAnterior),IF(AND(_xlfn.SINGLE(RegimeExecucao)="Global",$I117&gt;0,COUNTIF($AB$13:$AM$13,BM.medicao-1)&gt;0),M117/$I117*100,0)))</f>
        <v>#NAME?</v>
      </c>
      <c r="K117" s="123" t="e">
        <f t="shared" ca="1" si="10"/>
        <v>#NAME?</v>
      </c>
      <c r="L117" s="335" t="e" cm="1">
        <f t="array" aca="1" ref="L117" ca="1">_xlfn.SINGLE(IF($A117="S",IF(CAIXA.Modo,BM.AFAcumulado,BM.MEDAcumulado),IF(AND(_xlfn.SINGLE(RegimeExecucao)="Global",$I117&gt;0,COUNTIF($AB$13:$AM$13,BM.medicao)&gt;0),O117/$I117*100,0)))</f>
        <v>#NAME?</v>
      </c>
      <c r="M117" s="336">
        <f ca="1">IF($A117="S",VTOTALBM,IF($A117=0,0,ROUND(SomaAgrupBM,15-13*ORÇAMENTO!$AF$11)))</f>
        <v>0</v>
      </c>
      <c r="N117" s="337">
        <f t="shared" ca="1" si="11"/>
        <v>0</v>
      </c>
      <c r="O117" s="126">
        <f ca="1">IF($A117="S",VTOTALBM,IF($A117=0,0,ROUND(SomaAgrupBM,15-13*ORÇAMENTO!$AF$11)))</f>
        <v>0</v>
      </c>
      <c r="Q117" s="338"/>
      <c r="R117" s="339"/>
      <c r="T117" s="118" t="str">
        <f t="shared" ca="1" si="12"/>
        <v/>
      </c>
      <c r="U117" s="164" t="str">
        <f t="shared" ca="1" si="13"/>
        <v/>
      </c>
      <c r="V117" s="165" t="str">
        <f ca="1">IF(AND($W117&gt;0,RegimeExecucao="Unitário"),$F117,"")</f>
        <v/>
      </c>
      <c r="W117" s="455">
        <f ca="1">IF($Y117&gt;0,CHOOSE(MATCH(RegimeExecucao,{"Unitário","Global"},0),IF($A117="S",$Y117/$X117,""),($Y117/$X117)*100),0)</f>
        <v>0</v>
      </c>
      <c r="X117" s="340" t="str">
        <f ca="1">IF($Y117&gt;0,CHOOSE(MATCH(RegimeExecucao,{"Unitário","Global"},0),IF($A117="S",ROUND($H117,ORÇAMENTO!$AF$10),""),ROUND($I117,ORÇAMENTO!$AF$11)),"")</f>
        <v/>
      </c>
      <c r="Y117" s="340">
        <f t="shared" ca="1" si="14"/>
        <v>0</v>
      </c>
      <c r="Z117" s="474"/>
      <c r="AB117" s="338"/>
      <c r="AC117" s="438"/>
      <c r="AD117" s="438"/>
      <c r="AE117" s="438"/>
      <c r="AF117" s="438"/>
      <c r="AG117" s="438"/>
      <c r="AH117" s="438"/>
      <c r="AI117" s="438"/>
      <c r="AJ117" s="438"/>
      <c r="AK117" s="438"/>
      <c r="AL117" s="438"/>
      <c r="AM117" s="339"/>
      <c r="AO117" s="675">
        <f ca="1">IF($A117="S",IF(BM!$I117=0,0,CHOOSE(MATCH(RegimeExecucao,{"Global","Unitário"},0),ROUND(ROUND(BM.MEDAcumulado,15-13*BM!$A$9)/100*BM!$I117,15-13*ORÇAMENTO!$AF$11),ROUND(ROUND(BM.MEDAcumulado,15-13*BM!$A$9)*ROUND(BM!$H117,15-13*ORÇAMENTO!$AF$10),15-13*ORÇAMENTO!$AF$11))),IF($A117=0,0,ROUND(SomaAgrupBM,15-13*ORÇAMENTO!$AF$11)))</f>
        <v>0</v>
      </c>
    </row>
    <row r="118" spans="1:41" s="675" customFormat="1" ht="25.5" x14ac:dyDescent="0.2">
      <c r="A118" s="675" t="str">
        <f ca="1">ORÇAMENTO!C118</f>
        <v>S</v>
      </c>
      <c r="B118" s="675">
        <f ca="1">ORÇAMENTO!D118</f>
        <v>0</v>
      </c>
      <c r="C118" s="115" t="str">
        <f t="shared" ca="1" si="8"/>
        <v/>
      </c>
      <c r="D118" s="118" t="str">
        <f ca="1">ORÇAMENTO!O118</f>
        <v>-</v>
      </c>
      <c r="E118" s="164" t="str">
        <f t="shared" ca="1" si="9"/>
        <v>(abra o arquivo 'Referência 09-2025.xlsm)</v>
      </c>
      <c r="F118" s="165" t="str">
        <f ca="1">IF(RegimeExecucao="Global","",ORÇAMENTO.Unidade)</f>
        <v>-</v>
      </c>
      <c r="G118" s="123">
        <f ca="1">IF(RegimeExecucao="Global","",ORÇAMENTO!T118)</f>
        <v>2427.4</v>
      </c>
      <c r="H118" s="123">
        <f ca="1">IF(RegimeExecucao="Global","",ORÇAMENTO!W118)</f>
        <v>0</v>
      </c>
      <c r="I118" s="126">
        <f ca="1">ORÇAMENTO!X118</f>
        <v>0</v>
      </c>
      <c r="J118" s="334" t="e" cm="1">
        <f t="array" aca="1" ref="J118" ca="1">_xlfn.SINGLE(IF($A118="S",IF(CAIXA.Modo,BM.AFAnterior,BM.MEDAnterior),IF(AND(_xlfn.SINGLE(RegimeExecucao)="Global",$I118&gt;0,COUNTIF($AB$13:$AM$13,BM.medicao-1)&gt;0),M118/$I118*100,0)))</f>
        <v>#NAME?</v>
      </c>
      <c r="K118" s="123" t="e">
        <f t="shared" ca="1" si="10"/>
        <v>#NAME?</v>
      </c>
      <c r="L118" s="335" t="e" cm="1">
        <f t="array" aca="1" ref="L118" ca="1">_xlfn.SINGLE(IF($A118="S",IF(CAIXA.Modo,BM.AFAcumulado,BM.MEDAcumulado),IF(AND(_xlfn.SINGLE(RegimeExecucao)="Global",$I118&gt;0,COUNTIF($AB$13:$AM$13,BM.medicao)&gt;0),O118/$I118*100,0)))</f>
        <v>#NAME?</v>
      </c>
      <c r="M118" s="336">
        <f ca="1">IF($A118="S",VTOTALBM,IF($A118=0,0,ROUND(SomaAgrupBM,15-13*ORÇAMENTO!$AF$11)))</f>
        <v>0</v>
      </c>
      <c r="N118" s="337">
        <f t="shared" ca="1" si="11"/>
        <v>0</v>
      </c>
      <c r="O118" s="126">
        <f ca="1">IF($A118="S",VTOTALBM,IF($A118=0,0,ROUND(SomaAgrupBM,15-13*ORÇAMENTO!$AF$11)))</f>
        <v>0</v>
      </c>
      <c r="Q118" s="338"/>
      <c r="R118" s="339"/>
      <c r="T118" s="118" t="str">
        <f t="shared" ca="1" si="12"/>
        <v/>
      </c>
      <c r="U118" s="164" t="str">
        <f t="shared" ca="1" si="13"/>
        <v/>
      </c>
      <c r="V118" s="165" t="str">
        <f ca="1">IF(AND($W118&gt;0,RegimeExecucao="Unitário"),$F118,"")</f>
        <v/>
      </c>
      <c r="W118" s="455">
        <f ca="1">IF($Y118&gt;0,CHOOSE(MATCH(RegimeExecucao,{"Unitário","Global"},0),IF($A118="S",$Y118/$X118,""),($Y118/$X118)*100),0)</f>
        <v>0</v>
      </c>
      <c r="X118" s="340" t="str">
        <f ca="1">IF($Y118&gt;0,CHOOSE(MATCH(RegimeExecucao,{"Unitário","Global"},0),IF($A118="S",ROUND($H118,ORÇAMENTO!$AF$10),""),ROUND($I118,ORÇAMENTO!$AF$11)),"")</f>
        <v/>
      </c>
      <c r="Y118" s="340">
        <f t="shared" ca="1" si="14"/>
        <v>0</v>
      </c>
      <c r="Z118" s="474"/>
      <c r="AB118" s="338"/>
      <c r="AC118" s="438"/>
      <c r="AD118" s="438"/>
      <c r="AE118" s="438"/>
      <c r="AF118" s="438"/>
      <c r="AG118" s="438"/>
      <c r="AH118" s="438"/>
      <c r="AI118" s="438"/>
      <c r="AJ118" s="438"/>
      <c r="AK118" s="438"/>
      <c r="AL118" s="438"/>
      <c r="AM118" s="339"/>
      <c r="AO118" s="675">
        <f ca="1">IF($A118="S",IF(BM!$I118=0,0,CHOOSE(MATCH(RegimeExecucao,{"Global","Unitário"},0),ROUND(ROUND(BM.MEDAcumulado,15-13*BM!$A$9)/100*BM!$I118,15-13*ORÇAMENTO!$AF$11),ROUND(ROUND(BM.MEDAcumulado,15-13*BM!$A$9)*ROUND(BM!$H118,15-13*ORÇAMENTO!$AF$10),15-13*ORÇAMENTO!$AF$11))),IF($A118=0,0,ROUND(SomaAgrupBM,15-13*ORÇAMENTO!$AF$11)))</f>
        <v>0</v>
      </c>
    </row>
    <row r="119" spans="1:41" s="675" customFormat="1" ht="25.5" x14ac:dyDescent="0.2">
      <c r="A119" s="675" t="str">
        <f ca="1">ORÇAMENTO!C119</f>
        <v>S</v>
      </c>
      <c r="B119" s="675">
        <f ca="1">ORÇAMENTO!D119</f>
        <v>0</v>
      </c>
      <c r="C119" s="115" t="str">
        <f t="shared" ca="1" si="8"/>
        <v/>
      </c>
      <c r="D119" s="118" t="str">
        <f ca="1">ORÇAMENTO!O119</f>
        <v>-</v>
      </c>
      <c r="E119" s="164" t="str">
        <f t="shared" ca="1" si="9"/>
        <v>(abra o arquivo 'Referência 09-2025.xlsm)</v>
      </c>
      <c r="F119" s="165" t="str">
        <f ca="1">IF(RegimeExecucao="Global","",ORÇAMENTO.Unidade)</f>
        <v>-</v>
      </c>
      <c r="G119" s="123">
        <f ca="1">IF(RegimeExecucao="Global","",ORÇAMENTO!T119)</f>
        <v>160.47999999999999</v>
      </c>
      <c r="H119" s="123">
        <f ca="1">IF(RegimeExecucao="Global","",ORÇAMENTO!W119)</f>
        <v>0</v>
      </c>
      <c r="I119" s="126">
        <f ca="1">ORÇAMENTO!X119</f>
        <v>0</v>
      </c>
      <c r="J119" s="334" t="e" cm="1">
        <f t="array" aca="1" ref="J119" ca="1">_xlfn.SINGLE(IF($A119="S",IF(CAIXA.Modo,BM.AFAnterior,BM.MEDAnterior),IF(AND(_xlfn.SINGLE(RegimeExecucao)="Global",$I119&gt;0,COUNTIF($AB$13:$AM$13,BM.medicao-1)&gt;0),M119/$I119*100,0)))</f>
        <v>#NAME?</v>
      </c>
      <c r="K119" s="123" t="e">
        <f t="shared" ca="1" si="10"/>
        <v>#NAME?</v>
      </c>
      <c r="L119" s="335" t="e" cm="1">
        <f t="array" aca="1" ref="L119" ca="1">_xlfn.SINGLE(IF($A119="S",IF(CAIXA.Modo,BM.AFAcumulado,BM.MEDAcumulado),IF(AND(_xlfn.SINGLE(RegimeExecucao)="Global",$I119&gt;0,COUNTIF($AB$13:$AM$13,BM.medicao)&gt;0),O119/$I119*100,0)))</f>
        <v>#NAME?</v>
      </c>
      <c r="M119" s="336">
        <f ca="1">IF($A119="S",VTOTALBM,IF($A119=0,0,ROUND(SomaAgrupBM,15-13*ORÇAMENTO!$AF$11)))</f>
        <v>0</v>
      </c>
      <c r="N119" s="337">
        <f t="shared" ca="1" si="11"/>
        <v>0</v>
      </c>
      <c r="O119" s="126">
        <f ca="1">IF($A119="S",VTOTALBM,IF($A119=0,0,ROUND(SomaAgrupBM,15-13*ORÇAMENTO!$AF$11)))</f>
        <v>0</v>
      </c>
      <c r="Q119" s="338"/>
      <c r="R119" s="339"/>
      <c r="T119" s="118" t="str">
        <f t="shared" ca="1" si="12"/>
        <v/>
      </c>
      <c r="U119" s="164" t="str">
        <f t="shared" ca="1" si="13"/>
        <v/>
      </c>
      <c r="V119" s="165" t="str">
        <f ca="1">IF(AND($W119&gt;0,RegimeExecucao="Unitário"),$F119,"")</f>
        <v/>
      </c>
      <c r="W119" s="455">
        <f ca="1">IF($Y119&gt;0,CHOOSE(MATCH(RegimeExecucao,{"Unitário","Global"},0),IF($A119="S",$Y119/$X119,""),($Y119/$X119)*100),0)</f>
        <v>0</v>
      </c>
      <c r="X119" s="340" t="str">
        <f ca="1">IF($Y119&gt;0,CHOOSE(MATCH(RegimeExecucao,{"Unitário","Global"},0),IF($A119="S",ROUND($H119,ORÇAMENTO!$AF$10),""),ROUND($I119,ORÇAMENTO!$AF$11)),"")</f>
        <v/>
      </c>
      <c r="Y119" s="340">
        <f t="shared" ca="1" si="14"/>
        <v>0</v>
      </c>
      <c r="Z119" s="474"/>
      <c r="AB119" s="338"/>
      <c r="AC119" s="438"/>
      <c r="AD119" s="438"/>
      <c r="AE119" s="438"/>
      <c r="AF119" s="438"/>
      <c r="AG119" s="438"/>
      <c r="AH119" s="438"/>
      <c r="AI119" s="438"/>
      <c r="AJ119" s="438"/>
      <c r="AK119" s="438"/>
      <c r="AL119" s="438"/>
      <c r="AM119" s="339"/>
      <c r="AO119" s="675">
        <f ca="1">IF($A119="S",IF(BM!$I119=0,0,CHOOSE(MATCH(RegimeExecucao,{"Global","Unitário"},0),ROUND(ROUND(BM.MEDAcumulado,15-13*BM!$A$9)/100*BM!$I119,15-13*ORÇAMENTO!$AF$11),ROUND(ROUND(BM.MEDAcumulado,15-13*BM!$A$9)*ROUND(BM!$H119,15-13*ORÇAMENTO!$AF$10),15-13*ORÇAMENTO!$AF$11))),IF($A119=0,0,ROUND(SomaAgrupBM,15-13*ORÇAMENTO!$AF$11)))</f>
        <v>0</v>
      </c>
    </row>
    <row r="120" spans="1:41" s="675" customFormat="1" ht="25.5" x14ac:dyDescent="0.2">
      <c r="A120" s="675" t="str">
        <f ca="1">ORÇAMENTO!C120</f>
        <v>S</v>
      </c>
      <c r="B120" s="675">
        <f ca="1">ORÇAMENTO!D120</f>
        <v>0</v>
      </c>
      <c r="C120" s="115" t="str">
        <f t="shared" ca="1" si="8"/>
        <v/>
      </c>
      <c r="D120" s="118" t="str">
        <f ca="1">ORÇAMENTO!O120</f>
        <v>-</v>
      </c>
      <c r="E120" s="164" t="str">
        <f t="shared" ca="1" si="9"/>
        <v>(abra o arquivo 'Referência 09-2025.xlsm)</v>
      </c>
      <c r="F120" s="165" t="str">
        <f ca="1">IF(RegimeExecucao="Global","",ORÇAMENTO.Unidade)</f>
        <v>-</v>
      </c>
      <c r="G120" s="123">
        <f ca="1">IF(RegimeExecucao="Global","",ORÇAMENTO!T120)</f>
        <v>160.47999999999999</v>
      </c>
      <c r="H120" s="123">
        <f ca="1">IF(RegimeExecucao="Global","",ORÇAMENTO!W120)</f>
        <v>0</v>
      </c>
      <c r="I120" s="126">
        <f ca="1">ORÇAMENTO!X120</f>
        <v>0</v>
      </c>
      <c r="J120" s="334" t="e" cm="1">
        <f t="array" aca="1" ref="J120" ca="1">_xlfn.SINGLE(IF($A120="S",IF(CAIXA.Modo,BM.AFAnterior,BM.MEDAnterior),IF(AND(_xlfn.SINGLE(RegimeExecucao)="Global",$I120&gt;0,COUNTIF($AB$13:$AM$13,BM.medicao-1)&gt;0),M120/$I120*100,0)))</f>
        <v>#NAME?</v>
      </c>
      <c r="K120" s="123" t="e">
        <f t="shared" ca="1" si="10"/>
        <v>#NAME?</v>
      </c>
      <c r="L120" s="335" t="e" cm="1">
        <f t="array" aca="1" ref="L120" ca="1">_xlfn.SINGLE(IF($A120="S",IF(CAIXA.Modo,BM.AFAcumulado,BM.MEDAcumulado),IF(AND(_xlfn.SINGLE(RegimeExecucao)="Global",$I120&gt;0,COUNTIF($AB$13:$AM$13,BM.medicao)&gt;0),O120/$I120*100,0)))</f>
        <v>#NAME?</v>
      </c>
      <c r="M120" s="336">
        <f ca="1">IF($A120="S",VTOTALBM,IF($A120=0,0,ROUND(SomaAgrupBM,15-13*ORÇAMENTO!$AF$11)))</f>
        <v>0</v>
      </c>
      <c r="N120" s="337">
        <f t="shared" ca="1" si="11"/>
        <v>0</v>
      </c>
      <c r="O120" s="126">
        <f ca="1">IF($A120="S",VTOTALBM,IF($A120=0,0,ROUND(SomaAgrupBM,15-13*ORÇAMENTO!$AF$11)))</f>
        <v>0</v>
      </c>
      <c r="Q120" s="338"/>
      <c r="R120" s="339"/>
      <c r="T120" s="118" t="str">
        <f t="shared" ca="1" si="12"/>
        <v/>
      </c>
      <c r="U120" s="164" t="str">
        <f t="shared" ca="1" si="13"/>
        <v/>
      </c>
      <c r="V120" s="165" t="str">
        <f ca="1">IF(AND($W120&gt;0,RegimeExecucao="Unitário"),$F120,"")</f>
        <v/>
      </c>
      <c r="W120" s="455">
        <f ca="1">IF($Y120&gt;0,CHOOSE(MATCH(RegimeExecucao,{"Unitário","Global"},0),IF($A120="S",$Y120/$X120,""),($Y120/$X120)*100),0)</f>
        <v>0</v>
      </c>
      <c r="X120" s="340" t="str">
        <f ca="1">IF($Y120&gt;0,CHOOSE(MATCH(RegimeExecucao,{"Unitário","Global"},0),IF($A120="S",ROUND($H120,ORÇAMENTO!$AF$10),""),ROUND($I120,ORÇAMENTO!$AF$11)),"")</f>
        <v/>
      </c>
      <c r="Y120" s="340">
        <f t="shared" ca="1" si="14"/>
        <v>0</v>
      </c>
      <c r="Z120" s="474"/>
      <c r="AB120" s="338"/>
      <c r="AC120" s="438"/>
      <c r="AD120" s="438"/>
      <c r="AE120" s="438"/>
      <c r="AF120" s="438"/>
      <c r="AG120" s="438"/>
      <c r="AH120" s="438"/>
      <c r="AI120" s="438"/>
      <c r="AJ120" s="438"/>
      <c r="AK120" s="438"/>
      <c r="AL120" s="438"/>
      <c r="AM120" s="339"/>
      <c r="AO120" s="675">
        <f ca="1">IF($A120="S",IF(BM!$I120=0,0,CHOOSE(MATCH(RegimeExecucao,{"Global","Unitário"},0),ROUND(ROUND(BM.MEDAcumulado,15-13*BM!$A$9)/100*BM!$I120,15-13*ORÇAMENTO!$AF$11),ROUND(ROUND(BM.MEDAcumulado,15-13*BM!$A$9)*ROUND(BM!$H120,15-13*ORÇAMENTO!$AF$10),15-13*ORÇAMENTO!$AF$11))),IF($A120=0,0,ROUND(SomaAgrupBM,15-13*ORÇAMENTO!$AF$11)))</f>
        <v>0</v>
      </c>
    </row>
    <row r="121" spans="1:41" s="675" customFormat="1" x14ac:dyDescent="0.2">
      <c r="A121" s="675" t="str">
        <f ca="1">ORÇAMENTO!C121</f>
        <v>S</v>
      </c>
      <c r="B121" s="675">
        <f ca="1">ORÇAMENTO!D121</f>
        <v>0</v>
      </c>
      <c r="C121" s="115" t="str">
        <f t="shared" ca="1" si="8"/>
        <v/>
      </c>
      <c r="D121" s="118" t="str">
        <f ca="1">ORÇAMENTO!O121</f>
        <v>-</v>
      </c>
      <c r="E121" s="164" t="str">
        <f t="shared" ca="1" si="9"/>
        <v>(abra o arquivo 'Referência 09-2025.xlsm)</v>
      </c>
      <c r="F121" s="165" t="str">
        <f ca="1">IF(RegimeExecucao="Global","",ORÇAMENTO.Unidade)</f>
        <v>-</v>
      </c>
      <c r="G121" s="123">
        <f ca="1">IF(RegimeExecucao="Global","",ORÇAMENTO!T121)</f>
        <v>160.47999999999999</v>
      </c>
      <c r="H121" s="123">
        <f ca="1">IF(RegimeExecucao="Global","",ORÇAMENTO!W121)</f>
        <v>0</v>
      </c>
      <c r="I121" s="126">
        <f ca="1">ORÇAMENTO!X121</f>
        <v>0</v>
      </c>
      <c r="J121" s="334" t="e" cm="1">
        <f t="array" aca="1" ref="J121" ca="1">_xlfn.SINGLE(IF($A121="S",IF(CAIXA.Modo,BM.AFAnterior,BM.MEDAnterior),IF(AND(_xlfn.SINGLE(RegimeExecucao)="Global",$I121&gt;0,COUNTIF($AB$13:$AM$13,BM.medicao-1)&gt;0),M121/$I121*100,0)))</f>
        <v>#NAME?</v>
      </c>
      <c r="K121" s="123" t="e">
        <f t="shared" ca="1" si="10"/>
        <v>#NAME?</v>
      </c>
      <c r="L121" s="335" t="e" cm="1">
        <f t="array" aca="1" ref="L121" ca="1">_xlfn.SINGLE(IF($A121="S",IF(CAIXA.Modo,BM.AFAcumulado,BM.MEDAcumulado),IF(AND(_xlfn.SINGLE(RegimeExecucao)="Global",$I121&gt;0,COUNTIF($AB$13:$AM$13,BM.medicao)&gt;0),O121/$I121*100,0)))</f>
        <v>#NAME?</v>
      </c>
      <c r="M121" s="336">
        <f ca="1">IF($A121="S",VTOTALBM,IF($A121=0,0,ROUND(SomaAgrupBM,15-13*ORÇAMENTO!$AF$11)))</f>
        <v>0</v>
      </c>
      <c r="N121" s="337">
        <f t="shared" ca="1" si="11"/>
        <v>0</v>
      </c>
      <c r="O121" s="126">
        <f ca="1">IF($A121="S",VTOTALBM,IF($A121=0,0,ROUND(SomaAgrupBM,15-13*ORÇAMENTO!$AF$11)))</f>
        <v>0</v>
      </c>
      <c r="Q121" s="338"/>
      <c r="R121" s="339"/>
      <c r="T121" s="118" t="str">
        <f t="shared" ca="1" si="12"/>
        <v/>
      </c>
      <c r="U121" s="164" t="str">
        <f t="shared" ca="1" si="13"/>
        <v/>
      </c>
      <c r="V121" s="165" t="str">
        <f ca="1">IF(AND($W121&gt;0,RegimeExecucao="Unitário"),$F121,"")</f>
        <v/>
      </c>
      <c r="W121" s="455">
        <f ca="1">IF($Y121&gt;0,CHOOSE(MATCH(RegimeExecucao,{"Unitário","Global"},0),IF($A121="S",$Y121/$X121,""),($Y121/$X121)*100),0)</f>
        <v>0</v>
      </c>
      <c r="X121" s="340" t="str">
        <f ca="1">IF($Y121&gt;0,CHOOSE(MATCH(RegimeExecucao,{"Unitário","Global"},0),IF($A121="S",ROUND($H121,ORÇAMENTO!$AF$10),""),ROUND($I121,ORÇAMENTO!$AF$11)),"")</f>
        <v/>
      </c>
      <c r="Y121" s="340">
        <f t="shared" ca="1" si="14"/>
        <v>0</v>
      </c>
      <c r="Z121" s="474"/>
      <c r="AB121" s="338"/>
      <c r="AC121" s="438"/>
      <c r="AD121" s="438"/>
      <c r="AE121" s="438"/>
      <c r="AF121" s="438"/>
      <c r="AG121" s="438"/>
      <c r="AH121" s="438"/>
      <c r="AI121" s="438"/>
      <c r="AJ121" s="438"/>
      <c r="AK121" s="438"/>
      <c r="AL121" s="438"/>
      <c r="AM121" s="339"/>
      <c r="AO121" s="675">
        <f ca="1">IF($A121="S",IF(BM!$I121=0,0,CHOOSE(MATCH(RegimeExecucao,{"Global","Unitário"},0),ROUND(ROUND(BM.MEDAcumulado,15-13*BM!$A$9)/100*BM!$I121,15-13*ORÇAMENTO!$AF$11),ROUND(ROUND(BM.MEDAcumulado,15-13*BM!$A$9)*ROUND(BM!$H121,15-13*ORÇAMENTO!$AF$10),15-13*ORÇAMENTO!$AF$11))),IF($A121=0,0,ROUND(SomaAgrupBM,15-13*ORÇAMENTO!$AF$11)))</f>
        <v>0</v>
      </c>
    </row>
    <row r="122" spans="1:41" s="675" customFormat="1" x14ac:dyDescent="0.2">
      <c r="A122" s="675">
        <f ca="1">ORÇAMENTO!C122</f>
        <v>2</v>
      </c>
      <c r="B122" s="675">
        <f ca="1">ORÇAMENTO!D122</f>
        <v>7</v>
      </c>
      <c r="C122" s="115" t="str">
        <f t="shared" ca="1" si="8"/>
        <v>F</v>
      </c>
      <c r="D122" s="118" t="str">
        <f ca="1">ORÇAMENTO!O122</f>
        <v>1.15.</v>
      </c>
      <c r="E122" s="164" t="str">
        <f t="shared" si="9"/>
        <v>ESCORAMENTO, ESGOTAMENTO E DRENAGEM</v>
      </c>
      <c r="F122" s="165" t="str">
        <f ca="1">IF(RegimeExecucao="Global","",ORÇAMENTO.Unidade)</f>
        <v>-</v>
      </c>
      <c r="G122" s="123">
        <f ca="1">IF(RegimeExecucao="Global","",ORÇAMENTO!T122)</f>
        <v>0</v>
      </c>
      <c r="H122" s="123">
        <f ca="1">IF(RegimeExecucao="Global","",ORÇAMENTO!W122)</f>
        <v>0</v>
      </c>
      <c r="I122" s="126">
        <f ca="1">ORÇAMENTO!X122</f>
        <v>0</v>
      </c>
      <c r="J122" s="334" t="e" cm="1">
        <f t="array" aca="1" ref="J122" ca="1">_xlfn.SINGLE(IF($A122="S",IF(CAIXA.Modo,BM.AFAnterior,BM.MEDAnterior),IF(AND(_xlfn.SINGLE(RegimeExecucao)="Global",$I122&gt;0,COUNTIF($AB$13:$AM$13,BM.medicao-1)&gt;0),M122/$I122*100,0)))</f>
        <v>#NAME?</v>
      </c>
      <c r="K122" s="123" t="e">
        <f t="shared" ca="1" si="10"/>
        <v>#NAME?</v>
      </c>
      <c r="L122" s="335" t="e" cm="1">
        <f t="array" aca="1" ref="L122" ca="1">_xlfn.SINGLE(IF($A122="S",IF(CAIXA.Modo,BM.AFAcumulado,BM.MEDAcumulado),IF(AND(_xlfn.SINGLE(RegimeExecucao)="Global",$I122&gt;0,COUNTIF($AB$13:$AM$13,BM.medicao)&gt;0),O122/$I122*100,0)))</f>
        <v>#NAME?</v>
      </c>
      <c r="M122" s="336">
        <f ca="1">IF($A122="S",VTOTALBM,IF($A122=0,0,ROUND(SomaAgrupBM,15-13*ORÇAMENTO!$AF$11)))</f>
        <v>0</v>
      </c>
      <c r="N122" s="337">
        <f t="shared" ca="1" si="11"/>
        <v>0</v>
      </c>
      <c r="O122" s="126">
        <f ca="1">IF($A122="S",VTOTALBM,IF($A122=0,0,ROUND(SomaAgrupBM,15-13*ORÇAMENTO!$AF$11)))</f>
        <v>0</v>
      </c>
      <c r="Q122" s="338"/>
      <c r="R122" s="339"/>
      <c r="T122" s="118" t="str">
        <f t="shared" ca="1" si="12"/>
        <v/>
      </c>
      <c r="U122" s="164" t="str">
        <f t="shared" ca="1" si="13"/>
        <v/>
      </c>
      <c r="V122" s="165" t="str">
        <f ca="1">IF(AND($W122&gt;0,RegimeExecucao="Unitário"),$F122,"")</f>
        <v/>
      </c>
      <c r="W122" s="455">
        <f ca="1">IF($Y122&gt;0,CHOOSE(MATCH(RegimeExecucao,{"Unitário","Global"},0),IF($A122="S",$Y122/$X122,""),($Y122/$X122)*100),0)</f>
        <v>0</v>
      </c>
      <c r="X122" s="340" t="str">
        <f ca="1">IF($Y122&gt;0,CHOOSE(MATCH(RegimeExecucao,{"Unitário","Global"},0),IF($A122="S",ROUND($H122,ORÇAMENTO!$AF$10),""),ROUND($I122,ORÇAMENTO!$AF$11)),"")</f>
        <v/>
      </c>
      <c r="Y122" s="340">
        <f t="shared" ca="1" si="14"/>
        <v>0</v>
      </c>
      <c r="Z122" s="474"/>
      <c r="AB122" s="338"/>
      <c r="AC122" s="438"/>
      <c r="AD122" s="438"/>
      <c r="AE122" s="438"/>
      <c r="AF122" s="438"/>
      <c r="AG122" s="438"/>
      <c r="AH122" s="438"/>
      <c r="AI122" s="438"/>
      <c r="AJ122" s="438"/>
      <c r="AK122" s="438"/>
      <c r="AL122" s="438"/>
      <c r="AM122" s="339"/>
      <c r="AO122" s="675">
        <f ca="1">IF($A122="S",IF(BM!$I122=0,0,CHOOSE(MATCH(RegimeExecucao,{"Global","Unitário"},0),ROUND(ROUND(BM.MEDAcumulado,15-13*BM!$A$9)/100*BM!$I122,15-13*ORÇAMENTO!$AF$11),ROUND(ROUND(BM.MEDAcumulado,15-13*BM!$A$9)*ROUND(BM!$H122,15-13*ORÇAMENTO!$AF$10),15-13*ORÇAMENTO!$AF$11))),IF($A122=0,0,ROUND(SomaAgrupBM,15-13*ORÇAMENTO!$AF$11)))</f>
        <v>0</v>
      </c>
    </row>
    <row r="123" spans="1:41" s="675" customFormat="1" x14ac:dyDescent="0.2">
      <c r="A123" s="675" t="str">
        <f ca="1">ORÇAMENTO!C123</f>
        <v>S</v>
      </c>
      <c r="B123" s="675">
        <f ca="1">ORÇAMENTO!D123</f>
        <v>0</v>
      </c>
      <c r="C123" s="115" t="str">
        <f t="shared" ca="1" si="8"/>
        <v/>
      </c>
      <c r="D123" s="118" t="str">
        <f ca="1">ORÇAMENTO!O123</f>
        <v>-</v>
      </c>
      <c r="E123" s="164" t="str">
        <f t="shared" ca="1" si="9"/>
        <v>(abra o arquivo 'Referência 09-2025.xlsm)</v>
      </c>
      <c r="F123" s="165" t="str">
        <f ca="1">IF(RegimeExecucao="Global","",ORÇAMENTO.Unidade)</f>
        <v>-</v>
      </c>
      <c r="G123" s="123">
        <f ca="1">IF(RegimeExecucao="Global","",ORÇAMENTO!T123)</f>
        <v>3254.21</v>
      </c>
      <c r="H123" s="123">
        <f ca="1">IF(RegimeExecucao="Global","",ORÇAMENTO!W123)</f>
        <v>0</v>
      </c>
      <c r="I123" s="126">
        <f ca="1">ORÇAMENTO!X123</f>
        <v>0</v>
      </c>
      <c r="J123" s="334" t="e" cm="1">
        <f t="array" aca="1" ref="J123" ca="1">_xlfn.SINGLE(IF($A123="S",IF(CAIXA.Modo,BM.AFAnterior,BM.MEDAnterior),IF(AND(_xlfn.SINGLE(RegimeExecucao)="Global",$I123&gt;0,COUNTIF($AB$13:$AM$13,BM.medicao-1)&gt;0),M123/$I123*100,0)))</f>
        <v>#NAME?</v>
      </c>
      <c r="K123" s="123" t="e">
        <f t="shared" ca="1" si="10"/>
        <v>#NAME?</v>
      </c>
      <c r="L123" s="335" t="e" cm="1">
        <f t="array" aca="1" ref="L123" ca="1">_xlfn.SINGLE(IF($A123="S",IF(CAIXA.Modo,BM.AFAcumulado,BM.MEDAcumulado),IF(AND(_xlfn.SINGLE(RegimeExecucao)="Global",$I123&gt;0,COUNTIF($AB$13:$AM$13,BM.medicao)&gt;0),O123/$I123*100,0)))</f>
        <v>#NAME?</v>
      </c>
      <c r="M123" s="336">
        <f ca="1">IF($A123="S",VTOTALBM,IF($A123=0,0,ROUND(SomaAgrupBM,15-13*ORÇAMENTO!$AF$11)))</f>
        <v>0</v>
      </c>
      <c r="N123" s="337">
        <f t="shared" ca="1" si="11"/>
        <v>0</v>
      </c>
      <c r="O123" s="126">
        <f ca="1">IF($A123="S",VTOTALBM,IF($A123=0,0,ROUND(SomaAgrupBM,15-13*ORÇAMENTO!$AF$11)))</f>
        <v>0</v>
      </c>
      <c r="Q123" s="338"/>
      <c r="R123" s="339"/>
      <c r="T123" s="118" t="str">
        <f t="shared" ca="1" si="12"/>
        <v/>
      </c>
      <c r="U123" s="164" t="str">
        <f t="shared" ca="1" si="13"/>
        <v/>
      </c>
      <c r="V123" s="165" t="str">
        <f ca="1">IF(AND($W123&gt;0,RegimeExecucao="Unitário"),$F123,"")</f>
        <v/>
      </c>
      <c r="W123" s="455">
        <f ca="1">IF($Y123&gt;0,CHOOSE(MATCH(RegimeExecucao,{"Unitário","Global"},0),IF($A123="S",$Y123/$X123,""),($Y123/$X123)*100),0)</f>
        <v>0</v>
      </c>
      <c r="X123" s="340" t="str">
        <f ca="1">IF($Y123&gt;0,CHOOSE(MATCH(RegimeExecucao,{"Unitário","Global"},0),IF($A123="S",ROUND($H123,ORÇAMENTO!$AF$10),""),ROUND($I123,ORÇAMENTO!$AF$11)),"")</f>
        <v/>
      </c>
      <c r="Y123" s="340">
        <f t="shared" ca="1" si="14"/>
        <v>0</v>
      </c>
      <c r="Z123" s="474"/>
      <c r="AB123" s="338"/>
      <c r="AC123" s="438"/>
      <c r="AD123" s="438"/>
      <c r="AE123" s="438"/>
      <c r="AF123" s="438"/>
      <c r="AG123" s="438"/>
      <c r="AH123" s="438"/>
      <c r="AI123" s="438"/>
      <c r="AJ123" s="438"/>
      <c r="AK123" s="438"/>
      <c r="AL123" s="438"/>
      <c r="AM123" s="339"/>
      <c r="AO123" s="675">
        <f ca="1">IF($A123="S",IF(BM!$I123=0,0,CHOOSE(MATCH(RegimeExecucao,{"Global","Unitário"},0),ROUND(ROUND(BM.MEDAcumulado,15-13*BM!$A$9)/100*BM!$I123,15-13*ORÇAMENTO!$AF$11),ROUND(ROUND(BM.MEDAcumulado,15-13*BM!$A$9)*ROUND(BM!$H123,15-13*ORÇAMENTO!$AF$10),15-13*ORÇAMENTO!$AF$11))),IF($A123=0,0,ROUND(SomaAgrupBM,15-13*ORÇAMENTO!$AF$11)))</f>
        <v>0</v>
      </c>
    </row>
    <row r="124" spans="1:41" s="675" customFormat="1" x14ac:dyDescent="0.2">
      <c r="A124" s="675" t="str">
        <f ca="1">ORÇAMENTO!C124</f>
        <v>S</v>
      </c>
      <c r="B124" s="675">
        <f ca="1">ORÇAMENTO!D124</f>
        <v>0</v>
      </c>
      <c r="C124" s="115" t="str">
        <f t="shared" ca="1" si="8"/>
        <v/>
      </c>
      <c r="D124" s="118" t="str">
        <f ca="1">ORÇAMENTO!O124</f>
        <v>-</v>
      </c>
      <c r="E124" s="164" t="str">
        <f t="shared" ca="1" si="9"/>
        <v>(abra o arquivo 'Referência 09-2025.xlsm)</v>
      </c>
      <c r="F124" s="165" t="str">
        <f ca="1">IF(RegimeExecucao="Global","",ORÇAMENTO.Unidade)</f>
        <v>-</v>
      </c>
      <c r="G124" s="123">
        <f ca="1">IF(RegimeExecucao="Global","",ORÇAMENTO!T124)</f>
        <v>373.45</v>
      </c>
      <c r="H124" s="123">
        <f ca="1">IF(RegimeExecucao="Global","",ORÇAMENTO!W124)</f>
        <v>0</v>
      </c>
      <c r="I124" s="126">
        <f ca="1">ORÇAMENTO!X124</f>
        <v>0</v>
      </c>
      <c r="J124" s="334" t="e" cm="1">
        <f t="array" aca="1" ref="J124" ca="1">_xlfn.SINGLE(IF($A124="S",IF(CAIXA.Modo,BM.AFAnterior,BM.MEDAnterior),IF(AND(_xlfn.SINGLE(RegimeExecucao)="Global",$I124&gt;0,COUNTIF($AB$13:$AM$13,BM.medicao-1)&gt;0),M124/$I124*100,0)))</f>
        <v>#NAME?</v>
      </c>
      <c r="K124" s="123" t="e">
        <f t="shared" ca="1" si="10"/>
        <v>#NAME?</v>
      </c>
      <c r="L124" s="335" t="e" cm="1">
        <f t="array" aca="1" ref="L124" ca="1">_xlfn.SINGLE(IF($A124="S",IF(CAIXA.Modo,BM.AFAcumulado,BM.MEDAcumulado),IF(AND(_xlfn.SINGLE(RegimeExecucao)="Global",$I124&gt;0,COUNTIF($AB$13:$AM$13,BM.medicao)&gt;0),O124/$I124*100,0)))</f>
        <v>#NAME?</v>
      </c>
      <c r="M124" s="336">
        <f ca="1">IF($A124="S",VTOTALBM,IF($A124=0,0,ROUND(SomaAgrupBM,15-13*ORÇAMENTO!$AF$11)))</f>
        <v>0</v>
      </c>
      <c r="N124" s="337">
        <f t="shared" ca="1" si="11"/>
        <v>0</v>
      </c>
      <c r="O124" s="126">
        <f ca="1">IF($A124="S",VTOTALBM,IF($A124=0,0,ROUND(SomaAgrupBM,15-13*ORÇAMENTO!$AF$11)))</f>
        <v>0</v>
      </c>
      <c r="Q124" s="338"/>
      <c r="R124" s="339"/>
      <c r="T124" s="118" t="str">
        <f t="shared" ca="1" si="12"/>
        <v/>
      </c>
      <c r="U124" s="164" t="str">
        <f t="shared" ca="1" si="13"/>
        <v/>
      </c>
      <c r="V124" s="165" t="str">
        <f ca="1">IF(AND($W124&gt;0,RegimeExecucao="Unitário"),$F124,"")</f>
        <v/>
      </c>
      <c r="W124" s="455">
        <f ca="1">IF($Y124&gt;0,CHOOSE(MATCH(RegimeExecucao,{"Unitário","Global"},0),IF($A124="S",$Y124/$X124,""),($Y124/$X124)*100),0)</f>
        <v>0</v>
      </c>
      <c r="X124" s="340" t="str">
        <f ca="1">IF($Y124&gt;0,CHOOSE(MATCH(RegimeExecucao,{"Unitário","Global"},0),IF($A124="S",ROUND($H124,ORÇAMENTO!$AF$10),""),ROUND($I124,ORÇAMENTO!$AF$11)),"")</f>
        <v/>
      </c>
      <c r="Y124" s="340">
        <f t="shared" ca="1" si="14"/>
        <v>0</v>
      </c>
      <c r="Z124" s="474"/>
      <c r="AB124" s="338"/>
      <c r="AC124" s="438"/>
      <c r="AD124" s="438"/>
      <c r="AE124" s="438"/>
      <c r="AF124" s="438"/>
      <c r="AG124" s="438"/>
      <c r="AH124" s="438"/>
      <c r="AI124" s="438"/>
      <c r="AJ124" s="438"/>
      <c r="AK124" s="438"/>
      <c r="AL124" s="438"/>
      <c r="AM124" s="339"/>
      <c r="AO124" s="675">
        <f ca="1">IF($A124="S",IF(BM!$I124=0,0,CHOOSE(MATCH(RegimeExecucao,{"Global","Unitário"},0),ROUND(ROUND(BM.MEDAcumulado,15-13*BM!$A$9)/100*BM!$I124,15-13*ORÇAMENTO!$AF$11),ROUND(ROUND(BM.MEDAcumulado,15-13*BM!$A$9)*ROUND(BM!$H124,15-13*ORÇAMENTO!$AF$10),15-13*ORÇAMENTO!$AF$11))),IF($A124=0,0,ROUND(SomaAgrupBM,15-13*ORÇAMENTO!$AF$11)))</f>
        <v>0</v>
      </c>
    </row>
    <row r="125" spans="1:41" s="675" customFormat="1" ht="38.25" x14ac:dyDescent="0.2">
      <c r="A125" s="675" t="str">
        <f ca="1">ORÇAMENTO!C125</f>
        <v>S</v>
      </c>
      <c r="B125" s="675">
        <f ca="1">ORÇAMENTO!D125</f>
        <v>0</v>
      </c>
      <c r="C125" s="115" t="str">
        <f t="shared" ca="1" si="8"/>
        <v/>
      </c>
      <c r="D125" s="118" t="str">
        <f ca="1">ORÇAMENTO!O125</f>
        <v>-</v>
      </c>
      <c r="E125" s="164" t="str">
        <f t="shared" ca="1" si="9"/>
        <v>(abra o arquivo 'Referência 09-2025.xlsm)</v>
      </c>
      <c r="F125" s="165" t="str">
        <f ca="1">IF(RegimeExecucao="Global","",ORÇAMENTO.Unidade)</f>
        <v>-</v>
      </c>
      <c r="G125" s="123">
        <f ca="1">IF(RegimeExecucao="Global","",ORÇAMENTO!T125)</f>
        <v>373.45</v>
      </c>
      <c r="H125" s="123">
        <f ca="1">IF(RegimeExecucao="Global","",ORÇAMENTO!W125)</f>
        <v>0</v>
      </c>
      <c r="I125" s="126">
        <f ca="1">ORÇAMENTO!X125</f>
        <v>0</v>
      </c>
      <c r="J125" s="334" t="e" cm="1">
        <f t="array" aca="1" ref="J125" ca="1">_xlfn.SINGLE(IF($A125="S",IF(CAIXA.Modo,BM.AFAnterior,BM.MEDAnterior),IF(AND(_xlfn.SINGLE(RegimeExecucao)="Global",$I125&gt;0,COUNTIF($AB$13:$AM$13,BM.medicao-1)&gt;0),M125/$I125*100,0)))</f>
        <v>#NAME?</v>
      </c>
      <c r="K125" s="123" t="e">
        <f t="shared" ca="1" si="10"/>
        <v>#NAME?</v>
      </c>
      <c r="L125" s="335" t="e" cm="1">
        <f t="array" aca="1" ref="L125" ca="1">_xlfn.SINGLE(IF($A125="S",IF(CAIXA.Modo,BM.AFAcumulado,BM.MEDAcumulado),IF(AND(_xlfn.SINGLE(RegimeExecucao)="Global",$I125&gt;0,COUNTIF($AB$13:$AM$13,BM.medicao)&gt;0),O125/$I125*100,0)))</f>
        <v>#NAME?</v>
      </c>
      <c r="M125" s="336">
        <f ca="1">IF($A125="S",VTOTALBM,IF($A125=0,0,ROUND(SomaAgrupBM,15-13*ORÇAMENTO!$AF$11)))</f>
        <v>0</v>
      </c>
      <c r="N125" s="337">
        <f t="shared" ca="1" si="11"/>
        <v>0</v>
      </c>
      <c r="O125" s="126">
        <f ca="1">IF($A125="S",VTOTALBM,IF($A125=0,0,ROUND(SomaAgrupBM,15-13*ORÇAMENTO!$AF$11)))</f>
        <v>0</v>
      </c>
      <c r="Q125" s="338"/>
      <c r="R125" s="339"/>
      <c r="T125" s="118" t="str">
        <f t="shared" ca="1" si="12"/>
        <v/>
      </c>
      <c r="U125" s="164" t="str">
        <f t="shared" ca="1" si="13"/>
        <v/>
      </c>
      <c r="V125" s="165" t="str">
        <f ca="1">IF(AND($W125&gt;0,RegimeExecucao="Unitário"),$F125,"")</f>
        <v/>
      </c>
      <c r="W125" s="455">
        <f ca="1">IF($Y125&gt;0,CHOOSE(MATCH(RegimeExecucao,{"Unitário","Global"},0),IF($A125="S",$Y125/$X125,""),($Y125/$X125)*100),0)</f>
        <v>0</v>
      </c>
      <c r="X125" s="340" t="str">
        <f ca="1">IF($Y125&gt;0,CHOOSE(MATCH(RegimeExecucao,{"Unitário","Global"},0),IF($A125="S",ROUND($H125,ORÇAMENTO!$AF$10),""),ROUND($I125,ORÇAMENTO!$AF$11)),"")</f>
        <v/>
      </c>
      <c r="Y125" s="340">
        <f t="shared" ca="1" si="14"/>
        <v>0</v>
      </c>
      <c r="Z125" s="474"/>
      <c r="AB125" s="338"/>
      <c r="AC125" s="438"/>
      <c r="AD125" s="438"/>
      <c r="AE125" s="438"/>
      <c r="AF125" s="438"/>
      <c r="AG125" s="438"/>
      <c r="AH125" s="438"/>
      <c r="AI125" s="438"/>
      <c r="AJ125" s="438"/>
      <c r="AK125" s="438"/>
      <c r="AL125" s="438"/>
      <c r="AM125" s="339"/>
      <c r="AO125" s="675">
        <f ca="1">IF($A125="S",IF(BM!$I125=0,0,CHOOSE(MATCH(RegimeExecucao,{"Global","Unitário"},0),ROUND(ROUND(BM.MEDAcumulado,15-13*BM!$A$9)/100*BM!$I125,15-13*ORÇAMENTO!$AF$11),ROUND(ROUND(BM.MEDAcumulado,15-13*BM!$A$9)*ROUND(BM!$H125,15-13*ORÇAMENTO!$AF$10),15-13*ORÇAMENTO!$AF$11))),IF($A125=0,0,ROUND(SomaAgrupBM,15-13*ORÇAMENTO!$AF$11)))</f>
        <v>0</v>
      </c>
    </row>
    <row r="126" spans="1:41" s="675" customFormat="1" ht="25.5" x14ac:dyDescent="0.2">
      <c r="A126" s="675" t="str">
        <f ca="1">ORÇAMENTO!C126</f>
        <v>S</v>
      </c>
      <c r="B126" s="675">
        <f ca="1">ORÇAMENTO!D126</f>
        <v>0</v>
      </c>
      <c r="C126" s="115" t="str">
        <f t="shared" ca="1" si="8"/>
        <v/>
      </c>
      <c r="D126" s="118" t="str">
        <f ca="1">ORÇAMENTO!O126</f>
        <v>-</v>
      </c>
      <c r="E126" s="164" t="str">
        <f t="shared" ca="1" si="9"/>
        <v>(abra o arquivo 'Referência 09-2025.xlsm)</v>
      </c>
      <c r="F126" s="165" t="str">
        <f ca="1">IF(RegimeExecucao="Global","",ORÇAMENTO.Unidade)</f>
        <v>-</v>
      </c>
      <c r="G126" s="123">
        <f ca="1">IF(RegimeExecucao="Global","",ORÇAMENTO!T126)</f>
        <v>1</v>
      </c>
      <c r="H126" s="123">
        <f ca="1">IF(RegimeExecucao="Global","",ORÇAMENTO!W126)</f>
        <v>0</v>
      </c>
      <c r="I126" s="126">
        <f ca="1">ORÇAMENTO!X126</f>
        <v>0</v>
      </c>
      <c r="J126" s="334" t="e" cm="1">
        <f t="array" aca="1" ref="J126" ca="1">_xlfn.SINGLE(IF($A126="S",IF(CAIXA.Modo,BM.AFAnterior,BM.MEDAnterior),IF(AND(_xlfn.SINGLE(RegimeExecucao)="Global",$I126&gt;0,COUNTIF($AB$13:$AM$13,BM.medicao-1)&gt;0),M126/$I126*100,0)))</f>
        <v>#NAME?</v>
      </c>
      <c r="K126" s="123" t="e">
        <f t="shared" ca="1" si="10"/>
        <v>#NAME?</v>
      </c>
      <c r="L126" s="335" t="e" cm="1">
        <f t="array" aca="1" ref="L126" ca="1">_xlfn.SINGLE(IF($A126="S",IF(CAIXA.Modo,BM.AFAcumulado,BM.MEDAcumulado),IF(AND(_xlfn.SINGLE(RegimeExecucao)="Global",$I126&gt;0,COUNTIF($AB$13:$AM$13,BM.medicao)&gt;0),O126/$I126*100,0)))</f>
        <v>#NAME?</v>
      </c>
      <c r="M126" s="336">
        <f ca="1">IF($A126="S",VTOTALBM,IF($A126=0,0,ROUND(SomaAgrupBM,15-13*ORÇAMENTO!$AF$11)))</f>
        <v>0</v>
      </c>
      <c r="N126" s="337">
        <f t="shared" ca="1" si="11"/>
        <v>0</v>
      </c>
      <c r="O126" s="126">
        <f ca="1">IF($A126="S",VTOTALBM,IF($A126=0,0,ROUND(SomaAgrupBM,15-13*ORÇAMENTO!$AF$11)))</f>
        <v>0</v>
      </c>
      <c r="Q126" s="338"/>
      <c r="R126" s="339"/>
      <c r="T126" s="118" t="str">
        <f t="shared" ca="1" si="12"/>
        <v/>
      </c>
      <c r="U126" s="164" t="str">
        <f t="shared" ca="1" si="13"/>
        <v/>
      </c>
      <c r="V126" s="165" t="str">
        <f ca="1">IF(AND($W126&gt;0,RegimeExecucao="Unitário"),$F126,"")</f>
        <v/>
      </c>
      <c r="W126" s="455">
        <f ca="1">IF($Y126&gt;0,CHOOSE(MATCH(RegimeExecucao,{"Unitário","Global"},0),IF($A126="S",$Y126/$X126,""),($Y126/$X126)*100),0)</f>
        <v>0</v>
      </c>
      <c r="X126" s="340" t="str">
        <f ca="1">IF($Y126&gt;0,CHOOSE(MATCH(RegimeExecucao,{"Unitário","Global"},0),IF($A126="S",ROUND($H126,ORÇAMENTO!$AF$10),""),ROUND($I126,ORÇAMENTO!$AF$11)),"")</f>
        <v/>
      </c>
      <c r="Y126" s="340">
        <f t="shared" ca="1" si="14"/>
        <v>0</v>
      </c>
      <c r="Z126" s="474"/>
      <c r="AB126" s="338"/>
      <c r="AC126" s="438"/>
      <c r="AD126" s="438"/>
      <c r="AE126" s="438"/>
      <c r="AF126" s="438"/>
      <c r="AG126" s="438"/>
      <c r="AH126" s="438"/>
      <c r="AI126" s="438"/>
      <c r="AJ126" s="438"/>
      <c r="AK126" s="438"/>
      <c r="AL126" s="438"/>
      <c r="AM126" s="339"/>
      <c r="AO126" s="675">
        <f ca="1">IF($A126="S",IF(BM!$I126=0,0,CHOOSE(MATCH(RegimeExecucao,{"Global","Unitário"},0),ROUND(ROUND(BM.MEDAcumulado,15-13*BM!$A$9)/100*BM!$I126,15-13*ORÇAMENTO!$AF$11),ROUND(ROUND(BM.MEDAcumulado,15-13*BM!$A$9)*ROUND(BM!$H126,15-13*ORÇAMENTO!$AF$10),15-13*ORÇAMENTO!$AF$11))),IF($A126=0,0,ROUND(SomaAgrupBM,15-13*ORÇAMENTO!$AF$11)))</f>
        <v>0</v>
      </c>
    </row>
    <row r="127" spans="1:41" s="675" customFormat="1" x14ac:dyDescent="0.2">
      <c r="A127" s="675" t="str">
        <f ca="1">ORÇAMENTO!C127</f>
        <v>S</v>
      </c>
      <c r="B127" s="675">
        <f ca="1">ORÇAMENTO!D127</f>
        <v>0</v>
      </c>
      <c r="C127" s="115" t="str">
        <f t="shared" ca="1" si="8"/>
        <v/>
      </c>
      <c r="D127" s="118" t="str">
        <f ca="1">ORÇAMENTO!O127</f>
        <v>-</v>
      </c>
      <c r="E127" s="164" t="str">
        <f t="shared" ca="1" si="9"/>
        <v>(abra o arquivo 'Referência 09-2025.xlsm)</v>
      </c>
      <c r="F127" s="165" t="str">
        <f ca="1">IF(RegimeExecucao="Global","",ORÇAMENTO.Unidade)</f>
        <v>-</v>
      </c>
      <c r="G127" s="123">
        <f ca="1">IF(RegimeExecucao="Global","",ORÇAMENTO!T127)</f>
        <v>0.36</v>
      </c>
      <c r="H127" s="123">
        <f ca="1">IF(RegimeExecucao="Global","",ORÇAMENTO!W127)</f>
        <v>0</v>
      </c>
      <c r="I127" s="126">
        <f ca="1">ORÇAMENTO!X127</f>
        <v>0</v>
      </c>
      <c r="J127" s="334" t="e" cm="1">
        <f t="array" aca="1" ref="J127" ca="1">_xlfn.SINGLE(IF($A127="S",IF(CAIXA.Modo,BM.AFAnterior,BM.MEDAnterior),IF(AND(_xlfn.SINGLE(RegimeExecucao)="Global",$I127&gt;0,COUNTIF($AB$13:$AM$13,BM.medicao-1)&gt;0),M127/$I127*100,0)))</f>
        <v>#NAME?</v>
      </c>
      <c r="K127" s="123" t="e">
        <f t="shared" ca="1" si="10"/>
        <v>#NAME?</v>
      </c>
      <c r="L127" s="335" t="e" cm="1">
        <f t="array" aca="1" ref="L127" ca="1">_xlfn.SINGLE(IF($A127="S",IF(CAIXA.Modo,BM.AFAcumulado,BM.MEDAcumulado),IF(AND(_xlfn.SINGLE(RegimeExecucao)="Global",$I127&gt;0,COUNTIF($AB$13:$AM$13,BM.medicao)&gt;0),O127/$I127*100,0)))</f>
        <v>#NAME?</v>
      </c>
      <c r="M127" s="336">
        <f ca="1">IF($A127="S",VTOTALBM,IF($A127=0,0,ROUND(SomaAgrupBM,15-13*ORÇAMENTO!$AF$11)))</f>
        <v>0</v>
      </c>
      <c r="N127" s="337">
        <f t="shared" ca="1" si="11"/>
        <v>0</v>
      </c>
      <c r="O127" s="126">
        <f ca="1">IF($A127="S",VTOTALBM,IF($A127=0,0,ROUND(SomaAgrupBM,15-13*ORÇAMENTO!$AF$11)))</f>
        <v>0</v>
      </c>
      <c r="Q127" s="338"/>
      <c r="R127" s="339"/>
      <c r="T127" s="118" t="str">
        <f t="shared" ca="1" si="12"/>
        <v/>
      </c>
      <c r="U127" s="164" t="str">
        <f t="shared" ca="1" si="13"/>
        <v/>
      </c>
      <c r="V127" s="165" t="str">
        <f ca="1">IF(AND($W127&gt;0,RegimeExecucao="Unitário"),$F127,"")</f>
        <v/>
      </c>
      <c r="W127" s="455">
        <f ca="1">IF($Y127&gt;0,CHOOSE(MATCH(RegimeExecucao,{"Unitário","Global"},0),IF($A127="S",$Y127/$X127,""),($Y127/$X127)*100),0)</f>
        <v>0</v>
      </c>
      <c r="X127" s="340" t="str">
        <f ca="1">IF($Y127&gt;0,CHOOSE(MATCH(RegimeExecucao,{"Unitário","Global"},0),IF($A127="S",ROUND($H127,ORÇAMENTO!$AF$10),""),ROUND($I127,ORÇAMENTO!$AF$11)),"")</f>
        <v/>
      </c>
      <c r="Y127" s="340">
        <f t="shared" ca="1" si="14"/>
        <v>0</v>
      </c>
      <c r="Z127" s="474"/>
      <c r="AB127" s="338"/>
      <c r="AC127" s="438"/>
      <c r="AD127" s="438"/>
      <c r="AE127" s="438"/>
      <c r="AF127" s="438"/>
      <c r="AG127" s="438"/>
      <c r="AH127" s="438"/>
      <c r="AI127" s="438"/>
      <c r="AJ127" s="438"/>
      <c r="AK127" s="438"/>
      <c r="AL127" s="438"/>
      <c r="AM127" s="339"/>
      <c r="AO127" s="675">
        <f ca="1">IF($A127="S",IF(BM!$I127=0,0,CHOOSE(MATCH(RegimeExecucao,{"Global","Unitário"},0),ROUND(ROUND(BM.MEDAcumulado,15-13*BM!$A$9)/100*BM!$I127,15-13*ORÇAMENTO!$AF$11),ROUND(ROUND(BM.MEDAcumulado,15-13*BM!$A$9)*ROUND(BM!$H127,15-13*ORÇAMENTO!$AF$10),15-13*ORÇAMENTO!$AF$11))),IF($A127=0,0,ROUND(SomaAgrupBM,15-13*ORÇAMENTO!$AF$11)))</f>
        <v>0</v>
      </c>
    </row>
    <row r="128" spans="1:41" s="675" customFormat="1" ht="25.5" x14ac:dyDescent="0.2">
      <c r="A128" s="675" t="str">
        <f ca="1">ORÇAMENTO!C128</f>
        <v>S</v>
      </c>
      <c r="B128" s="675">
        <f ca="1">ORÇAMENTO!D128</f>
        <v>0</v>
      </c>
      <c r="C128" s="115" t="str">
        <f t="shared" ca="1" si="8"/>
        <v/>
      </c>
      <c r="D128" s="118" t="str">
        <f ca="1">ORÇAMENTO!O128</f>
        <v>-</v>
      </c>
      <c r="E128" s="164" t="str">
        <f t="shared" ca="1" si="9"/>
        <v>(abra o arquivo 'Referência 09-2025.xlsm)</v>
      </c>
      <c r="F128" s="165" t="str">
        <f ca="1">IF(RegimeExecucao="Global","",ORÇAMENTO.Unidade)</f>
        <v>-</v>
      </c>
      <c r="G128" s="123">
        <f ca="1">IF(RegimeExecucao="Global","",ORÇAMENTO!T128)</f>
        <v>1</v>
      </c>
      <c r="H128" s="123">
        <f ca="1">IF(RegimeExecucao="Global","",ORÇAMENTO!W128)</f>
        <v>0</v>
      </c>
      <c r="I128" s="126">
        <f ca="1">ORÇAMENTO!X128</f>
        <v>0</v>
      </c>
      <c r="J128" s="334" t="e" cm="1">
        <f t="array" aca="1" ref="J128" ca="1">_xlfn.SINGLE(IF($A128="S",IF(CAIXA.Modo,BM.AFAnterior,BM.MEDAnterior),IF(AND(_xlfn.SINGLE(RegimeExecucao)="Global",$I128&gt;0,COUNTIF($AB$13:$AM$13,BM.medicao-1)&gt;0),M128/$I128*100,0)))</f>
        <v>#NAME?</v>
      </c>
      <c r="K128" s="123" t="e">
        <f t="shared" ca="1" si="10"/>
        <v>#NAME?</v>
      </c>
      <c r="L128" s="335" t="e" cm="1">
        <f t="array" aca="1" ref="L128" ca="1">_xlfn.SINGLE(IF($A128="S",IF(CAIXA.Modo,BM.AFAcumulado,BM.MEDAcumulado),IF(AND(_xlfn.SINGLE(RegimeExecucao)="Global",$I128&gt;0,COUNTIF($AB$13:$AM$13,BM.medicao)&gt;0),O128/$I128*100,0)))</f>
        <v>#NAME?</v>
      </c>
      <c r="M128" s="336">
        <f ca="1">IF($A128="S",VTOTALBM,IF($A128=0,0,ROUND(SomaAgrupBM,15-13*ORÇAMENTO!$AF$11)))</f>
        <v>0</v>
      </c>
      <c r="N128" s="337">
        <f t="shared" ca="1" si="11"/>
        <v>0</v>
      </c>
      <c r="O128" s="126">
        <f ca="1">IF($A128="S",VTOTALBM,IF($A128=0,0,ROUND(SomaAgrupBM,15-13*ORÇAMENTO!$AF$11)))</f>
        <v>0</v>
      </c>
      <c r="Q128" s="338"/>
      <c r="R128" s="339"/>
      <c r="T128" s="118" t="str">
        <f t="shared" ca="1" si="12"/>
        <v/>
      </c>
      <c r="U128" s="164" t="str">
        <f t="shared" ca="1" si="13"/>
        <v/>
      </c>
      <c r="V128" s="165" t="str">
        <f ca="1">IF(AND($W128&gt;0,RegimeExecucao="Unitário"),$F128,"")</f>
        <v/>
      </c>
      <c r="W128" s="455">
        <f ca="1">IF($Y128&gt;0,CHOOSE(MATCH(RegimeExecucao,{"Unitário","Global"},0),IF($A128="S",$Y128/$X128,""),($Y128/$X128)*100),0)</f>
        <v>0</v>
      </c>
      <c r="X128" s="340" t="str">
        <f ca="1">IF($Y128&gt;0,CHOOSE(MATCH(RegimeExecucao,{"Unitário","Global"},0),IF($A128="S",ROUND($H128,ORÇAMENTO!$AF$10),""),ROUND($I128,ORÇAMENTO!$AF$11)),"")</f>
        <v/>
      </c>
      <c r="Y128" s="340">
        <f t="shared" ca="1" si="14"/>
        <v>0</v>
      </c>
      <c r="Z128" s="474"/>
      <c r="AB128" s="338"/>
      <c r="AC128" s="438"/>
      <c r="AD128" s="438"/>
      <c r="AE128" s="438"/>
      <c r="AF128" s="438"/>
      <c r="AG128" s="438"/>
      <c r="AH128" s="438"/>
      <c r="AI128" s="438"/>
      <c r="AJ128" s="438"/>
      <c r="AK128" s="438"/>
      <c r="AL128" s="438"/>
      <c r="AM128" s="339"/>
      <c r="AO128" s="675">
        <f ca="1">IF($A128="S",IF(BM!$I128=0,0,CHOOSE(MATCH(RegimeExecucao,{"Global","Unitário"},0),ROUND(ROUND(BM.MEDAcumulado,15-13*BM!$A$9)/100*BM!$I128,15-13*ORÇAMENTO!$AF$11),ROUND(ROUND(BM.MEDAcumulado,15-13*BM!$A$9)*ROUND(BM!$H128,15-13*ORÇAMENTO!$AF$10),15-13*ORÇAMENTO!$AF$11))),IF($A128=0,0,ROUND(SomaAgrupBM,15-13*ORÇAMENTO!$AF$11)))</f>
        <v>0</v>
      </c>
    </row>
    <row r="129" spans="1:41" s="675" customFormat="1" x14ac:dyDescent="0.2">
      <c r="A129" s="675">
        <f ca="1">ORÇAMENTO!C129</f>
        <v>2</v>
      </c>
      <c r="B129" s="675">
        <f ca="1">ORÇAMENTO!D129</f>
        <v>4</v>
      </c>
      <c r="C129" s="115" t="str">
        <f t="shared" ca="1" si="8"/>
        <v>F</v>
      </c>
      <c r="D129" s="118" t="str">
        <f ca="1">ORÇAMENTO!O129</f>
        <v>1.16.</v>
      </c>
      <c r="E129" s="164" t="str">
        <f t="shared" si="9"/>
        <v>ASSENTAMENTOS</v>
      </c>
      <c r="F129" s="165" t="str">
        <f ca="1">IF(RegimeExecucao="Global","",ORÇAMENTO.Unidade)</f>
        <v>-</v>
      </c>
      <c r="G129" s="123">
        <f ca="1">IF(RegimeExecucao="Global","",ORÇAMENTO!T129)</f>
        <v>0</v>
      </c>
      <c r="H129" s="123">
        <f ca="1">IF(RegimeExecucao="Global","",ORÇAMENTO!W129)</f>
        <v>0</v>
      </c>
      <c r="I129" s="126">
        <f ca="1">ORÇAMENTO!X129</f>
        <v>0</v>
      </c>
      <c r="J129" s="334" t="e" cm="1">
        <f t="array" aca="1" ref="J129" ca="1">_xlfn.SINGLE(IF($A129="S",IF(CAIXA.Modo,BM.AFAnterior,BM.MEDAnterior),IF(AND(_xlfn.SINGLE(RegimeExecucao)="Global",$I129&gt;0,COUNTIF($AB$13:$AM$13,BM.medicao-1)&gt;0),M129/$I129*100,0)))</f>
        <v>#NAME?</v>
      </c>
      <c r="K129" s="123" t="e">
        <f t="shared" ca="1" si="10"/>
        <v>#NAME?</v>
      </c>
      <c r="L129" s="335" t="e" cm="1">
        <f t="array" aca="1" ref="L129" ca="1">_xlfn.SINGLE(IF($A129="S",IF(CAIXA.Modo,BM.AFAcumulado,BM.MEDAcumulado),IF(AND(_xlfn.SINGLE(RegimeExecucao)="Global",$I129&gt;0,COUNTIF($AB$13:$AM$13,BM.medicao)&gt;0),O129/$I129*100,0)))</f>
        <v>#NAME?</v>
      </c>
      <c r="M129" s="336">
        <f ca="1">IF($A129="S",VTOTALBM,IF($A129=0,0,ROUND(SomaAgrupBM,15-13*ORÇAMENTO!$AF$11)))</f>
        <v>0</v>
      </c>
      <c r="N129" s="337">
        <f t="shared" ca="1" si="11"/>
        <v>0</v>
      </c>
      <c r="O129" s="126">
        <f ca="1">IF($A129="S",VTOTALBM,IF($A129=0,0,ROUND(SomaAgrupBM,15-13*ORÇAMENTO!$AF$11)))</f>
        <v>0</v>
      </c>
      <c r="Q129" s="338"/>
      <c r="R129" s="339"/>
      <c r="T129" s="118" t="str">
        <f t="shared" ca="1" si="12"/>
        <v/>
      </c>
      <c r="U129" s="164" t="str">
        <f t="shared" ca="1" si="13"/>
        <v/>
      </c>
      <c r="V129" s="165" t="str">
        <f ca="1">IF(AND($W129&gt;0,RegimeExecucao="Unitário"),$F129,"")</f>
        <v/>
      </c>
      <c r="W129" s="455">
        <f ca="1">IF($Y129&gt;0,CHOOSE(MATCH(RegimeExecucao,{"Unitário","Global"},0),IF($A129="S",$Y129/$X129,""),($Y129/$X129)*100),0)</f>
        <v>0</v>
      </c>
      <c r="X129" s="340" t="str">
        <f ca="1">IF($Y129&gt;0,CHOOSE(MATCH(RegimeExecucao,{"Unitário","Global"},0),IF($A129="S",ROUND($H129,ORÇAMENTO!$AF$10),""),ROUND($I129,ORÇAMENTO!$AF$11)),"")</f>
        <v/>
      </c>
      <c r="Y129" s="340">
        <f t="shared" ca="1" si="14"/>
        <v>0</v>
      </c>
      <c r="Z129" s="474"/>
      <c r="AB129" s="338"/>
      <c r="AC129" s="438"/>
      <c r="AD129" s="438"/>
      <c r="AE129" s="438"/>
      <c r="AF129" s="438"/>
      <c r="AG129" s="438"/>
      <c r="AH129" s="438"/>
      <c r="AI129" s="438"/>
      <c r="AJ129" s="438"/>
      <c r="AK129" s="438"/>
      <c r="AL129" s="438"/>
      <c r="AM129" s="339"/>
      <c r="AO129" s="675">
        <f ca="1">IF($A129="S",IF(BM!$I129=0,0,CHOOSE(MATCH(RegimeExecucao,{"Global","Unitário"},0),ROUND(ROUND(BM.MEDAcumulado,15-13*BM!$A$9)/100*BM!$I129,15-13*ORÇAMENTO!$AF$11),ROUND(ROUND(BM.MEDAcumulado,15-13*BM!$A$9)*ROUND(BM!$H129,15-13*ORÇAMENTO!$AF$10),15-13*ORÇAMENTO!$AF$11))),IF($A129=0,0,ROUND(SomaAgrupBM,15-13*ORÇAMENTO!$AF$11)))</f>
        <v>0</v>
      </c>
    </row>
    <row r="130" spans="1:41" s="675" customFormat="1" ht="25.5" x14ac:dyDescent="0.2">
      <c r="A130" s="675" t="str">
        <f ca="1">ORÇAMENTO!C130</f>
        <v>S</v>
      </c>
      <c r="B130" s="675">
        <f ca="1">ORÇAMENTO!D130</f>
        <v>0</v>
      </c>
      <c r="C130" s="115" t="str">
        <f t="shared" ca="1" si="8"/>
        <v/>
      </c>
      <c r="D130" s="118" t="str">
        <f ca="1">ORÇAMENTO!O130</f>
        <v>-</v>
      </c>
      <c r="E130" s="164" t="str">
        <f t="shared" ca="1" si="9"/>
        <v>(abra o arquivo 'Referência 09-2025.xlsm)</v>
      </c>
      <c r="F130" s="165" t="str">
        <f ca="1">IF(RegimeExecucao="Global","",ORÇAMENTO.Unidade)</f>
        <v>-</v>
      </c>
      <c r="G130" s="123">
        <f ca="1">IF(RegimeExecucao="Global","",ORÇAMENTO!T130)</f>
        <v>2890</v>
      </c>
      <c r="H130" s="123">
        <f ca="1">IF(RegimeExecucao="Global","",ORÇAMENTO!W130)</f>
        <v>0</v>
      </c>
      <c r="I130" s="126">
        <f ca="1">ORÇAMENTO!X130</f>
        <v>0</v>
      </c>
      <c r="J130" s="334" t="e" cm="1">
        <f t="array" aca="1" ref="J130" ca="1">_xlfn.SINGLE(IF($A130="S",IF(CAIXA.Modo,BM.AFAnterior,BM.MEDAnterior),IF(AND(_xlfn.SINGLE(RegimeExecucao)="Global",$I130&gt;0,COUNTIF($AB$13:$AM$13,BM.medicao-1)&gt;0),M130/$I130*100,0)))</f>
        <v>#NAME?</v>
      </c>
      <c r="K130" s="123" t="e">
        <f t="shared" ca="1" si="10"/>
        <v>#NAME?</v>
      </c>
      <c r="L130" s="335" t="e" cm="1">
        <f t="array" aca="1" ref="L130" ca="1">_xlfn.SINGLE(IF($A130="S",IF(CAIXA.Modo,BM.AFAcumulado,BM.MEDAcumulado),IF(AND(_xlfn.SINGLE(RegimeExecucao)="Global",$I130&gt;0,COUNTIF($AB$13:$AM$13,BM.medicao)&gt;0),O130/$I130*100,0)))</f>
        <v>#NAME?</v>
      </c>
      <c r="M130" s="336">
        <f ca="1">IF($A130="S",VTOTALBM,IF($A130=0,0,ROUND(SomaAgrupBM,15-13*ORÇAMENTO!$AF$11)))</f>
        <v>0</v>
      </c>
      <c r="N130" s="337">
        <f t="shared" ca="1" si="11"/>
        <v>0</v>
      </c>
      <c r="O130" s="126">
        <f ca="1">IF($A130="S",VTOTALBM,IF($A130=0,0,ROUND(SomaAgrupBM,15-13*ORÇAMENTO!$AF$11)))</f>
        <v>0</v>
      </c>
      <c r="Q130" s="338"/>
      <c r="R130" s="339"/>
      <c r="T130" s="118" t="str">
        <f t="shared" ca="1" si="12"/>
        <v/>
      </c>
      <c r="U130" s="164" t="str">
        <f t="shared" ca="1" si="13"/>
        <v/>
      </c>
      <c r="V130" s="165" t="str">
        <f ca="1">IF(AND($W130&gt;0,RegimeExecucao="Unitário"),$F130,"")</f>
        <v/>
      </c>
      <c r="W130" s="455">
        <f ca="1">IF($Y130&gt;0,CHOOSE(MATCH(RegimeExecucao,{"Unitário","Global"},0),IF($A130="S",$Y130/$X130,""),($Y130/$X130)*100),0)</f>
        <v>0</v>
      </c>
      <c r="X130" s="340" t="str">
        <f ca="1">IF($Y130&gt;0,CHOOSE(MATCH(RegimeExecucao,{"Unitário","Global"},0),IF($A130="S",ROUND($H130,ORÇAMENTO!$AF$10),""),ROUND($I130,ORÇAMENTO!$AF$11)),"")</f>
        <v/>
      </c>
      <c r="Y130" s="340">
        <f t="shared" ca="1" si="14"/>
        <v>0</v>
      </c>
      <c r="Z130" s="474"/>
      <c r="AB130" s="338"/>
      <c r="AC130" s="438"/>
      <c r="AD130" s="438"/>
      <c r="AE130" s="438"/>
      <c r="AF130" s="438"/>
      <c r="AG130" s="438"/>
      <c r="AH130" s="438"/>
      <c r="AI130" s="438"/>
      <c r="AJ130" s="438"/>
      <c r="AK130" s="438"/>
      <c r="AL130" s="438"/>
      <c r="AM130" s="339"/>
      <c r="AO130" s="675">
        <f ca="1">IF($A130="S",IF(BM!$I130=0,0,CHOOSE(MATCH(RegimeExecucao,{"Global","Unitário"},0),ROUND(ROUND(BM.MEDAcumulado,15-13*BM!$A$9)/100*BM!$I130,15-13*ORÇAMENTO!$AF$11),ROUND(ROUND(BM.MEDAcumulado,15-13*BM!$A$9)*ROUND(BM!$H130,15-13*ORÇAMENTO!$AF$10),15-13*ORÇAMENTO!$AF$11))),IF($A130=0,0,ROUND(SomaAgrupBM,15-13*ORÇAMENTO!$AF$11)))</f>
        <v>0</v>
      </c>
    </row>
    <row r="131" spans="1:41" s="675" customFormat="1" x14ac:dyDescent="0.2">
      <c r="A131" s="675" t="str">
        <f ca="1">ORÇAMENTO!C131</f>
        <v>S</v>
      </c>
      <c r="B131" s="675">
        <f ca="1">ORÇAMENTO!D131</f>
        <v>0</v>
      </c>
      <c r="C131" s="115" t="str">
        <f t="shared" ca="1" si="8"/>
        <v/>
      </c>
      <c r="D131" s="118" t="str">
        <f ca="1">ORÇAMENTO!O131</f>
        <v>-</v>
      </c>
      <c r="E131" s="164" t="str">
        <f t="shared" ca="1" si="9"/>
        <v>(abra o arquivo 'Referência 09-2025.xlsm)</v>
      </c>
      <c r="F131" s="165" t="str">
        <f ca="1">IF(RegimeExecucao="Global","",ORÇAMENTO.Unidade)</f>
        <v>-</v>
      </c>
      <c r="G131" s="123">
        <f ca="1">IF(RegimeExecucao="Global","",ORÇAMENTO!T131)</f>
        <v>1192</v>
      </c>
      <c r="H131" s="123">
        <f ca="1">IF(RegimeExecucao="Global","",ORÇAMENTO!W131)</f>
        <v>0</v>
      </c>
      <c r="I131" s="126">
        <f ca="1">ORÇAMENTO!X131</f>
        <v>0</v>
      </c>
      <c r="J131" s="334" t="e" cm="1">
        <f t="array" aca="1" ref="J131" ca="1">_xlfn.SINGLE(IF($A131="S",IF(CAIXA.Modo,BM.AFAnterior,BM.MEDAnterior),IF(AND(_xlfn.SINGLE(RegimeExecucao)="Global",$I131&gt;0,COUNTIF($AB$13:$AM$13,BM.medicao-1)&gt;0),M131/$I131*100,0)))</f>
        <v>#NAME?</v>
      </c>
      <c r="K131" s="123" t="e">
        <f t="shared" ca="1" si="10"/>
        <v>#NAME?</v>
      </c>
      <c r="L131" s="335" t="e" cm="1">
        <f t="array" aca="1" ref="L131" ca="1">_xlfn.SINGLE(IF($A131="S",IF(CAIXA.Modo,BM.AFAcumulado,BM.MEDAcumulado),IF(AND(_xlfn.SINGLE(RegimeExecucao)="Global",$I131&gt;0,COUNTIF($AB$13:$AM$13,BM.medicao)&gt;0),O131/$I131*100,0)))</f>
        <v>#NAME?</v>
      </c>
      <c r="M131" s="336">
        <f ca="1">IF($A131="S",VTOTALBM,IF($A131=0,0,ROUND(SomaAgrupBM,15-13*ORÇAMENTO!$AF$11)))</f>
        <v>0</v>
      </c>
      <c r="N131" s="337">
        <f t="shared" ca="1" si="11"/>
        <v>0</v>
      </c>
      <c r="O131" s="126">
        <f ca="1">IF($A131="S",VTOTALBM,IF($A131=0,0,ROUND(SomaAgrupBM,15-13*ORÇAMENTO!$AF$11)))</f>
        <v>0</v>
      </c>
      <c r="Q131" s="338"/>
      <c r="R131" s="339"/>
      <c r="T131" s="118" t="str">
        <f t="shared" ca="1" si="12"/>
        <v/>
      </c>
      <c r="U131" s="164" t="str">
        <f t="shared" ca="1" si="13"/>
        <v/>
      </c>
      <c r="V131" s="165" t="str">
        <f ca="1">IF(AND($W131&gt;0,RegimeExecucao="Unitário"),$F131,"")</f>
        <v/>
      </c>
      <c r="W131" s="455">
        <f ca="1">IF($Y131&gt;0,CHOOSE(MATCH(RegimeExecucao,{"Unitário","Global"},0),IF($A131="S",$Y131/$X131,""),($Y131/$X131)*100),0)</f>
        <v>0</v>
      </c>
      <c r="X131" s="340" t="str">
        <f ca="1">IF($Y131&gt;0,CHOOSE(MATCH(RegimeExecucao,{"Unitário","Global"},0),IF($A131="S",ROUND($H131,ORÇAMENTO!$AF$10),""),ROUND($I131,ORÇAMENTO!$AF$11)),"")</f>
        <v/>
      </c>
      <c r="Y131" s="340">
        <f t="shared" ca="1" si="14"/>
        <v>0</v>
      </c>
      <c r="Z131" s="474"/>
      <c r="AB131" s="338"/>
      <c r="AC131" s="438"/>
      <c r="AD131" s="438"/>
      <c r="AE131" s="438"/>
      <c r="AF131" s="438"/>
      <c r="AG131" s="438"/>
      <c r="AH131" s="438"/>
      <c r="AI131" s="438"/>
      <c r="AJ131" s="438"/>
      <c r="AK131" s="438"/>
      <c r="AL131" s="438"/>
      <c r="AM131" s="339"/>
      <c r="AO131" s="675">
        <f ca="1">IF($A131="S",IF(BM!$I131=0,0,CHOOSE(MATCH(RegimeExecucao,{"Global","Unitário"},0),ROUND(ROUND(BM.MEDAcumulado,15-13*BM!$A$9)/100*BM!$I131,15-13*ORÇAMENTO!$AF$11),ROUND(ROUND(BM.MEDAcumulado,15-13*BM!$A$9)*ROUND(BM!$H131,15-13*ORÇAMENTO!$AF$10),15-13*ORÇAMENTO!$AF$11))),IF($A131=0,0,ROUND(SomaAgrupBM,15-13*ORÇAMENTO!$AF$11)))</f>
        <v>0</v>
      </c>
    </row>
    <row r="132" spans="1:41" s="705" customFormat="1" x14ac:dyDescent="0.2">
      <c r="A132" s="705" t="str">
        <f ca="1">ORÇAMENTO!C132</f>
        <v>S</v>
      </c>
      <c r="B132" s="705">
        <f ca="1">ORÇAMENTO!D132</f>
        <v>0</v>
      </c>
      <c r="C132" s="115" t="str">
        <f ca="1">IF(OR($I132&gt;0,$A132=1,$A132=2,$A132=3,$A132=4),"F","")</f>
        <v/>
      </c>
      <c r="D132" s="118" t="str">
        <f ca="1">ORÇAMENTO!O132</f>
        <v>-</v>
      </c>
      <c r="E132" s="164" t="str">
        <f ca="1">ORÇAMENTO.Descricao</f>
        <v>(abra o arquivo 'Referência 09-2025.xlsm)</v>
      </c>
      <c r="F132" s="165" t="str">
        <f ca="1">IF(RegimeExecucao="Global","",ORÇAMENTO.Unidade)</f>
        <v>-</v>
      </c>
      <c r="G132" s="123">
        <f ca="1">IF(RegimeExecucao="Global","",ORÇAMENTO!T132)</f>
        <v>1698</v>
      </c>
      <c r="H132" s="123">
        <f ca="1">IF(RegimeExecucao="Global","",ORÇAMENTO!W132)</f>
        <v>0</v>
      </c>
      <c r="I132" s="126">
        <f ca="1">ORÇAMENTO!X132</f>
        <v>0</v>
      </c>
      <c r="J132" s="334" t="e" cm="1">
        <f t="array" aca="1" ref="J132" ca="1">_xlfn.SINGLE(IF($A132="S",IF(CAIXA.Modo,BM.AFAnterior,BM.MEDAnterior),IF(AND(_xlfn.SINGLE(RegimeExecucao)="Global",$I132&gt;0,COUNTIF($AB$13:$AM$13,BM.medicao-1)&gt;0),M132/$I132*100,0)))</f>
        <v>#NAME?</v>
      </c>
      <c r="K132" s="123" t="e">
        <f ca="1">L132-J132</f>
        <v>#NAME?</v>
      </c>
      <c r="L132" s="335" t="e" cm="1">
        <f t="array" aca="1" ref="L132" ca="1">_xlfn.SINGLE(IF($A132="S",IF(CAIXA.Modo,BM.AFAcumulado,BM.MEDAcumulado),IF(AND(_xlfn.SINGLE(RegimeExecucao)="Global",$I132&gt;0,COUNTIF($AB$13:$AM$13,BM.medicao)&gt;0),O132/$I132*100,0)))</f>
        <v>#NAME?</v>
      </c>
      <c r="M132" s="336">
        <f ca="1">IF($A132="S",VTOTALBM,IF($A132=0,0,ROUND(SomaAgrupBM,15-13*ORÇAMENTO!$AF$11)))</f>
        <v>0</v>
      </c>
      <c r="N132" s="337">
        <f ca="1">O132-M132</f>
        <v>0</v>
      </c>
      <c r="O132" s="126">
        <f ca="1">IF($A132="S",VTOTALBM,IF($A132=0,0,ROUND(SomaAgrupBM,15-13*ORÇAMENTO!$AF$11)))</f>
        <v>0</v>
      </c>
      <c r="Q132" s="338"/>
      <c r="R132" s="339"/>
      <c r="T132" s="118" t="str">
        <f ca="1">IF($W132&gt;0,$D132,"")</f>
        <v/>
      </c>
      <c r="U132" s="164" t="str">
        <f ca="1">IF($W132&gt;0,$E132,"")</f>
        <v/>
      </c>
      <c r="V132" s="165" t="str">
        <f ca="1">IF(AND($W132&gt;0,RegimeExecucao="Unitário"),$F132,"")</f>
        <v/>
      </c>
      <c r="W132" s="455">
        <f ca="1">IF($Y132&gt;0,CHOOSE(MATCH(RegimeExecucao,{"Unitário","Global"},0),IF($A132="S",$Y132/$X132,""),($Y132/$X132)*100),0)</f>
        <v>0</v>
      </c>
      <c r="X132" s="340" t="str">
        <f ca="1">IF($Y132&gt;0,CHOOSE(MATCH(RegimeExecucao,{"Unitário","Global"},0),IF($A132="S",ROUND($H132,ORÇAMENTO!$AF$10),""),ROUND($I132,ORÇAMENTO!$AF$11)),"")</f>
        <v/>
      </c>
      <c r="Y132" s="340">
        <f ca="1">AO132-O132</f>
        <v>0</v>
      </c>
      <c r="Z132" s="474"/>
      <c r="AB132" s="338"/>
      <c r="AC132" s="438"/>
      <c r="AD132" s="438"/>
      <c r="AE132" s="438"/>
      <c r="AF132" s="438"/>
      <c r="AG132" s="438"/>
      <c r="AH132" s="438"/>
      <c r="AI132" s="438"/>
      <c r="AJ132" s="438"/>
      <c r="AK132" s="438"/>
      <c r="AL132" s="438"/>
      <c r="AM132" s="339"/>
      <c r="AO132" s="705">
        <f ca="1">IF($A132="S",IF(BM!$I132=0,0,CHOOSE(MATCH(RegimeExecucao,{"Global","Unitário"},0),ROUND(ROUND(BM.MEDAcumulado,15-13*BM!$A$9)/100*BM!$I132,15-13*ORÇAMENTO!$AF$11),ROUND(ROUND(BM.MEDAcumulado,15-13*BM!$A$9)*ROUND(BM!$H132,15-13*ORÇAMENTO!$AF$10),15-13*ORÇAMENTO!$AF$11))),IF($A132=0,0,ROUND(SomaAgrupBM,15-13*ORÇAMENTO!$AF$11)))</f>
        <v>0</v>
      </c>
    </row>
    <row r="133" spans="1:41" s="675" customFormat="1" x14ac:dyDescent="0.2">
      <c r="A133" s="675">
        <f ca="1">ORÇAMENTO!C133</f>
        <v>2</v>
      </c>
      <c r="B133" s="675">
        <f ca="1">ORÇAMENTO!D133</f>
        <v>7</v>
      </c>
      <c r="C133" s="115" t="str">
        <f t="shared" ca="1" si="8"/>
        <v>F</v>
      </c>
      <c r="D133" s="118" t="str">
        <f ca="1">ORÇAMENTO!O133</f>
        <v>1.17.</v>
      </c>
      <c r="E133" s="164" t="str">
        <f t="shared" si="9"/>
        <v>POÇO DE VISITA</v>
      </c>
      <c r="F133" s="165" t="str">
        <f ca="1">IF(RegimeExecucao="Global","",ORÇAMENTO.Unidade)</f>
        <v>-</v>
      </c>
      <c r="G133" s="123">
        <f ca="1">IF(RegimeExecucao="Global","",ORÇAMENTO!T133)</f>
        <v>0</v>
      </c>
      <c r="H133" s="123">
        <f ca="1">IF(RegimeExecucao="Global","",ORÇAMENTO!W133)</f>
        <v>0</v>
      </c>
      <c r="I133" s="126">
        <f ca="1">ORÇAMENTO!X133</f>
        <v>0</v>
      </c>
      <c r="J133" s="334" t="e" cm="1">
        <f t="array" aca="1" ref="J133" ca="1">_xlfn.SINGLE(IF($A133="S",IF(CAIXA.Modo,BM.AFAnterior,BM.MEDAnterior),IF(AND(_xlfn.SINGLE(RegimeExecucao)="Global",$I133&gt;0,COUNTIF($AB$13:$AM$13,BM.medicao-1)&gt;0),M133/$I133*100,0)))</f>
        <v>#NAME?</v>
      </c>
      <c r="K133" s="123" t="e">
        <f t="shared" ca="1" si="10"/>
        <v>#NAME?</v>
      </c>
      <c r="L133" s="335" t="e" cm="1">
        <f t="array" aca="1" ref="L133" ca="1">_xlfn.SINGLE(IF($A133="S",IF(CAIXA.Modo,BM.AFAcumulado,BM.MEDAcumulado),IF(AND(_xlfn.SINGLE(RegimeExecucao)="Global",$I133&gt;0,COUNTIF($AB$13:$AM$13,BM.medicao)&gt;0),O133/$I133*100,0)))</f>
        <v>#NAME?</v>
      </c>
      <c r="M133" s="336">
        <f ca="1">IF($A133="S",VTOTALBM,IF($A133=0,0,ROUND(SomaAgrupBM,15-13*ORÇAMENTO!$AF$11)))</f>
        <v>0</v>
      </c>
      <c r="N133" s="337">
        <f t="shared" ca="1" si="11"/>
        <v>0</v>
      </c>
      <c r="O133" s="126">
        <f ca="1">IF($A133="S",VTOTALBM,IF($A133=0,0,ROUND(SomaAgrupBM,15-13*ORÇAMENTO!$AF$11)))</f>
        <v>0</v>
      </c>
      <c r="Q133" s="338"/>
      <c r="R133" s="339"/>
      <c r="T133" s="118" t="str">
        <f t="shared" ca="1" si="12"/>
        <v/>
      </c>
      <c r="U133" s="164" t="str">
        <f t="shared" ca="1" si="13"/>
        <v/>
      </c>
      <c r="V133" s="165" t="str">
        <f ca="1">IF(AND($W133&gt;0,RegimeExecucao="Unitário"),$F133,"")</f>
        <v/>
      </c>
      <c r="W133" s="455">
        <f ca="1">IF($Y133&gt;0,CHOOSE(MATCH(RegimeExecucao,{"Unitário","Global"},0),IF($A133="S",$Y133/$X133,""),($Y133/$X133)*100),0)</f>
        <v>0</v>
      </c>
      <c r="X133" s="340" t="str">
        <f ca="1">IF($Y133&gt;0,CHOOSE(MATCH(RegimeExecucao,{"Unitário","Global"},0),IF($A133="S",ROUND($H133,ORÇAMENTO!$AF$10),""),ROUND($I133,ORÇAMENTO!$AF$11)),"")</f>
        <v/>
      </c>
      <c r="Y133" s="340">
        <f t="shared" ca="1" si="14"/>
        <v>0</v>
      </c>
      <c r="Z133" s="474"/>
      <c r="AB133" s="338"/>
      <c r="AC133" s="438"/>
      <c r="AD133" s="438"/>
      <c r="AE133" s="438"/>
      <c r="AF133" s="438"/>
      <c r="AG133" s="438"/>
      <c r="AH133" s="438"/>
      <c r="AI133" s="438"/>
      <c r="AJ133" s="438"/>
      <c r="AK133" s="438"/>
      <c r="AL133" s="438"/>
      <c r="AM133" s="339"/>
      <c r="AO133" s="675">
        <f ca="1">IF($A133="S",IF(BM!$I133=0,0,CHOOSE(MATCH(RegimeExecucao,{"Global","Unitário"},0),ROUND(ROUND(BM.MEDAcumulado,15-13*BM!$A$9)/100*BM!$I133,15-13*ORÇAMENTO!$AF$11),ROUND(ROUND(BM.MEDAcumulado,15-13*BM!$A$9)*ROUND(BM!$H133,15-13*ORÇAMENTO!$AF$10),15-13*ORÇAMENTO!$AF$11))),IF($A133=0,0,ROUND(SomaAgrupBM,15-13*ORÇAMENTO!$AF$11)))</f>
        <v>0</v>
      </c>
    </row>
    <row r="134" spans="1:41" s="675" customFormat="1" ht="25.5" x14ac:dyDescent="0.2">
      <c r="A134" s="675" t="str">
        <f ca="1">ORÇAMENTO!C134</f>
        <v>S</v>
      </c>
      <c r="B134" s="675">
        <f ca="1">ORÇAMENTO!D134</f>
        <v>0</v>
      </c>
      <c r="C134" s="115" t="str">
        <f t="shared" ca="1" si="8"/>
        <v/>
      </c>
      <c r="D134" s="118" t="str">
        <f ca="1">ORÇAMENTO!O134</f>
        <v>-</v>
      </c>
      <c r="E134" s="164" t="str">
        <f t="shared" ca="1" si="9"/>
        <v>(abra o arquivo 'Referência 09-2025.xlsm)</v>
      </c>
      <c r="F134" s="165" t="str">
        <f ca="1">IF(RegimeExecucao="Global","",ORÇAMENTO.Unidade)</f>
        <v>-</v>
      </c>
      <c r="G134" s="123">
        <f ca="1">IF(RegimeExecucao="Global","",ORÇAMENTO!T134)</f>
        <v>28</v>
      </c>
      <c r="H134" s="123">
        <f ca="1">IF(RegimeExecucao="Global","",ORÇAMENTO!W134)</f>
        <v>0</v>
      </c>
      <c r="I134" s="126">
        <f ca="1">ORÇAMENTO!X134</f>
        <v>0</v>
      </c>
      <c r="J134" s="334" t="e" cm="1">
        <f t="array" aca="1" ref="J134" ca="1">_xlfn.SINGLE(IF($A134="S",IF(CAIXA.Modo,BM.AFAnterior,BM.MEDAnterior),IF(AND(_xlfn.SINGLE(RegimeExecucao)="Global",$I134&gt;0,COUNTIF($AB$13:$AM$13,BM.medicao-1)&gt;0),M134/$I134*100,0)))</f>
        <v>#NAME?</v>
      </c>
      <c r="K134" s="123" t="e">
        <f t="shared" ca="1" si="10"/>
        <v>#NAME?</v>
      </c>
      <c r="L134" s="335" t="e" cm="1">
        <f t="array" aca="1" ref="L134" ca="1">_xlfn.SINGLE(IF($A134="S",IF(CAIXA.Modo,BM.AFAcumulado,BM.MEDAcumulado),IF(AND(_xlfn.SINGLE(RegimeExecucao)="Global",$I134&gt;0,COUNTIF($AB$13:$AM$13,BM.medicao)&gt;0),O134/$I134*100,0)))</f>
        <v>#NAME?</v>
      </c>
      <c r="M134" s="336">
        <f ca="1">IF($A134="S",VTOTALBM,IF($A134=0,0,ROUND(SomaAgrupBM,15-13*ORÇAMENTO!$AF$11)))</f>
        <v>0</v>
      </c>
      <c r="N134" s="337">
        <f t="shared" ca="1" si="11"/>
        <v>0</v>
      </c>
      <c r="O134" s="126">
        <f ca="1">IF($A134="S",VTOTALBM,IF($A134=0,0,ROUND(SomaAgrupBM,15-13*ORÇAMENTO!$AF$11)))</f>
        <v>0</v>
      </c>
      <c r="Q134" s="338"/>
      <c r="R134" s="339"/>
      <c r="T134" s="118" t="str">
        <f t="shared" ca="1" si="12"/>
        <v/>
      </c>
      <c r="U134" s="164" t="str">
        <f t="shared" ca="1" si="13"/>
        <v/>
      </c>
      <c r="V134" s="165" t="str">
        <f ca="1">IF(AND($W134&gt;0,RegimeExecucao="Unitário"),$F134,"")</f>
        <v/>
      </c>
      <c r="W134" s="455">
        <f ca="1">IF($Y134&gt;0,CHOOSE(MATCH(RegimeExecucao,{"Unitário","Global"},0),IF($A134="S",$Y134/$X134,""),($Y134/$X134)*100),0)</f>
        <v>0</v>
      </c>
      <c r="X134" s="340" t="str">
        <f ca="1">IF($Y134&gt;0,CHOOSE(MATCH(RegimeExecucao,{"Unitário","Global"},0),IF($A134="S",ROUND($H134,ORÇAMENTO!$AF$10),""),ROUND($I134,ORÇAMENTO!$AF$11)),"")</f>
        <v/>
      </c>
      <c r="Y134" s="340">
        <f t="shared" ca="1" si="14"/>
        <v>0</v>
      </c>
      <c r="Z134" s="474"/>
      <c r="AB134" s="338"/>
      <c r="AC134" s="438"/>
      <c r="AD134" s="438"/>
      <c r="AE134" s="438"/>
      <c r="AF134" s="438"/>
      <c r="AG134" s="438"/>
      <c r="AH134" s="438"/>
      <c r="AI134" s="438"/>
      <c r="AJ134" s="438"/>
      <c r="AK134" s="438"/>
      <c r="AL134" s="438"/>
      <c r="AM134" s="339"/>
      <c r="AO134" s="675">
        <f ca="1">IF($A134="S",IF(BM!$I134=0,0,CHOOSE(MATCH(RegimeExecucao,{"Global","Unitário"},0),ROUND(ROUND(BM.MEDAcumulado,15-13*BM!$A$9)/100*BM!$I134,15-13*ORÇAMENTO!$AF$11),ROUND(ROUND(BM.MEDAcumulado,15-13*BM!$A$9)*ROUND(BM!$H134,15-13*ORÇAMENTO!$AF$10),15-13*ORÇAMENTO!$AF$11))),IF($A134=0,0,ROUND(SomaAgrupBM,15-13*ORÇAMENTO!$AF$11)))</f>
        <v>0</v>
      </c>
    </row>
    <row r="135" spans="1:41" s="675" customFormat="1" ht="25.5" x14ac:dyDescent="0.2">
      <c r="A135" s="675" t="str">
        <f ca="1">ORÇAMENTO!C135</f>
        <v>S</v>
      </c>
      <c r="B135" s="675">
        <f ca="1">ORÇAMENTO!D135</f>
        <v>0</v>
      </c>
      <c r="C135" s="115" t="str">
        <f t="shared" ca="1" si="8"/>
        <v/>
      </c>
      <c r="D135" s="118" t="str">
        <f ca="1">ORÇAMENTO!O135</f>
        <v>-</v>
      </c>
      <c r="E135" s="164" t="str">
        <f t="shared" ca="1" si="9"/>
        <v>(abra o arquivo 'Referência 09-2025.xlsm)</v>
      </c>
      <c r="F135" s="165" t="str">
        <f ca="1">IF(RegimeExecucao="Global","",ORÇAMENTO.Unidade)</f>
        <v>-</v>
      </c>
      <c r="G135" s="123">
        <f ca="1">IF(RegimeExecucao="Global","",ORÇAMENTO!T135)</f>
        <v>7</v>
      </c>
      <c r="H135" s="123">
        <f ca="1">IF(RegimeExecucao="Global","",ORÇAMENTO!W135)</f>
        <v>0</v>
      </c>
      <c r="I135" s="126">
        <f ca="1">ORÇAMENTO!X135</f>
        <v>0</v>
      </c>
      <c r="J135" s="334" t="e" cm="1">
        <f t="array" aca="1" ref="J135" ca="1">_xlfn.SINGLE(IF($A135="S",IF(CAIXA.Modo,BM.AFAnterior,BM.MEDAnterior),IF(AND(_xlfn.SINGLE(RegimeExecucao)="Global",$I135&gt;0,COUNTIF($AB$13:$AM$13,BM.medicao-1)&gt;0),M135/$I135*100,0)))</f>
        <v>#NAME?</v>
      </c>
      <c r="K135" s="123" t="e">
        <f t="shared" ca="1" si="10"/>
        <v>#NAME?</v>
      </c>
      <c r="L135" s="335" t="e" cm="1">
        <f t="array" aca="1" ref="L135" ca="1">_xlfn.SINGLE(IF($A135="S",IF(CAIXA.Modo,BM.AFAcumulado,BM.MEDAcumulado),IF(AND(_xlfn.SINGLE(RegimeExecucao)="Global",$I135&gt;0,COUNTIF($AB$13:$AM$13,BM.medicao)&gt;0),O135/$I135*100,0)))</f>
        <v>#NAME?</v>
      </c>
      <c r="M135" s="336">
        <f ca="1">IF($A135="S",VTOTALBM,IF($A135=0,0,ROUND(SomaAgrupBM,15-13*ORÇAMENTO!$AF$11)))</f>
        <v>0</v>
      </c>
      <c r="N135" s="337">
        <f t="shared" ca="1" si="11"/>
        <v>0</v>
      </c>
      <c r="O135" s="126">
        <f ca="1">IF($A135="S",VTOTALBM,IF($A135=0,0,ROUND(SomaAgrupBM,15-13*ORÇAMENTO!$AF$11)))</f>
        <v>0</v>
      </c>
      <c r="Q135" s="338"/>
      <c r="R135" s="339"/>
      <c r="T135" s="118" t="str">
        <f t="shared" ca="1" si="12"/>
        <v/>
      </c>
      <c r="U135" s="164" t="str">
        <f t="shared" ca="1" si="13"/>
        <v/>
      </c>
      <c r="V135" s="165" t="str">
        <f ca="1">IF(AND($W135&gt;0,RegimeExecucao="Unitário"),$F135,"")</f>
        <v/>
      </c>
      <c r="W135" s="455">
        <f ca="1">IF($Y135&gt;0,CHOOSE(MATCH(RegimeExecucao,{"Unitário","Global"},0),IF($A135="S",$Y135/$X135,""),($Y135/$X135)*100),0)</f>
        <v>0</v>
      </c>
      <c r="X135" s="340" t="str">
        <f ca="1">IF($Y135&gt;0,CHOOSE(MATCH(RegimeExecucao,{"Unitário","Global"},0),IF($A135="S",ROUND($H135,ORÇAMENTO!$AF$10),""),ROUND($I135,ORÇAMENTO!$AF$11)),"")</f>
        <v/>
      </c>
      <c r="Y135" s="340">
        <f t="shared" ca="1" si="14"/>
        <v>0</v>
      </c>
      <c r="Z135" s="474"/>
      <c r="AB135" s="338"/>
      <c r="AC135" s="438"/>
      <c r="AD135" s="438"/>
      <c r="AE135" s="438"/>
      <c r="AF135" s="438"/>
      <c r="AG135" s="438"/>
      <c r="AH135" s="438"/>
      <c r="AI135" s="438"/>
      <c r="AJ135" s="438"/>
      <c r="AK135" s="438"/>
      <c r="AL135" s="438"/>
      <c r="AM135" s="339"/>
      <c r="AO135" s="675">
        <f ca="1">IF($A135="S",IF(BM!$I135=0,0,CHOOSE(MATCH(RegimeExecucao,{"Global","Unitário"},0),ROUND(ROUND(BM.MEDAcumulado,15-13*BM!$A$9)/100*BM!$I135,15-13*ORÇAMENTO!$AF$11),ROUND(ROUND(BM.MEDAcumulado,15-13*BM!$A$9)*ROUND(BM!$H135,15-13*ORÇAMENTO!$AF$10),15-13*ORÇAMENTO!$AF$11))),IF($A135=0,0,ROUND(SomaAgrupBM,15-13*ORÇAMENTO!$AF$11)))</f>
        <v>0</v>
      </c>
    </row>
    <row r="136" spans="1:41" s="675" customFormat="1" ht="25.5" x14ac:dyDescent="0.2">
      <c r="A136" s="675" t="str">
        <f ca="1">ORÇAMENTO!C136</f>
        <v>S</v>
      </c>
      <c r="B136" s="675">
        <f ca="1">ORÇAMENTO!D136</f>
        <v>0</v>
      </c>
      <c r="C136" s="115" t="str">
        <f t="shared" ca="1" si="8"/>
        <v/>
      </c>
      <c r="D136" s="118" t="str">
        <f ca="1">ORÇAMENTO!O136</f>
        <v>-</v>
      </c>
      <c r="E136" s="164" t="str">
        <f t="shared" ca="1" si="9"/>
        <v>(abra o arquivo 'Referência 09-2025.xlsm)</v>
      </c>
      <c r="F136" s="165" t="str">
        <f ca="1">IF(RegimeExecucao="Global","",ORÇAMENTO.Unidade)</f>
        <v>-</v>
      </c>
      <c r="G136" s="123">
        <f ca="1">IF(RegimeExecucao="Global","",ORÇAMENTO!T136)</f>
        <v>3</v>
      </c>
      <c r="H136" s="123">
        <f ca="1">IF(RegimeExecucao="Global","",ORÇAMENTO!W136)</f>
        <v>0</v>
      </c>
      <c r="I136" s="126">
        <f ca="1">ORÇAMENTO!X136</f>
        <v>0</v>
      </c>
      <c r="J136" s="334" t="e" cm="1">
        <f t="array" aca="1" ref="J136" ca="1">_xlfn.SINGLE(IF($A136="S",IF(CAIXA.Modo,BM.AFAnterior,BM.MEDAnterior),IF(AND(_xlfn.SINGLE(RegimeExecucao)="Global",$I136&gt;0,COUNTIF($AB$13:$AM$13,BM.medicao-1)&gt;0),M136/$I136*100,0)))</f>
        <v>#NAME?</v>
      </c>
      <c r="K136" s="123" t="e">
        <f t="shared" ca="1" si="10"/>
        <v>#NAME?</v>
      </c>
      <c r="L136" s="335" t="e" cm="1">
        <f t="array" aca="1" ref="L136" ca="1">_xlfn.SINGLE(IF($A136="S",IF(CAIXA.Modo,BM.AFAcumulado,BM.MEDAcumulado),IF(AND(_xlfn.SINGLE(RegimeExecucao)="Global",$I136&gt;0,COUNTIF($AB$13:$AM$13,BM.medicao)&gt;0),O136/$I136*100,0)))</f>
        <v>#NAME?</v>
      </c>
      <c r="M136" s="336">
        <f ca="1">IF($A136="S",VTOTALBM,IF($A136=0,0,ROUND(SomaAgrupBM,15-13*ORÇAMENTO!$AF$11)))</f>
        <v>0</v>
      </c>
      <c r="N136" s="337">
        <f t="shared" ca="1" si="11"/>
        <v>0</v>
      </c>
      <c r="O136" s="126">
        <f ca="1">IF($A136="S",VTOTALBM,IF($A136=0,0,ROUND(SomaAgrupBM,15-13*ORÇAMENTO!$AF$11)))</f>
        <v>0</v>
      </c>
      <c r="Q136" s="338"/>
      <c r="R136" s="339"/>
      <c r="T136" s="118" t="str">
        <f t="shared" ca="1" si="12"/>
        <v/>
      </c>
      <c r="U136" s="164" t="str">
        <f t="shared" ca="1" si="13"/>
        <v/>
      </c>
      <c r="V136" s="165" t="str">
        <f ca="1">IF(AND($W136&gt;0,RegimeExecucao="Unitário"),$F136,"")</f>
        <v/>
      </c>
      <c r="W136" s="455">
        <f ca="1">IF($Y136&gt;0,CHOOSE(MATCH(RegimeExecucao,{"Unitário","Global"},0),IF($A136="S",$Y136/$X136,""),($Y136/$X136)*100),0)</f>
        <v>0</v>
      </c>
      <c r="X136" s="340" t="str">
        <f ca="1">IF($Y136&gt;0,CHOOSE(MATCH(RegimeExecucao,{"Unitário","Global"},0),IF($A136="S",ROUND($H136,ORÇAMENTO!$AF$10),""),ROUND($I136,ORÇAMENTO!$AF$11)),"")</f>
        <v/>
      </c>
      <c r="Y136" s="340">
        <f t="shared" ca="1" si="14"/>
        <v>0</v>
      </c>
      <c r="Z136" s="474"/>
      <c r="AB136" s="338"/>
      <c r="AC136" s="438"/>
      <c r="AD136" s="438"/>
      <c r="AE136" s="438"/>
      <c r="AF136" s="438"/>
      <c r="AG136" s="438"/>
      <c r="AH136" s="438"/>
      <c r="AI136" s="438"/>
      <c r="AJ136" s="438"/>
      <c r="AK136" s="438"/>
      <c r="AL136" s="438"/>
      <c r="AM136" s="339"/>
      <c r="AO136" s="675">
        <f ca="1">IF($A136="S",IF(BM!$I136=0,0,CHOOSE(MATCH(RegimeExecucao,{"Global","Unitário"},0),ROUND(ROUND(BM.MEDAcumulado,15-13*BM!$A$9)/100*BM!$I136,15-13*ORÇAMENTO!$AF$11),ROUND(ROUND(BM.MEDAcumulado,15-13*BM!$A$9)*ROUND(BM!$H136,15-13*ORÇAMENTO!$AF$10),15-13*ORÇAMENTO!$AF$11))),IF($A136=0,0,ROUND(SomaAgrupBM,15-13*ORÇAMENTO!$AF$11)))</f>
        <v>0</v>
      </c>
    </row>
    <row r="137" spans="1:41" s="675" customFormat="1" ht="25.5" x14ac:dyDescent="0.2">
      <c r="A137" s="675" t="str">
        <f ca="1">ORÇAMENTO!C137</f>
        <v>S</v>
      </c>
      <c r="B137" s="675">
        <f ca="1">ORÇAMENTO!D137</f>
        <v>0</v>
      </c>
      <c r="C137" s="115" t="str">
        <f t="shared" ca="1" si="8"/>
        <v/>
      </c>
      <c r="D137" s="118" t="str">
        <f ca="1">ORÇAMENTO!O137</f>
        <v>-</v>
      </c>
      <c r="E137" s="164" t="str">
        <f t="shared" ca="1" si="9"/>
        <v>(abra o arquivo 'Referência 09-2025.xlsm)</v>
      </c>
      <c r="F137" s="165" t="str">
        <f ca="1">IF(RegimeExecucao="Global","",ORÇAMENTO.Unidade)</f>
        <v>-</v>
      </c>
      <c r="G137" s="123">
        <f ca="1">IF(RegimeExecucao="Global","",ORÇAMENTO!T137)</f>
        <v>6</v>
      </c>
      <c r="H137" s="123">
        <f ca="1">IF(RegimeExecucao="Global","",ORÇAMENTO!W137)</f>
        <v>0</v>
      </c>
      <c r="I137" s="126">
        <f ca="1">ORÇAMENTO!X137</f>
        <v>0</v>
      </c>
      <c r="J137" s="334" t="e" cm="1">
        <f t="array" aca="1" ref="J137" ca="1">_xlfn.SINGLE(IF($A137="S",IF(CAIXA.Modo,BM.AFAnterior,BM.MEDAnterior),IF(AND(_xlfn.SINGLE(RegimeExecucao)="Global",$I137&gt;0,COUNTIF($AB$13:$AM$13,BM.medicao-1)&gt;0),M137/$I137*100,0)))</f>
        <v>#NAME?</v>
      </c>
      <c r="K137" s="123" t="e">
        <f t="shared" ca="1" si="10"/>
        <v>#NAME?</v>
      </c>
      <c r="L137" s="335" t="e" cm="1">
        <f t="array" aca="1" ref="L137" ca="1">_xlfn.SINGLE(IF($A137="S",IF(CAIXA.Modo,BM.AFAcumulado,BM.MEDAcumulado),IF(AND(_xlfn.SINGLE(RegimeExecucao)="Global",$I137&gt;0,COUNTIF($AB$13:$AM$13,BM.medicao)&gt;0),O137/$I137*100,0)))</f>
        <v>#NAME?</v>
      </c>
      <c r="M137" s="336">
        <f ca="1">IF($A137="S",VTOTALBM,IF($A137=0,0,ROUND(SomaAgrupBM,15-13*ORÇAMENTO!$AF$11)))</f>
        <v>0</v>
      </c>
      <c r="N137" s="337">
        <f t="shared" ca="1" si="11"/>
        <v>0</v>
      </c>
      <c r="O137" s="126">
        <f ca="1">IF($A137="S",VTOTALBM,IF($A137=0,0,ROUND(SomaAgrupBM,15-13*ORÇAMENTO!$AF$11)))</f>
        <v>0</v>
      </c>
      <c r="Q137" s="338"/>
      <c r="R137" s="339"/>
      <c r="T137" s="118" t="str">
        <f t="shared" ca="1" si="12"/>
        <v/>
      </c>
      <c r="U137" s="164" t="str">
        <f t="shared" ca="1" si="13"/>
        <v/>
      </c>
      <c r="V137" s="165" t="str">
        <f ca="1">IF(AND($W137&gt;0,RegimeExecucao="Unitário"),$F137,"")</f>
        <v/>
      </c>
      <c r="W137" s="455">
        <f ca="1">IF($Y137&gt;0,CHOOSE(MATCH(RegimeExecucao,{"Unitário","Global"},0),IF($A137="S",$Y137/$X137,""),($Y137/$X137)*100),0)</f>
        <v>0</v>
      </c>
      <c r="X137" s="340" t="str">
        <f ca="1">IF($Y137&gt;0,CHOOSE(MATCH(RegimeExecucao,{"Unitário","Global"},0),IF($A137="S",ROUND($H137,ORÇAMENTO!$AF$10),""),ROUND($I137,ORÇAMENTO!$AF$11)),"")</f>
        <v/>
      </c>
      <c r="Y137" s="340">
        <f t="shared" ca="1" si="14"/>
        <v>0</v>
      </c>
      <c r="Z137" s="474"/>
      <c r="AB137" s="338"/>
      <c r="AC137" s="438"/>
      <c r="AD137" s="438"/>
      <c r="AE137" s="438"/>
      <c r="AF137" s="438"/>
      <c r="AG137" s="438"/>
      <c r="AH137" s="438"/>
      <c r="AI137" s="438"/>
      <c r="AJ137" s="438"/>
      <c r="AK137" s="438"/>
      <c r="AL137" s="438"/>
      <c r="AM137" s="339"/>
      <c r="AO137" s="675">
        <f ca="1">IF($A137="S",IF(BM!$I137=0,0,CHOOSE(MATCH(RegimeExecucao,{"Global","Unitário"},0),ROUND(ROUND(BM.MEDAcumulado,15-13*BM!$A$9)/100*BM!$I137,15-13*ORÇAMENTO!$AF$11),ROUND(ROUND(BM.MEDAcumulado,15-13*BM!$A$9)*ROUND(BM!$H137,15-13*ORÇAMENTO!$AF$10),15-13*ORÇAMENTO!$AF$11))),IF($A137=0,0,ROUND(SomaAgrupBM,15-13*ORÇAMENTO!$AF$11)))</f>
        <v>0</v>
      </c>
    </row>
    <row r="138" spans="1:41" s="675" customFormat="1" ht="25.5" x14ac:dyDescent="0.2">
      <c r="A138" s="675" t="str">
        <f ca="1">ORÇAMENTO!C138</f>
        <v>S</v>
      </c>
      <c r="B138" s="675">
        <f ca="1">ORÇAMENTO!D138</f>
        <v>0</v>
      </c>
      <c r="C138" s="115" t="str">
        <f t="shared" ca="1" si="8"/>
        <v/>
      </c>
      <c r="D138" s="118" t="str">
        <f ca="1">ORÇAMENTO!O138</f>
        <v>-</v>
      </c>
      <c r="E138" s="164" t="str">
        <f t="shared" ca="1" si="9"/>
        <v>(abra o arquivo 'Referência 09-2025.xlsm)</v>
      </c>
      <c r="F138" s="165" t="str">
        <f ca="1">IF(RegimeExecucao="Global","",ORÇAMENTO.Unidade)</f>
        <v>-</v>
      </c>
      <c r="G138" s="123">
        <f ca="1">IF(RegimeExecucao="Global","",ORÇAMENTO!T138)</f>
        <v>35</v>
      </c>
      <c r="H138" s="123">
        <f ca="1">IF(RegimeExecucao="Global","",ORÇAMENTO!W138)</f>
        <v>0</v>
      </c>
      <c r="I138" s="126">
        <f ca="1">ORÇAMENTO!X138</f>
        <v>0</v>
      </c>
      <c r="J138" s="334" t="e" cm="1">
        <f t="array" aca="1" ref="J138" ca="1">_xlfn.SINGLE(IF($A138="S",IF(CAIXA.Modo,BM.AFAnterior,BM.MEDAnterior),IF(AND(_xlfn.SINGLE(RegimeExecucao)="Global",$I138&gt;0,COUNTIF($AB$13:$AM$13,BM.medicao-1)&gt;0),M138/$I138*100,0)))</f>
        <v>#NAME?</v>
      </c>
      <c r="K138" s="123" t="e">
        <f t="shared" ca="1" si="10"/>
        <v>#NAME?</v>
      </c>
      <c r="L138" s="335" t="e" cm="1">
        <f t="array" aca="1" ref="L138" ca="1">_xlfn.SINGLE(IF($A138="S",IF(CAIXA.Modo,BM.AFAcumulado,BM.MEDAcumulado),IF(AND(_xlfn.SINGLE(RegimeExecucao)="Global",$I138&gt;0,COUNTIF($AB$13:$AM$13,BM.medicao)&gt;0),O138/$I138*100,0)))</f>
        <v>#NAME?</v>
      </c>
      <c r="M138" s="336">
        <f ca="1">IF($A138="S",VTOTALBM,IF($A138=0,0,ROUND(SomaAgrupBM,15-13*ORÇAMENTO!$AF$11)))</f>
        <v>0</v>
      </c>
      <c r="N138" s="337">
        <f t="shared" ca="1" si="11"/>
        <v>0</v>
      </c>
      <c r="O138" s="126">
        <f ca="1">IF($A138="S",VTOTALBM,IF($A138=0,0,ROUND(SomaAgrupBM,15-13*ORÇAMENTO!$AF$11)))</f>
        <v>0</v>
      </c>
      <c r="Q138" s="338"/>
      <c r="R138" s="339"/>
      <c r="T138" s="118" t="str">
        <f t="shared" ca="1" si="12"/>
        <v/>
      </c>
      <c r="U138" s="164" t="str">
        <f t="shared" ca="1" si="13"/>
        <v/>
      </c>
      <c r="V138" s="165" t="str">
        <f ca="1">IF(AND($W138&gt;0,RegimeExecucao="Unitário"),$F138,"")</f>
        <v/>
      </c>
      <c r="W138" s="455">
        <f ca="1">IF($Y138&gt;0,CHOOSE(MATCH(RegimeExecucao,{"Unitário","Global"},0),IF($A138="S",$Y138/$X138,""),($Y138/$X138)*100),0)</f>
        <v>0</v>
      </c>
      <c r="X138" s="340" t="str">
        <f ca="1">IF($Y138&gt;0,CHOOSE(MATCH(RegimeExecucao,{"Unitário","Global"},0),IF($A138="S",ROUND($H138,ORÇAMENTO!$AF$10),""),ROUND($I138,ORÇAMENTO!$AF$11)),"")</f>
        <v/>
      </c>
      <c r="Y138" s="340">
        <f t="shared" ca="1" si="14"/>
        <v>0</v>
      </c>
      <c r="Z138" s="474"/>
      <c r="AB138" s="338"/>
      <c r="AC138" s="438"/>
      <c r="AD138" s="438"/>
      <c r="AE138" s="438"/>
      <c r="AF138" s="438"/>
      <c r="AG138" s="438"/>
      <c r="AH138" s="438"/>
      <c r="AI138" s="438"/>
      <c r="AJ138" s="438"/>
      <c r="AK138" s="438"/>
      <c r="AL138" s="438"/>
      <c r="AM138" s="339"/>
      <c r="AO138" s="675">
        <f ca="1">IF($A138="S",IF(BM!$I138=0,0,CHOOSE(MATCH(RegimeExecucao,{"Global","Unitário"},0),ROUND(ROUND(BM.MEDAcumulado,15-13*BM!$A$9)/100*BM!$I138,15-13*ORÇAMENTO!$AF$11),ROUND(ROUND(BM.MEDAcumulado,15-13*BM!$A$9)*ROUND(BM!$H138,15-13*ORÇAMENTO!$AF$10),15-13*ORÇAMENTO!$AF$11))),IF($A138=0,0,ROUND(SomaAgrupBM,15-13*ORÇAMENTO!$AF$11)))</f>
        <v>0</v>
      </c>
    </row>
    <row r="139" spans="1:41" s="675" customFormat="1" x14ac:dyDescent="0.2">
      <c r="A139" s="675" t="str">
        <f ca="1">ORÇAMENTO!C139</f>
        <v>S</v>
      </c>
      <c r="B139" s="675">
        <f ca="1">ORÇAMENTO!D139</f>
        <v>0</v>
      </c>
      <c r="C139" s="115" t="str">
        <f t="shared" ca="1" si="8"/>
        <v/>
      </c>
      <c r="D139" s="118" t="str">
        <f ca="1">ORÇAMENTO!O139</f>
        <v>-</v>
      </c>
      <c r="E139" s="164" t="str">
        <f t="shared" ca="1" si="9"/>
        <v>(abra o arquivo 'Referência 09-2025.xlsm)</v>
      </c>
      <c r="F139" s="165" t="str">
        <f ca="1">IF(RegimeExecucao="Global","",ORÇAMENTO.Unidade)</f>
        <v>-</v>
      </c>
      <c r="G139" s="123">
        <f ca="1">IF(RegimeExecucao="Global","",ORÇAMENTO!T139)</f>
        <v>9</v>
      </c>
      <c r="H139" s="123">
        <f ca="1">IF(RegimeExecucao="Global","",ORÇAMENTO!W139)</f>
        <v>0</v>
      </c>
      <c r="I139" s="126">
        <f ca="1">ORÇAMENTO!X139</f>
        <v>0</v>
      </c>
      <c r="J139" s="334" t="e" cm="1">
        <f t="array" aca="1" ref="J139" ca="1">_xlfn.SINGLE(IF($A139="S",IF(CAIXA.Modo,BM.AFAnterior,BM.MEDAnterior),IF(AND(_xlfn.SINGLE(RegimeExecucao)="Global",$I139&gt;0,COUNTIF($AB$13:$AM$13,BM.medicao-1)&gt;0),M139/$I139*100,0)))</f>
        <v>#NAME?</v>
      </c>
      <c r="K139" s="123" t="e">
        <f t="shared" ca="1" si="10"/>
        <v>#NAME?</v>
      </c>
      <c r="L139" s="335" t="e" cm="1">
        <f t="array" aca="1" ref="L139" ca="1">_xlfn.SINGLE(IF($A139="S",IF(CAIXA.Modo,BM.AFAcumulado,BM.MEDAcumulado),IF(AND(_xlfn.SINGLE(RegimeExecucao)="Global",$I139&gt;0,COUNTIF($AB$13:$AM$13,BM.medicao)&gt;0),O139/$I139*100,0)))</f>
        <v>#NAME?</v>
      </c>
      <c r="M139" s="336">
        <f ca="1">IF($A139="S",VTOTALBM,IF($A139=0,0,ROUND(SomaAgrupBM,15-13*ORÇAMENTO!$AF$11)))</f>
        <v>0</v>
      </c>
      <c r="N139" s="337">
        <f t="shared" ca="1" si="11"/>
        <v>0</v>
      </c>
      <c r="O139" s="126">
        <f ca="1">IF($A139="S",VTOTALBM,IF($A139=0,0,ROUND(SomaAgrupBM,15-13*ORÇAMENTO!$AF$11)))</f>
        <v>0</v>
      </c>
      <c r="Q139" s="338"/>
      <c r="R139" s="339"/>
      <c r="T139" s="118" t="str">
        <f t="shared" ca="1" si="12"/>
        <v/>
      </c>
      <c r="U139" s="164" t="str">
        <f t="shared" ca="1" si="13"/>
        <v/>
      </c>
      <c r="V139" s="165" t="str">
        <f ca="1">IF(AND($W139&gt;0,RegimeExecucao="Unitário"),$F139,"")</f>
        <v/>
      </c>
      <c r="W139" s="455">
        <f ca="1">IF($Y139&gt;0,CHOOSE(MATCH(RegimeExecucao,{"Unitário","Global"},0),IF($A139="S",$Y139/$X139,""),($Y139/$X139)*100),0)</f>
        <v>0</v>
      </c>
      <c r="X139" s="340" t="str">
        <f ca="1">IF($Y139&gt;0,CHOOSE(MATCH(RegimeExecucao,{"Unitário","Global"},0),IF($A139="S",ROUND($H139,ORÇAMENTO!$AF$10),""),ROUND($I139,ORÇAMENTO!$AF$11)),"")</f>
        <v/>
      </c>
      <c r="Y139" s="340">
        <f t="shared" ca="1" si="14"/>
        <v>0</v>
      </c>
      <c r="Z139" s="474"/>
      <c r="AB139" s="338"/>
      <c r="AC139" s="438"/>
      <c r="AD139" s="438"/>
      <c r="AE139" s="438"/>
      <c r="AF139" s="438"/>
      <c r="AG139" s="438"/>
      <c r="AH139" s="438"/>
      <c r="AI139" s="438"/>
      <c r="AJ139" s="438"/>
      <c r="AK139" s="438"/>
      <c r="AL139" s="438"/>
      <c r="AM139" s="339"/>
      <c r="AO139" s="675">
        <f ca="1">IF($A139="S",IF(BM!$I139=0,0,CHOOSE(MATCH(RegimeExecucao,{"Global","Unitário"},0),ROUND(ROUND(BM.MEDAcumulado,15-13*BM!$A$9)/100*BM!$I139,15-13*ORÇAMENTO!$AF$11),ROUND(ROUND(BM.MEDAcumulado,15-13*BM!$A$9)*ROUND(BM!$H139,15-13*ORÇAMENTO!$AF$10),15-13*ORÇAMENTO!$AF$11))),IF($A139=0,0,ROUND(SomaAgrupBM,15-13*ORÇAMENTO!$AF$11)))</f>
        <v>0</v>
      </c>
    </row>
    <row r="140" spans="1:41" s="675" customFormat="1" x14ac:dyDescent="0.2">
      <c r="A140" s="675">
        <f ca="1">ORÇAMENTO!C140</f>
        <v>2</v>
      </c>
      <c r="B140" s="675">
        <f ca="1">ORÇAMENTO!D140</f>
        <v>5</v>
      </c>
      <c r="C140" s="115" t="str">
        <f t="shared" ca="1" si="8"/>
        <v>F</v>
      </c>
      <c r="D140" s="118" t="str">
        <f ca="1">ORÇAMENTO!O140</f>
        <v>1.18.</v>
      </c>
      <c r="E140" s="164" t="str">
        <f t="shared" si="9"/>
        <v>EMISSÁRIO DE ESGOTO - MATERIAIS</v>
      </c>
      <c r="F140" s="165" t="str">
        <f ca="1">IF(RegimeExecucao="Global","",ORÇAMENTO.Unidade)</f>
        <v>-</v>
      </c>
      <c r="G140" s="123">
        <f ca="1">IF(RegimeExecucao="Global","",ORÇAMENTO!T140)</f>
        <v>0</v>
      </c>
      <c r="H140" s="123">
        <f ca="1">IF(RegimeExecucao="Global","",ORÇAMENTO!W140)</f>
        <v>0</v>
      </c>
      <c r="I140" s="126">
        <f ca="1">ORÇAMENTO!X140</f>
        <v>0</v>
      </c>
      <c r="J140" s="334" t="e" cm="1">
        <f t="array" aca="1" ref="J140" ca="1">_xlfn.SINGLE(IF($A140="S",IF(CAIXA.Modo,BM.AFAnterior,BM.MEDAnterior),IF(AND(_xlfn.SINGLE(RegimeExecucao)="Global",$I140&gt;0,COUNTIF($AB$13:$AM$13,BM.medicao-1)&gt;0),M140/$I140*100,0)))</f>
        <v>#NAME?</v>
      </c>
      <c r="K140" s="123" t="e">
        <f t="shared" ca="1" si="10"/>
        <v>#NAME?</v>
      </c>
      <c r="L140" s="335" t="e" cm="1">
        <f t="array" aca="1" ref="L140" ca="1">_xlfn.SINGLE(IF($A140="S",IF(CAIXA.Modo,BM.AFAcumulado,BM.MEDAcumulado),IF(AND(_xlfn.SINGLE(RegimeExecucao)="Global",$I140&gt;0,COUNTIF($AB$13:$AM$13,BM.medicao)&gt;0),O140/$I140*100,0)))</f>
        <v>#NAME?</v>
      </c>
      <c r="M140" s="336">
        <f ca="1">IF($A140="S",VTOTALBM,IF($A140=0,0,ROUND(SomaAgrupBM,15-13*ORÇAMENTO!$AF$11)))</f>
        <v>0</v>
      </c>
      <c r="N140" s="337">
        <f t="shared" ca="1" si="11"/>
        <v>0</v>
      </c>
      <c r="O140" s="126">
        <f ca="1">IF($A140="S",VTOTALBM,IF($A140=0,0,ROUND(SomaAgrupBM,15-13*ORÇAMENTO!$AF$11)))</f>
        <v>0</v>
      </c>
      <c r="Q140" s="338"/>
      <c r="R140" s="339"/>
      <c r="T140" s="118" t="str">
        <f t="shared" ca="1" si="12"/>
        <v/>
      </c>
      <c r="U140" s="164" t="str">
        <f t="shared" ca="1" si="13"/>
        <v/>
      </c>
      <c r="V140" s="165" t="str">
        <f ca="1">IF(AND($W140&gt;0,RegimeExecucao="Unitário"),$F140,"")</f>
        <v/>
      </c>
      <c r="W140" s="455">
        <f ca="1">IF($Y140&gt;0,CHOOSE(MATCH(RegimeExecucao,{"Unitário","Global"},0),IF($A140="S",$Y140/$X140,""),($Y140/$X140)*100),0)</f>
        <v>0</v>
      </c>
      <c r="X140" s="340" t="str">
        <f ca="1">IF($Y140&gt;0,CHOOSE(MATCH(RegimeExecucao,{"Unitário","Global"},0),IF($A140="S",ROUND($H140,ORÇAMENTO!$AF$10),""),ROUND($I140,ORÇAMENTO!$AF$11)),"")</f>
        <v/>
      </c>
      <c r="Y140" s="340">
        <f t="shared" ca="1" si="14"/>
        <v>0</v>
      </c>
      <c r="Z140" s="474"/>
      <c r="AB140" s="338"/>
      <c r="AC140" s="438"/>
      <c r="AD140" s="438"/>
      <c r="AE140" s="438"/>
      <c r="AF140" s="438"/>
      <c r="AG140" s="438"/>
      <c r="AH140" s="438"/>
      <c r="AI140" s="438"/>
      <c r="AJ140" s="438"/>
      <c r="AK140" s="438"/>
      <c r="AL140" s="438"/>
      <c r="AM140" s="339"/>
      <c r="AO140" s="675">
        <f ca="1">IF($A140="S",IF(BM!$I140=0,0,CHOOSE(MATCH(RegimeExecucao,{"Global","Unitário"},0),ROUND(ROUND(BM.MEDAcumulado,15-13*BM!$A$9)/100*BM!$I140,15-13*ORÇAMENTO!$AF$11),ROUND(ROUND(BM.MEDAcumulado,15-13*BM!$A$9)*ROUND(BM!$H140,15-13*ORÇAMENTO!$AF$10),15-13*ORÇAMENTO!$AF$11))),IF($A140=0,0,ROUND(SomaAgrupBM,15-13*ORÇAMENTO!$AF$11)))</f>
        <v>0</v>
      </c>
    </row>
    <row r="141" spans="1:41" s="675" customFormat="1" x14ac:dyDescent="0.2">
      <c r="A141" s="675" t="str">
        <f ca="1">ORÇAMENTO!C141</f>
        <v>S</v>
      </c>
      <c r="B141" s="675">
        <f ca="1">ORÇAMENTO!D141</f>
        <v>0</v>
      </c>
      <c r="C141" s="115" t="str">
        <f t="shared" ca="1" si="8"/>
        <v/>
      </c>
      <c r="D141" s="118" t="str">
        <f ca="1">ORÇAMENTO!O141</f>
        <v>-</v>
      </c>
      <c r="E141" s="164" t="str">
        <f t="shared" ca="1" si="9"/>
        <v>(abra o arquivo 'Referência 09-2025.xlsm)</v>
      </c>
      <c r="F141" s="165" t="str">
        <f ca="1">IF(RegimeExecucao="Global","",ORÇAMENTO.Unidade)</f>
        <v>-</v>
      </c>
      <c r="G141" s="123">
        <f ca="1">IF(RegimeExecucao="Global","",ORÇAMENTO!T141)</f>
        <v>1192</v>
      </c>
      <c r="H141" s="123">
        <f ca="1">IF(RegimeExecucao="Global","",ORÇAMENTO!W141)</f>
        <v>0</v>
      </c>
      <c r="I141" s="126">
        <f ca="1">ORÇAMENTO!X141</f>
        <v>0</v>
      </c>
      <c r="J141" s="334" t="e" cm="1">
        <f t="array" aca="1" ref="J141" ca="1">_xlfn.SINGLE(IF($A141="S",IF(CAIXA.Modo,BM.AFAnterior,BM.MEDAnterior),IF(AND(_xlfn.SINGLE(RegimeExecucao)="Global",$I141&gt;0,COUNTIF($AB$13:$AM$13,BM.medicao-1)&gt;0),M141/$I141*100,0)))</f>
        <v>#NAME?</v>
      </c>
      <c r="K141" s="123" t="e">
        <f t="shared" ca="1" si="10"/>
        <v>#NAME?</v>
      </c>
      <c r="L141" s="335" t="e" cm="1">
        <f t="array" aca="1" ref="L141" ca="1">_xlfn.SINGLE(IF($A141="S",IF(CAIXA.Modo,BM.AFAcumulado,BM.MEDAcumulado),IF(AND(_xlfn.SINGLE(RegimeExecucao)="Global",$I141&gt;0,COUNTIF($AB$13:$AM$13,BM.medicao)&gt;0),O141/$I141*100,0)))</f>
        <v>#NAME?</v>
      </c>
      <c r="M141" s="336">
        <f ca="1">IF($A141="S",VTOTALBM,IF($A141=0,0,ROUND(SomaAgrupBM,15-13*ORÇAMENTO!$AF$11)))</f>
        <v>0</v>
      </c>
      <c r="N141" s="337">
        <f t="shared" ca="1" si="11"/>
        <v>0</v>
      </c>
      <c r="O141" s="126">
        <f ca="1">IF($A141="S",VTOTALBM,IF($A141=0,0,ROUND(SomaAgrupBM,15-13*ORÇAMENTO!$AF$11)))</f>
        <v>0</v>
      </c>
      <c r="Q141" s="338"/>
      <c r="R141" s="339"/>
      <c r="T141" s="118" t="str">
        <f t="shared" ca="1" si="12"/>
        <v/>
      </c>
      <c r="U141" s="164" t="str">
        <f t="shared" ca="1" si="13"/>
        <v/>
      </c>
      <c r="V141" s="165" t="str">
        <f ca="1">IF(AND($W141&gt;0,RegimeExecucao="Unitário"),$F141,"")</f>
        <v/>
      </c>
      <c r="W141" s="455">
        <f ca="1">IF($Y141&gt;0,CHOOSE(MATCH(RegimeExecucao,{"Unitário","Global"},0),IF($A141="S",$Y141/$X141,""),($Y141/$X141)*100),0)</f>
        <v>0</v>
      </c>
      <c r="X141" s="340" t="str">
        <f ca="1">IF($Y141&gt;0,CHOOSE(MATCH(RegimeExecucao,{"Unitário","Global"},0),IF($A141="S",ROUND($H141,ORÇAMENTO!$AF$10),""),ROUND($I141,ORÇAMENTO!$AF$11)),"")</f>
        <v/>
      </c>
      <c r="Y141" s="340">
        <f t="shared" ca="1" si="14"/>
        <v>0</v>
      </c>
      <c r="Z141" s="474"/>
      <c r="AB141" s="338"/>
      <c r="AC141" s="438"/>
      <c r="AD141" s="438"/>
      <c r="AE141" s="438"/>
      <c r="AF141" s="438"/>
      <c r="AG141" s="438"/>
      <c r="AH141" s="438"/>
      <c r="AI141" s="438"/>
      <c r="AJ141" s="438"/>
      <c r="AK141" s="438"/>
      <c r="AL141" s="438"/>
      <c r="AM141" s="339"/>
      <c r="AO141" s="675">
        <f ca="1">IF($A141="S",IF(BM!$I141=0,0,CHOOSE(MATCH(RegimeExecucao,{"Global","Unitário"},0),ROUND(ROUND(BM.MEDAcumulado,15-13*BM!$A$9)/100*BM!$I141,15-13*ORÇAMENTO!$AF$11),ROUND(ROUND(BM.MEDAcumulado,15-13*BM!$A$9)*ROUND(BM!$H141,15-13*ORÇAMENTO!$AF$10),15-13*ORÇAMENTO!$AF$11))),IF($A141=0,0,ROUND(SomaAgrupBM,15-13*ORÇAMENTO!$AF$11)))</f>
        <v>0</v>
      </c>
    </row>
    <row r="142" spans="1:41" s="705" customFormat="1" x14ac:dyDescent="0.2">
      <c r="A142" s="705" t="str">
        <f ca="1">ORÇAMENTO!C142</f>
        <v>S</v>
      </c>
      <c r="B142" s="705">
        <f ca="1">ORÇAMENTO!D142</f>
        <v>0</v>
      </c>
      <c r="C142" s="115" t="str">
        <f ca="1">IF(OR($I142&gt;0,$A142=1,$A142=2,$A142=3,$A142=4),"F","")</f>
        <v/>
      </c>
      <c r="D142" s="118" t="str">
        <f ca="1">ORÇAMENTO!O142</f>
        <v>-</v>
      </c>
      <c r="E142" s="164" t="str">
        <f ca="1">ORÇAMENTO.Descricao</f>
        <v>(abra o arquivo 'Referência 09-2025.xlsm)</v>
      </c>
      <c r="F142" s="165" t="str">
        <f ca="1">IF(RegimeExecucao="Global","",ORÇAMENTO.Unidade)</f>
        <v>-</v>
      </c>
      <c r="G142" s="123">
        <f ca="1">IF(RegimeExecucao="Global","",ORÇAMENTO!T142)</f>
        <v>1698</v>
      </c>
      <c r="H142" s="123">
        <f ca="1">IF(RegimeExecucao="Global","",ORÇAMENTO!W142)</f>
        <v>0</v>
      </c>
      <c r="I142" s="126">
        <f ca="1">ORÇAMENTO!X142</f>
        <v>0</v>
      </c>
      <c r="J142" s="334" t="e" cm="1">
        <f t="array" aca="1" ref="J142" ca="1">_xlfn.SINGLE(IF($A142="S",IF(CAIXA.Modo,BM.AFAnterior,BM.MEDAnterior),IF(AND(_xlfn.SINGLE(RegimeExecucao)="Global",$I142&gt;0,COUNTIF($AB$13:$AM$13,BM.medicao-1)&gt;0),M142/$I142*100,0)))</f>
        <v>#NAME?</v>
      </c>
      <c r="K142" s="123" t="e">
        <f ca="1">L142-J142</f>
        <v>#NAME?</v>
      </c>
      <c r="L142" s="335" t="e" cm="1">
        <f t="array" aca="1" ref="L142" ca="1">_xlfn.SINGLE(IF($A142="S",IF(CAIXA.Modo,BM.AFAcumulado,BM.MEDAcumulado),IF(AND(_xlfn.SINGLE(RegimeExecucao)="Global",$I142&gt;0,COUNTIF($AB$13:$AM$13,BM.medicao)&gt;0),O142/$I142*100,0)))</f>
        <v>#NAME?</v>
      </c>
      <c r="M142" s="336">
        <f ca="1">IF($A142="S",VTOTALBM,IF($A142=0,0,ROUND(SomaAgrupBM,15-13*ORÇAMENTO!$AF$11)))</f>
        <v>0</v>
      </c>
      <c r="N142" s="337">
        <f ca="1">O142-M142</f>
        <v>0</v>
      </c>
      <c r="O142" s="126">
        <f ca="1">IF($A142="S",VTOTALBM,IF($A142=0,0,ROUND(SomaAgrupBM,15-13*ORÇAMENTO!$AF$11)))</f>
        <v>0</v>
      </c>
      <c r="Q142" s="338"/>
      <c r="R142" s="339"/>
      <c r="T142" s="118" t="str">
        <f ca="1">IF($W142&gt;0,$D142,"")</f>
        <v/>
      </c>
      <c r="U142" s="164" t="str">
        <f ca="1">IF($W142&gt;0,$E142,"")</f>
        <v/>
      </c>
      <c r="V142" s="165" t="str">
        <f ca="1">IF(AND($W142&gt;0,RegimeExecucao="Unitário"),$F142,"")</f>
        <v/>
      </c>
      <c r="W142" s="455">
        <f ca="1">IF($Y142&gt;0,CHOOSE(MATCH(RegimeExecucao,{"Unitário","Global"},0),IF($A142="S",$Y142/$X142,""),($Y142/$X142)*100),0)</f>
        <v>0</v>
      </c>
      <c r="X142" s="340" t="str">
        <f ca="1">IF($Y142&gt;0,CHOOSE(MATCH(RegimeExecucao,{"Unitário","Global"},0),IF($A142="S",ROUND($H142,ORÇAMENTO!$AF$10),""),ROUND($I142,ORÇAMENTO!$AF$11)),"")</f>
        <v/>
      </c>
      <c r="Y142" s="340">
        <f ca="1">AO142-O142</f>
        <v>0</v>
      </c>
      <c r="Z142" s="474"/>
      <c r="AB142" s="338"/>
      <c r="AC142" s="438"/>
      <c r="AD142" s="438"/>
      <c r="AE142" s="438"/>
      <c r="AF142" s="438"/>
      <c r="AG142" s="438"/>
      <c r="AH142" s="438"/>
      <c r="AI142" s="438"/>
      <c r="AJ142" s="438"/>
      <c r="AK142" s="438"/>
      <c r="AL142" s="438"/>
      <c r="AM142" s="339"/>
      <c r="AO142" s="705">
        <f ca="1">IF($A142="S",IF(BM!$I142=0,0,CHOOSE(MATCH(RegimeExecucao,{"Global","Unitário"},0),ROUND(ROUND(BM.MEDAcumulado,15-13*BM!$A$9)/100*BM!$I142,15-13*ORÇAMENTO!$AF$11),ROUND(ROUND(BM.MEDAcumulado,15-13*BM!$A$9)*ROUND(BM!$H142,15-13*ORÇAMENTO!$AF$10),15-13*ORÇAMENTO!$AF$11))),IF($A142=0,0,ROUND(SomaAgrupBM,15-13*ORÇAMENTO!$AF$11)))</f>
        <v>0</v>
      </c>
    </row>
    <row r="143" spans="1:41" s="675" customFormat="1" ht="38.25" x14ac:dyDescent="0.2">
      <c r="A143" s="675" t="str">
        <f ca="1">ORÇAMENTO!C143</f>
        <v>S</v>
      </c>
      <c r="B143" s="675">
        <f ca="1">ORÇAMENTO!D143</f>
        <v>0</v>
      </c>
      <c r="C143" s="115" t="str">
        <f t="shared" ref="C143:C230" ca="1" si="15">IF(OR($I143&gt;0,$A143=1,$A143=2,$A143=3,$A143=4),"F","")</f>
        <v/>
      </c>
      <c r="D143" s="118" t="str">
        <f ca="1">ORÇAMENTO!O143</f>
        <v>-</v>
      </c>
      <c r="E143" s="164" t="str">
        <f t="shared" ref="E143:E230" ca="1" si="16">ORÇAMENTO.Descricao</f>
        <v>(abra o arquivo 'Referência 09-2025.xlsm)</v>
      </c>
      <c r="F143" s="165" t="str">
        <f ca="1">IF(RegimeExecucao="Global","",ORÇAMENTO.Unidade)</f>
        <v>-</v>
      </c>
      <c r="G143" s="123">
        <f ca="1">IF(RegimeExecucao="Global","",ORÇAMENTO!T143)</f>
        <v>35</v>
      </c>
      <c r="H143" s="123">
        <f ca="1">IF(RegimeExecucao="Global","",ORÇAMENTO!W143)</f>
        <v>0</v>
      </c>
      <c r="I143" s="126">
        <f ca="1">ORÇAMENTO!X143</f>
        <v>0</v>
      </c>
      <c r="J143" s="334" t="e" cm="1">
        <f t="array" aca="1" ref="J143" ca="1">_xlfn.SINGLE(IF($A143="S",IF(CAIXA.Modo,BM.AFAnterior,BM.MEDAnterior),IF(AND(_xlfn.SINGLE(RegimeExecucao)="Global",$I143&gt;0,COUNTIF($AB$13:$AM$13,BM.medicao-1)&gt;0),M143/$I143*100,0)))</f>
        <v>#NAME?</v>
      </c>
      <c r="K143" s="123" t="e">
        <f t="shared" ref="K143:K230" ca="1" si="17">L143-J143</f>
        <v>#NAME?</v>
      </c>
      <c r="L143" s="335" t="e" cm="1">
        <f t="array" aca="1" ref="L143" ca="1">_xlfn.SINGLE(IF($A143="S",IF(CAIXA.Modo,BM.AFAcumulado,BM.MEDAcumulado),IF(AND(_xlfn.SINGLE(RegimeExecucao)="Global",$I143&gt;0,COUNTIF($AB$13:$AM$13,BM.medicao)&gt;0),O143/$I143*100,0)))</f>
        <v>#NAME?</v>
      </c>
      <c r="M143" s="336">
        <f ca="1">IF($A143="S",VTOTALBM,IF($A143=0,0,ROUND(SomaAgrupBM,15-13*ORÇAMENTO!$AF$11)))</f>
        <v>0</v>
      </c>
      <c r="N143" s="337">
        <f t="shared" ref="N143:N230" ca="1" si="18">O143-M143</f>
        <v>0</v>
      </c>
      <c r="O143" s="126">
        <f ca="1">IF($A143="S",VTOTALBM,IF($A143=0,0,ROUND(SomaAgrupBM,15-13*ORÇAMENTO!$AF$11)))</f>
        <v>0</v>
      </c>
      <c r="Q143" s="338"/>
      <c r="R143" s="339"/>
      <c r="T143" s="118" t="str">
        <f t="shared" ref="T143:T230" ca="1" si="19">IF($W143&gt;0,$D143,"")</f>
        <v/>
      </c>
      <c r="U143" s="164" t="str">
        <f t="shared" ref="U143:U230" ca="1" si="20">IF($W143&gt;0,$E143,"")</f>
        <v/>
      </c>
      <c r="V143" s="165" t="str">
        <f ca="1">IF(AND($W143&gt;0,RegimeExecucao="Unitário"),$F143,"")</f>
        <v/>
      </c>
      <c r="W143" s="455">
        <f ca="1">IF($Y143&gt;0,CHOOSE(MATCH(RegimeExecucao,{"Unitário","Global"},0),IF($A143="S",$Y143/$X143,""),($Y143/$X143)*100),0)</f>
        <v>0</v>
      </c>
      <c r="X143" s="340" t="str">
        <f ca="1">IF($Y143&gt;0,CHOOSE(MATCH(RegimeExecucao,{"Unitário","Global"},0),IF($A143="S",ROUND($H143,ORÇAMENTO!$AF$10),""),ROUND($I143,ORÇAMENTO!$AF$11)),"")</f>
        <v/>
      </c>
      <c r="Y143" s="340">
        <f t="shared" ref="Y143:Y230" ca="1" si="21">AO143-O143</f>
        <v>0</v>
      </c>
      <c r="Z143" s="474"/>
      <c r="AB143" s="338"/>
      <c r="AC143" s="438"/>
      <c r="AD143" s="438"/>
      <c r="AE143" s="438"/>
      <c r="AF143" s="438"/>
      <c r="AG143" s="438"/>
      <c r="AH143" s="438"/>
      <c r="AI143" s="438"/>
      <c r="AJ143" s="438"/>
      <c r="AK143" s="438"/>
      <c r="AL143" s="438"/>
      <c r="AM143" s="339"/>
      <c r="AO143" s="675">
        <f ca="1">IF($A143="S",IF(BM!$I143=0,0,CHOOSE(MATCH(RegimeExecucao,{"Global","Unitário"},0),ROUND(ROUND(BM.MEDAcumulado,15-13*BM!$A$9)/100*BM!$I143,15-13*ORÇAMENTO!$AF$11),ROUND(ROUND(BM.MEDAcumulado,15-13*BM!$A$9)*ROUND(BM!$H143,15-13*ORÇAMENTO!$AF$10),15-13*ORÇAMENTO!$AF$11))),IF($A143=0,0,ROUND(SomaAgrupBM,15-13*ORÇAMENTO!$AF$11)))</f>
        <v>0</v>
      </c>
    </row>
    <row r="144" spans="1:41" s="675" customFormat="1" ht="38.25" x14ac:dyDescent="0.2">
      <c r="A144" s="675" t="str">
        <f ca="1">ORÇAMENTO!C144</f>
        <v>S</v>
      </c>
      <c r="B144" s="675">
        <f ca="1">ORÇAMENTO!D144</f>
        <v>0</v>
      </c>
      <c r="C144" s="115" t="str">
        <f t="shared" ca="1" si="15"/>
        <v/>
      </c>
      <c r="D144" s="118" t="str">
        <f ca="1">ORÇAMENTO!O144</f>
        <v>-</v>
      </c>
      <c r="E144" s="164" t="str">
        <f t="shared" ca="1" si="16"/>
        <v>(abra o arquivo 'Referência 09-2025.xlsm)</v>
      </c>
      <c r="F144" s="165" t="str">
        <f ca="1">IF(RegimeExecucao="Global","",ORÇAMENTO.Unidade)</f>
        <v>-</v>
      </c>
      <c r="G144" s="123">
        <f ca="1">IF(RegimeExecucao="Global","",ORÇAMENTO!T144)</f>
        <v>9</v>
      </c>
      <c r="H144" s="123">
        <f ca="1">IF(RegimeExecucao="Global","",ORÇAMENTO!W144)</f>
        <v>0</v>
      </c>
      <c r="I144" s="126">
        <f ca="1">ORÇAMENTO!X144</f>
        <v>0</v>
      </c>
      <c r="J144" s="334" t="e" cm="1">
        <f t="array" aca="1" ref="J144" ca="1">_xlfn.SINGLE(IF($A144="S",IF(CAIXA.Modo,BM.AFAnterior,BM.MEDAnterior),IF(AND(_xlfn.SINGLE(RegimeExecucao)="Global",$I144&gt;0,COUNTIF($AB$13:$AM$13,BM.medicao-1)&gt;0),M144/$I144*100,0)))</f>
        <v>#NAME?</v>
      </c>
      <c r="K144" s="123" t="e">
        <f t="shared" ca="1" si="17"/>
        <v>#NAME?</v>
      </c>
      <c r="L144" s="335" t="e" cm="1">
        <f t="array" aca="1" ref="L144" ca="1">_xlfn.SINGLE(IF($A144="S",IF(CAIXA.Modo,BM.AFAcumulado,BM.MEDAcumulado),IF(AND(_xlfn.SINGLE(RegimeExecucao)="Global",$I144&gt;0,COUNTIF($AB$13:$AM$13,BM.medicao)&gt;0),O144/$I144*100,0)))</f>
        <v>#NAME?</v>
      </c>
      <c r="M144" s="336">
        <f ca="1">IF($A144="S",VTOTALBM,IF($A144=0,0,ROUND(SomaAgrupBM,15-13*ORÇAMENTO!$AF$11)))</f>
        <v>0</v>
      </c>
      <c r="N144" s="337">
        <f t="shared" ca="1" si="18"/>
        <v>0</v>
      </c>
      <c r="O144" s="126">
        <f ca="1">IF($A144="S",VTOTALBM,IF($A144=0,0,ROUND(SomaAgrupBM,15-13*ORÇAMENTO!$AF$11)))</f>
        <v>0</v>
      </c>
      <c r="Q144" s="338"/>
      <c r="R144" s="339"/>
      <c r="T144" s="118" t="str">
        <f t="shared" ca="1" si="19"/>
        <v/>
      </c>
      <c r="U144" s="164" t="str">
        <f t="shared" ca="1" si="20"/>
        <v/>
      </c>
      <c r="V144" s="165" t="str">
        <f ca="1">IF(AND($W144&gt;0,RegimeExecucao="Unitário"),$F144,"")</f>
        <v/>
      </c>
      <c r="W144" s="455">
        <f ca="1">IF($Y144&gt;0,CHOOSE(MATCH(RegimeExecucao,{"Unitário","Global"},0),IF($A144="S",$Y144/$X144,""),($Y144/$X144)*100),0)</f>
        <v>0</v>
      </c>
      <c r="X144" s="340" t="str">
        <f ca="1">IF($Y144&gt;0,CHOOSE(MATCH(RegimeExecucao,{"Unitário","Global"},0),IF($A144="S",ROUND($H144,ORÇAMENTO!$AF$10),""),ROUND($I144,ORÇAMENTO!$AF$11)),"")</f>
        <v/>
      </c>
      <c r="Y144" s="340">
        <f t="shared" ca="1" si="21"/>
        <v>0</v>
      </c>
      <c r="Z144" s="474"/>
      <c r="AB144" s="338"/>
      <c r="AC144" s="438"/>
      <c r="AD144" s="438"/>
      <c r="AE144" s="438"/>
      <c r="AF144" s="438"/>
      <c r="AG144" s="438"/>
      <c r="AH144" s="438"/>
      <c r="AI144" s="438"/>
      <c r="AJ144" s="438"/>
      <c r="AK144" s="438"/>
      <c r="AL144" s="438"/>
      <c r="AM144" s="339"/>
      <c r="AO144" s="675">
        <f ca="1">IF($A144="S",IF(BM!$I144=0,0,CHOOSE(MATCH(RegimeExecucao,{"Global","Unitário"},0),ROUND(ROUND(BM.MEDAcumulado,15-13*BM!$A$9)/100*BM!$I144,15-13*ORÇAMENTO!$AF$11),ROUND(ROUND(BM.MEDAcumulado,15-13*BM!$A$9)*ROUND(BM!$H144,15-13*ORÇAMENTO!$AF$10),15-13*ORÇAMENTO!$AF$11))),IF($A144=0,0,ROUND(SomaAgrupBM,15-13*ORÇAMENTO!$AF$11)))</f>
        <v>0</v>
      </c>
    </row>
    <row r="145" spans="1:41" s="675" customFormat="1" x14ac:dyDescent="0.2">
      <c r="A145" s="675">
        <f ca="1">ORÇAMENTO!C145</f>
        <v>2</v>
      </c>
      <c r="B145" s="675">
        <f ca="1">ORÇAMENTO!D145</f>
        <v>1</v>
      </c>
      <c r="C145" s="115" t="str">
        <f t="shared" ca="1" si="15"/>
        <v>F</v>
      </c>
      <c r="D145" s="118" t="str">
        <f ca="1">ORÇAMENTO!O145</f>
        <v>1.19.</v>
      </c>
      <c r="E145" s="164" t="str">
        <f t="shared" si="16"/>
        <v>ELEVATÓRIA DE ESGOTO</v>
      </c>
      <c r="F145" s="165" t="str">
        <f ca="1">IF(RegimeExecucao="Global","",ORÇAMENTO.Unidade)</f>
        <v>-</v>
      </c>
      <c r="G145" s="123">
        <f ca="1">IF(RegimeExecucao="Global","",ORÇAMENTO!T145)</f>
        <v>0</v>
      </c>
      <c r="H145" s="123">
        <f ca="1">IF(RegimeExecucao="Global","",ORÇAMENTO!W145)</f>
        <v>0</v>
      </c>
      <c r="I145" s="126">
        <f ca="1">ORÇAMENTO!X145</f>
        <v>0</v>
      </c>
      <c r="J145" s="334" t="e" cm="1">
        <f t="array" aca="1" ref="J145" ca="1">_xlfn.SINGLE(IF($A145="S",IF(CAIXA.Modo,BM.AFAnterior,BM.MEDAnterior),IF(AND(_xlfn.SINGLE(RegimeExecucao)="Global",$I145&gt;0,COUNTIF($AB$13:$AM$13,BM.medicao-1)&gt;0),M145/$I145*100,0)))</f>
        <v>#NAME?</v>
      </c>
      <c r="K145" s="123" t="e">
        <f t="shared" ca="1" si="17"/>
        <v>#NAME?</v>
      </c>
      <c r="L145" s="335" t="e" cm="1">
        <f t="array" aca="1" ref="L145" ca="1">_xlfn.SINGLE(IF($A145="S",IF(CAIXA.Modo,BM.AFAcumulado,BM.MEDAcumulado),IF(AND(_xlfn.SINGLE(RegimeExecucao)="Global",$I145&gt;0,COUNTIF($AB$13:$AM$13,BM.medicao)&gt;0),O145/$I145*100,0)))</f>
        <v>#NAME?</v>
      </c>
      <c r="M145" s="336">
        <f ca="1">IF($A145="S",VTOTALBM,IF($A145=0,0,ROUND(SomaAgrupBM,15-13*ORÇAMENTO!$AF$11)))</f>
        <v>0</v>
      </c>
      <c r="N145" s="337">
        <f t="shared" ca="1" si="18"/>
        <v>0</v>
      </c>
      <c r="O145" s="126">
        <f ca="1">IF($A145="S",VTOTALBM,IF($A145=0,0,ROUND(SomaAgrupBM,15-13*ORÇAMENTO!$AF$11)))</f>
        <v>0</v>
      </c>
      <c r="Q145" s="338"/>
      <c r="R145" s="339"/>
      <c r="T145" s="118" t="str">
        <f t="shared" ca="1" si="19"/>
        <v/>
      </c>
      <c r="U145" s="164" t="str">
        <f t="shared" ca="1" si="20"/>
        <v/>
      </c>
      <c r="V145" s="165" t="str">
        <f ca="1">IF(AND($W145&gt;0,RegimeExecucao="Unitário"),$F145,"")</f>
        <v/>
      </c>
      <c r="W145" s="455">
        <f ca="1">IF($Y145&gt;0,CHOOSE(MATCH(RegimeExecucao,{"Unitário","Global"},0),IF($A145="S",$Y145/$X145,""),($Y145/$X145)*100),0)</f>
        <v>0</v>
      </c>
      <c r="X145" s="340" t="str">
        <f ca="1">IF($Y145&gt;0,CHOOSE(MATCH(RegimeExecucao,{"Unitário","Global"},0),IF($A145="S",ROUND($H145,ORÇAMENTO!$AF$10),""),ROUND($I145,ORÇAMENTO!$AF$11)),"")</f>
        <v/>
      </c>
      <c r="Y145" s="340">
        <f t="shared" ca="1" si="21"/>
        <v>0</v>
      </c>
      <c r="Z145" s="474"/>
      <c r="AB145" s="338"/>
      <c r="AC145" s="438"/>
      <c r="AD145" s="438"/>
      <c r="AE145" s="438"/>
      <c r="AF145" s="438"/>
      <c r="AG145" s="438"/>
      <c r="AH145" s="438"/>
      <c r="AI145" s="438"/>
      <c r="AJ145" s="438"/>
      <c r="AK145" s="438"/>
      <c r="AL145" s="438"/>
      <c r="AM145" s="339"/>
      <c r="AO145" s="675">
        <f ca="1">IF($A145="S",IF(BM!$I145=0,0,CHOOSE(MATCH(RegimeExecucao,{"Global","Unitário"},0),ROUND(ROUND(BM.MEDAcumulado,15-13*BM!$A$9)/100*BM!$I145,15-13*ORÇAMENTO!$AF$11),ROUND(ROUND(BM.MEDAcumulado,15-13*BM!$A$9)*ROUND(BM!$H145,15-13*ORÇAMENTO!$AF$10),15-13*ORÇAMENTO!$AF$11))),IF($A145=0,0,ROUND(SomaAgrupBM,15-13*ORÇAMENTO!$AF$11)))</f>
        <v>0</v>
      </c>
    </row>
    <row r="146" spans="1:41" s="702" customFormat="1" x14ac:dyDescent="0.2">
      <c r="A146" s="702">
        <f ca="1">ORÇAMENTO!C146</f>
        <v>2</v>
      </c>
      <c r="B146" s="702">
        <f ca="1">ORÇAMENTO!D146</f>
        <v>18</v>
      </c>
      <c r="C146" s="115" t="str">
        <f t="shared" ca="1" si="15"/>
        <v>F</v>
      </c>
      <c r="D146" s="118" t="str">
        <f ca="1">ORÇAMENTO!O146</f>
        <v>1.20.</v>
      </c>
      <c r="E146" s="164" t="str">
        <f t="shared" si="16"/>
        <v>ELEVATÓRIA DE ESGOTO - MATERIAIS</v>
      </c>
      <c r="F146" s="165" t="str">
        <f ca="1">IF(RegimeExecucao="Global","",ORÇAMENTO.Unidade)</f>
        <v>-</v>
      </c>
      <c r="G146" s="123">
        <f ca="1">IF(RegimeExecucao="Global","",ORÇAMENTO!T146)</f>
        <v>0</v>
      </c>
      <c r="H146" s="123">
        <f ca="1">IF(RegimeExecucao="Global","",ORÇAMENTO!W146)</f>
        <v>0</v>
      </c>
      <c r="I146" s="126">
        <f ca="1">ORÇAMENTO!X146</f>
        <v>0</v>
      </c>
      <c r="J146" s="334" t="e" cm="1">
        <f t="array" aca="1" ref="J146" ca="1">_xlfn.SINGLE(IF($A146="S",IF(CAIXA.Modo,BM.AFAnterior,BM.MEDAnterior),IF(AND(_xlfn.SINGLE(RegimeExecucao)="Global",$I146&gt;0,COUNTIF($AB$13:$AM$13,BM.medicao-1)&gt;0),M146/$I146*100,0)))</f>
        <v>#NAME?</v>
      </c>
      <c r="K146" s="123" t="e">
        <f t="shared" ca="1" si="17"/>
        <v>#NAME?</v>
      </c>
      <c r="L146" s="335" t="e" cm="1">
        <f t="array" aca="1" ref="L146" ca="1">_xlfn.SINGLE(IF($A146="S",IF(CAIXA.Modo,BM.AFAcumulado,BM.MEDAcumulado),IF(AND(_xlfn.SINGLE(RegimeExecucao)="Global",$I146&gt;0,COUNTIF($AB$13:$AM$13,BM.medicao)&gt;0),O146/$I146*100,0)))</f>
        <v>#NAME?</v>
      </c>
      <c r="M146" s="336">
        <f ca="1">IF($A146="S",VTOTALBM,IF($A146=0,0,ROUND(SomaAgrupBM,15-13*ORÇAMENTO!$AF$11)))</f>
        <v>0</v>
      </c>
      <c r="N146" s="337">
        <f t="shared" ca="1" si="18"/>
        <v>0</v>
      </c>
      <c r="O146" s="126">
        <f ca="1">IF($A146="S",VTOTALBM,IF($A146=0,0,ROUND(SomaAgrupBM,15-13*ORÇAMENTO!$AF$11)))</f>
        <v>0</v>
      </c>
      <c r="Q146" s="338"/>
      <c r="R146" s="339"/>
      <c r="T146" s="118" t="str">
        <f t="shared" ca="1" si="19"/>
        <v/>
      </c>
      <c r="U146" s="164" t="str">
        <f t="shared" ca="1" si="20"/>
        <v/>
      </c>
      <c r="V146" s="165" t="str">
        <f ca="1">IF(AND($W146&gt;0,RegimeExecucao="Unitário"),$F146,"")</f>
        <v/>
      </c>
      <c r="W146" s="455">
        <f ca="1">IF($Y146&gt;0,CHOOSE(MATCH(RegimeExecucao,{"Unitário","Global"},0),IF($A146="S",$Y146/$X146,""),($Y146/$X146)*100),0)</f>
        <v>0</v>
      </c>
      <c r="X146" s="340" t="str">
        <f ca="1">IF($Y146&gt;0,CHOOSE(MATCH(RegimeExecucao,{"Unitário","Global"},0),IF($A146="S",ROUND($H146,ORÇAMENTO!$AF$10),""),ROUND($I146,ORÇAMENTO!$AF$11)),"")</f>
        <v/>
      </c>
      <c r="Y146" s="340">
        <f t="shared" ca="1" si="21"/>
        <v>0</v>
      </c>
      <c r="Z146" s="474"/>
      <c r="AB146" s="338"/>
      <c r="AC146" s="438"/>
      <c r="AD146" s="438"/>
      <c r="AE146" s="438"/>
      <c r="AF146" s="438"/>
      <c r="AG146" s="438"/>
      <c r="AH146" s="438"/>
      <c r="AI146" s="438"/>
      <c r="AJ146" s="438"/>
      <c r="AK146" s="438"/>
      <c r="AL146" s="438"/>
      <c r="AM146" s="339"/>
      <c r="AO146" s="702">
        <f ca="1">IF($A146="S",IF(BM!$I146=0,0,CHOOSE(MATCH(RegimeExecucao,{"Global","Unitário"},0),ROUND(ROUND(BM.MEDAcumulado,15-13*BM!$A$9)/100*BM!$I146,15-13*ORÇAMENTO!$AF$11),ROUND(ROUND(BM.MEDAcumulado,15-13*BM!$A$9)*ROUND(BM!$H146,15-13*ORÇAMENTO!$AF$10),15-13*ORÇAMENTO!$AF$11))),IF($A146=0,0,ROUND(SomaAgrupBM,15-13*ORÇAMENTO!$AF$11)))</f>
        <v>0</v>
      </c>
    </row>
    <row r="147" spans="1:41" s="702" customFormat="1" x14ac:dyDescent="0.2">
      <c r="A147" s="702" t="str">
        <f ca="1">ORÇAMENTO!C147</f>
        <v>S</v>
      </c>
      <c r="B147" s="702">
        <f ca="1">ORÇAMENTO!D147</f>
        <v>0</v>
      </c>
      <c r="C147" s="115" t="str">
        <f t="shared" ca="1" si="15"/>
        <v/>
      </c>
      <c r="D147" s="118" t="str">
        <f ca="1">ORÇAMENTO!O147</f>
        <v>-</v>
      </c>
      <c r="E147" s="164" t="str">
        <f t="shared" ca="1" si="16"/>
        <v>(abra o arquivo 'Referência 09-2025.xlsm)</v>
      </c>
      <c r="F147" s="165" t="str">
        <f ca="1">IF(RegimeExecucao="Global","",ORÇAMENTO.Unidade)</f>
        <v>-</v>
      </c>
      <c r="G147" s="123">
        <f ca="1">IF(RegimeExecucao="Global","",ORÇAMENTO!T147)</f>
        <v>1</v>
      </c>
      <c r="H147" s="123">
        <f ca="1">IF(RegimeExecucao="Global","",ORÇAMENTO!W147)</f>
        <v>0</v>
      </c>
      <c r="I147" s="126">
        <f ca="1">ORÇAMENTO!X147</f>
        <v>0</v>
      </c>
      <c r="J147" s="334" t="e" cm="1">
        <f t="array" aca="1" ref="J147" ca="1">_xlfn.SINGLE(IF($A147="S",IF(CAIXA.Modo,BM.AFAnterior,BM.MEDAnterior),IF(AND(_xlfn.SINGLE(RegimeExecucao)="Global",$I147&gt;0,COUNTIF($AB$13:$AM$13,BM.medicao-1)&gt;0),M147/$I147*100,0)))</f>
        <v>#NAME?</v>
      </c>
      <c r="K147" s="123" t="e">
        <f t="shared" ca="1" si="17"/>
        <v>#NAME?</v>
      </c>
      <c r="L147" s="335" t="e" cm="1">
        <f t="array" aca="1" ref="L147" ca="1">_xlfn.SINGLE(IF($A147="S",IF(CAIXA.Modo,BM.AFAcumulado,BM.MEDAcumulado),IF(AND(_xlfn.SINGLE(RegimeExecucao)="Global",$I147&gt;0,COUNTIF($AB$13:$AM$13,BM.medicao)&gt;0),O147/$I147*100,0)))</f>
        <v>#NAME?</v>
      </c>
      <c r="M147" s="336">
        <f ca="1">IF($A147="S",VTOTALBM,IF($A147=0,0,ROUND(SomaAgrupBM,15-13*ORÇAMENTO!$AF$11)))</f>
        <v>0</v>
      </c>
      <c r="N147" s="337">
        <f t="shared" ca="1" si="18"/>
        <v>0</v>
      </c>
      <c r="O147" s="126">
        <f ca="1">IF($A147="S",VTOTALBM,IF($A147=0,0,ROUND(SomaAgrupBM,15-13*ORÇAMENTO!$AF$11)))</f>
        <v>0</v>
      </c>
      <c r="Q147" s="338"/>
      <c r="R147" s="339"/>
      <c r="T147" s="118" t="str">
        <f t="shared" ca="1" si="19"/>
        <v/>
      </c>
      <c r="U147" s="164" t="str">
        <f t="shared" ca="1" si="20"/>
        <v/>
      </c>
      <c r="V147" s="165" t="str">
        <f ca="1">IF(AND($W147&gt;0,RegimeExecucao="Unitário"),$F147,"")</f>
        <v/>
      </c>
      <c r="W147" s="455">
        <f ca="1">IF($Y147&gt;0,CHOOSE(MATCH(RegimeExecucao,{"Unitário","Global"},0),IF($A147="S",$Y147/$X147,""),($Y147/$X147)*100),0)</f>
        <v>0</v>
      </c>
      <c r="X147" s="340" t="str">
        <f ca="1">IF($Y147&gt;0,CHOOSE(MATCH(RegimeExecucao,{"Unitário","Global"},0),IF($A147="S",ROUND($H147,ORÇAMENTO!$AF$10),""),ROUND($I147,ORÇAMENTO!$AF$11)),"")</f>
        <v/>
      </c>
      <c r="Y147" s="340">
        <f t="shared" ca="1" si="21"/>
        <v>0</v>
      </c>
      <c r="Z147" s="474"/>
      <c r="AB147" s="338"/>
      <c r="AC147" s="438"/>
      <c r="AD147" s="438"/>
      <c r="AE147" s="438"/>
      <c r="AF147" s="438"/>
      <c r="AG147" s="438"/>
      <c r="AH147" s="438"/>
      <c r="AI147" s="438"/>
      <c r="AJ147" s="438"/>
      <c r="AK147" s="438"/>
      <c r="AL147" s="438"/>
      <c r="AM147" s="339"/>
      <c r="AO147" s="702">
        <f ca="1">IF($A147="S",IF(BM!$I147=0,0,CHOOSE(MATCH(RegimeExecucao,{"Global","Unitário"},0),ROUND(ROUND(BM.MEDAcumulado,15-13*BM!$A$9)/100*BM!$I147,15-13*ORÇAMENTO!$AF$11),ROUND(ROUND(BM.MEDAcumulado,15-13*BM!$A$9)*ROUND(BM!$H147,15-13*ORÇAMENTO!$AF$10),15-13*ORÇAMENTO!$AF$11))),IF($A147=0,0,ROUND(SomaAgrupBM,15-13*ORÇAMENTO!$AF$11)))</f>
        <v>0</v>
      </c>
    </row>
    <row r="148" spans="1:41" s="702" customFormat="1" x14ac:dyDescent="0.2">
      <c r="A148" s="702" t="str">
        <f ca="1">ORÇAMENTO!C148</f>
        <v>S</v>
      </c>
      <c r="B148" s="702">
        <f ca="1">ORÇAMENTO!D148</f>
        <v>0</v>
      </c>
      <c r="C148" s="115" t="str">
        <f t="shared" ca="1" si="15"/>
        <v/>
      </c>
      <c r="D148" s="118" t="str">
        <f ca="1">ORÇAMENTO!O148</f>
        <v>-</v>
      </c>
      <c r="E148" s="164" t="str">
        <f t="shared" ca="1" si="16"/>
        <v>(abra o arquivo 'Referência 09-2025.xlsm)</v>
      </c>
      <c r="F148" s="165" t="str">
        <f ca="1">IF(RegimeExecucao="Global","",ORÇAMENTO.Unidade)</f>
        <v>-</v>
      </c>
      <c r="G148" s="123">
        <f ca="1">IF(RegimeExecucao="Global","",ORÇAMENTO!T148)</f>
        <v>1</v>
      </c>
      <c r="H148" s="123">
        <f ca="1">IF(RegimeExecucao="Global","",ORÇAMENTO!W148)</f>
        <v>0</v>
      </c>
      <c r="I148" s="126">
        <f ca="1">ORÇAMENTO!X148</f>
        <v>0</v>
      </c>
      <c r="J148" s="334" t="e" cm="1">
        <f t="array" aca="1" ref="J148" ca="1">_xlfn.SINGLE(IF($A148="S",IF(CAIXA.Modo,BM.AFAnterior,BM.MEDAnterior),IF(AND(_xlfn.SINGLE(RegimeExecucao)="Global",$I148&gt;0,COUNTIF($AB$13:$AM$13,BM.medicao-1)&gt;0),M148/$I148*100,0)))</f>
        <v>#NAME?</v>
      </c>
      <c r="K148" s="123" t="e">
        <f t="shared" ca="1" si="17"/>
        <v>#NAME?</v>
      </c>
      <c r="L148" s="335" t="e" cm="1">
        <f t="array" aca="1" ref="L148" ca="1">_xlfn.SINGLE(IF($A148="S",IF(CAIXA.Modo,BM.AFAcumulado,BM.MEDAcumulado),IF(AND(_xlfn.SINGLE(RegimeExecucao)="Global",$I148&gt;0,COUNTIF($AB$13:$AM$13,BM.medicao)&gt;0),O148/$I148*100,0)))</f>
        <v>#NAME?</v>
      </c>
      <c r="M148" s="336">
        <f ca="1">IF($A148="S",VTOTALBM,IF($A148=0,0,ROUND(SomaAgrupBM,15-13*ORÇAMENTO!$AF$11)))</f>
        <v>0</v>
      </c>
      <c r="N148" s="337">
        <f t="shared" ca="1" si="18"/>
        <v>0</v>
      </c>
      <c r="O148" s="126">
        <f ca="1">IF($A148="S",VTOTALBM,IF($A148=0,0,ROUND(SomaAgrupBM,15-13*ORÇAMENTO!$AF$11)))</f>
        <v>0</v>
      </c>
      <c r="Q148" s="338"/>
      <c r="R148" s="339"/>
      <c r="T148" s="118" t="str">
        <f t="shared" ca="1" si="19"/>
        <v/>
      </c>
      <c r="U148" s="164" t="str">
        <f t="shared" ca="1" si="20"/>
        <v/>
      </c>
      <c r="V148" s="165" t="str">
        <f ca="1">IF(AND($W148&gt;0,RegimeExecucao="Unitário"),$F148,"")</f>
        <v/>
      </c>
      <c r="W148" s="455">
        <f ca="1">IF($Y148&gt;0,CHOOSE(MATCH(RegimeExecucao,{"Unitário","Global"},0),IF($A148="S",$Y148/$X148,""),($Y148/$X148)*100),0)</f>
        <v>0</v>
      </c>
      <c r="X148" s="340" t="str">
        <f ca="1">IF($Y148&gt;0,CHOOSE(MATCH(RegimeExecucao,{"Unitário","Global"},0),IF($A148="S",ROUND($H148,ORÇAMENTO!$AF$10),""),ROUND($I148,ORÇAMENTO!$AF$11)),"")</f>
        <v/>
      </c>
      <c r="Y148" s="340">
        <f t="shared" ca="1" si="21"/>
        <v>0</v>
      </c>
      <c r="Z148" s="474"/>
      <c r="AB148" s="338"/>
      <c r="AC148" s="438"/>
      <c r="AD148" s="438"/>
      <c r="AE148" s="438"/>
      <c r="AF148" s="438"/>
      <c r="AG148" s="438"/>
      <c r="AH148" s="438"/>
      <c r="AI148" s="438"/>
      <c r="AJ148" s="438"/>
      <c r="AK148" s="438"/>
      <c r="AL148" s="438"/>
      <c r="AM148" s="339"/>
      <c r="AO148" s="702">
        <f ca="1">IF($A148="S",IF(BM!$I148=0,0,CHOOSE(MATCH(RegimeExecucao,{"Global","Unitário"},0),ROUND(ROUND(BM.MEDAcumulado,15-13*BM!$A$9)/100*BM!$I148,15-13*ORÇAMENTO!$AF$11),ROUND(ROUND(BM.MEDAcumulado,15-13*BM!$A$9)*ROUND(BM!$H148,15-13*ORÇAMENTO!$AF$10),15-13*ORÇAMENTO!$AF$11))),IF($A148=0,0,ROUND(SomaAgrupBM,15-13*ORÇAMENTO!$AF$11)))</f>
        <v>0</v>
      </c>
    </row>
    <row r="149" spans="1:41" s="702" customFormat="1" x14ac:dyDescent="0.2">
      <c r="A149" s="702" t="str">
        <f ca="1">ORÇAMENTO!C149</f>
        <v>S</v>
      </c>
      <c r="B149" s="702">
        <f ca="1">ORÇAMENTO!D149</f>
        <v>0</v>
      </c>
      <c r="C149" s="115" t="str">
        <f t="shared" ca="1" si="15"/>
        <v/>
      </c>
      <c r="D149" s="118" t="str">
        <f ca="1">ORÇAMENTO!O149</f>
        <v>-</v>
      </c>
      <c r="E149" s="164" t="str">
        <f t="shared" ca="1" si="16"/>
        <v>(abra o arquivo 'Referência 09-2025.xlsm)</v>
      </c>
      <c r="F149" s="165" t="str">
        <f ca="1">IF(RegimeExecucao="Global","",ORÇAMENTO.Unidade)</f>
        <v>-</v>
      </c>
      <c r="G149" s="123">
        <f ca="1">IF(RegimeExecucao="Global","",ORÇAMENTO!T149)</f>
        <v>1</v>
      </c>
      <c r="H149" s="123">
        <f ca="1">IF(RegimeExecucao="Global","",ORÇAMENTO!W149)</f>
        <v>0</v>
      </c>
      <c r="I149" s="126">
        <f ca="1">ORÇAMENTO!X149</f>
        <v>0</v>
      </c>
      <c r="J149" s="334" t="e" cm="1">
        <f t="array" aca="1" ref="J149" ca="1">_xlfn.SINGLE(IF($A149="S",IF(CAIXA.Modo,BM.AFAnterior,BM.MEDAnterior),IF(AND(_xlfn.SINGLE(RegimeExecucao)="Global",$I149&gt;0,COUNTIF($AB$13:$AM$13,BM.medicao-1)&gt;0),M149/$I149*100,0)))</f>
        <v>#NAME?</v>
      </c>
      <c r="K149" s="123" t="e">
        <f t="shared" ca="1" si="17"/>
        <v>#NAME?</v>
      </c>
      <c r="L149" s="335" t="e" cm="1">
        <f t="array" aca="1" ref="L149" ca="1">_xlfn.SINGLE(IF($A149="S",IF(CAIXA.Modo,BM.AFAcumulado,BM.MEDAcumulado),IF(AND(_xlfn.SINGLE(RegimeExecucao)="Global",$I149&gt;0,COUNTIF($AB$13:$AM$13,BM.medicao)&gt;0),O149/$I149*100,0)))</f>
        <v>#NAME?</v>
      </c>
      <c r="M149" s="336">
        <f ca="1">IF($A149="S",VTOTALBM,IF($A149=0,0,ROUND(SomaAgrupBM,15-13*ORÇAMENTO!$AF$11)))</f>
        <v>0</v>
      </c>
      <c r="N149" s="337">
        <f t="shared" ca="1" si="18"/>
        <v>0</v>
      </c>
      <c r="O149" s="126">
        <f ca="1">IF($A149="S",VTOTALBM,IF($A149=0,0,ROUND(SomaAgrupBM,15-13*ORÇAMENTO!$AF$11)))</f>
        <v>0</v>
      </c>
      <c r="Q149" s="338"/>
      <c r="R149" s="339"/>
      <c r="T149" s="118" t="str">
        <f t="shared" ca="1" si="19"/>
        <v/>
      </c>
      <c r="U149" s="164" t="str">
        <f t="shared" ca="1" si="20"/>
        <v/>
      </c>
      <c r="V149" s="165" t="str">
        <f ca="1">IF(AND($W149&gt;0,RegimeExecucao="Unitário"),$F149,"")</f>
        <v/>
      </c>
      <c r="W149" s="455">
        <f ca="1">IF($Y149&gt;0,CHOOSE(MATCH(RegimeExecucao,{"Unitário","Global"},0),IF($A149="S",$Y149/$X149,""),($Y149/$X149)*100),0)</f>
        <v>0</v>
      </c>
      <c r="X149" s="340" t="str">
        <f ca="1">IF($Y149&gt;0,CHOOSE(MATCH(RegimeExecucao,{"Unitário","Global"},0),IF($A149="S",ROUND($H149,ORÇAMENTO!$AF$10),""),ROUND($I149,ORÇAMENTO!$AF$11)),"")</f>
        <v/>
      </c>
      <c r="Y149" s="340">
        <f t="shared" ca="1" si="21"/>
        <v>0</v>
      </c>
      <c r="Z149" s="474"/>
      <c r="AB149" s="338"/>
      <c r="AC149" s="438"/>
      <c r="AD149" s="438"/>
      <c r="AE149" s="438"/>
      <c r="AF149" s="438"/>
      <c r="AG149" s="438"/>
      <c r="AH149" s="438"/>
      <c r="AI149" s="438"/>
      <c r="AJ149" s="438"/>
      <c r="AK149" s="438"/>
      <c r="AL149" s="438"/>
      <c r="AM149" s="339"/>
      <c r="AO149" s="702">
        <f ca="1">IF($A149="S",IF(BM!$I149=0,0,CHOOSE(MATCH(RegimeExecucao,{"Global","Unitário"},0),ROUND(ROUND(BM.MEDAcumulado,15-13*BM!$A$9)/100*BM!$I149,15-13*ORÇAMENTO!$AF$11),ROUND(ROUND(BM.MEDAcumulado,15-13*BM!$A$9)*ROUND(BM!$H149,15-13*ORÇAMENTO!$AF$10),15-13*ORÇAMENTO!$AF$11))),IF($A149=0,0,ROUND(SomaAgrupBM,15-13*ORÇAMENTO!$AF$11)))</f>
        <v>0</v>
      </c>
    </row>
    <row r="150" spans="1:41" s="702" customFormat="1" x14ac:dyDescent="0.2">
      <c r="A150" s="702" t="str">
        <f ca="1">ORÇAMENTO!C150</f>
        <v>S</v>
      </c>
      <c r="B150" s="702">
        <f ca="1">ORÇAMENTO!D150</f>
        <v>0</v>
      </c>
      <c r="C150" s="115" t="str">
        <f t="shared" ca="1" si="15"/>
        <v/>
      </c>
      <c r="D150" s="118" t="str">
        <f ca="1">ORÇAMENTO!O150</f>
        <v>-</v>
      </c>
      <c r="E150" s="164" t="str">
        <f t="shared" ca="1" si="16"/>
        <v>(abra o arquivo 'Referência 09-2025.xlsm)</v>
      </c>
      <c r="F150" s="165" t="str">
        <f ca="1">IF(RegimeExecucao="Global","",ORÇAMENTO.Unidade)</f>
        <v>-</v>
      </c>
      <c r="G150" s="123">
        <f ca="1">IF(RegimeExecucao="Global","",ORÇAMENTO!T150)</f>
        <v>2</v>
      </c>
      <c r="H150" s="123">
        <f ca="1">IF(RegimeExecucao="Global","",ORÇAMENTO!W150)</f>
        <v>0</v>
      </c>
      <c r="I150" s="126">
        <f ca="1">ORÇAMENTO!X150</f>
        <v>0</v>
      </c>
      <c r="J150" s="334" t="e" cm="1">
        <f t="array" aca="1" ref="J150" ca="1">_xlfn.SINGLE(IF($A150="S",IF(CAIXA.Modo,BM.AFAnterior,BM.MEDAnterior),IF(AND(_xlfn.SINGLE(RegimeExecucao)="Global",$I150&gt;0,COUNTIF($AB$13:$AM$13,BM.medicao-1)&gt;0),M150/$I150*100,0)))</f>
        <v>#NAME?</v>
      </c>
      <c r="K150" s="123" t="e">
        <f t="shared" ca="1" si="17"/>
        <v>#NAME?</v>
      </c>
      <c r="L150" s="335" t="e" cm="1">
        <f t="array" aca="1" ref="L150" ca="1">_xlfn.SINGLE(IF($A150="S",IF(CAIXA.Modo,BM.AFAcumulado,BM.MEDAcumulado),IF(AND(_xlfn.SINGLE(RegimeExecucao)="Global",$I150&gt;0,COUNTIF($AB$13:$AM$13,BM.medicao)&gt;0),O150/$I150*100,0)))</f>
        <v>#NAME?</v>
      </c>
      <c r="M150" s="336">
        <f ca="1">IF($A150="S",VTOTALBM,IF($A150=0,0,ROUND(SomaAgrupBM,15-13*ORÇAMENTO!$AF$11)))</f>
        <v>0</v>
      </c>
      <c r="N150" s="337">
        <f t="shared" ca="1" si="18"/>
        <v>0</v>
      </c>
      <c r="O150" s="126">
        <f ca="1">IF($A150="S",VTOTALBM,IF($A150=0,0,ROUND(SomaAgrupBM,15-13*ORÇAMENTO!$AF$11)))</f>
        <v>0</v>
      </c>
      <c r="Q150" s="338"/>
      <c r="R150" s="339"/>
      <c r="T150" s="118" t="str">
        <f t="shared" ca="1" si="19"/>
        <v/>
      </c>
      <c r="U150" s="164" t="str">
        <f t="shared" ca="1" si="20"/>
        <v/>
      </c>
      <c r="V150" s="165" t="str">
        <f ca="1">IF(AND($W150&gt;0,RegimeExecucao="Unitário"),$F150,"")</f>
        <v/>
      </c>
      <c r="W150" s="455">
        <f ca="1">IF($Y150&gt;0,CHOOSE(MATCH(RegimeExecucao,{"Unitário","Global"},0),IF($A150="S",$Y150/$X150,""),($Y150/$X150)*100),0)</f>
        <v>0</v>
      </c>
      <c r="X150" s="340" t="str">
        <f ca="1">IF($Y150&gt;0,CHOOSE(MATCH(RegimeExecucao,{"Unitário","Global"},0),IF($A150="S",ROUND($H150,ORÇAMENTO!$AF$10),""),ROUND($I150,ORÇAMENTO!$AF$11)),"")</f>
        <v/>
      </c>
      <c r="Y150" s="340">
        <f t="shared" ca="1" si="21"/>
        <v>0</v>
      </c>
      <c r="Z150" s="474"/>
      <c r="AB150" s="338"/>
      <c r="AC150" s="438"/>
      <c r="AD150" s="438"/>
      <c r="AE150" s="438"/>
      <c r="AF150" s="438"/>
      <c r="AG150" s="438"/>
      <c r="AH150" s="438"/>
      <c r="AI150" s="438"/>
      <c r="AJ150" s="438"/>
      <c r="AK150" s="438"/>
      <c r="AL150" s="438"/>
      <c r="AM150" s="339"/>
      <c r="AO150" s="702">
        <f ca="1">IF($A150="S",IF(BM!$I150=0,0,CHOOSE(MATCH(RegimeExecucao,{"Global","Unitário"},0),ROUND(ROUND(BM.MEDAcumulado,15-13*BM!$A$9)/100*BM!$I150,15-13*ORÇAMENTO!$AF$11),ROUND(ROUND(BM.MEDAcumulado,15-13*BM!$A$9)*ROUND(BM!$H150,15-13*ORÇAMENTO!$AF$10),15-13*ORÇAMENTO!$AF$11))),IF($A150=0,0,ROUND(SomaAgrupBM,15-13*ORÇAMENTO!$AF$11)))</f>
        <v>0</v>
      </c>
    </row>
    <row r="151" spans="1:41" s="702" customFormat="1" x14ac:dyDescent="0.2">
      <c r="A151" s="702" t="str">
        <f ca="1">ORÇAMENTO!C151</f>
        <v>S</v>
      </c>
      <c r="B151" s="702">
        <f ca="1">ORÇAMENTO!D151</f>
        <v>0</v>
      </c>
      <c r="C151" s="115" t="str">
        <f t="shared" ca="1" si="15"/>
        <v/>
      </c>
      <c r="D151" s="118" t="str">
        <f ca="1">ORÇAMENTO!O151</f>
        <v>-</v>
      </c>
      <c r="E151" s="164" t="str">
        <f t="shared" ca="1" si="16"/>
        <v>(abra o arquivo 'Referência 09-2025.xlsm)</v>
      </c>
      <c r="F151" s="165" t="str">
        <f ca="1">IF(RegimeExecucao="Global","",ORÇAMENTO.Unidade)</f>
        <v>-</v>
      </c>
      <c r="G151" s="123">
        <f ca="1">IF(RegimeExecucao="Global","",ORÇAMENTO!T151)</f>
        <v>1</v>
      </c>
      <c r="H151" s="123">
        <f ca="1">IF(RegimeExecucao="Global","",ORÇAMENTO!W151)</f>
        <v>0</v>
      </c>
      <c r="I151" s="126">
        <f ca="1">ORÇAMENTO!X151</f>
        <v>0</v>
      </c>
      <c r="J151" s="334" t="e" cm="1">
        <f t="array" aca="1" ref="J151" ca="1">_xlfn.SINGLE(IF($A151="S",IF(CAIXA.Modo,BM.AFAnterior,BM.MEDAnterior),IF(AND(_xlfn.SINGLE(RegimeExecucao)="Global",$I151&gt;0,COUNTIF($AB$13:$AM$13,BM.medicao-1)&gt;0),M151/$I151*100,0)))</f>
        <v>#NAME?</v>
      </c>
      <c r="K151" s="123" t="e">
        <f t="shared" ca="1" si="17"/>
        <v>#NAME?</v>
      </c>
      <c r="L151" s="335" t="e" cm="1">
        <f t="array" aca="1" ref="L151" ca="1">_xlfn.SINGLE(IF($A151="S",IF(CAIXA.Modo,BM.AFAcumulado,BM.MEDAcumulado),IF(AND(_xlfn.SINGLE(RegimeExecucao)="Global",$I151&gt;0,COUNTIF($AB$13:$AM$13,BM.medicao)&gt;0),O151/$I151*100,0)))</f>
        <v>#NAME?</v>
      </c>
      <c r="M151" s="336">
        <f ca="1">IF($A151="S",VTOTALBM,IF($A151=0,0,ROUND(SomaAgrupBM,15-13*ORÇAMENTO!$AF$11)))</f>
        <v>0</v>
      </c>
      <c r="N151" s="337">
        <f t="shared" ca="1" si="18"/>
        <v>0</v>
      </c>
      <c r="O151" s="126">
        <f ca="1">IF($A151="S",VTOTALBM,IF($A151=0,0,ROUND(SomaAgrupBM,15-13*ORÇAMENTO!$AF$11)))</f>
        <v>0</v>
      </c>
      <c r="Q151" s="338"/>
      <c r="R151" s="339"/>
      <c r="T151" s="118" t="str">
        <f t="shared" ca="1" si="19"/>
        <v/>
      </c>
      <c r="U151" s="164" t="str">
        <f t="shared" ca="1" si="20"/>
        <v/>
      </c>
      <c r="V151" s="165" t="str">
        <f ca="1">IF(AND($W151&gt;0,RegimeExecucao="Unitário"),$F151,"")</f>
        <v/>
      </c>
      <c r="W151" s="455">
        <f ca="1">IF($Y151&gt;0,CHOOSE(MATCH(RegimeExecucao,{"Unitário","Global"},0),IF($A151="S",$Y151/$X151,""),($Y151/$X151)*100),0)</f>
        <v>0</v>
      </c>
      <c r="X151" s="340" t="str">
        <f ca="1">IF($Y151&gt;0,CHOOSE(MATCH(RegimeExecucao,{"Unitário","Global"},0),IF($A151="S",ROUND($H151,ORÇAMENTO!$AF$10),""),ROUND($I151,ORÇAMENTO!$AF$11)),"")</f>
        <v/>
      </c>
      <c r="Y151" s="340">
        <f t="shared" ca="1" si="21"/>
        <v>0</v>
      </c>
      <c r="Z151" s="474"/>
      <c r="AB151" s="338"/>
      <c r="AC151" s="438"/>
      <c r="AD151" s="438"/>
      <c r="AE151" s="438"/>
      <c r="AF151" s="438"/>
      <c r="AG151" s="438"/>
      <c r="AH151" s="438"/>
      <c r="AI151" s="438"/>
      <c r="AJ151" s="438"/>
      <c r="AK151" s="438"/>
      <c r="AL151" s="438"/>
      <c r="AM151" s="339"/>
      <c r="AO151" s="702">
        <f ca="1">IF($A151="S",IF(BM!$I151=0,0,CHOOSE(MATCH(RegimeExecucao,{"Global","Unitário"},0),ROUND(ROUND(BM.MEDAcumulado,15-13*BM!$A$9)/100*BM!$I151,15-13*ORÇAMENTO!$AF$11),ROUND(ROUND(BM.MEDAcumulado,15-13*BM!$A$9)*ROUND(BM!$H151,15-13*ORÇAMENTO!$AF$10),15-13*ORÇAMENTO!$AF$11))),IF($A151=0,0,ROUND(SomaAgrupBM,15-13*ORÇAMENTO!$AF$11)))</f>
        <v>0</v>
      </c>
    </row>
    <row r="152" spans="1:41" s="702" customFormat="1" x14ac:dyDescent="0.2">
      <c r="A152" s="702" t="str">
        <f ca="1">ORÇAMENTO!C152</f>
        <v>S</v>
      </c>
      <c r="B152" s="702">
        <f ca="1">ORÇAMENTO!D152</f>
        <v>0</v>
      </c>
      <c r="C152" s="115" t="str">
        <f t="shared" ca="1" si="15"/>
        <v/>
      </c>
      <c r="D152" s="118" t="str">
        <f ca="1">ORÇAMENTO!O152</f>
        <v>-</v>
      </c>
      <c r="E152" s="164" t="str">
        <f t="shared" ca="1" si="16"/>
        <v>(abra o arquivo 'Referência 09-2025.xlsm)</v>
      </c>
      <c r="F152" s="165" t="str">
        <f ca="1">IF(RegimeExecucao="Global","",ORÇAMENTO.Unidade)</f>
        <v>-</v>
      </c>
      <c r="G152" s="123">
        <f ca="1">IF(RegimeExecucao="Global","",ORÇAMENTO!T152)</f>
        <v>1</v>
      </c>
      <c r="H152" s="123">
        <f ca="1">IF(RegimeExecucao="Global","",ORÇAMENTO!W152)</f>
        <v>0</v>
      </c>
      <c r="I152" s="126">
        <f ca="1">ORÇAMENTO!X152</f>
        <v>0</v>
      </c>
      <c r="J152" s="334" t="e" cm="1">
        <f t="array" aca="1" ref="J152" ca="1">_xlfn.SINGLE(IF($A152="S",IF(CAIXA.Modo,BM.AFAnterior,BM.MEDAnterior),IF(AND(_xlfn.SINGLE(RegimeExecucao)="Global",$I152&gt;0,COUNTIF($AB$13:$AM$13,BM.medicao-1)&gt;0),M152/$I152*100,0)))</f>
        <v>#NAME?</v>
      </c>
      <c r="K152" s="123" t="e">
        <f t="shared" ca="1" si="17"/>
        <v>#NAME?</v>
      </c>
      <c r="L152" s="335" t="e" cm="1">
        <f t="array" aca="1" ref="L152" ca="1">_xlfn.SINGLE(IF($A152="S",IF(CAIXA.Modo,BM.AFAcumulado,BM.MEDAcumulado),IF(AND(_xlfn.SINGLE(RegimeExecucao)="Global",$I152&gt;0,COUNTIF($AB$13:$AM$13,BM.medicao)&gt;0),O152/$I152*100,0)))</f>
        <v>#NAME?</v>
      </c>
      <c r="M152" s="336">
        <f ca="1">IF($A152="S",VTOTALBM,IF($A152=0,0,ROUND(SomaAgrupBM,15-13*ORÇAMENTO!$AF$11)))</f>
        <v>0</v>
      </c>
      <c r="N152" s="337">
        <f t="shared" ca="1" si="18"/>
        <v>0</v>
      </c>
      <c r="O152" s="126">
        <f ca="1">IF($A152="S",VTOTALBM,IF($A152=0,0,ROUND(SomaAgrupBM,15-13*ORÇAMENTO!$AF$11)))</f>
        <v>0</v>
      </c>
      <c r="Q152" s="338"/>
      <c r="R152" s="339"/>
      <c r="T152" s="118" t="str">
        <f t="shared" ca="1" si="19"/>
        <v/>
      </c>
      <c r="U152" s="164" t="str">
        <f t="shared" ca="1" si="20"/>
        <v/>
      </c>
      <c r="V152" s="165" t="str">
        <f ca="1">IF(AND($W152&gt;0,RegimeExecucao="Unitário"),$F152,"")</f>
        <v/>
      </c>
      <c r="W152" s="455">
        <f ca="1">IF($Y152&gt;0,CHOOSE(MATCH(RegimeExecucao,{"Unitário","Global"},0),IF($A152="S",$Y152/$X152,""),($Y152/$X152)*100),0)</f>
        <v>0</v>
      </c>
      <c r="X152" s="340" t="str">
        <f ca="1">IF($Y152&gt;0,CHOOSE(MATCH(RegimeExecucao,{"Unitário","Global"},0),IF($A152="S",ROUND($H152,ORÇAMENTO!$AF$10),""),ROUND($I152,ORÇAMENTO!$AF$11)),"")</f>
        <v/>
      </c>
      <c r="Y152" s="340">
        <f t="shared" ca="1" si="21"/>
        <v>0</v>
      </c>
      <c r="Z152" s="474"/>
      <c r="AB152" s="338"/>
      <c r="AC152" s="438"/>
      <c r="AD152" s="438"/>
      <c r="AE152" s="438"/>
      <c r="AF152" s="438"/>
      <c r="AG152" s="438"/>
      <c r="AH152" s="438"/>
      <c r="AI152" s="438"/>
      <c r="AJ152" s="438"/>
      <c r="AK152" s="438"/>
      <c r="AL152" s="438"/>
      <c r="AM152" s="339"/>
      <c r="AO152" s="702">
        <f ca="1">IF($A152="S",IF(BM!$I152=0,0,CHOOSE(MATCH(RegimeExecucao,{"Global","Unitário"},0),ROUND(ROUND(BM.MEDAcumulado,15-13*BM!$A$9)/100*BM!$I152,15-13*ORÇAMENTO!$AF$11),ROUND(ROUND(BM.MEDAcumulado,15-13*BM!$A$9)*ROUND(BM!$H152,15-13*ORÇAMENTO!$AF$10),15-13*ORÇAMENTO!$AF$11))),IF($A152=0,0,ROUND(SomaAgrupBM,15-13*ORÇAMENTO!$AF$11)))</f>
        <v>0</v>
      </c>
    </row>
    <row r="153" spans="1:41" s="702" customFormat="1" x14ac:dyDescent="0.2">
      <c r="A153" s="702" t="str">
        <f ca="1">ORÇAMENTO!C153</f>
        <v>S</v>
      </c>
      <c r="B153" s="702">
        <f ca="1">ORÇAMENTO!D153</f>
        <v>0</v>
      </c>
      <c r="C153" s="115" t="str">
        <f t="shared" ca="1" si="15"/>
        <v/>
      </c>
      <c r="D153" s="118" t="str">
        <f ca="1">ORÇAMENTO!O153</f>
        <v>-</v>
      </c>
      <c r="E153" s="164" t="str">
        <f t="shared" ca="1" si="16"/>
        <v>(abra o arquivo 'Referência 09-2025.xlsm)</v>
      </c>
      <c r="F153" s="165" t="str">
        <f ca="1">IF(RegimeExecucao="Global","",ORÇAMENTO.Unidade)</f>
        <v>-</v>
      </c>
      <c r="G153" s="123">
        <f ca="1">IF(RegimeExecucao="Global","",ORÇAMENTO!T153)</f>
        <v>1</v>
      </c>
      <c r="H153" s="123">
        <f ca="1">IF(RegimeExecucao="Global","",ORÇAMENTO!W153)</f>
        <v>0</v>
      </c>
      <c r="I153" s="126">
        <f ca="1">ORÇAMENTO!X153</f>
        <v>0</v>
      </c>
      <c r="J153" s="334" t="e" cm="1">
        <f t="array" aca="1" ref="J153" ca="1">_xlfn.SINGLE(IF($A153="S",IF(CAIXA.Modo,BM.AFAnterior,BM.MEDAnterior),IF(AND(_xlfn.SINGLE(RegimeExecucao)="Global",$I153&gt;0,COUNTIF($AB$13:$AM$13,BM.medicao-1)&gt;0),M153/$I153*100,0)))</f>
        <v>#NAME?</v>
      </c>
      <c r="K153" s="123" t="e">
        <f t="shared" ca="1" si="17"/>
        <v>#NAME?</v>
      </c>
      <c r="L153" s="335" t="e" cm="1">
        <f t="array" aca="1" ref="L153" ca="1">_xlfn.SINGLE(IF($A153="S",IF(CAIXA.Modo,BM.AFAcumulado,BM.MEDAcumulado),IF(AND(_xlfn.SINGLE(RegimeExecucao)="Global",$I153&gt;0,COUNTIF($AB$13:$AM$13,BM.medicao)&gt;0),O153/$I153*100,0)))</f>
        <v>#NAME?</v>
      </c>
      <c r="M153" s="336">
        <f ca="1">IF($A153="S",VTOTALBM,IF($A153=0,0,ROUND(SomaAgrupBM,15-13*ORÇAMENTO!$AF$11)))</f>
        <v>0</v>
      </c>
      <c r="N153" s="337">
        <f t="shared" ca="1" si="18"/>
        <v>0</v>
      </c>
      <c r="O153" s="126">
        <f ca="1">IF($A153="S",VTOTALBM,IF($A153=0,0,ROUND(SomaAgrupBM,15-13*ORÇAMENTO!$AF$11)))</f>
        <v>0</v>
      </c>
      <c r="Q153" s="338"/>
      <c r="R153" s="339"/>
      <c r="T153" s="118" t="str">
        <f t="shared" ca="1" si="19"/>
        <v/>
      </c>
      <c r="U153" s="164" t="str">
        <f t="shared" ca="1" si="20"/>
        <v/>
      </c>
      <c r="V153" s="165" t="str">
        <f ca="1">IF(AND($W153&gt;0,RegimeExecucao="Unitário"),$F153,"")</f>
        <v/>
      </c>
      <c r="W153" s="455">
        <f ca="1">IF($Y153&gt;0,CHOOSE(MATCH(RegimeExecucao,{"Unitário","Global"},0),IF($A153="S",$Y153/$X153,""),($Y153/$X153)*100),0)</f>
        <v>0</v>
      </c>
      <c r="X153" s="340" t="str">
        <f ca="1">IF($Y153&gt;0,CHOOSE(MATCH(RegimeExecucao,{"Unitário","Global"},0),IF($A153="S",ROUND($H153,ORÇAMENTO!$AF$10),""),ROUND($I153,ORÇAMENTO!$AF$11)),"")</f>
        <v/>
      </c>
      <c r="Y153" s="340">
        <f t="shared" ca="1" si="21"/>
        <v>0</v>
      </c>
      <c r="Z153" s="474"/>
      <c r="AB153" s="338"/>
      <c r="AC153" s="438"/>
      <c r="AD153" s="438"/>
      <c r="AE153" s="438"/>
      <c r="AF153" s="438"/>
      <c r="AG153" s="438"/>
      <c r="AH153" s="438"/>
      <c r="AI153" s="438"/>
      <c r="AJ153" s="438"/>
      <c r="AK153" s="438"/>
      <c r="AL153" s="438"/>
      <c r="AM153" s="339"/>
      <c r="AO153" s="702">
        <f ca="1">IF($A153="S",IF(BM!$I153=0,0,CHOOSE(MATCH(RegimeExecucao,{"Global","Unitário"},0),ROUND(ROUND(BM.MEDAcumulado,15-13*BM!$A$9)/100*BM!$I153,15-13*ORÇAMENTO!$AF$11),ROUND(ROUND(BM.MEDAcumulado,15-13*BM!$A$9)*ROUND(BM!$H153,15-13*ORÇAMENTO!$AF$10),15-13*ORÇAMENTO!$AF$11))),IF($A153=0,0,ROUND(SomaAgrupBM,15-13*ORÇAMENTO!$AF$11)))</f>
        <v>0</v>
      </c>
    </row>
    <row r="154" spans="1:41" s="702" customFormat="1" ht="25.5" x14ac:dyDescent="0.2">
      <c r="A154" s="702" t="str">
        <f ca="1">ORÇAMENTO!C154</f>
        <v>S</v>
      </c>
      <c r="B154" s="702">
        <f ca="1">ORÇAMENTO!D154</f>
        <v>0</v>
      </c>
      <c r="C154" s="115" t="str">
        <f t="shared" ca="1" si="15"/>
        <v/>
      </c>
      <c r="D154" s="118" t="str">
        <f ca="1">ORÇAMENTO!O154</f>
        <v>-</v>
      </c>
      <c r="E154" s="164" t="str">
        <f t="shared" ca="1" si="16"/>
        <v>(abra o arquivo 'Referência 09-2025.xlsm)</v>
      </c>
      <c r="F154" s="165" t="str">
        <f ca="1">IF(RegimeExecucao="Global","",ORÇAMENTO.Unidade)</f>
        <v>-</v>
      </c>
      <c r="G154" s="123">
        <f ca="1">IF(RegimeExecucao="Global","",ORÇAMENTO!T154)</f>
        <v>1</v>
      </c>
      <c r="H154" s="123">
        <f ca="1">IF(RegimeExecucao="Global","",ORÇAMENTO!W154)</f>
        <v>0</v>
      </c>
      <c r="I154" s="126">
        <f ca="1">ORÇAMENTO!X154</f>
        <v>0</v>
      </c>
      <c r="J154" s="334" t="e" cm="1">
        <f t="array" aca="1" ref="J154" ca="1">_xlfn.SINGLE(IF($A154="S",IF(CAIXA.Modo,BM.AFAnterior,BM.MEDAnterior),IF(AND(_xlfn.SINGLE(RegimeExecucao)="Global",$I154&gt;0,COUNTIF($AB$13:$AM$13,BM.medicao-1)&gt;0),M154/$I154*100,0)))</f>
        <v>#NAME?</v>
      </c>
      <c r="K154" s="123" t="e">
        <f t="shared" ca="1" si="17"/>
        <v>#NAME?</v>
      </c>
      <c r="L154" s="335" t="e" cm="1">
        <f t="array" aca="1" ref="L154" ca="1">_xlfn.SINGLE(IF($A154="S",IF(CAIXA.Modo,BM.AFAcumulado,BM.MEDAcumulado),IF(AND(_xlfn.SINGLE(RegimeExecucao)="Global",$I154&gt;0,COUNTIF($AB$13:$AM$13,BM.medicao)&gt;0),O154/$I154*100,0)))</f>
        <v>#NAME?</v>
      </c>
      <c r="M154" s="336">
        <f ca="1">IF($A154="S",VTOTALBM,IF($A154=0,0,ROUND(SomaAgrupBM,15-13*ORÇAMENTO!$AF$11)))</f>
        <v>0</v>
      </c>
      <c r="N154" s="337">
        <f t="shared" ca="1" si="18"/>
        <v>0</v>
      </c>
      <c r="O154" s="126">
        <f ca="1">IF($A154="S",VTOTALBM,IF($A154=0,0,ROUND(SomaAgrupBM,15-13*ORÇAMENTO!$AF$11)))</f>
        <v>0</v>
      </c>
      <c r="Q154" s="338"/>
      <c r="R154" s="339"/>
      <c r="T154" s="118" t="str">
        <f t="shared" ca="1" si="19"/>
        <v/>
      </c>
      <c r="U154" s="164" t="str">
        <f t="shared" ca="1" si="20"/>
        <v/>
      </c>
      <c r="V154" s="165" t="str">
        <f ca="1">IF(AND($W154&gt;0,RegimeExecucao="Unitário"),$F154,"")</f>
        <v/>
      </c>
      <c r="W154" s="455">
        <f ca="1">IF($Y154&gt;0,CHOOSE(MATCH(RegimeExecucao,{"Unitário","Global"},0),IF($A154="S",$Y154/$X154,""),($Y154/$X154)*100),0)</f>
        <v>0</v>
      </c>
      <c r="X154" s="340" t="str">
        <f ca="1">IF($Y154&gt;0,CHOOSE(MATCH(RegimeExecucao,{"Unitário","Global"},0),IF($A154="S",ROUND($H154,ORÇAMENTO!$AF$10),""),ROUND($I154,ORÇAMENTO!$AF$11)),"")</f>
        <v/>
      </c>
      <c r="Y154" s="340">
        <f t="shared" ca="1" si="21"/>
        <v>0</v>
      </c>
      <c r="Z154" s="474"/>
      <c r="AB154" s="338"/>
      <c r="AC154" s="438"/>
      <c r="AD154" s="438"/>
      <c r="AE154" s="438"/>
      <c r="AF154" s="438"/>
      <c r="AG154" s="438"/>
      <c r="AH154" s="438"/>
      <c r="AI154" s="438"/>
      <c r="AJ154" s="438"/>
      <c r="AK154" s="438"/>
      <c r="AL154" s="438"/>
      <c r="AM154" s="339"/>
      <c r="AO154" s="702">
        <f ca="1">IF($A154="S",IF(BM!$I154=0,0,CHOOSE(MATCH(RegimeExecucao,{"Global","Unitário"},0),ROUND(ROUND(BM.MEDAcumulado,15-13*BM!$A$9)/100*BM!$I154,15-13*ORÇAMENTO!$AF$11),ROUND(ROUND(BM.MEDAcumulado,15-13*BM!$A$9)*ROUND(BM!$H154,15-13*ORÇAMENTO!$AF$10),15-13*ORÇAMENTO!$AF$11))),IF($A154=0,0,ROUND(SomaAgrupBM,15-13*ORÇAMENTO!$AF$11)))</f>
        <v>0</v>
      </c>
    </row>
    <row r="155" spans="1:41" s="702" customFormat="1" x14ac:dyDescent="0.2">
      <c r="A155" s="702" t="str">
        <f ca="1">ORÇAMENTO!C155</f>
        <v>S</v>
      </c>
      <c r="B155" s="702">
        <f ca="1">ORÇAMENTO!D155</f>
        <v>0</v>
      </c>
      <c r="C155" s="115" t="str">
        <f ca="1">IF(OR($I155&gt;0,$A155=1,$A155=2,$A155=3,$A155=4),"F","")</f>
        <v/>
      </c>
      <c r="D155" s="118" t="str">
        <f ca="1">ORÇAMENTO!O155</f>
        <v>-</v>
      </c>
      <c r="E155" s="164" t="str">
        <f t="shared" ref="E155:E163" ca="1" si="22">ORÇAMENTO.Descricao</f>
        <v>(abra o arquivo 'Referência 09-2025.xlsm)</v>
      </c>
      <c r="F155" s="165" t="str">
        <f ca="1">IF(RegimeExecucao="Global","",ORÇAMENTO.Unidade)</f>
        <v>-</v>
      </c>
      <c r="G155" s="123">
        <f ca="1">IF(RegimeExecucao="Global","",ORÇAMENTO!T155)</f>
        <v>2</v>
      </c>
      <c r="H155" s="123">
        <f ca="1">IF(RegimeExecucao="Global","",ORÇAMENTO!W155)</f>
        <v>0</v>
      </c>
      <c r="I155" s="126">
        <f ca="1">ORÇAMENTO!X155</f>
        <v>0</v>
      </c>
      <c r="J155" s="334" t="e" cm="1">
        <f t="array" aca="1" ref="J155" ca="1">_xlfn.SINGLE(IF($A155="S",IF(CAIXA.Modo,BM.AFAnterior,BM.MEDAnterior),IF(AND(_xlfn.SINGLE(RegimeExecucao)="Global",$I155&gt;0,COUNTIF($AB$13:$AM$13,BM.medicao-1)&gt;0),M155/$I155*100,0)))</f>
        <v>#NAME?</v>
      </c>
      <c r="K155" s="123" t="e">
        <f ca="1">L155-J155</f>
        <v>#NAME?</v>
      </c>
      <c r="L155" s="335" t="e" cm="1">
        <f t="array" aca="1" ref="L155" ca="1">_xlfn.SINGLE(IF($A155="S",IF(CAIXA.Modo,BM.AFAcumulado,BM.MEDAcumulado),IF(AND(_xlfn.SINGLE(RegimeExecucao)="Global",$I155&gt;0,COUNTIF($AB$13:$AM$13,BM.medicao)&gt;0),O155/$I155*100,0)))</f>
        <v>#NAME?</v>
      </c>
      <c r="M155" s="336">
        <f ca="1">IF($A155="S",VTOTALBM,IF($A155=0,0,ROUND(SomaAgrupBM,15-13*ORÇAMENTO!$AF$11)))</f>
        <v>0</v>
      </c>
      <c r="N155" s="337">
        <f ca="1">O155-M155</f>
        <v>0</v>
      </c>
      <c r="O155" s="126">
        <f ca="1">IF($A155="S",VTOTALBM,IF($A155=0,0,ROUND(SomaAgrupBM,15-13*ORÇAMENTO!$AF$11)))</f>
        <v>0</v>
      </c>
      <c r="Q155" s="338"/>
      <c r="R155" s="339"/>
      <c r="T155" s="118" t="str">
        <f ca="1">IF($W155&gt;0,$D155,"")</f>
        <v/>
      </c>
      <c r="U155" s="164" t="str">
        <f ca="1">IF($W155&gt;0,$E155,"")</f>
        <v/>
      </c>
      <c r="V155" s="165" t="str">
        <f ca="1">IF(AND($W155&gt;0,RegimeExecucao="Unitário"),$F155,"")</f>
        <v/>
      </c>
      <c r="W155" s="455">
        <f ca="1">IF($Y155&gt;0,CHOOSE(MATCH(RegimeExecucao,{"Unitário","Global"},0),IF($A155="S",$Y155/$X155,""),($Y155/$X155)*100),0)</f>
        <v>0</v>
      </c>
      <c r="X155" s="340" t="str">
        <f ca="1">IF($Y155&gt;0,CHOOSE(MATCH(RegimeExecucao,{"Unitário","Global"},0),IF($A155="S",ROUND($H155,ORÇAMENTO!$AF$10),""),ROUND($I155,ORÇAMENTO!$AF$11)),"")</f>
        <v/>
      </c>
      <c r="Y155" s="340">
        <f ca="1">AO155-O155</f>
        <v>0</v>
      </c>
      <c r="Z155" s="474"/>
      <c r="AB155" s="338"/>
      <c r="AC155" s="438"/>
      <c r="AD155" s="438"/>
      <c r="AE155" s="438"/>
      <c r="AF155" s="438"/>
      <c r="AG155" s="438"/>
      <c r="AH155" s="438"/>
      <c r="AI155" s="438"/>
      <c r="AJ155" s="438"/>
      <c r="AK155" s="438"/>
      <c r="AL155" s="438"/>
      <c r="AM155" s="339"/>
      <c r="AO155" s="702">
        <f ca="1">IF($A155="S",IF(BM!$I155=0,0,CHOOSE(MATCH(RegimeExecucao,{"Global","Unitário"},0),ROUND(ROUND(BM.MEDAcumulado,15-13*BM!$A$9)/100*BM!$I155,15-13*ORÇAMENTO!$AF$11),ROUND(ROUND(BM.MEDAcumulado,15-13*BM!$A$9)*ROUND(BM!$H155,15-13*ORÇAMENTO!$AF$10),15-13*ORÇAMENTO!$AF$11))),IF($A155=0,0,ROUND(SomaAgrupBM,15-13*ORÇAMENTO!$AF$11)))</f>
        <v>0</v>
      </c>
    </row>
    <row r="156" spans="1:41" s="702" customFormat="1" x14ac:dyDescent="0.2">
      <c r="A156" s="702" t="str">
        <f ca="1">ORÇAMENTO!C156</f>
        <v>S</v>
      </c>
      <c r="B156" s="702">
        <f ca="1">ORÇAMENTO!D156</f>
        <v>0</v>
      </c>
      <c r="C156" s="115" t="str">
        <f t="shared" ref="C156:C163" ca="1" si="23">IF(OR($I156&gt;0,$A156=1,$A156=2,$A156=3,$A156=4),"F","")</f>
        <v/>
      </c>
      <c r="D156" s="118" t="str">
        <f ca="1">ORÇAMENTO!O156</f>
        <v>-</v>
      </c>
      <c r="E156" s="164" t="str">
        <f t="shared" ca="1" si="22"/>
        <v>(abra o arquivo 'Referência 09-2025.xlsm)</v>
      </c>
      <c r="F156" s="165" t="str">
        <f ca="1">IF(RegimeExecucao="Global","",ORÇAMENTO.Unidade)</f>
        <v>-</v>
      </c>
      <c r="G156" s="123">
        <f ca="1">IF(RegimeExecucao="Global","",ORÇAMENTO!T156)</f>
        <v>2</v>
      </c>
      <c r="H156" s="123">
        <f ca="1">IF(RegimeExecucao="Global","",ORÇAMENTO!W156)</f>
        <v>0</v>
      </c>
      <c r="I156" s="126">
        <f ca="1">ORÇAMENTO!X156</f>
        <v>0</v>
      </c>
      <c r="J156" s="334" t="e" cm="1">
        <f t="array" aca="1" ref="J156" ca="1">_xlfn.SINGLE(IF($A156="S",IF(CAIXA.Modo,BM.AFAnterior,BM.MEDAnterior),IF(AND(_xlfn.SINGLE(RegimeExecucao)="Global",$I156&gt;0,COUNTIF($AB$13:$AM$13,BM.medicao-1)&gt;0),M156/$I156*100,0)))</f>
        <v>#NAME?</v>
      </c>
      <c r="K156" s="123" t="e">
        <f t="shared" ref="K156:K163" ca="1" si="24">L156-J156</f>
        <v>#NAME?</v>
      </c>
      <c r="L156" s="335" t="e" cm="1">
        <f t="array" aca="1" ref="L156" ca="1">_xlfn.SINGLE(IF($A156="S",IF(CAIXA.Modo,BM.AFAcumulado,BM.MEDAcumulado),IF(AND(_xlfn.SINGLE(RegimeExecucao)="Global",$I156&gt;0,COUNTIF($AB$13:$AM$13,BM.medicao)&gt;0),O156/$I156*100,0)))</f>
        <v>#NAME?</v>
      </c>
      <c r="M156" s="336">
        <f ca="1">IF($A156="S",VTOTALBM,IF($A156=0,0,ROUND(SomaAgrupBM,15-13*ORÇAMENTO!$AF$11)))</f>
        <v>0</v>
      </c>
      <c r="N156" s="337">
        <f t="shared" ref="N156:N163" ca="1" si="25">O156-M156</f>
        <v>0</v>
      </c>
      <c r="O156" s="126">
        <f ca="1">IF($A156="S",VTOTALBM,IF($A156=0,0,ROUND(SomaAgrupBM,15-13*ORÇAMENTO!$AF$11)))</f>
        <v>0</v>
      </c>
      <c r="Q156" s="338"/>
      <c r="R156" s="339"/>
      <c r="T156" s="118" t="str">
        <f t="shared" ref="T156:T163" ca="1" si="26">IF($W156&gt;0,$D156,"")</f>
        <v/>
      </c>
      <c r="U156" s="164" t="str">
        <f t="shared" ref="U156:U163" ca="1" si="27">IF($W156&gt;0,$E156,"")</f>
        <v/>
      </c>
      <c r="V156" s="165" t="str">
        <f ca="1">IF(AND($W156&gt;0,RegimeExecucao="Unitário"),$F156,"")</f>
        <v/>
      </c>
      <c r="W156" s="455">
        <f ca="1">IF($Y156&gt;0,CHOOSE(MATCH(RegimeExecucao,{"Unitário","Global"},0),IF($A156="S",$Y156/$X156,""),($Y156/$X156)*100),0)</f>
        <v>0</v>
      </c>
      <c r="X156" s="340" t="str">
        <f ca="1">IF($Y156&gt;0,CHOOSE(MATCH(RegimeExecucao,{"Unitário","Global"},0),IF($A156="S",ROUND($H156,ORÇAMENTO!$AF$10),""),ROUND($I156,ORÇAMENTO!$AF$11)),"")</f>
        <v/>
      </c>
      <c r="Y156" s="340">
        <f t="shared" ref="Y156:Y163" ca="1" si="28">AO156-O156</f>
        <v>0</v>
      </c>
      <c r="Z156" s="474"/>
      <c r="AB156" s="338"/>
      <c r="AC156" s="438"/>
      <c r="AD156" s="438"/>
      <c r="AE156" s="438"/>
      <c r="AF156" s="438"/>
      <c r="AG156" s="438"/>
      <c r="AH156" s="438"/>
      <c r="AI156" s="438"/>
      <c r="AJ156" s="438"/>
      <c r="AK156" s="438"/>
      <c r="AL156" s="438"/>
      <c r="AM156" s="339"/>
      <c r="AO156" s="702">
        <f ca="1">IF($A156="S",IF(BM!$I156=0,0,CHOOSE(MATCH(RegimeExecucao,{"Global","Unitário"},0),ROUND(ROUND(BM.MEDAcumulado,15-13*BM!$A$9)/100*BM!$I156,15-13*ORÇAMENTO!$AF$11),ROUND(ROUND(BM.MEDAcumulado,15-13*BM!$A$9)*ROUND(BM!$H156,15-13*ORÇAMENTO!$AF$10),15-13*ORÇAMENTO!$AF$11))),IF($A156=0,0,ROUND(SomaAgrupBM,15-13*ORÇAMENTO!$AF$11)))</f>
        <v>0</v>
      </c>
    </row>
    <row r="157" spans="1:41" s="702" customFormat="1" x14ac:dyDescent="0.2">
      <c r="A157" s="702" t="str">
        <f ca="1">ORÇAMENTO!C157</f>
        <v>S</v>
      </c>
      <c r="B157" s="702">
        <f ca="1">ORÇAMENTO!D157</f>
        <v>0</v>
      </c>
      <c r="C157" s="115" t="str">
        <f t="shared" ca="1" si="23"/>
        <v/>
      </c>
      <c r="D157" s="118" t="str">
        <f ca="1">ORÇAMENTO!O157</f>
        <v>-</v>
      </c>
      <c r="E157" s="164" t="str">
        <f t="shared" ca="1" si="22"/>
        <v>(abra o arquivo 'Referência 09-2025.xlsm)</v>
      </c>
      <c r="F157" s="165" t="str">
        <f ca="1">IF(RegimeExecucao="Global","",ORÇAMENTO.Unidade)</f>
        <v>-</v>
      </c>
      <c r="G157" s="123">
        <f ca="1">IF(RegimeExecucao="Global","",ORÇAMENTO!T157)</f>
        <v>6</v>
      </c>
      <c r="H157" s="123">
        <f ca="1">IF(RegimeExecucao="Global","",ORÇAMENTO!W157)</f>
        <v>0</v>
      </c>
      <c r="I157" s="126">
        <f ca="1">ORÇAMENTO!X157</f>
        <v>0</v>
      </c>
      <c r="J157" s="334" t="e" cm="1">
        <f t="array" aca="1" ref="J157" ca="1">_xlfn.SINGLE(IF($A157="S",IF(CAIXA.Modo,BM.AFAnterior,BM.MEDAnterior),IF(AND(_xlfn.SINGLE(RegimeExecucao)="Global",$I157&gt;0,COUNTIF($AB$13:$AM$13,BM.medicao-1)&gt;0),M157/$I157*100,0)))</f>
        <v>#NAME?</v>
      </c>
      <c r="K157" s="123" t="e">
        <f t="shared" ca="1" si="24"/>
        <v>#NAME?</v>
      </c>
      <c r="L157" s="335" t="e" cm="1">
        <f t="array" aca="1" ref="L157" ca="1">_xlfn.SINGLE(IF($A157="S",IF(CAIXA.Modo,BM.AFAcumulado,BM.MEDAcumulado),IF(AND(_xlfn.SINGLE(RegimeExecucao)="Global",$I157&gt;0,COUNTIF($AB$13:$AM$13,BM.medicao)&gt;0),O157/$I157*100,0)))</f>
        <v>#NAME?</v>
      </c>
      <c r="M157" s="336">
        <f ca="1">IF($A157="S",VTOTALBM,IF($A157=0,0,ROUND(SomaAgrupBM,15-13*ORÇAMENTO!$AF$11)))</f>
        <v>0</v>
      </c>
      <c r="N157" s="337">
        <f t="shared" ca="1" si="25"/>
        <v>0</v>
      </c>
      <c r="O157" s="126">
        <f ca="1">IF($A157="S",VTOTALBM,IF($A157=0,0,ROUND(SomaAgrupBM,15-13*ORÇAMENTO!$AF$11)))</f>
        <v>0</v>
      </c>
      <c r="Q157" s="338"/>
      <c r="R157" s="339"/>
      <c r="T157" s="118" t="str">
        <f t="shared" ca="1" si="26"/>
        <v/>
      </c>
      <c r="U157" s="164" t="str">
        <f t="shared" ca="1" si="27"/>
        <v/>
      </c>
      <c r="V157" s="165" t="str">
        <f ca="1">IF(AND($W157&gt;0,RegimeExecucao="Unitário"),$F157,"")</f>
        <v/>
      </c>
      <c r="W157" s="455">
        <f ca="1">IF($Y157&gt;0,CHOOSE(MATCH(RegimeExecucao,{"Unitário","Global"},0),IF($A157="S",$Y157/$X157,""),($Y157/$X157)*100),0)</f>
        <v>0</v>
      </c>
      <c r="X157" s="340" t="str">
        <f ca="1">IF($Y157&gt;0,CHOOSE(MATCH(RegimeExecucao,{"Unitário","Global"},0),IF($A157="S",ROUND($H157,ORÇAMENTO!$AF$10),""),ROUND($I157,ORÇAMENTO!$AF$11)),"")</f>
        <v/>
      </c>
      <c r="Y157" s="340">
        <f t="shared" ca="1" si="28"/>
        <v>0</v>
      </c>
      <c r="Z157" s="474"/>
      <c r="AB157" s="338"/>
      <c r="AC157" s="438"/>
      <c r="AD157" s="438"/>
      <c r="AE157" s="438"/>
      <c r="AF157" s="438"/>
      <c r="AG157" s="438"/>
      <c r="AH157" s="438"/>
      <c r="AI157" s="438"/>
      <c r="AJ157" s="438"/>
      <c r="AK157" s="438"/>
      <c r="AL157" s="438"/>
      <c r="AM157" s="339"/>
      <c r="AO157" s="702">
        <f ca="1">IF($A157="S",IF(BM!$I157=0,0,CHOOSE(MATCH(RegimeExecucao,{"Global","Unitário"},0),ROUND(ROUND(BM.MEDAcumulado,15-13*BM!$A$9)/100*BM!$I157,15-13*ORÇAMENTO!$AF$11),ROUND(ROUND(BM.MEDAcumulado,15-13*BM!$A$9)*ROUND(BM!$H157,15-13*ORÇAMENTO!$AF$10),15-13*ORÇAMENTO!$AF$11))),IF($A157=0,0,ROUND(SomaAgrupBM,15-13*ORÇAMENTO!$AF$11)))</f>
        <v>0</v>
      </c>
    </row>
    <row r="158" spans="1:41" s="702" customFormat="1" x14ac:dyDescent="0.2">
      <c r="A158" s="702" t="str">
        <f ca="1">ORÇAMENTO!C158</f>
        <v>S</v>
      </c>
      <c r="B158" s="702">
        <f ca="1">ORÇAMENTO!D158</f>
        <v>0</v>
      </c>
      <c r="C158" s="115" t="str">
        <f t="shared" ca="1" si="23"/>
        <v/>
      </c>
      <c r="D158" s="118" t="str">
        <f ca="1">ORÇAMENTO!O158</f>
        <v>-</v>
      </c>
      <c r="E158" s="164" t="str">
        <f t="shared" ca="1" si="22"/>
        <v>(abra o arquivo 'Referência 09-2025.xlsm)</v>
      </c>
      <c r="F158" s="165" t="str">
        <f ca="1">IF(RegimeExecucao="Global","",ORÇAMENTO.Unidade)</f>
        <v>-</v>
      </c>
      <c r="G158" s="123">
        <f ca="1">IF(RegimeExecucao="Global","",ORÇAMENTO!T158)</f>
        <v>1</v>
      </c>
      <c r="H158" s="123">
        <f ca="1">IF(RegimeExecucao="Global","",ORÇAMENTO!W158)</f>
        <v>0</v>
      </c>
      <c r="I158" s="126">
        <f ca="1">ORÇAMENTO!X158</f>
        <v>0</v>
      </c>
      <c r="J158" s="334" t="e" cm="1">
        <f t="array" aca="1" ref="J158" ca="1">_xlfn.SINGLE(IF($A158="S",IF(CAIXA.Modo,BM.AFAnterior,BM.MEDAnterior),IF(AND(_xlfn.SINGLE(RegimeExecucao)="Global",$I158&gt;0,COUNTIF($AB$13:$AM$13,BM.medicao-1)&gt;0),M158/$I158*100,0)))</f>
        <v>#NAME?</v>
      </c>
      <c r="K158" s="123" t="e">
        <f t="shared" ca="1" si="24"/>
        <v>#NAME?</v>
      </c>
      <c r="L158" s="335" t="e" cm="1">
        <f t="array" aca="1" ref="L158" ca="1">_xlfn.SINGLE(IF($A158="S",IF(CAIXA.Modo,BM.AFAcumulado,BM.MEDAcumulado),IF(AND(_xlfn.SINGLE(RegimeExecucao)="Global",$I158&gt;0,COUNTIF($AB$13:$AM$13,BM.medicao)&gt;0),O158/$I158*100,0)))</f>
        <v>#NAME?</v>
      </c>
      <c r="M158" s="336">
        <f ca="1">IF($A158="S",VTOTALBM,IF($A158=0,0,ROUND(SomaAgrupBM,15-13*ORÇAMENTO!$AF$11)))</f>
        <v>0</v>
      </c>
      <c r="N158" s="337">
        <f t="shared" ca="1" si="25"/>
        <v>0</v>
      </c>
      <c r="O158" s="126">
        <f ca="1">IF($A158="S",VTOTALBM,IF($A158=0,0,ROUND(SomaAgrupBM,15-13*ORÇAMENTO!$AF$11)))</f>
        <v>0</v>
      </c>
      <c r="Q158" s="338"/>
      <c r="R158" s="339"/>
      <c r="T158" s="118" t="str">
        <f t="shared" ca="1" si="26"/>
        <v/>
      </c>
      <c r="U158" s="164" t="str">
        <f t="shared" ca="1" si="27"/>
        <v/>
      </c>
      <c r="V158" s="165" t="str">
        <f ca="1">IF(AND($W158&gt;0,RegimeExecucao="Unitário"),$F158,"")</f>
        <v/>
      </c>
      <c r="W158" s="455">
        <f ca="1">IF($Y158&gt;0,CHOOSE(MATCH(RegimeExecucao,{"Unitário","Global"},0),IF($A158="S",$Y158/$X158,""),($Y158/$X158)*100),0)</f>
        <v>0</v>
      </c>
      <c r="X158" s="340" t="str">
        <f ca="1">IF($Y158&gt;0,CHOOSE(MATCH(RegimeExecucao,{"Unitário","Global"},0),IF($A158="S",ROUND($H158,ORÇAMENTO!$AF$10),""),ROUND($I158,ORÇAMENTO!$AF$11)),"")</f>
        <v/>
      </c>
      <c r="Y158" s="340">
        <f t="shared" ca="1" si="28"/>
        <v>0</v>
      </c>
      <c r="Z158" s="474"/>
      <c r="AB158" s="338"/>
      <c r="AC158" s="438"/>
      <c r="AD158" s="438"/>
      <c r="AE158" s="438"/>
      <c r="AF158" s="438"/>
      <c r="AG158" s="438"/>
      <c r="AH158" s="438"/>
      <c r="AI158" s="438"/>
      <c r="AJ158" s="438"/>
      <c r="AK158" s="438"/>
      <c r="AL158" s="438"/>
      <c r="AM158" s="339"/>
      <c r="AO158" s="702">
        <f ca="1">IF($A158="S",IF(BM!$I158=0,0,CHOOSE(MATCH(RegimeExecucao,{"Global","Unitário"},0),ROUND(ROUND(BM.MEDAcumulado,15-13*BM!$A$9)/100*BM!$I158,15-13*ORÇAMENTO!$AF$11),ROUND(ROUND(BM.MEDAcumulado,15-13*BM!$A$9)*ROUND(BM!$H158,15-13*ORÇAMENTO!$AF$10),15-13*ORÇAMENTO!$AF$11))),IF($A158=0,0,ROUND(SomaAgrupBM,15-13*ORÇAMENTO!$AF$11)))</f>
        <v>0</v>
      </c>
    </row>
    <row r="159" spans="1:41" s="702" customFormat="1" ht="25.5" x14ac:dyDescent="0.2">
      <c r="A159" s="702" t="str">
        <f ca="1">ORÇAMENTO!C159</f>
        <v>S</v>
      </c>
      <c r="B159" s="702">
        <f ca="1">ORÇAMENTO!D159</f>
        <v>0</v>
      </c>
      <c r="C159" s="115" t="str">
        <f t="shared" ca="1" si="23"/>
        <v/>
      </c>
      <c r="D159" s="118" t="str">
        <f ca="1">ORÇAMENTO!O159</f>
        <v>-</v>
      </c>
      <c r="E159" s="164" t="str">
        <f t="shared" ca="1" si="22"/>
        <v>(abra o arquivo 'Referência 09-2025.xlsm)</v>
      </c>
      <c r="F159" s="165" t="str">
        <f ca="1">IF(RegimeExecucao="Global","",ORÇAMENTO.Unidade)</f>
        <v>-</v>
      </c>
      <c r="G159" s="123">
        <f ca="1">IF(RegimeExecucao="Global","",ORÇAMENTO!T159)</f>
        <v>8</v>
      </c>
      <c r="H159" s="123">
        <f ca="1">IF(RegimeExecucao="Global","",ORÇAMENTO!W159)</f>
        <v>0</v>
      </c>
      <c r="I159" s="126">
        <f ca="1">ORÇAMENTO!X159</f>
        <v>0</v>
      </c>
      <c r="J159" s="334" t="e" cm="1">
        <f t="array" aca="1" ref="J159" ca="1">_xlfn.SINGLE(IF($A159="S",IF(CAIXA.Modo,BM.AFAnterior,BM.MEDAnterior),IF(AND(_xlfn.SINGLE(RegimeExecucao)="Global",$I159&gt;0,COUNTIF($AB$13:$AM$13,BM.medicao-1)&gt;0),M159/$I159*100,0)))</f>
        <v>#NAME?</v>
      </c>
      <c r="K159" s="123" t="e">
        <f t="shared" ca="1" si="24"/>
        <v>#NAME?</v>
      </c>
      <c r="L159" s="335" t="e" cm="1">
        <f t="array" aca="1" ref="L159" ca="1">_xlfn.SINGLE(IF($A159="S",IF(CAIXA.Modo,BM.AFAcumulado,BM.MEDAcumulado),IF(AND(_xlfn.SINGLE(RegimeExecucao)="Global",$I159&gt;0,COUNTIF($AB$13:$AM$13,BM.medicao)&gt;0),O159/$I159*100,0)))</f>
        <v>#NAME?</v>
      </c>
      <c r="M159" s="336">
        <f ca="1">IF($A159="S",VTOTALBM,IF($A159=0,0,ROUND(SomaAgrupBM,15-13*ORÇAMENTO!$AF$11)))</f>
        <v>0</v>
      </c>
      <c r="N159" s="337">
        <f t="shared" ca="1" si="25"/>
        <v>0</v>
      </c>
      <c r="O159" s="126">
        <f ca="1">IF($A159="S",VTOTALBM,IF($A159=0,0,ROUND(SomaAgrupBM,15-13*ORÇAMENTO!$AF$11)))</f>
        <v>0</v>
      </c>
      <c r="Q159" s="338"/>
      <c r="R159" s="339"/>
      <c r="T159" s="118" t="str">
        <f t="shared" ca="1" si="26"/>
        <v/>
      </c>
      <c r="U159" s="164" t="str">
        <f t="shared" ca="1" si="27"/>
        <v/>
      </c>
      <c r="V159" s="165" t="str">
        <f ca="1">IF(AND($W159&gt;0,RegimeExecucao="Unitário"),$F159,"")</f>
        <v/>
      </c>
      <c r="W159" s="455">
        <f ca="1">IF($Y159&gt;0,CHOOSE(MATCH(RegimeExecucao,{"Unitário","Global"},0),IF($A159="S",$Y159/$X159,""),($Y159/$X159)*100),0)</f>
        <v>0</v>
      </c>
      <c r="X159" s="340" t="str">
        <f ca="1">IF($Y159&gt;0,CHOOSE(MATCH(RegimeExecucao,{"Unitário","Global"},0),IF($A159="S",ROUND($H159,ORÇAMENTO!$AF$10),""),ROUND($I159,ORÇAMENTO!$AF$11)),"")</f>
        <v/>
      </c>
      <c r="Y159" s="340">
        <f t="shared" ca="1" si="28"/>
        <v>0</v>
      </c>
      <c r="Z159" s="474"/>
      <c r="AB159" s="338"/>
      <c r="AC159" s="438"/>
      <c r="AD159" s="438"/>
      <c r="AE159" s="438"/>
      <c r="AF159" s="438"/>
      <c r="AG159" s="438"/>
      <c r="AH159" s="438"/>
      <c r="AI159" s="438"/>
      <c r="AJ159" s="438"/>
      <c r="AK159" s="438"/>
      <c r="AL159" s="438"/>
      <c r="AM159" s="339"/>
      <c r="AO159" s="702">
        <f ca="1">IF($A159="S",IF(BM!$I159=0,0,CHOOSE(MATCH(RegimeExecucao,{"Global","Unitário"},0),ROUND(ROUND(BM.MEDAcumulado,15-13*BM!$A$9)/100*BM!$I159,15-13*ORÇAMENTO!$AF$11),ROUND(ROUND(BM.MEDAcumulado,15-13*BM!$A$9)*ROUND(BM!$H159,15-13*ORÇAMENTO!$AF$10),15-13*ORÇAMENTO!$AF$11))),IF($A159=0,0,ROUND(SomaAgrupBM,15-13*ORÇAMENTO!$AF$11)))</f>
        <v>0</v>
      </c>
    </row>
    <row r="160" spans="1:41" s="702" customFormat="1" ht="25.5" x14ac:dyDescent="0.2">
      <c r="A160" s="702" t="str">
        <f ca="1">ORÇAMENTO!C160</f>
        <v>S</v>
      </c>
      <c r="B160" s="702">
        <f ca="1">ORÇAMENTO!D160</f>
        <v>0</v>
      </c>
      <c r="C160" s="115" t="str">
        <f t="shared" ca="1" si="23"/>
        <v/>
      </c>
      <c r="D160" s="118" t="str">
        <f ca="1">ORÇAMENTO!O160</f>
        <v>-</v>
      </c>
      <c r="E160" s="164" t="str">
        <f t="shared" ca="1" si="22"/>
        <v>(abra o arquivo 'Referência 09-2025.xlsm)</v>
      </c>
      <c r="F160" s="165" t="str">
        <f ca="1">IF(RegimeExecucao="Global","",ORÇAMENTO.Unidade)</f>
        <v>-</v>
      </c>
      <c r="G160" s="123">
        <f ca="1">IF(RegimeExecucao="Global","",ORÇAMENTO!T160)</f>
        <v>88</v>
      </c>
      <c r="H160" s="123">
        <f ca="1">IF(RegimeExecucao="Global","",ORÇAMENTO!W160)</f>
        <v>0</v>
      </c>
      <c r="I160" s="126">
        <f ca="1">ORÇAMENTO!X160</f>
        <v>0</v>
      </c>
      <c r="J160" s="334" t="e" cm="1">
        <f t="array" aca="1" ref="J160" ca="1">_xlfn.SINGLE(IF($A160="S",IF(CAIXA.Modo,BM.AFAnterior,BM.MEDAnterior),IF(AND(_xlfn.SINGLE(RegimeExecucao)="Global",$I160&gt;0,COUNTIF($AB$13:$AM$13,BM.medicao-1)&gt;0),M160/$I160*100,0)))</f>
        <v>#NAME?</v>
      </c>
      <c r="K160" s="123" t="e">
        <f t="shared" ca="1" si="24"/>
        <v>#NAME?</v>
      </c>
      <c r="L160" s="335" t="e" cm="1">
        <f t="array" aca="1" ref="L160" ca="1">_xlfn.SINGLE(IF($A160="S",IF(CAIXA.Modo,BM.AFAcumulado,BM.MEDAcumulado),IF(AND(_xlfn.SINGLE(RegimeExecucao)="Global",$I160&gt;0,COUNTIF($AB$13:$AM$13,BM.medicao)&gt;0),O160/$I160*100,0)))</f>
        <v>#NAME?</v>
      </c>
      <c r="M160" s="336">
        <f ca="1">IF($A160="S",VTOTALBM,IF($A160=0,0,ROUND(SomaAgrupBM,15-13*ORÇAMENTO!$AF$11)))</f>
        <v>0</v>
      </c>
      <c r="N160" s="337">
        <f t="shared" ca="1" si="25"/>
        <v>0</v>
      </c>
      <c r="O160" s="126">
        <f ca="1">IF($A160="S",VTOTALBM,IF($A160=0,0,ROUND(SomaAgrupBM,15-13*ORÇAMENTO!$AF$11)))</f>
        <v>0</v>
      </c>
      <c r="Q160" s="338"/>
      <c r="R160" s="339"/>
      <c r="T160" s="118" t="str">
        <f t="shared" ca="1" si="26"/>
        <v/>
      </c>
      <c r="U160" s="164" t="str">
        <f t="shared" ca="1" si="27"/>
        <v/>
      </c>
      <c r="V160" s="165" t="str">
        <f ca="1">IF(AND($W160&gt;0,RegimeExecucao="Unitário"),$F160,"")</f>
        <v/>
      </c>
      <c r="W160" s="455">
        <f ca="1">IF($Y160&gt;0,CHOOSE(MATCH(RegimeExecucao,{"Unitário","Global"},0),IF($A160="S",$Y160/$X160,""),($Y160/$X160)*100),0)</f>
        <v>0</v>
      </c>
      <c r="X160" s="340" t="str">
        <f ca="1">IF($Y160&gt;0,CHOOSE(MATCH(RegimeExecucao,{"Unitário","Global"},0),IF($A160="S",ROUND($H160,ORÇAMENTO!$AF$10),""),ROUND($I160,ORÇAMENTO!$AF$11)),"")</f>
        <v/>
      </c>
      <c r="Y160" s="340">
        <f t="shared" ca="1" si="28"/>
        <v>0</v>
      </c>
      <c r="Z160" s="474"/>
      <c r="AB160" s="338"/>
      <c r="AC160" s="438"/>
      <c r="AD160" s="438"/>
      <c r="AE160" s="438"/>
      <c r="AF160" s="438"/>
      <c r="AG160" s="438"/>
      <c r="AH160" s="438"/>
      <c r="AI160" s="438"/>
      <c r="AJ160" s="438"/>
      <c r="AK160" s="438"/>
      <c r="AL160" s="438"/>
      <c r="AM160" s="339"/>
      <c r="AO160" s="702">
        <f ca="1">IF($A160="S",IF(BM!$I160=0,0,CHOOSE(MATCH(RegimeExecucao,{"Global","Unitário"},0),ROUND(ROUND(BM.MEDAcumulado,15-13*BM!$A$9)/100*BM!$I160,15-13*ORÇAMENTO!$AF$11),ROUND(ROUND(BM.MEDAcumulado,15-13*BM!$A$9)*ROUND(BM!$H160,15-13*ORÇAMENTO!$AF$10),15-13*ORÇAMENTO!$AF$11))),IF($A160=0,0,ROUND(SomaAgrupBM,15-13*ORÇAMENTO!$AF$11)))</f>
        <v>0</v>
      </c>
    </row>
    <row r="161" spans="1:41" s="702" customFormat="1" ht="25.5" x14ac:dyDescent="0.2">
      <c r="A161" s="702" t="str">
        <f ca="1">ORÇAMENTO!C161</f>
        <v>S</v>
      </c>
      <c r="B161" s="702">
        <f ca="1">ORÇAMENTO!D161</f>
        <v>0</v>
      </c>
      <c r="C161" s="115" t="str">
        <f t="shared" ca="1" si="23"/>
        <v/>
      </c>
      <c r="D161" s="118" t="str">
        <f ca="1">ORÇAMENTO!O161</f>
        <v>-</v>
      </c>
      <c r="E161" s="164" t="str">
        <f t="shared" ca="1" si="22"/>
        <v>(abra o arquivo 'Referência 09-2025.xlsm)</v>
      </c>
      <c r="F161" s="165" t="str">
        <f ca="1">IF(RegimeExecucao="Global","",ORÇAMENTO.Unidade)</f>
        <v>-</v>
      </c>
      <c r="G161" s="123">
        <f ca="1">IF(RegimeExecucao="Global","",ORÇAMENTO!T161)</f>
        <v>12</v>
      </c>
      <c r="H161" s="123">
        <f ca="1">IF(RegimeExecucao="Global","",ORÇAMENTO!W161)</f>
        <v>0</v>
      </c>
      <c r="I161" s="126">
        <f ca="1">ORÇAMENTO!X161</f>
        <v>0</v>
      </c>
      <c r="J161" s="334" t="e" cm="1">
        <f t="array" aca="1" ref="J161" ca="1">_xlfn.SINGLE(IF($A161="S",IF(CAIXA.Modo,BM.AFAnterior,BM.MEDAnterior),IF(AND(_xlfn.SINGLE(RegimeExecucao)="Global",$I161&gt;0,COUNTIF($AB$13:$AM$13,BM.medicao-1)&gt;0),M161/$I161*100,0)))</f>
        <v>#NAME?</v>
      </c>
      <c r="K161" s="123" t="e">
        <f t="shared" ca="1" si="24"/>
        <v>#NAME?</v>
      </c>
      <c r="L161" s="335" t="e" cm="1">
        <f t="array" aca="1" ref="L161" ca="1">_xlfn.SINGLE(IF($A161="S",IF(CAIXA.Modo,BM.AFAcumulado,BM.MEDAcumulado),IF(AND(_xlfn.SINGLE(RegimeExecucao)="Global",$I161&gt;0,COUNTIF($AB$13:$AM$13,BM.medicao)&gt;0),O161/$I161*100,0)))</f>
        <v>#NAME?</v>
      </c>
      <c r="M161" s="336">
        <f ca="1">IF($A161="S",VTOTALBM,IF($A161=0,0,ROUND(SomaAgrupBM,15-13*ORÇAMENTO!$AF$11)))</f>
        <v>0</v>
      </c>
      <c r="N161" s="337">
        <f t="shared" ca="1" si="25"/>
        <v>0</v>
      </c>
      <c r="O161" s="126">
        <f ca="1">IF($A161="S",VTOTALBM,IF($A161=0,0,ROUND(SomaAgrupBM,15-13*ORÇAMENTO!$AF$11)))</f>
        <v>0</v>
      </c>
      <c r="Q161" s="338"/>
      <c r="R161" s="339"/>
      <c r="T161" s="118" t="str">
        <f t="shared" ca="1" si="26"/>
        <v/>
      </c>
      <c r="U161" s="164" t="str">
        <f t="shared" ca="1" si="27"/>
        <v/>
      </c>
      <c r="V161" s="165" t="str">
        <f ca="1">IF(AND($W161&gt;0,RegimeExecucao="Unitário"),$F161,"")</f>
        <v/>
      </c>
      <c r="W161" s="455">
        <f ca="1">IF($Y161&gt;0,CHOOSE(MATCH(RegimeExecucao,{"Unitário","Global"},0),IF($A161="S",$Y161/$X161,""),($Y161/$X161)*100),0)</f>
        <v>0</v>
      </c>
      <c r="X161" s="340" t="str">
        <f ca="1">IF($Y161&gt;0,CHOOSE(MATCH(RegimeExecucao,{"Unitário","Global"},0),IF($A161="S",ROUND($H161,ORÇAMENTO!$AF$10),""),ROUND($I161,ORÇAMENTO!$AF$11)),"")</f>
        <v/>
      </c>
      <c r="Y161" s="340">
        <f t="shared" ca="1" si="28"/>
        <v>0</v>
      </c>
      <c r="Z161" s="474"/>
      <c r="AB161" s="338"/>
      <c r="AC161" s="438"/>
      <c r="AD161" s="438"/>
      <c r="AE161" s="438"/>
      <c r="AF161" s="438"/>
      <c r="AG161" s="438"/>
      <c r="AH161" s="438"/>
      <c r="AI161" s="438"/>
      <c r="AJ161" s="438"/>
      <c r="AK161" s="438"/>
      <c r="AL161" s="438"/>
      <c r="AM161" s="339"/>
      <c r="AO161" s="702">
        <f ca="1">IF($A161="S",IF(BM!$I161=0,0,CHOOSE(MATCH(RegimeExecucao,{"Global","Unitário"},0),ROUND(ROUND(BM.MEDAcumulado,15-13*BM!$A$9)/100*BM!$I161,15-13*ORÇAMENTO!$AF$11),ROUND(ROUND(BM.MEDAcumulado,15-13*BM!$A$9)*ROUND(BM!$H161,15-13*ORÇAMENTO!$AF$10),15-13*ORÇAMENTO!$AF$11))),IF($A161=0,0,ROUND(SomaAgrupBM,15-13*ORÇAMENTO!$AF$11)))</f>
        <v>0</v>
      </c>
    </row>
    <row r="162" spans="1:41" s="702" customFormat="1" ht="153" x14ac:dyDescent="0.2">
      <c r="A162" s="702" t="str">
        <f ca="1">ORÇAMENTO!C162</f>
        <v>S</v>
      </c>
      <c r="B162" s="702">
        <f ca="1">ORÇAMENTO!D162</f>
        <v>0</v>
      </c>
      <c r="C162" s="115" t="str">
        <f t="shared" ca="1" si="23"/>
        <v/>
      </c>
      <c r="D162" s="118" t="str">
        <f ca="1">ORÇAMENTO!O162</f>
        <v>-</v>
      </c>
      <c r="E162" s="164" t="str">
        <f t="shared" ca="1" si="22"/>
        <v>(abra o arquivo 'Referência 09-2025.xlsm)</v>
      </c>
      <c r="F162" s="165" t="str">
        <f ca="1">IF(RegimeExecucao="Global","",ORÇAMENTO.Unidade)</f>
        <v>-</v>
      </c>
      <c r="G162" s="123">
        <f ca="1">IF(RegimeExecucao="Global","",ORÇAMENTO!T162)</f>
        <v>1</v>
      </c>
      <c r="H162" s="123">
        <f ca="1">IF(RegimeExecucao="Global","",ORÇAMENTO!W162)</f>
        <v>0</v>
      </c>
      <c r="I162" s="126">
        <f ca="1">ORÇAMENTO!X162</f>
        <v>0</v>
      </c>
      <c r="J162" s="334" t="e" cm="1">
        <f t="array" aca="1" ref="J162" ca="1">_xlfn.SINGLE(IF($A162="S",IF(CAIXA.Modo,BM.AFAnterior,BM.MEDAnterior),IF(AND(_xlfn.SINGLE(RegimeExecucao)="Global",$I162&gt;0,COUNTIF($AB$13:$AM$13,BM.medicao-1)&gt;0),M162/$I162*100,0)))</f>
        <v>#NAME?</v>
      </c>
      <c r="K162" s="123" t="e">
        <f t="shared" ca="1" si="24"/>
        <v>#NAME?</v>
      </c>
      <c r="L162" s="335" t="e" cm="1">
        <f t="array" aca="1" ref="L162" ca="1">_xlfn.SINGLE(IF($A162="S",IF(CAIXA.Modo,BM.AFAcumulado,BM.MEDAcumulado),IF(AND(_xlfn.SINGLE(RegimeExecucao)="Global",$I162&gt;0,COUNTIF($AB$13:$AM$13,BM.medicao)&gt;0),O162/$I162*100,0)))</f>
        <v>#NAME?</v>
      </c>
      <c r="M162" s="336">
        <f ca="1">IF($A162="S",VTOTALBM,IF($A162=0,0,ROUND(SomaAgrupBM,15-13*ORÇAMENTO!$AF$11)))</f>
        <v>0</v>
      </c>
      <c r="N162" s="337">
        <f t="shared" ca="1" si="25"/>
        <v>0</v>
      </c>
      <c r="O162" s="126">
        <f ca="1">IF($A162="S",VTOTALBM,IF($A162=0,0,ROUND(SomaAgrupBM,15-13*ORÇAMENTO!$AF$11)))</f>
        <v>0</v>
      </c>
      <c r="Q162" s="338"/>
      <c r="R162" s="339"/>
      <c r="T162" s="118" t="str">
        <f t="shared" ca="1" si="26"/>
        <v/>
      </c>
      <c r="U162" s="164" t="str">
        <f t="shared" ca="1" si="27"/>
        <v/>
      </c>
      <c r="V162" s="165" t="str">
        <f ca="1">IF(AND($W162&gt;0,RegimeExecucao="Unitário"),$F162,"")</f>
        <v/>
      </c>
      <c r="W162" s="455">
        <f ca="1">IF($Y162&gt;0,CHOOSE(MATCH(RegimeExecucao,{"Unitário","Global"},0),IF($A162="S",$Y162/$X162,""),($Y162/$X162)*100),0)</f>
        <v>0</v>
      </c>
      <c r="X162" s="340" t="str">
        <f ca="1">IF($Y162&gt;0,CHOOSE(MATCH(RegimeExecucao,{"Unitário","Global"},0),IF($A162="S",ROUND($H162,ORÇAMENTO!$AF$10),""),ROUND($I162,ORÇAMENTO!$AF$11)),"")</f>
        <v/>
      </c>
      <c r="Y162" s="340">
        <f t="shared" ca="1" si="28"/>
        <v>0</v>
      </c>
      <c r="Z162" s="474"/>
      <c r="AB162" s="338"/>
      <c r="AC162" s="438"/>
      <c r="AD162" s="438"/>
      <c r="AE162" s="438"/>
      <c r="AF162" s="438"/>
      <c r="AG162" s="438"/>
      <c r="AH162" s="438"/>
      <c r="AI162" s="438"/>
      <c r="AJ162" s="438"/>
      <c r="AK162" s="438"/>
      <c r="AL162" s="438"/>
      <c r="AM162" s="339"/>
      <c r="AO162" s="702">
        <f ca="1">IF($A162="S",IF(BM!$I162=0,0,CHOOSE(MATCH(RegimeExecucao,{"Global","Unitário"},0),ROUND(ROUND(BM.MEDAcumulado,15-13*BM!$A$9)/100*BM!$I162,15-13*ORÇAMENTO!$AF$11),ROUND(ROUND(BM.MEDAcumulado,15-13*BM!$A$9)*ROUND(BM!$H162,15-13*ORÇAMENTO!$AF$10),15-13*ORÇAMENTO!$AF$11))),IF($A162=0,0,ROUND(SomaAgrupBM,15-13*ORÇAMENTO!$AF$11)))</f>
        <v>0</v>
      </c>
    </row>
    <row r="163" spans="1:41" s="702" customFormat="1" ht="153" x14ac:dyDescent="0.2">
      <c r="A163" s="702" t="str">
        <f ca="1">ORÇAMENTO!C163</f>
        <v>S</v>
      </c>
      <c r="B163" s="702">
        <f ca="1">ORÇAMENTO!D163</f>
        <v>0</v>
      </c>
      <c r="C163" s="115" t="str">
        <f t="shared" ca="1" si="23"/>
        <v/>
      </c>
      <c r="D163" s="118" t="str">
        <f ca="1">ORÇAMENTO!O163</f>
        <v>-</v>
      </c>
      <c r="E163" s="164" t="str">
        <f t="shared" ca="1" si="22"/>
        <v>(abra o arquivo 'Referência 09-2025.xlsm)</v>
      </c>
      <c r="F163" s="165" t="str">
        <f ca="1">IF(RegimeExecucao="Global","",ORÇAMENTO.Unidade)</f>
        <v>-</v>
      </c>
      <c r="G163" s="123">
        <f ca="1">IF(RegimeExecucao="Global","",ORÇAMENTO!T163)</f>
        <v>1</v>
      </c>
      <c r="H163" s="123">
        <f ca="1">IF(RegimeExecucao="Global","",ORÇAMENTO!W163)</f>
        <v>0</v>
      </c>
      <c r="I163" s="126">
        <f ca="1">ORÇAMENTO!X163</f>
        <v>0</v>
      </c>
      <c r="J163" s="334" t="e" cm="1">
        <f t="array" aca="1" ref="J163" ca="1">_xlfn.SINGLE(IF($A163="S",IF(CAIXA.Modo,BM.AFAnterior,BM.MEDAnterior),IF(AND(_xlfn.SINGLE(RegimeExecucao)="Global",$I163&gt;0,COUNTIF($AB$13:$AM$13,BM.medicao-1)&gt;0),M163/$I163*100,0)))</f>
        <v>#NAME?</v>
      </c>
      <c r="K163" s="123" t="e">
        <f t="shared" ca="1" si="24"/>
        <v>#NAME?</v>
      </c>
      <c r="L163" s="335" t="e" cm="1">
        <f t="array" aca="1" ref="L163" ca="1">_xlfn.SINGLE(IF($A163="S",IF(CAIXA.Modo,BM.AFAcumulado,BM.MEDAcumulado),IF(AND(_xlfn.SINGLE(RegimeExecucao)="Global",$I163&gt;0,COUNTIF($AB$13:$AM$13,BM.medicao)&gt;0),O163/$I163*100,0)))</f>
        <v>#NAME?</v>
      </c>
      <c r="M163" s="336">
        <f ca="1">IF($A163="S",VTOTALBM,IF($A163=0,0,ROUND(SomaAgrupBM,15-13*ORÇAMENTO!$AF$11)))</f>
        <v>0</v>
      </c>
      <c r="N163" s="337">
        <f t="shared" ca="1" si="25"/>
        <v>0</v>
      </c>
      <c r="O163" s="126">
        <f ca="1">IF($A163="S",VTOTALBM,IF($A163=0,0,ROUND(SomaAgrupBM,15-13*ORÇAMENTO!$AF$11)))</f>
        <v>0</v>
      </c>
      <c r="Q163" s="338"/>
      <c r="R163" s="339"/>
      <c r="T163" s="118" t="str">
        <f t="shared" ca="1" si="26"/>
        <v/>
      </c>
      <c r="U163" s="164" t="str">
        <f t="shared" ca="1" si="27"/>
        <v/>
      </c>
      <c r="V163" s="165" t="str">
        <f ca="1">IF(AND($W163&gt;0,RegimeExecucao="Unitário"),$F163,"")</f>
        <v/>
      </c>
      <c r="W163" s="455">
        <f ca="1">IF($Y163&gt;0,CHOOSE(MATCH(RegimeExecucao,{"Unitário","Global"},0),IF($A163="S",$Y163/$X163,""),($Y163/$X163)*100),0)</f>
        <v>0</v>
      </c>
      <c r="X163" s="340" t="str">
        <f ca="1">IF($Y163&gt;0,CHOOSE(MATCH(RegimeExecucao,{"Unitário","Global"},0),IF($A163="S",ROUND($H163,ORÇAMENTO!$AF$10),""),ROUND($I163,ORÇAMENTO!$AF$11)),"")</f>
        <v/>
      </c>
      <c r="Y163" s="340">
        <f t="shared" ca="1" si="28"/>
        <v>0</v>
      </c>
      <c r="Z163" s="474"/>
      <c r="AB163" s="338"/>
      <c r="AC163" s="438"/>
      <c r="AD163" s="438"/>
      <c r="AE163" s="438"/>
      <c r="AF163" s="438"/>
      <c r="AG163" s="438"/>
      <c r="AH163" s="438"/>
      <c r="AI163" s="438"/>
      <c r="AJ163" s="438"/>
      <c r="AK163" s="438"/>
      <c r="AL163" s="438"/>
      <c r="AM163" s="339"/>
      <c r="AO163" s="702">
        <f ca="1">IF($A163="S",IF(BM!$I163=0,0,CHOOSE(MATCH(RegimeExecucao,{"Global","Unitário"},0),ROUND(ROUND(BM.MEDAcumulado,15-13*BM!$A$9)/100*BM!$I163,15-13*ORÇAMENTO!$AF$11),ROUND(ROUND(BM.MEDAcumulado,15-13*BM!$A$9)*ROUND(BM!$H163,15-13*ORÇAMENTO!$AF$10),15-13*ORÇAMENTO!$AF$11))),IF($A163=0,0,ROUND(SomaAgrupBM,15-13*ORÇAMENTO!$AF$11)))</f>
        <v>0</v>
      </c>
    </row>
    <row r="164" spans="1:41" s="675" customFormat="1" x14ac:dyDescent="0.2">
      <c r="A164" s="675">
        <f ca="1">ORÇAMENTO!C164</f>
        <v>2</v>
      </c>
      <c r="B164" s="675">
        <f ca="1">ORÇAMENTO!D164</f>
        <v>9</v>
      </c>
      <c r="C164" s="115" t="str">
        <f t="shared" ca="1" si="15"/>
        <v>F</v>
      </c>
      <c r="D164" s="118" t="str">
        <f ca="1">ORÇAMENTO!O164</f>
        <v>1.21.</v>
      </c>
      <c r="E164" s="164" t="str">
        <f t="shared" si="16"/>
        <v>SERVIÇOS PRELIMINARES</v>
      </c>
      <c r="F164" s="165" t="str">
        <f ca="1">IF(RegimeExecucao="Global","",ORÇAMENTO.Unidade)</f>
        <v>-</v>
      </c>
      <c r="G164" s="123">
        <f ca="1">IF(RegimeExecucao="Global","",ORÇAMENTO!T164)</f>
        <v>0</v>
      </c>
      <c r="H164" s="123">
        <f ca="1">IF(RegimeExecucao="Global","",ORÇAMENTO!W164)</f>
        <v>0</v>
      </c>
      <c r="I164" s="126">
        <f ca="1">ORÇAMENTO!X164</f>
        <v>0</v>
      </c>
      <c r="J164" s="334" t="e" cm="1">
        <f t="array" aca="1" ref="J164" ca="1">_xlfn.SINGLE(IF($A164="S",IF(CAIXA.Modo,BM.AFAnterior,BM.MEDAnterior),IF(AND(_xlfn.SINGLE(RegimeExecucao)="Global",$I164&gt;0,COUNTIF($AB$13:$AM$13,BM.medicao-1)&gt;0),M164/$I164*100,0)))</f>
        <v>#NAME?</v>
      </c>
      <c r="K164" s="123" t="e">
        <f t="shared" ca="1" si="17"/>
        <v>#NAME?</v>
      </c>
      <c r="L164" s="335" t="e" cm="1">
        <f t="array" aca="1" ref="L164" ca="1">_xlfn.SINGLE(IF($A164="S",IF(CAIXA.Modo,BM.AFAcumulado,BM.MEDAcumulado),IF(AND(_xlfn.SINGLE(RegimeExecucao)="Global",$I164&gt;0,COUNTIF($AB$13:$AM$13,BM.medicao)&gt;0),O164/$I164*100,0)))</f>
        <v>#NAME?</v>
      </c>
      <c r="M164" s="336">
        <f ca="1">IF($A164="S",VTOTALBM,IF($A164=0,0,ROUND(SomaAgrupBM,15-13*ORÇAMENTO!$AF$11)))</f>
        <v>0</v>
      </c>
      <c r="N164" s="337">
        <f t="shared" ca="1" si="18"/>
        <v>0</v>
      </c>
      <c r="O164" s="126">
        <f ca="1">IF($A164="S",VTOTALBM,IF($A164=0,0,ROUND(SomaAgrupBM,15-13*ORÇAMENTO!$AF$11)))</f>
        <v>0</v>
      </c>
      <c r="Q164" s="338"/>
      <c r="R164" s="339"/>
      <c r="T164" s="118" t="str">
        <f t="shared" ca="1" si="19"/>
        <v/>
      </c>
      <c r="U164" s="164" t="str">
        <f t="shared" ca="1" si="20"/>
        <v/>
      </c>
      <c r="V164" s="165" t="str">
        <f ca="1">IF(AND($W164&gt;0,RegimeExecucao="Unitário"),$F164,"")</f>
        <v/>
      </c>
      <c r="W164" s="455">
        <f ca="1">IF($Y164&gt;0,CHOOSE(MATCH(RegimeExecucao,{"Unitário","Global"},0),IF($A164="S",$Y164/$X164,""),($Y164/$X164)*100),0)</f>
        <v>0</v>
      </c>
      <c r="X164" s="340" t="str">
        <f ca="1">IF($Y164&gt;0,CHOOSE(MATCH(RegimeExecucao,{"Unitário","Global"},0),IF($A164="S",ROUND($H164,ORÇAMENTO!$AF$10),""),ROUND($I164,ORÇAMENTO!$AF$11)),"")</f>
        <v/>
      </c>
      <c r="Y164" s="340">
        <f t="shared" ca="1" si="21"/>
        <v>0</v>
      </c>
      <c r="Z164" s="474"/>
      <c r="AB164" s="338"/>
      <c r="AC164" s="438"/>
      <c r="AD164" s="438"/>
      <c r="AE164" s="438"/>
      <c r="AF164" s="438"/>
      <c r="AG164" s="438"/>
      <c r="AH164" s="438"/>
      <c r="AI164" s="438"/>
      <c r="AJ164" s="438"/>
      <c r="AK164" s="438"/>
      <c r="AL164" s="438"/>
      <c r="AM164" s="339"/>
      <c r="AO164" s="675">
        <f ca="1">IF($A164="S",IF(BM!$I164=0,0,CHOOSE(MATCH(RegimeExecucao,{"Global","Unitário"},0),ROUND(ROUND(BM.MEDAcumulado,15-13*BM!$A$9)/100*BM!$I164,15-13*ORÇAMENTO!$AF$11),ROUND(ROUND(BM.MEDAcumulado,15-13*BM!$A$9)*ROUND(BM!$H164,15-13*ORÇAMENTO!$AF$10),15-13*ORÇAMENTO!$AF$11))),IF($A164=0,0,ROUND(SomaAgrupBM,15-13*ORÇAMENTO!$AF$11)))</f>
        <v>0</v>
      </c>
    </row>
    <row r="165" spans="1:41" s="723" customFormat="1" ht="38.25" x14ac:dyDescent="0.2">
      <c r="A165" s="723" t="str">
        <f ca="1">ORÇAMENTO!C165</f>
        <v>S</v>
      </c>
      <c r="B165" s="723">
        <f ca="1">ORÇAMENTO!D165</f>
        <v>0</v>
      </c>
      <c r="C165" s="115" t="str">
        <f t="shared" ca="1" si="15"/>
        <v/>
      </c>
      <c r="D165" s="118" t="str">
        <f ca="1">ORÇAMENTO!O165</f>
        <v>-</v>
      </c>
      <c r="E165" s="164" t="str">
        <f t="shared" ca="1" si="16"/>
        <v>(abra o arquivo 'Referência 09-2025.xlsm)</v>
      </c>
      <c r="F165" s="165" t="str">
        <f ca="1">IF(RegimeExecucao="Global","",ORÇAMENTO.Unidade)</f>
        <v>-</v>
      </c>
      <c r="G165" s="123">
        <f ca="1">IF(RegimeExecucao="Global","",ORÇAMENTO!T165)</f>
        <v>2</v>
      </c>
      <c r="H165" s="123">
        <f ca="1">IF(RegimeExecucao="Global","",ORÇAMENTO!W165)</f>
        <v>0</v>
      </c>
      <c r="I165" s="126">
        <f ca="1">ORÇAMENTO!X165</f>
        <v>0</v>
      </c>
      <c r="J165" s="334" t="e" cm="1">
        <f t="array" aca="1" ref="J165" ca="1">_xlfn.SINGLE(IF($A165="S",IF(CAIXA.Modo,BM.AFAnterior,BM.MEDAnterior),IF(AND(_xlfn.SINGLE(RegimeExecucao)="Global",$I165&gt;0,COUNTIF($AB$13:$AM$13,BM.medicao-1)&gt;0),M165/$I165*100,0)))</f>
        <v>#NAME?</v>
      </c>
      <c r="K165" s="123" t="e">
        <f t="shared" ca="1" si="17"/>
        <v>#NAME?</v>
      </c>
      <c r="L165" s="335" t="e" cm="1">
        <f t="array" aca="1" ref="L165" ca="1">_xlfn.SINGLE(IF($A165="S",IF(CAIXA.Modo,BM.AFAcumulado,BM.MEDAcumulado),IF(AND(_xlfn.SINGLE(RegimeExecucao)="Global",$I165&gt;0,COUNTIF($AB$13:$AM$13,BM.medicao)&gt;0),O165/$I165*100,0)))</f>
        <v>#NAME?</v>
      </c>
      <c r="M165" s="336">
        <f ca="1">IF($A165="S",VTOTALBM,IF($A165=0,0,ROUND(SomaAgrupBM,15-13*ORÇAMENTO!$AF$11)))</f>
        <v>0</v>
      </c>
      <c r="N165" s="337">
        <f t="shared" ca="1" si="18"/>
        <v>0</v>
      </c>
      <c r="O165" s="126">
        <f ca="1">IF($A165="S",VTOTALBM,IF($A165=0,0,ROUND(SomaAgrupBM,15-13*ORÇAMENTO!$AF$11)))</f>
        <v>0</v>
      </c>
      <c r="Q165" s="338"/>
      <c r="R165" s="339"/>
      <c r="T165" s="118" t="str">
        <f t="shared" ca="1" si="19"/>
        <v/>
      </c>
      <c r="U165" s="164" t="str">
        <f t="shared" ca="1" si="20"/>
        <v/>
      </c>
      <c r="V165" s="165" t="str">
        <f ca="1">IF(AND($W165&gt;0,RegimeExecucao="Unitário"),$F165,"")</f>
        <v/>
      </c>
      <c r="W165" s="455">
        <f ca="1">IF($Y165&gt;0,CHOOSE(MATCH(RegimeExecucao,{"Unitário","Global"},0),IF($A165="S",$Y165/$X165,""),($Y165/$X165)*100),0)</f>
        <v>0</v>
      </c>
      <c r="X165" s="340" t="str">
        <f ca="1">IF($Y165&gt;0,CHOOSE(MATCH(RegimeExecucao,{"Unitário","Global"},0),IF($A165="S",ROUND($H165,ORÇAMENTO!$AF$10),""),ROUND($I165,ORÇAMENTO!$AF$11)),"")</f>
        <v/>
      </c>
      <c r="Y165" s="340">
        <f t="shared" ca="1" si="21"/>
        <v>0</v>
      </c>
      <c r="Z165" s="474"/>
      <c r="AB165" s="338"/>
      <c r="AC165" s="438"/>
      <c r="AD165" s="438"/>
      <c r="AE165" s="438"/>
      <c r="AF165" s="438"/>
      <c r="AG165" s="438"/>
      <c r="AH165" s="438"/>
      <c r="AI165" s="438"/>
      <c r="AJ165" s="438"/>
      <c r="AK165" s="438"/>
      <c r="AL165" s="438"/>
      <c r="AM165" s="339"/>
      <c r="AO165" s="723">
        <f ca="1">IF($A165="S",IF(BM!$I165=0,0,CHOOSE(MATCH(RegimeExecucao,{"Global","Unitário"},0),ROUND(ROUND(BM.MEDAcumulado,15-13*BM!$A$9)/100*BM!$I165,15-13*ORÇAMENTO!$AF$11),ROUND(ROUND(BM.MEDAcumulado,15-13*BM!$A$9)*ROUND(BM!$H165,15-13*ORÇAMENTO!$AF$10),15-13*ORÇAMENTO!$AF$11))),IF($A165=0,0,ROUND(SomaAgrupBM,15-13*ORÇAMENTO!$AF$11)))</f>
        <v>0</v>
      </c>
    </row>
    <row r="166" spans="1:41" s="723" customFormat="1" ht="38.25" x14ac:dyDescent="0.2">
      <c r="A166" s="723" t="str">
        <f ca="1">ORÇAMENTO!C166</f>
        <v>S</v>
      </c>
      <c r="B166" s="723">
        <f ca="1">ORÇAMENTO!D166</f>
        <v>0</v>
      </c>
      <c r="C166" s="115" t="str">
        <f t="shared" ca="1" si="15"/>
        <v/>
      </c>
      <c r="D166" s="118" t="str">
        <f ca="1">ORÇAMENTO!O166</f>
        <v>-</v>
      </c>
      <c r="E166" s="164" t="str">
        <f t="shared" ca="1" si="16"/>
        <v>(abra o arquivo 'Referência 09-2025.xlsm)</v>
      </c>
      <c r="F166" s="165" t="str">
        <f ca="1">IF(RegimeExecucao="Global","",ORÇAMENTO.Unidade)</f>
        <v>-</v>
      </c>
      <c r="G166" s="123">
        <f ca="1">IF(RegimeExecucao="Global","",ORÇAMENTO!T166)</f>
        <v>60</v>
      </c>
      <c r="H166" s="123">
        <f ca="1">IF(RegimeExecucao="Global","",ORÇAMENTO!W166)</f>
        <v>0</v>
      </c>
      <c r="I166" s="126">
        <f ca="1">ORÇAMENTO!X166</f>
        <v>0</v>
      </c>
      <c r="J166" s="334" t="e" cm="1">
        <f t="array" aca="1" ref="J166" ca="1">_xlfn.SINGLE(IF($A166="S",IF(CAIXA.Modo,BM.AFAnterior,BM.MEDAnterior),IF(AND(_xlfn.SINGLE(RegimeExecucao)="Global",$I166&gt;0,COUNTIF($AB$13:$AM$13,BM.medicao-1)&gt;0),M166/$I166*100,0)))</f>
        <v>#NAME?</v>
      </c>
      <c r="K166" s="123" t="e">
        <f t="shared" ca="1" si="17"/>
        <v>#NAME?</v>
      </c>
      <c r="L166" s="335" t="e" cm="1">
        <f t="array" aca="1" ref="L166" ca="1">_xlfn.SINGLE(IF($A166="S",IF(CAIXA.Modo,BM.AFAcumulado,BM.MEDAcumulado),IF(AND(_xlfn.SINGLE(RegimeExecucao)="Global",$I166&gt;0,COUNTIF($AB$13:$AM$13,BM.medicao)&gt;0),O166/$I166*100,0)))</f>
        <v>#NAME?</v>
      </c>
      <c r="M166" s="336">
        <f ca="1">IF($A166="S",VTOTALBM,IF($A166=0,0,ROUND(SomaAgrupBM,15-13*ORÇAMENTO!$AF$11)))</f>
        <v>0</v>
      </c>
      <c r="N166" s="337">
        <f t="shared" ca="1" si="18"/>
        <v>0</v>
      </c>
      <c r="O166" s="126">
        <f ca="1">IF($A166="S",VTOTALBM,IF($A166=0,0,ROUND(SomaAgrupBM,15-13*ORÇAMENTO!$AF$11)))</f>
        <v>0</v>
      </c>
      <c r="Q166" s="338"/>
      <c r="R166" s="339"/>
      <c r="T166" s="118" t="str">
        <f t="shared" ca="1" si="19"/>
        <v/>
      </c>
      <c r="U166" s="164" t="str">
        <f t="shared" ca="1" si="20"/>
        <v/>
      </c>
      <c r="V166" s="165" t="str">
        <f ca="1">IF(AND($W166&gt;0,RegimeExecucao="Unitário"),$F166,"")</f>
        <v/>
      </c>
      <c r="W166" s="455">
        <f ca="1">IF($Y166&gt;0,CHOOSE(MATCH(RegimeExecucao,{"Unitário","Global"},0),IF($A166="S",$Y166/$X166,""),($Y166/$X166)*100),0)</f>
        <v>0</v>
      </c>
      <c r="X166" s="340" t="str">
        <f ca="1">IF($Y166&gt;0,CHOOSE(MATCH(RegimeExecucao,{"Unitário","Global"},0),IF($A166="S",ROUND($H166,ORÇAMENTO!$AF$10),""),ROUND($I166,ORÇAMENTO!$AF$11)),"")</f>
        <v/>
      </c>
      <c r="Y166" s="340">
        <f t="shared" ca="1" si="21"/>
        <v>0</v>
      </c>
      <c r="Z166" s="474"/>
      <c r="AB166" s="338"/>
      <c r="AC166" s="438"/>
      <c r="AD166" s="438"/>
      <c r="AE166" s="438"/>
      <c r="AF166" s="438"/>
      <c r="AG166" s="438"/>
      <c r="AH166" s="438"/>
      <c r="AI166" s="438"/>
      <c r="AJ166" s="438"/>
      <c r="AK166" s="438"/>
      <c r="AL166" s="438"/>
      <c r="AM166" s="339"/>
      <c r="AO166" s="723">
        <f ca="1">IF($A166="S",IF(BM!$I166=0,0,CHOOSE(MATCH(RegimeExecucao,{"Global","Unitário"},0),ROUND(ROUND(BM.MEDAcumulado,15-13*BM!$A$9)/100*BM!$I166,15-13*ORÇAMENTO!$AF$11),ROUND(ROUND(BM.MEDAcumulado,15-13*BM!$A$9)*ROUND(BM!$H166,15-13*ORÇAMENTO!$AF$10),15-13*ORÇAMENTO!$AF$11))),IF($A166=0,0,ROUND(SomaAgrupBM,15-13*ORÇAMENTO!$AF$11)))</f>
        <v>0</v>
      </c>
    </row>
    <row r="167" spans="1:41" s="675" customFormat="1" ht="38.25" x14ac:dyDescent="0.2">
      <c r="A167" s="675" t="str">
        <f ca="1">ORÇAMENTO!C167</f>
        <v>S</v>
      </c>
      <c r="B167" s="675">
        <f ca="1">ORÇAMENTO!D167</f>
        <v>0</v>
      </c>
      <c r="C167" s="115" t="str">
        <f t="shared" ca="1" si="15"/>
        <v/>
      </c>
      <c r="D167" s="118" t="str">
        <f ca="1">ORÇAMENTO!O167</f>
        <v>-</v>
      </c>
      <c r="E167" s="164" t="str">
        <f t="shared" ca="1" si="16"/>
        <v>(abra o arquivo 'Referência 09-2025.xlsm)</v>
      </c>
      <c r="F167" s="165" t="str">
        <f ca="1">IF(RegimeExecucao="Global","",ORÇAMENTO.Unidade)</f>
        <v>-</v>
      </c>
      <c r="G167" s="123">
        <f ca="1">IF(RegimeExecucao="Global","",ORÇAMENTO!T167)</f>
        <v>32</v>
      </c>
      <c r="H167" s="123">
        <f ca="1">IF(RegimeExecucao="Global","",ORÇAMENTO!W167)</f>
        <v>0</v>
      </c>
      <c r="I167" s="126">
        <f ca="1">ORÇAMENTO!X167</f>
        <v>0</v>
      </c>
      <c r="J167" s="334" t="e" cm="1">
        <f t="array" aca="1" ref="J167" ca="1">_xlfn.SINGLE(IF($A167="S",IF(CAIXA.Modo,BM.AFAnterior,BM.MEDAnterior),IF(AND(_xlfn.SINGLE(RegimeExecucao)="Global",$I167&gt;0,COUNTIF($AB$13:$AM$13,BM.medicao-1)&gt;0),M167/$I167*100,0)))</f>
        <v>#NAME?</v>
      </c>
      <c r="K167" s="123" t="e">
        <f t="shared" ca="1" si="17"/>
        <v>#NAME?</v>
      </c>
      <c r="L167" s="335" t="e" cm="1">
        <f t="array" aca="1" ref="L167" ca="1">_xlfn.SINGLE(IF($A167="S",IF(CAIXA.Modo,BM.AFAcumulado,BM.MEDAcumulado),IF(AND(_xlfn.SINGLE(RegimeExecucao)="Global",$I167&gt;0,COUNTIF($AB$13:$AM$13,BM.medicao)&gt;0),O167/$I167*100,0)))</f>
        <v>#NAME?</v>
      </c>
      <c r="M167" s="336">
        <f ca="1">IF($A167="S",VTOTALBM,IF($A167=0,0,ROUND(SomaAgrupBM,15-13*ORÇAMENTO!$AF$11)))</f>
        <v>0</v>
      </c>
      <c r="N167" s="337">
        <f t="shared" ca="1" si="18"/>
        <v>0</v>
      </c>
      <c r="O167" s="126">
        <f ca="1">IF($A167="S",VTOTALBM,IF($A167=0,0,ROUND(SomaAgrupBM,15-13*ORÇAMENTO!$AF$11)))</f>
        <v>0</v>
      </c>
      <c r="Q167" s="338"/>
      <c r="R167" s="339"/>
      <c r="T167" s="118" t="str">
        <f t="shared" ca="1" si="19"/>
        <v/>
      </c>
      <c r="U167" s="164" t="str">
        <f t="shared" ca="1" si="20"/>
        <v/>
      </c>
      <c r="V167" s="165" t="str">
        <f ca="1">IF(AND($W167&gt;0,RegimeExecucao="Unitário"),$F167,"")</f>
        <v/>
      </c>
      <c r="W167" s="455">
        <f ca="1">IF($Y167&gt;0,CHOOSE(MATCH(RegimeExecucao,{"Unitário","Global"},0),IF($A167="S",$Y167/$X167,""),($Y167/$X167)*100),0)</f>
        <v>0</v>
      </c>
      <c r="X167" s="340" t="str">
        <f ca="1">IF($Y167&gt;0,CHOOSE(MATCH(RegimeExecucao,{"Unitário","Global"},0),IF($A167="S",ROUND($H167,ORÇAMENTO!$AF$10),""),ROUND($I167,ORÇAMENTO!$AF$11)),"")</f>
        <v/>
      </c>
      <c r="Y167" s="340">
        <f t="shared" ca="1" si="21"/>
        <v>0</v>
      </c>
      <c r="Z167" s="474"/>
      <c r="AB167" s="338"/>
      <c r="AC167" s="438"/>
      <c r="AD167" s="438"/>
      <c r="AE167" s="438"/>
      <c r="AF167" s="438"/>
      <c r="AG167" s="438"/>
      <c r="AH167" s="438"/>
      <c r="AI167" s="438"/>
      <c r="AJ167" s="438"/>
      <c r="AK167" s="438"/>
      <c r="AL167" s="438"/>
      <c r="AM167" s="339"/>
      <c r="AO167" s="675">
        <f ca="1">IF($A167="S",IF(BM!$I167=0,0,CHOOSE(MATCH(RegimeExecucao,{"Global","Unitário"},0),ROUND(ROUND(BM.MEDAcumulado,15-13*BM!$A$9)/100*BM!$I167,15-13*ORÇAMENTO!$AF$11),ROUND(ROUND(BM.MEDAcumulado,15-13*BM!$A$9)*ROUND(BM!$H167,15-13*ORÇAMENTO!$AF$10),15-13*ORÇAMENTO!$AF$11))),IF($A167=0,0,ROUND(SomaAgrupBM,15-13*ORÇAMENTO!$AF$11)))</f>
        <v>0</v>
      </c>
    </row>
    <row r="168" spans="1:41" s="675" customFormat="1" x14ac:dyDescent="0.2">
      <c r="A168" s="675" t="str">
        <f ca="1">ORÇAMENTO!C168</f>
        <v>S</v>
      </c>
      <c r="B168" s="675">
        <f ca="1">ORÇAMENTO!D168</f>
        <v>0</v>
      </c>
      <c r="C168" s="115" t="str">
        <f t="shared" ca="1" si="15"/>
        <v/>
      </c>
      <c r="D168" s="118" t="str">
        <f ca="1">ORÇAMENTO!O168</f>
        <v>-</v>
      </c>
      <c r="E168" s="164" t="str">
        <f t="shared" ca="1" si="16"/>
        <v>(abra o arquivo 'Referência 09-2025.xlsm)</v>
      </c>
      <c r="F168" s="165" t="str">
        <f ca="1">IF(RegimeExecucao="Global","",ORÇAMENTO.Unidade)</f>
        <v>-</v>
      </c>
      <c r="G168" s="123">
        <f ca="1">IF(RegimeExecucao="Global","",ORÇAMENTO!T168)</f>
        <v>3.6</v>
      </c>
      <c r="H168" s="123">
        <f ca="1">IF(RegimeExecucao="Global","",ORÇAMENTO!W168)</f>
        <v>0</v>
      </c>
      <c r="I168" s="126">
        <f ca="1">ORÇAMENTO!X168</f>
        <v>0</v>
      </c>
      <c r="J168" s="334" t="e" cm="1">
        <f t="array" aca="1" ref="J168" ca="1">_xlfn.SINGLE(IF($A168="S",IF(CAIXA.Modo,BM.AFAnterior,BM.MEDAnterior),IF(AND(_xlfn.SINGLE(RegimeExecucao)="Global",$I168&gt;0,COUNTIF($AB$13:$AM$13,BM.medicao-1)&gt;0),M168/$I168*100,0)))</f>
        <v>#NAME?</v>
      </c>
      <c r="K168" s="123" t="e">
        <f t="shared" ca="1" si="17"/>
        <v>#NAME?</v>
      </c>
      <c r="L168" s="335" t="e" cm="1">
        <f t="array" aca="1" ref="L168" ca="1">_xlfn.SINGLE(IF($A168="S",IF(CAIXA.Modo,BM.AFAcumulado,BM.MEDAcumulado),IF(AND(_xlfn.SINGLE(RegimeExecucao)="Global",$I168&gt;0,COUNTIF($AB$13:$AM$13,BM.medicao)&gt;0),O168/$I168*100,0)))</f>
        <v>#NAME?</v>
      </c>
      <c r="M168" s="336">
        <f ca="1">IF($A168="S",VTOTALBM,IF($A168=0,0,ROUND(SomaAgrupBM,15-13*ORÇAMENTO!$AF$11)))</f>
        <v>0</v>
      </c>
      <c r="N168" s="337">
        <f t="shared" ca="1" si="18"/>
        <v>0</v>
      </c>
      <c r="O168" s="126">
        <f ca="1">IF($A168="S",VTOTALBM,IF($A168=0,0,ROUND(SomaAgrupBM,15-13*ORÇAMENTO!$AF$11)))</f>
        <v>0</v>
      </c>
      <c r="Q168" s="338"/>
      <c r="R168" s="339"/>
      <c r="T168" s="118" t="str">
        <f t="shared" ca="1" si="19"/>
        <v/>
      </c>
      <c r="U168" s="164" t="str">
        <f t="shared" ca="1" si="20"/>
        <v/>
      </c>
      <c r="V168" s="165" t="str">
        <f ca="1">IF(AND($W168&gt;0,RegimeExecucao="Unitário"),$F168,"")</f>
        <v/>
      </c>
      <c r="W168" s="455">
        <f ca="1">IF($Y168&gt;0,CHOOSE(MATCH(RegimeExecucao,{"Unitário","Global"},0),IF($A168="S",$Y168/$X168,""),($Y168/$X168)*100),0)</f>
        <v>0</v>
      </c>
      <c r="X168" s="340" t="str">
        <f ca="1">IF($Y168&gt;0,CHOOSE(MATCH(RegimeExecucao,{"Unitário","Global"},0),IF($A168="S",ROUND($H168,ORÇAMENTO!$AF$10),""),ROUND($I168,ORÇAMENTO!$AF$11)),"")</f>
        <v/>
      </c>
      <c r="Y168" s="340">
        <f t="shared" ca="1" si="21"/>
        <v>0</v>
      </c>
      <c r="Z168" s="474"/>
      <c r="AB168" s="338"/>
      <c r="AC168" s="438"/>
      <c r="AD168" s="438"/>
      <c r="AE168" s="438"/>
      <c r="AF168" s="438"/>
      <c r="AG168" s="438"/>
      <c r="AH168" s="438"/>
      <c r="AI168" s="438"/>
      <c r="AJ168" s="438"/>
      <c r="AK168" s="438"/>
      <c r="AL168" s="438"/>
      <c r="AM168" s="339"/>
      <c r="AO168" s="675">
        <f ca="1">IF($A168="S",IF(BM!$I168=0,0,CHOOSE(MATCH(RegimeExecucao,{"Global","Unitário"},0),ROUND(ROUND(BM.MEDAcumulado,15-13*BM!$A$9)/100*BM!$I168,15-13*ORÇAMENTO!$AF$11),ROUND(ROUND(BM.MEDAcumulado,15-13*BM!$A$9)*ROUND(BM!$H168,15-13*ORÇAMENTO!$AF$10),15-13*ORÇAMENTO!$AF$11))),IF($A168=0,0,ROUND(SomaAgrupBM,15-13*ORÇAMENTO!$AF$11)))</f>
        <v>0</v>
      </c>
    </row>
    <row r="169" spans="1:41" s="675" customFormat="1" x14ac:dyDescent="0.2">
      <c r="A169" s="675" t="str">
        <f ca="1">ORÇAMENTO!C169</f>
        <v>S</v>
      </c>
      <c r="B169" s="675">
        <f ca="1">ORÇAMENTO!D169</f>
        <v>0</v>
      </c>
      <c r="C169" s="115" t="str">
        <f t="shared" ca="1" si="15"/>
        <v/>
      </c>
      <c r="D169" s="118" t="str">
        <f ca="1">ORÇAMENTO!O169</f>
        <v>-</v>
      </c>
      <c r="E169" s="164" t="str">
        <f t="shared" ca="1" si="16"/>
        <v>(abra o arquivo 'Referência 09-2025.xlsm)</v>
      </c>
      <c r="F169" s="165" t="str">
        <f ca="1">IF(RegimeExecucao="Global","",ORÇAMENTO.Unidade)</f>
        <v>-</v>
      </c>
      <c r="G169" s="123">
        <f ca="1">IF(RegimeExecucao="Global","",ORÇAMENTO!T169)</f>
        <v>105</v>
      </c>
      <c r="H169" s="123">
        <f ca="1">IF(RegimeExecucao="Global","",ORÇAMENTO!W169)</f>
        <v>0</v>
      </c>
      <c r="I169" s="126">
        <f ca="1">ORÇAMENTO!X169</f>
        <v>0</v>
      </c>
      <c r="J169" s="334" t="e" cm="1">
        <f t="array" aca="1" ref="J169" ca="1">_xlfn.SINGLE(IF($A169="S",IF(CAIXA.Modo,BM.AFAnterior,BM.MEDAnterior),IF(AND(_xlfn.SINGLE(RegimeExecucao)="Global",$I169&gt;0,COUNTIF($AB$13:$AM$13,BM.medicao-1)&gt;0),M169/$I169*100,0)))</f>
        <v>#NAME?</v>
      </c>
      <c r="K169" s="123" t="e">
        <f t="shared" ca="1" si="17"/>
        <v>#NAME?</v>
      </c>
      <c r="L169" s="335" t="e" cm="1">
        <f t="array" aca="1" ref="L169" ca="1">_xlfn.SINGLE(IF($A169="S",IF(CAIXA.Modo,BM.AFAcumulado,BM.MEDAcumulado),IF(AND(_xlfn.SINGLE(RegimeExecucao)="Global",$I169&gt;0,COUNTIF($AB$13:$AM$13,BM.medicao)&gt;0),O169/$I169*100,0)))</f>
        <v>#NAME?</v>
      </c>
      <c r="M169" s="336">
        <f ca="1">IF($A169="S",VTOTALBM,IF($A169=0,0,ROUND(SomaAgrupBM,15-13*ORÇAMENTO!$AF$11)))</f>
        <v>0</v>
      </c>
      <c r="N169" s="337">
        <f t="shared" ca="1" si="18"/>
        <v>0</v>
      </c>
      <c r="O169" s="126">
        <f ca="1">IF($A169="S",VTOTALBM,IF($A169=0,0,ROUND(SomaAgrupBM,15-13*ORÇAMENTO!$AF$11)))</f>
        <v>0</v>
      </c>
      <c r="Q169" s="338"/>
      <c r="R169" s="339"/>
      <c r="T169" s="118" t="str">
        <f t="shared" ca="1" si="19"/>
        <v/>
      </c>
      <c r="U169" s="164" t="str">
        <f t="shared" ca="1" si="20"/>
        <v/>
      </c>
      <c r="V169" s="165" t="str">
        <f ca="1">IF(AND($W169&gt;0,RegimeExecucao="Unitário"),$F169,"")</f>
        <v/>
      </c>
      <c r="W169" s="455">
        <f ca="1">IF($Y169&gt;0,CHOOSE(MATCH(RegimeExecucao,{"Unitário","Global"},0),IF($A169="S",$Y169/$X169,""),($Y169/$X169)*100),0)</f>
        <v>0</v>
      </c>
      <c r="X169" s="340" t="str">
        <f ca="1">IF($Y169&gt;0,CHOOSE(MATCH(RegimeExecucao,{"Unitário","Global"},0),IF($A169="S",ROUND($H169,ORÇAMENTO!$AF$10),""),ROUND($I169,ORÇAMENTO!$AF$11)),"")</f>
        <v/>
      </c>
      <c r="Y169" s="340">
        <f t="shared" ca="1" si="21"/>
        <v>0</v>
      </c>
      <c r="Z169" s="474"/>
      <c r="AB169" s="338"/>
      <c r="AC169" s="438"/>
      <c r="AD169" s="438"/>
      <c r="AE169" s="438"/>
      <c r="AF169" s="438"/>
      <c r="AG169" s="438"/>
      <c r="AH169" s="438"/>
      <c r="AI169" s="438"/>
      <c r="AJ169" s="438"/>
      <c r="AK169" s="438"/>
      <c r="AL169" s="438"/>
      <c r="AM169" s="339"/>
      <c r="AO169" s="675">
        <f ca="1">IF($A169="S",IF(BM!$I169=0,0,CHOOSE(MATCH(RegimeExecucao,{"Global","Unitário"},0),ROUND(ROUND(BM.MEDAcumulado,15-13*BM!$A$9)/100*BM!$I169,15-13*ORÇAMENTO!$AF$11),ROUND(ROUND(BM.MEDAcumulado,15-13*BM!$A$9)*ROUND(BM!$H169,15-13*ORÇAMENTO!$AF$10),15-13*ORÇAMENTO!$AF$11))),IF($A169=0,0,ROUND(SomaAgrupBM,15-13*ORÇAMENTO!$AF$11)))</f>
        <v>0</v>
      </c>
    </row>
    <row r="170" spans="1:41" s="675" customFormat="1" x14ac:dyDescent="0.2">
      <c r="A170" s="675" t="str">
        <f ca="1">ORÇAMENTO!C170</f>
        <v>S</v>
      </c>
      <c r="B170" s="675">
        <f ca="1">ORÇAMENTO!D170</f>
        <v>0</v>
      </c>
      <c r="C170" s="115" t="str">
        <f t="shared" ca="1" si="15"/>
        <v/>
      </c>
      <c r="D170" s="118" t="str">
        <f ca="1">ORÇAMENTO!O170</f>
        <v>-</v>
      </c>
      <c r="E170" s="164" t="str">
        <f t="shared" ca="1" si="16"/>
        <v>(abra o arquivo 'Referência 09-2025.xlsm)</v>
      </c>
      <c r="F170" s="165" t="str">
        <f ca="1">IF(RegimeExecucao="Global","",ORÇAMENTO.Unidade)</f>
        <v>-</v>
      </c>
      <c r="G170" s="123">
        <f ca="1">IF(RegimeExecucao="Global","",ORÇAMENTO!T170)</f>
        <v>72.5</v>
      </c>
      <c r="H170" s="123">
        <f ca="1">IF(RegimeExecucao="Global","",ORÇAMENTO!W170)</f>
        <v>0</v>
      </c>
      <c r="I170" s="126">
        <f ca="1">ORÇAMENTO!X170</f>
        <v>0</v>
      </c>
      <c r="J170" s="334" t="e" cm="1">
        <f t="array" aca="1" ref="J170" ca="1">_xlfn.SINGLE(IF($A170="S",IF(CAIXA.Modo,BM.AFAnterior,BM.MEDAnterior),IF(AND(_xlfn.SINGLE(RegimeExecucao)="Global",$I170&gt;0,COUNTIF($AB$13:$AM$13,BM.medicao-1)&gt;0),M170/$I170*100,0)))</f>
        <v>#NAME?</v>
      </c>
      <c r="K170" s="123" t="e">
        <f t="shared" ca="1" si="17"/>
        <v>#NAME?</v>
      </c>
      <c r="L170" s="335" t="e" cm="1">
        <f t="array" aca="1" ref="L170" ca="1">_xlfn.SINGLE(IF($A170="S",IF(CAIXA.Modo,BM.AFAcumulado,BM.MEDAcumulado),IF(AND(_xlfn.SINGLE(RegimeExecucao)="Global",$I170&gt;0,COUNTIF($AB$13:$AM$13,BM.medicao)&gt;0),O170/$I170*100,0)))</f>
        <v>#NAME?</v>
      </c>
      <c r="M170" s="336">
        <f ca="1">IF($A170="S",VTOTALBM,IF($A170=0,0,ROUND(SomaAgrupBM,15-13*ORÇAMENTO!$AF$11)))</f>
        <v>0</v>
      </c>
      <c r="N170" s="337">
        <f t="shared" ca="1" si="18"/>
        <v>0</v>
      </c>
      <c r="O170" s="126">
        <f ca="1">IF($A170="S",VTOTALBM,IF($A170=0,0,ROUND(SomaAgrupBM,15-13*ORÇAMENTO!$AF$11)))</f>
        <v>0</v>
      </c>
      <c r="Q170" s="338"/>
      <c r="R170" s="339"/>
      <c r="T170" s="118" t="str">
        <f t="shared" ca="1" si="19"/>
        <v/>
      </c>
      <c r="U170" s="164" t="str">
        <f t="shared" ca="1" si="20"/>
        <v/>
      </c>
      <c r="V170" s="165" t="str">
        <f ca="1">IF(AND($W170&gt;0,RegimeExecucao="Unitário"),$F170,"")</f>
        <v/>
      </c>
      <c r="W170" s="455">
        <f ca="1">IF($Y170&gt;0,CHOOSE(MATCH(RegimeExecucao,{"Unitário","Global"},0),IF($A170="S",$Y170/$X170,""),($Y170/$X170)*100),0)</f>
        <v>0</v>
      </c>
      <c r="X170" s="340" t="str">
        <f ca="1">IF($Y170&gt;0,CHOOSE(MATCH(RegimeExecucao,{"Unitário","Global"},0),IF($A170="S",ROUND($H170,ORÇAMENTO!$AF$10),""),ROUND($I170,ORÇAMENTO!$AF$11)),"")</f>
        <v/>
      </c>
      <c r="Y170" s="340">
        <f t="shared" ca="1" si="21"/>
        <v>0</v>
      </c>
      <c r="Z170" s="474"/>
      <c r="AB170" s="338"/>
      <c r="AC170" s="438"/>
      <c r="AD170" s="438"/>
      <c r="AE170" s="438"/>
      <c r="AF170" s="438"/>
      <c r="AG170" s="438"/>
      <c r="AH170" s="438"/>
      <c r="AI170" s="438"/>
      <c r="AJ170" s="438"/>
      <c r="AK170" s="438"/>
      <c r="AL170" s="438"/>
      <c r="AM170" s="339"/>
      <c r="AO170" s="675">
        <f ca="1">IF($A170="S",IF(BM!$I170=0,0,CHOOSE(MATCH(RegimeExecucao,{"Global","Unitário"},0),ROUND(ROUND(BM.MEDAcumulado,15-13*BM!$A$9)/100*BM!$I170,15-13*ORÇAMENTO!$AF$11),ROUND(ROUND(BM.MEDAcumulado,15-13*BM!$A$9)*ROUND(BM!$H170,15-13*ORÇAMENTO!$AF$10),15-13*ORÇAMENTO!$AF$11))),IF($A170=0,0,ROUND(SomaAgrupBM,15-13*ORÇAMENTO!$AF$11)))</f>
        <v>0</v>
      </c>
    </row>
    <row r="171" spans="1:41" s="675" customFormat="1" x14ac:dyDescent="0.2">
      <c r="A171" s="675" t="str">
        <f ca="1">ORÇAMENTO!C171</f>
        <v>S</v>
      </c>
      <c r="B171" s="675">
        <f ca="1">ORÇAMENTO!D171</f>
        <v>0</v>
      </c>
      <c r="C171" s="115" t="str">
        <f t="shared" ca="1" si="15"/>
        <v/>
      </c>
      <c r="D171" s="118" t="str">
        <f ca="1">ORÇAMENTO!O171</f>
        <v>-</v>
      </c>
      <c r="E171" s="164" t="str">
        <f t="shared" ca="1" si="16"/>
        <v>(abra o arquivo 'Referência 09-2025.xlsm)</v>
      </c>
      <c r="F171" s="165" t="str">
        <f ca="1">IF(RegimeExecucao="Global","",ORÇAMENTO.Unidade)</f>
        <v>-</v>
      </c>
      <c r="G171" s="123">
        <f ca="1">IF(RegimeExecucao="Global","",ORÇAMENTO!T171)</f>
        <v>72.5</v>
      </c>
      <c r="H171" s="123">
        <f ca="1">IF(RegimeExecucao="Global","",ORÇAMENTO!W171)</f>
        <v>0</v>
      </c>
      <c r="I171" s="126">
        <f ca="1">ORÇAMENTO!X171</f>
        <v>0</v>
      </c>
      <c r="J171" s="334" t="e" cm="1">
        <f t="array" aca="1" ref="J171" ca="1">_xlfn.SINGLE(IF($A171="S",IF(CAIXA.Modo,BM.AFAnterior,BM.MEDAnterior),IF(AND(_xlfn.SINGLE(RegimeExecucao)="Global",$I171&gt;0,COUNTIF($AB$13:$AM$13,BM.medicao-1)&gt;0),M171/$I171*100,0)))</f>
        <v>#NAME?</v>
      </c>
      <c r="K171" s="123" t="e">
        <f t="shared" ca="1" si="17"/>
        <v>#NAME?</v>
      </c>
      <c r="L171" s="335" t="e" cm="1">
        <f t="array" aca="1" ref="L171" ca="1">_xlfn.SINGLE(IF($A171="S",IF(CAIXA.Modo,BM.AFAcumulado,BM.MEDAcumulado),IF(AND(_xlfn.SINGLE(RegimeExecucao)="Global",$I171&gt;0,COUNTIF($AB$13:$AM$13,BM.medicao)&gt;0),O171/$I171*100,0)))</f>
        <v>#NAME?</v>
      </c>
      <c r="M171" s="336">
        <f ca="1">IF($A171="S",VTOTALBM,IF($A171=0,0,ROUND(SomaAgrupBM,15-13*ORÇAMENTO!$AF$11)))</f>
        <v>0</v>
      </c>
      <c r="N171" s="337">
        <f t="shared" ca="1" si="18"/>
        <v>0</v>
      </c>
      <c r="O171" s="126">
        <f ca="1">IF($A171="S",VTOTALBM,IF($A171=0,0,ROUND(SomaAgrupBM,15-13*ORÇAMENTO!$AF$11)))</f>
        <v>0</v>
      </c>
      <c r="Q171" s="338"/>
      <c r="R171" s="339"/>
      <c r="T171" s="118" t="str">
        <f t="shared" ca="1" si="19"/>
        <v/>
      </c>
      <c r="U171" s="164" t="str">
        <f t="shared" ca="1" si="20"/>
        <v/>
      </c>
      <c r="V171" s="165" t="str">
        <f ca="1">IF(AND($W171&gt;0,RegimeExecucao="Unitário"),$F171,"")</f>
        <v/>
      </c>
      <c r="W171" s="455">
        <f ca="1">IF($Y171&gt;0,CHOOSE(MATCH(RegimeExecucao,{"Unitário","Global"},0),IF($A171="S",$Y171/$X171,""),($Y171/$X171)*100),0)</f>
        <v>0</v>
      </c>
      <c r="X171" s="340" t="str">
        <f ca="1">IF($Y171&gt;0,CHOOSE(MATCH(RegimeExecucao,{"Unitário","Global"},0),IF($A171="S",ROUND($H171,ORÇAMENTO!$AF$10),""),ROUND($I171,ORÇAMENTO!$AF$11)),"")</f>
        <v/>
      </c>
      <c r="Y171" s="340">
        <f t="shared" ca="1" si="21"/>
        <v>0</v>
      </c>
      <c r="Z171" s="474"/>
      <c r="AB171" s="338"/>
      <c r="AC171" s="438"/>
      <c r="AD171" s="438"/>
      <c r="AE171" s="438"/>
      <c r="AF171" s="438"/>
      <c r="AG171" s="438"/>
      <c r="AH171" s="438"/>
      <c r="AI171" s="438"/>
      <c r="AJ171" s="438"/>
      <c r="AK171" s="438"/>
      <c r="AL171" s="438"/>
      <c r="AM171" s="339"/>
      <c r="AO171" s="675">
        <f ca="1">IF($A171="S",IF(BM!$I171=0,0,CHOOSE(MATCH(RegimeExecucao,{"Global","Unitário"},0),ROUND(ROUND(BM.MEDAcumulado,15-13*BM!$A$9)/100*BM!$I171,15-13*ORÇAMENTO!$AF$11),ROUND(ROUND(BM.MEDAcumulado,15-13*BM!$A$9)*ROUND(BM!$H171,15-13*ORÇAMENTO!$AF$10),15-13*ORÇAMENTO!$AF$11))),IF($A171=0,0,ROUND(SomaAgrupBM,15-13*ORÇAMENTO!$AF$11)))</f>
        <v>0</v>
      </c>
    </row>
    <row r="172" spans="1:41" s="675" customFormat="1" ht="25.5" x14ac:dyDescent="0.2">
      <c r="A172" s="675" t="str">
        <f ca="1">ORÇAMENTO!C172</f>
        <v>S</v>
      </c>
      <c r="B172" s="675">
        <f ca="1">ORÇAMENTO!D172</f>
        <v>0</v>
      </c>
      <c r="C172" s="115" t="str">
        <f t="shared" ca="1" si="15"/>
        <v/>
      </c>
      <c r="D172" s="118" t="str">
        <f ca="1">ORÇAMENTO!O172</f>
        <v>-</v>
      </c>
      <c r="E172" s="164" t="str">
        <f t="shared" ca="1" si="16"/>
        <v>(abra o arquivo 'Referência 09-2025.xlsm)</v>
      </c>
      <c r="F172" s="165" t="str">
        <f ca="1">IF(RegimeExecucao="Global","",ORÇAMENTO.Unidade)</f>
        <v>-</v>
      </c>
      <c r="G172" s="123">
        <f ca="1">IF(RegimeExecucao="Global","",ORÇAMENTO!T172)</f>
        <v>32</v>
      </c>
      <c r="H172" s="123">
        <f ca="1">IF(RegimeExecucao="Global","",ORÇAMENTO!W172)</f>
        <v>0</v>
      </c>
      <c r="I172" s="126">
        <f ca="1">ORÇAMENTO!X172</f>
        <v>0</v>
      </c>
      <c r="J172" s="334" t="e" cm="1">
        <f t="array" aca="1" ref="J172" ca="1">_xlfn.SINGLE(IF($A172="S",IF(CAIXA.Modo,BM.AFAnterior,BM.MEDAnterior),IF(AND(_xlfn.SINGLE(RegimeExecucao)="Global",$I172&gt;0,COUNTIF($AB$13:$AM$13,BM.medicao-1)&gt;0),M172/$I172*100,0)))</f>
        <v>#NAME?</v>
      </c>
      <c r="K172" s="123" t="e">
        <f t="shared" ca="1" si="17"/>
        <v>#NAME?</v>
      </c>
      <c r="L172" s="335" t="e" cm="1">
        <f t="array" aca="1" ref="L172" ca="1">_xlfn.SINGLE(IF($A172="S",IF(CAIXA.Modo,BM.AFAcumulado,BM.MEDAcumulado),IF(AND(_xlfn.SINGLE(RegimeExecucao)="Global",$I172&gt;0,COUNTIF($AB$13:$AM$13,BM.medicao)&gt;0),O172/$I172*100,0)))</f>
        <v>#NAME?</v>
      </c>
      <c r="M172" s="336">
        <f ca="1">IF($A172="S",VTOTALBM,IF($A172=0,0,ROUND(SomaAgrupBM,15-13*ORÇAMENTO!$AF$11)))</f>
        <v>0</v>
      </c>
      <c r="N172" s="337">
        <f t="shared" ca="1" si="18"/>
        <v>0</v>
      </c>
      <c r="O172" s="126">
        <f ca="1">IF($A172="S",VTOTALBM,IF($A172=0,0,ROUND(SomaAgrupBM,15-13*ORÇAMENTO!$AF$11)))</f>
        <v>0</v>
      </c>
      <c r="Q172" s="338"/>
      <c r="R172" s="339"/>
      <c r="T172" s="118" t="str">
        <f t="shared" ca="1" si="19"/>
        <v/>
      </c>
      <c r="U172" s="164" t="str">
        <f t="shared" ca="1" si="20"/>
        <v/>
      </c>
      <c r="V172" s="165" t="str">
        <f ca="1">IF(AND($W172&gt;0,RegimeExecucao="Unitário"),$F172,"")</f>
        <v/>
      </c>
      <c r="W172" s="455">
        <f ca="1">IF($Y172&gt;0,CHOOSE(MATCH(RegimeExecucao,{"Unitário","Global"},0),IF($A172="S",$Y172/$X172,""),($Y172/$X172)*100),0)</f>
        <v>0</v>
      </c>
      <c r="X172" s="340" t="str">
        <f ca="1">IF($Y172&gt;0,CHOOSE(MATCH(RegimeExecucao,{"Unitário","Global"},0),IF($A172="S",ROUND($H172,ORÇAMENTO!$AF$10),""),ROUND($I172,ORÇAMENTO!$AF$11)),"")</f>
        <v/>
      </c>
      <c r="Y172" s="340">
        <f t="shared" ca="1" si="21"/>
        <v>0</v>
      </c>
      <c r="Z172" s="474"/>
      <c r="AB172" s="338"/>
      <c r="AC172" s="438"/>
      <c r="AD172" s="438"/>
      <c r="AE172" s="438"/>
      <c r="AF172" s="438"/>
      <c r="AG172" s="438"/>
      <c r="AH172" s="438"/>
      <c r="AI172" s="438"/>
      <c r="AJ172" s="438"/>
      <c r="AK172" s="438"/>
      <c r="AL172" s="438"/>
      <c r="AM172" s="339"/>
      <c r="AO172" s="675">
        <f ca="1">IF($A172="S",IF(BM!$I172=0,0,CHOOSE(MATCH(RegimeExecucao,{"Global","Unitário"},0),ROUND(ROUND(BM.MEDAcumulado,15-13*BM!$A$9)/100*BM!$I172,15-13*ORÇAMENTO!$AF$11),ROUND(ROUND(BM.MEDAcumulado,15-13*BM!$A$9)*ROUND(BM!$H172,15-13*ORÇAMENTO!$AF$10),15-13*ORÇAMENTO!$AF$11))),IF($A172=0,0,ROUND(SomaAgrupBM,15-13*ORÇAMENTO!$AF$11)))</f>
        <v>0</v>
      </c>
    </row>
    <row r="173" spans="1:41" s="675" customFormat="1" x14ac:dyDescent="0.2">
      <c r="A173" s="675">
        <f ca="1">ORÇAMENTO!C173</f>
        <v>2</v>
      </c>
      <c r="B173" s="675">
        <f ca="1">ORÇAMENTO!D173</f>
        <v>17</v>
      </c>
      <c r="C173" s="115" t="str">
        <f t="shared" ca="1" si="15"/>
        <v>F</v>
      </c>
      <c r="D173" s="118" t="str">
        <f ca="1">ORÇAMENTO!O173</f>
        <v>1.22.</v>
      </c>
      <c r="E173" s="164" t="str">
        <f t="shared" si="16"/>
        <v>FUNDAÇÃO</v>
      </c>
      <c r="F173" s="165" t="str">
        <f ca="1">IF(RegimeExecucao="Global","",ORÇAMENTO.Unidade)</f>
        <v>-</v>
      </c>
      <c r="G173" s="123">
        <f ca="1">IF(RegimeExecucao="Global","",ORÇAMENTO!T173)</f>
        <v>0</v>
      </c>
      <c r="H173" s="123">
        <f ca="1">IF(RegimeExecucao="Global","",ORÇAMENTO!W173)</f>
        <v>0</v>
      </c>
      <c r="I173" s="126">
        <f ca="1">ORÇAMENTO!X173</f>
        <v>0</v>
      </c>
      <c r="J173" s="334" t="e" cm="1">
        <f t="array" aca="1" ref="J173" ca="1">_xlfn.SINGLE(IF($A173="S",IF(CAIXA.Modo,BM.AFAnterior,BM.MEDAnterior),IF(AND(_xlfn.SINGLE(RegimeExecucao)="Global",$I173&gt;0,COUNTIF($AB$13:$AM$13,BM.medicao-1)&gt;0),M173/$I173*100,0)))</f>
        <v>#NAME?</v>
      </c>
      <c r="K173" s="123" t="e">
        <f t="shared" ca="1" si="17"/>
        <v>#NAME?</v>
      </c>
      <c r="L173" s="335" t="e" cm="1">
        <f t="array" aca="1" ref="L173" ca="1">_xlfn.SINGLE(IF($A173="S",IF(CAIXA.Modo,BM.AFAcumulado,BM.MEDAcumulado),IF(AND(_xlfn.SINGLE(RegimeExecucao)="Global",$I173&gt;0,COUNTIF($AB$13:$AM$13,BM.medicao)&gt;0),O173/$I173*100,0)))</f>
        <v>#NAME?</v>
      </c>
      <c r="M173" s="336">
        <f ca="1">IF($A173="S",VTOTALBM,IF($A173=0,0,ROUND(SomaAgrupBM,15-13*ORÇAMENTO!$AF$11)))</f>
        <v>0</v>
      </c>
      <c r="N173" s="337">
        <f t="shared" ca="1" si="18"/>
        <v>0</v>
      </c>
      <c r="O173" s="126">
        <f ca="1">IF($A173="S",VTOTALBM,IF($A173=0,0,ROUND(SomaAgrupBM,15-13*ORÇAMENTO!$AF$11)))</f>
        <v>0</v>
      </c>
      <c r="Q173" s="338"/>
      <c r="R173" s="339"/>
      <c r="T173" s="118" t="str">
        <f t="shared" ca="1" si="19"/>
        <v/>
      </c>
      <c r="U173" s="164" t="str">
        <f t="shared" ca="1" si="20"/>
        <v/>
      </c>
      <c r="V173" s="165" t="str">
        <f ca="1">IF(AND($W173&gt;0,RegimeExecucao="Unitário"),$F173,"")</f>
        <v/>
      </c>
      <c r="W173" s="455">
        <f ca="1">IF($Y173&gt;0,CHOOSE(MATCH(RegimeExecucao,{"Unitário","Global"},0),IF($A173="S",$Y173/$X173,""),($Y173/$X173)*100),0)</f>
        <v>0</v>
      </c>
      <c r="X173" s="340" t="str">
        <f ca="1">IF($Y173&gt;0,CHOOSE(MATCH(RegimeExecucao,{"Unitário","Global"},0),IF($A173="S",ROUND($H173,ORÇAMENTO!$AF$10),""),ROUND($I173,ORÇAMENTO!$AF$11)),"")</f>
        <v/>
      </c>
      <c r="Y173" s="340">
        <f t="shared" ca="1" si="21"/>
        <v>0</v>
      </c>
      <c r="Z173" s="474"/>
      <c r="AB173" s="338"/>
      <c r="AC173" s="438"/>
      <c r="AD173" s="438"/>
      <c r="AE173" s="438"/>
      <c r="AF173" s="438"/>
      <c r="AG173" s="438"/>
      <c r="AH173" s="438"/>
      <c r="AI173" s="438"/>
      <c r="AJ173" s="438"/>
      <c r="AK173" s="438"/>
      <c r="AL173" s="438"/>
      <c r="AM173" s="339"/>
      <c r="AO173" s="675">
        <f ca="1">IF($A173="S",IF(BM!$I173=0,0,CHOOSE(MATCH(RegimeExecucao,{"Global","Unitário"},0),ROUND(ROUND(BM.MEDAcumulado,15-13*BM!$A$9)/100*BM!$I173,15-13*ORÇAMENTO!$AF$11),ROUND(ROUND(BM.MEDAcumulado,15-13*BM!$A$9)*ROUND(BM!$H173,15-13*ORÇAMENTO!$AF$10),15-13*ORÇAMENTO!$AF$11))),IF($A173=0,0,ROUND(SomaAgrupBM,15-13*ORÇAMENTO!$AF$11)))</f>
        <v>0</v>
      </c>
    </row>
    <row r="174" spans="1:41" s="717" customFormat="1" ht="38.25" x14ac:dyDescent="0.2">
      <c r="A174" s="717" t="str">
        <f ca="1">ORÇAMENTO!C174</f>
        <v>S</v>
      </c>
      <c r="B174" s="717">
        <f ca="1">ORÇAMENTO!D174</f>
        <v>0</v>
      </c>
      <c r="C174" s="115" t="str">
        <f t="shared" ca="1" si="15"/>
        <v/>
      </c>
      <c r="D174" s="118" t="str">
        <f ca="1">ORÇAMENTO!O174</f>
        <v>-</v>
      </c>
      <c r="E174" s="164" t="str">
        <f t="shared" ca="1" si="16"/>
        <v>(abra o arquivo 'Referência 09-2025.xlsm)</v>
      </c>
      <c r="F174" s="165" t="str">
        <f ca="1">IF(RegimeExecucao="Global","",ORÇAMENTO.Unidade)</f>
        <v>-</v>
      </c>
      <c r="G174" s="123">
        <f ca="1">IF(RegimeExecucao="Global","",ORÇAMENTO!T174)</f>
        <v>4</v>
      </c>
      <c r="H174" s="123">
        <f ca="1">IF(RegimeExecucao="Global","",ORÇAMENTO!W174)</f>
        <v>0</v>
      </c>
      <c r="I174" s="126">
        <f ca="1">ORÇAMENTO!X174</f>
        <v>0</v>
      </c>
      <c r="J174" s="334" t="e" cm="1">
        <f t="array" aca="1" ref="J174" ca="1">_xlfn.SINGLE(IF($A174="S",IF(CAIXA.Modo,BM.AFAnterior,BM.MEDAnterior),IF(AND(_xlfn.SINGLE(RegimeExecucao)="Global",$I174&gt;0,COUNTIF($AB$13:$AM$13,BM.medicao-1)&gt;0),M174/$I174*100,0)))</f>
        <v>#NAME?</v>
      </c>
      <c r="K174" s="123" t="e">
        <f t="shared" ca="1" si="17"/>
        <v>#NAME?</v>
      </c>
      <c r="L174" s="335" t="e" cm="1">
        <f t="array" aca="1" ref="L174" ca="1">_xlfn.SINGLE(IF($A174="S",IF(CAIXA.Modo,BM.AFAcumulado,BM.MEDAcumulado),IF(AND(_xlfn.SINGLE(RegimeExecucao)="Global",$I174&gt;0,COUNTIF($AB$13:$AM$13,BM.medicao)&gt;0),O174/$I174*100,0)))</f>
        <v>#NAME?</v>
      </c>
      <c r="M174" s="336">
        <f ca="1">IF($A174="S",VTOTALBM,IF($A174=0,0,ROUND(SomaAgrupBM,15-13*ORÇAMENTO!$AF$11)))</f>
        <v>0</v>
      </c>
      <c r="N174" s="337">
        <f t="shared" ca="1" si="18"/>
        <v>0</v>
      </c>
      <c r="O174" s="126">
        <f ca="1">IF($A174="S",VTOTALBM,IF($A174=0,0,ROUND(SomaAgrupBM,15-13*ORÇAMENTO!$AF$11)))</f>
        <v>0</v>
      </c>
      <c r="Q174" s="338"/>
      <c r="R174" s="339"/>
      <c r="T174" s="118" t="str">
        <f t="shared" ca="1" si="19"/>
        <v/>
      </c>
      <c r="U174" s="164" t="str">
        <f t="shared" ca="1" si="20"/>
        <v/>
      </c>
      <c r="V174" s="165" t="str">
        <f ca="1">IF(AND($W174&gt;0,RegimeExecucao="Unitário"),$F174,"")</f>
        <v/>
      </c>
      <c r="W174" s="455">
        <f ca="1">IF($Y174&gt;0,CHOOSE(MATCH(RegimeExecucao,{"Unitário","Global"},0),IF($A174="S",$Y174/$X174,""),($Y174/$X174)*100),0)</f>
        <v>0</v>
      </c>
      <c r="X174" s="340" t="str">
        <f ca="1">IF($Y174&gt;0,CHOOSE(MATCH(RegimeExecucao,{"Unitário","Global"},0),IF($A174="S",ROUND($H174,ORÇAMENTO!$AF$10),""),ROUND($I174,ORÇAMENTO!$AF$11)),"")</f>
        <v/>
      </c>
      <c r="Y174" s="340">
        <f t="shared" ca="1" si="21"/>
        <v>0</v>
      </c>
      <c r="Z174" s="474"/>
      <c r="AB174" s="338"/>
      <c r="AC174" s="438"/>
      <c r="AD174" s="438"/>
      <c r="AE174" s="438"/>
      <c r="AF174" s="438"/>
      <c r="AG174" s="438"/>
      <c r="AH174" s="438"/>
      <c r="AI174" s="438"/>
      <c r="AJ174" s="438"/>
      <c r="AK174" s="438"/>
      <c r="AL174" s="438"/>
      <c r="AM174" s="339"/>
      <c r="AO174" s="717">
        <f ca="1">IF($A174="S",IF(BM!$I174=0,0,CHOOSE(MATCH(RegimeExecucao,{"Global","Unitário"},0),ROUND(ROUND(BM.MEDAcumulado,15-13*BM!$A$9)/100*BM!$I174,15-13*ORÇAMENTO!$AF$11),ROUND(ROUND(BM.MEDAcumulado,15-13*BM!$A$9)*ROUND(BM!$H174,15-13*ORÇAMENTO!$AF$10),15-13*ORÇAMENTO!$AF$11))),IF($A174=0,0,ROUND(SomaAgrupBM,15-13*ORÇAMENTO!$AF$11)))</f>
        <v>0</v>
      </c>
    </row>
    <row r="175" spans="1:41" s="717" customFormat="1" ht="38.25" x14ac:dyDescent="0.2">
      <c r="A175" s="717" t="str">
        <f ca="1">ORÇAMENTO!C175</f>
        <v>S</v>
      </c>
      <c r="B175" s="717">
        <f ca="1">ORÇAMENTO!D175</f>
        <v>0</v>
      </c>
      <c r="C175" s="115" t="str">
        <f t="shared" ca="1" si="15"/>
        <v/>
      </c>
      <c r="D175" s="118" t="str">
        <f ca="1">ORÇAMENTO!O175</f>
        <v>-</v>
      </c>
      <c r="E175" s="164" t="str">
        <f t="shared" ca="1" si="16"/>
        <v>(abra o arquivo 'Referência 09-2025.xlsm)</v>
      </c>
      <c r="F175" s="165" t="str">
        <f ca="1">IF(RegimeExecucao="Global","",ORÇAMENTO.Unidade)</f>
        <v>-</v>
      </c>
      <c r="G175" s="123">
        <f ca="1">IF(RegimeExecucao="Global","",ORÇAMENTO!T175)</f>
        <v>80</v>
      </c>
      <c r="H175" s="123">
        <f ca="1">IF(RegimeExecucao="Global","",ORÇAMENTO!W175)</f>
        <v>0</v>
      </c>
      <c r="I175" s="126">
        <f ca="1">ORÇAMENTO!X175</f>
        <v>0</v>
      </c>
      <c r="J175" s="334" t="e" cm="1">
        <f t="array" aca="1" ref="J175" ca="1">_xlfn.SINGLE(IF($A175="S",IF(CAIXA.Modo,BM.AFAnterior,BM.MEDAnterior),IF(AND(_xlfn.SINGLE(RegimeExecucao)="Global",$I175&gt;0,COUNTIF($AB$13:$AM$13,BM.medicao-1)&gt;0),M175/$I175*100,0)))</f>
        <v>#NAME?</v>
      </c>
      <c r="K175" s="123" t="e">
        <f t="shared" ca="1" si="17"/>
        <v>#NAME?</v>
      </c>
      <c r="L175" s="335" t="e" cm="1">
        <f t="array" aca="1" ref="L175" ca="1">_xlfn.SINGLE(IF($A175="S",IF(CAIXA.Modo,BM.AFAcumulado,BM.MEDAcumulado),IF(AND(_xlfn.SINGLE(RegimeExecucao)="Global",$I175&gt;0,COUNTIF($AB$13:$AM$13,BM.medicao)&gt;0),O175/$I175*100,0)))</f>
        <v>#NAME?</v>
      </c>
      <c r="M175" s="336">
        <f ca="1">IF($A175="S",VTOTALBM,IF($A175=0,0,ROUND(SomaAgrupBM,15-13*ORÇAMENTO!$AF$11)))</f>
        <v>0</v>
      </c>
      <c r="N175" s="337">
        <f t="shared" ca="1" si="18"/>
        <v>0</v>
      </c>
      <c r="O175" s="126">
        <f ca="1">IF($A175="S",VTOTALBM,IF($A175=0,0,ROUND(SomaAgrupBM,15-13*ORÇAMENTO!$AF$11)))</f>
        <v>0</v>
      </c>
      <c r="Q175" s="338"/>
      <c r="R175" s="339"/>
      <c r="T175" s="118" t="str">
        <f t="shared" ca="1" si="19"/>
        <v/>
      </c>
      <c r="U175" s="164" t="str">
        <f t="shared" ca="1" si="20"/>
        <v/>
      </c>
      <c r="V175" s="165" t="str">
        <f ca="1">IF(AND($W175&gt;0,RegimeExecucao="Unitário"),$F175,"")</f>
        <v/>
      </c>
      <c r="W175" s="455">
        <f ca="1">IF($Y175&gt;0,CHOOSE(MATCH(RegimeExecucao,{"Unitário","Global"},0),IF($A175="S",$Y175/$X175,""),($Y175/$X175)*100),0)</f>
        <v>0</v>
      </c>
      <c r="X175" s="340" t="str">
        <f ca="1">IF($Y175&gt;0,CHOOSE(MATCH(RegimeExecucao,{"Unitário","Global"},0),IF($A175="S",ROUND($H175,ORÇAMENTO!$AF$10),""),ROUND($I175,ORÇAMENTO!$AF$11)),"")</f>
        <v/>
      </c>
      <c r="Y175" s="340">
        <f t="shared" ca="1" si="21"/>
        <v>0</v>
      </c>
      <c r="Z175" s="474"/>
      <c r="AB175" s="338"/>
      <c r="AC175" s="438"/>
      <c r="AD175" s="438"/>
      <c r="AE175" s="438"/>
      <c r="AF175" s="438"/>
      <c r="AG175" s="438"/>
      <c r="AH175" s="438"/>
      <c r="AI175" s="438"/>
      <c r="AJ175" s="438"/>
      <c r="AK175" s="438"/>
      <c r="AL175" s="438"/>
      <c r="AM175" s="339"/>
      <c r="AO175" s="717">
        <f ca="1">IF($A175="S",IF(BM!$I175=0,0,CHOOSE(MATCH(RegimeExecucao,{"Global","Unitário"},0),ROUND(ROUND(BM.MEDAcumulado,15-13*BM!$A$9)/100*BM!$I175,15-13*ORÇAMENTO!$AF$11),ROUND(ROUND(BM.MEDAcumulado,15-13*BM!$A$9)*ROUND(BM!$H175,15-13*ORÇAMENTO!$AF$10),15-13*ORÇAMENTO!$AF$11))),IF($A175=0,0,ROUND(SomaAgrupBM,15-13*ORÇAMENTO!$AF$11)))</f>
        <v>0</v>
      </c>
    </row>
    <row r="176" spans="1:41" s="675" customFormat="1" ht="51" x14ac:dyDescent="0.2">
      <c r="A176" s="675" t="str">
        <f ca="1">ORÇAMENTO!C176</f>
        <v>S</v>
      </c>
      <c r="B176" s="675">
        <f ca="1">ORÇAMENTO!D176</f>
        <v>0</v>
      </c>
      <c r="C176" s="115" t="str">
        <f t="shared" ca="1" si="15"/>
        <v/>
      </c>
      <c r="D176" s="118" t="str">
        <f ca="1">ORÇAMENTO!O176</f>
        <v>-</v>
      </c>
      <c r="E176" s="164" t="str">
        <f t="shared" ca="1" si="16"/>
        <v>(abra o arquivo 'Referência 09-2025.xlsm)</v>
      </c>
      <c r="F176" s="165" t="str">
        <f ca="1">IF(RegimeExecucao="Global","",ORÇAMENTO.Unidade)</f>
        <v>-</v>
      </c>
      <c r="G176" s="123">
        <f ca="1">IF(RegimeExecucao="Global","",ORÇAMENTO!T176)</f>
        <v>98</v>
      </c>
      <c r="H176" s="123">
        <f ca="1">IF(RegimeExecucao="Global","",ORÇAMENTO!W176)</f>
        <v>0</v>
      </c>
      <c r="I176" s="126">
        <f ca="1">ORÇAMENTO!X176</f>
        <v>0</v>
      </c>
      <c r="J176" s="334" t="e" cm="1">
        <f t="array" aca="1" ref="J176" ca="1">_xlfn.SINGLE(IF($A176="S",IF(CAIXA.Modo,BM.AFAnterior,BM.MEDAnterior),IF(AND(_xlfn.SINGLE(RegimeExecucao)="Global",$I176&gt;0,COUNTIF($AB$13:$AM$13,BM.medicao-1)&gt;0),M176/$I176*100,0)))</f>
        <v>#NAME?</v>
      </c>
      <c r="K176" s="123" t="e">
        <f t="shared" ca="1" si="17"/>
        <v>#NAME?</v>
      </c>
      <c r="L176" s="335" t="e" cm="1">
        <f t="array" aca="1" ref="L176" ca="1">_xlfn.SINGLE(IF($A176="S",IF(CAIXA.Modo,BM.AFAcumulado,BM.MEDAcumulado),IF(AND(_xlfn.SINGLE(RegimeExecucao)="Global",$I176&gt;0,COUNTIF($AB$13:$AM$13,BM.medicao)&gt;0),O176/$I176*100,0)))</f>
        <v>#NAME?</v>
      </c>
      <c r="M176" s="336">
        <f ca="1">IF($A176="S",VTOTALBM,IF($A176=0,0,ROUND(SomaAgrupBM,15-13*ORÇAMENTO!$AF$11)))</f>
        <v>0</v>
      </c>
      <c r="N176" s="337">
        <f t="shared" ca="1" si="18"/>
        <v>0</v>
      </c>
      <c r="O176" s="126">
        <f ca="1">IF($A176="S",VTOTALBM,IF($A176=0,0,ROUND(SomaAgrupBM,15-13*ORÇAMENTO!$AF$11)))</f>
        <v>0</v>
      </c>
      <c r="Q176" s="338"/>
      <c r="R176" s="339"/>
      <c r="T176" s="118" t="str">
        <f t="shared" ca="1" si="19"/>
        <v/>
      </c>
      <c r="U176" s="164" t="str">
        <f t="shared" ca="1" si="20"/>
        <v/>
      </c>
      <c r="V176" s="165" t="str">
        <f ca="1">IF(AND($W176&gt;0,RegimeExecucao="Unitário"),$F176,"")</f>
        <v/>
      </c>
      <c r="W176" s="455">
        <f ca="1">IF($Y176&gt;0,CHOOSE(MATCH(RegimeExecucao,{"Unitário","Global"},0),IF($A176="S",$Y176/$X176,""),($Y176/$X176)*100),0)</f>
        <v>0</v>
      </c>
      <c r="X176" s="340" t="str">
        <f ca="1">IF($Y176&gt;0,CHOOSE(MATCH(RegimeExecucao,{"Unitário","Global"},0),IF($A176="S",ROUND($H176,ORÇAMENTO!$AF$10),""),ROUND($I176,ORÇAMENTO!$AF$11)),"")</f>
        <v/>
      </c>
      <c r="Y176" s="340">
        <f t="shared" ca="1" si="21"/>
        <v>0</v>
      </c>
      <c r="Z176" s="474"/>
      <c r="AB176" s="338"/>
      <c r="AC176" s="438"/>
      <c r="AD176" s="438"/>
      <c r="AE176" s="438"/>
      <c r="AF176" s="438"/>
      <c r="AG176" s="438"/>
      <c r="AH176" s="438"/>
      <c r="AI176" s="438"/>
      <c r="AJ176" s="438"/>
      <c r="AK176" s="438"/>
      <c r="AL176" s="438"/>
      <c r="AM176" s="339"/>
      <c r="AO176" s="675">
        <f ca="1">IF($A176="S",IF(BM!$I176=0,0,CHOOSE(MATCH(RegimeExecucao,{"Global","Unitário"},0),ROUND(ROUND(BM.MEDAcumulado,15-13*BM!$A$9)/100*BM!$I176,15-13*ORÇAMENTO!$AF$11),ROUND(ROUND(BM.MEDAcumulado,15-13*BM!$A$9)*ROUND(BM!$H176,15-13*ORÇAMENTO!$AF$10),15-13*ORÇAMENTO!$AF$11))),IF($A176=0,0,ROUND(SomaAgrupBM,15-13*ORÇAMENTO!$AF$11)))</f>
        <v>0</v>
      </c>
    </row>
    <row r="177" spans="1:41" s="711" customFormat="1" ht="51" x14ac:dyDescent="0.2">
      <c r="A177" s="711" t="str">
        <f ca="1">ORÇAMENTO!C177</f>
        <v>S</v>
      </c>
      <c r="B177" s="711">
        <f ca="1">ORÇAMENTO!D177</f>
        <v>0</v>
      </c>
      <c r="C177" s="115" t="str">
        <f ca="1">IF(OR($I177&gt;0,$A177=1,$A177=2,$A177=3,$A177=4),"F","")</f>
        <v/>
      </c>
      <c r="D177" s="118" t="str">
        <f ca="1">ORÇAMENTO!O177</f>
        <v>-</v>
      </c>
      <c r="E177" s="164" t="str">
        <f ca="1">ORÇAMENTO.Descricao</f>
        <v>(abra o arquivo 'Referência 09-2025.xlsm)</v>
      </c>
      <c r="F177" s="165" t="str">
        <f ca="1">IF(RegimeExecucao="Global","",ORÇAMENTO.Unidade)</f>
        <v>-</v>
      </c>
      <c r="G177" s="123">
        <f ca="1">IF(RegimeExecucao="Global","",ORÇAMENTO!T177)</f>
        <v>1</v>
      </c>
      <c r="H177" s="123">
        <f ca="1">IF(RegimeExecucao="Global","",ORÇAMENTO!W177)</f>
        <v>0</v>
      </c>
      <c r="I177" s="126">
        <f ca="1">ORÇAMENTO!X177</f>
        <v>0</v>
      </c>
      <c r="J177" s="334" t="e" cm="1">
        <f t="array" aca="1" ref="J177" ca="1">_xlfn.SINGLE(IF($A177="S",IF(CAIXA.Modo,BM.AFAnterior,BM.MEDAnterior),IF(AND(_xlfn.SINGLE(RegimeExecucao)="Global",$I177&gt;0,COUNTIF($AB$13:$AM$13,BM.medicao-1)&gt;0),M177/$I177*100,0)))</f>
        <v>#NAME?</v>
      </c>
      <c r="K177" s="123" t="e">
        <f ca="1">L177-J177</f>
        <v>#NAME?</v>
      </c>
      <c r="L177" s="335" t="e" cm="1">
        <f t="array" aca="1" ref="L177" ca="1">_xlfn.SINGLE(IF($A177="S",IF(CAIXA.Modo,BM.AFAcumulado,BM.MEDAcumulado),IF(AND(_xlfn.SINGLE(RegimeExecucao)="Global",$I177&gt;0,COUNTIF($AB$13:$AM$13,BM.medicao)&gt;0),O177/$I177*100,0)))</f>
        <v>#NAME?</v>
      </c>
      <c r="M177" s="336">
        <f ca="1">IF($A177="S",VTOTALBM,IF($A177=0,0,ROUND(SomaAgrupBM,15-13*ORÇAMENTO!$AF$11)))</f>
        <v>0</v>
      </c>
      <c r="N177" s="337">
        <f ca="1">O177-M177</f>
        <v>0</v>
      </c>
      <c r="O177" s="126">
        <f ca="1">IF($A177="S",VTOTALBM,IF($A177=0,0,ROUND(SomaAgrupBM,15-13*ORÇAMENTO!$AF$11)))</f>
        <v>0</v>
      </c>
      <c r="Q177" s="338"/>
      <c r="R177" s="339"/>
      <c r="T177" s="118" t="str">
        <f ca="1">IF($W177&gt;0,$D177,"")</f>
        <v/>
      </c>
      <c r="U177" s="164" t="str">
        <f ca="1">IF($W177&gt;0,$E177,"")</f>
        <v/>
      </c>
      <c r="V177" s="165" t="str">
        <f ca="1">IF(AND($W177&gt;0,RegimeExecucao="Unitário"),$F177,"")</f>
        <v/>
      </c>
      <c r="W177" s="455">
        <f ca="1">IF($Y177&gt;0,CHOOSE(MATCH(RegimeExecucao,{"Unitário","Global"},0),IF($A177="S",$Y177/$X177,""),($Y177/$X177)*100),0)</f>
        <v>0</v>
      </c>
      <c r="X177" s="340" t="str">
        <f ca="1">IF($Y177&gt;0,CHOOSE(MATCH(RegimeExecucao,{"Unitário","Global"},0),IF($A177="S",ROUND($H177,ORÇAMENTO!$AF$10),""),ROUND($I177,ORÇAMENTO!$AF$11)),"")</f>
        <v/>
      </c>
      <c r="Y177" s="340">
        <f ca="1">AO177-O177</f>
        <v>0</v>
      </c>
      <c r="Z177" s="474"/>
      <c r="AB177" s="338"/>
      <c r="AC177" s="438"/>
      <c r="AD177" s="438"/>
      <c r="AE177" s="438"/>
      <c r="AF177" s="438"/>
      <c r="AG177" s="438"/>
      <c r="AH177" s="438"/>
      <c r="AI177" s="438"/>
      <c r="AJ177" s="438"/>
      <c r="AK177" s="438"/>
      <c r="AL177" s="438"/>
      <c r="AM177" s="339"/>
      <c r="AO177" s="711">
        <f ca="1">IF($A177="S",IF(BM!$I177=0,0,CHOOSE(MATCH(RegimeExecucao,{"Global","Unitário"},0),ROUND(ROUND(BM.MEDAcumulado,15-13*BM!$A$9)/100*BM!$I177,15-13*ORÇAMENTO!$AF$11),ROUND(ROUND(BM.MEDAcumulado,15-13*BM!$A$9)*ROUND(BM!$H177,15-13*ORÇAMENTO!$AF$10),15-13*ORÇAMENTO!$AF$11))),IF($A177=0,0,ROUND(SomaAgrupBM,15-13*ORÇAMENTO!$AF$11)))</f>
        <v>0</v>
      </c>
    </row>
    <row r="178" spans="1:41" s="714" customFormat="1" ht="38.25" x14ac:dyDescent="0.2">
      <c r="A178" s="714" t="str">
        <f ca="1">ORÇAMENTO!C178</f>
        <v>S</v>
      </c>
      <c r="B178" s="714">
        <f ca="1">ORÇAMENTO!D178</f>
        <v>0</v>
      </c>
      <c r="C178" s="115" t="str">
        <f ca="1">IF(OR($I178&gt;0,$A178=1,$A178=2,$A178=3,$A178=4),"F","")</f>
        <v/>
      </c>
      <c r="D178" s="118" t="str">
        <f ca="1">ORÇAMENTO!O178</f>
        <v>-</v>
      </c>
      <c r="E178" s="164" t="str">
        <f ca="1">ORÇAMENTO.Descricao</f>
        <v>(abra o arquivo 'Referência 09-2025.xlsm)</v>
      </c>
      <c r="F178" s="165" t="str">
        <f ca="1">IF(RegimeExecucao="Global","",ORÇAMENTO.Unidade)</f>
        <v>-</v>
      </c>
      <c r="G178" s="123">
        <f ca="1">IF(RegimeExecucao="Global","",ORÇAMENTO!T178)</f>
        <v>30</v>
      </c>
      <c r="H178" s="123">
        <f ca="1">IF(RegimeExecucao="Global","",ORÇAMENTO!W178)</f>
        <v>0</v>
      </c>
      <c r="I178" s="126">
        <f ca="1">ORÇAMENTO!X178</f>
        <v>0</v>
      </c>
      <c r="J178" s="334" t="e" cm="1">
        <f t="array" aca="1" ref="J178" ca="1">_xlfn.SINGLE(IF($A178="S",IF(CAIXA.Modo,BM.AFAnterior,BM.MEDAnterior),IF(AND(_xlfn.SINGLE(RegimeExecucao)="Global",$I178&gt;0,COUNTIF($AB$13:$AM$13,BM.medicao-1)&gt;0),M178/$I178*100,0)))</f>
        <v>#NAME?</v>
      </c>
      <c r="K178" s="123" t="e">
        <f ca="1">L178-J178</f>
        <v>#NAME?</v>
      </c>
      <c r="L178" s="335" t="e" cm="1">
        <f t="array" aca="1" ref="L178" ca="1">_xlfn.SINGLE(IF($A178="S",IF(CAIXA.Modo,BM.AFAcumulado,BM.MEDAcumulado),IF(AND(_xlfn.SINGLE(RegimeExecucao)="Global",$I178&gt;0,COUNTIF($AB$13:$AM$13,BM.medicao)&gt;0),O178/$I178*100,0)))</f>
        <v>#NAME?</v>
      </c>
      <c r="M178" s="336">
        <f ca="1">IF($A178="S",VTOTALBM,IF($A178=0,0,ROUND(SomaAgrupBM,15-13*ORÇAMENTO!$AF$11)))</f>
        <v>0</v>
      </c>
      <c r="N178" s="337">
        <f ca="1">O178-M178</f>
        <v>0</v>
      </c>
      <c r="O178" s="126">
        <f ca="1">IF($A178="S",VTOTALBM,IF($A178=0,0,ROUND(SomaAgrupBM,15-13*ORÇAMENTO!$AF$11)))</f>
        <v>0</v>
      </c>
      <c r="Q178" s="338"/>
      <c r="R178" s="339"/>
      <c r="T178" s="118" t="str">
        <f ca="1">IF($W178&gt;0,$D178,"")</f>
        <v/>
      </c>
      <c r="U178" s="164" t="str">
        <f ca="1">IF($W178&gt;0,$E178,"")</f>
        <v/>
      </c>
      <c r="V178" s="165" t="str">
        <f ca="1">IF(AND($W178&gt;0,RegimeExecucao="Unitário"),$F178,"")</f>
        <v/>
      </c>
      <c r="W178" s="455">
        <f ca="1">IF($Y178&gt;0,CHOOSE(MATCH(RegimeExecucao,{"Unitário","Global"},0),IF($A178="S",$Y178/$X178,""),($Y178/$X178)*100),0)</f>
        <v>0</v>
      </c>
      <c r="X178" s="340" t="str">
        <f ca="1">IF($Y178&gt;0,CHOOSE(MATCH(RegimeExecucao,{"Unitário","Global"},0),IF($A178="S",ROUND($H178,ORÇAMENTO!$AF$10),""),ROUND($I178,ORÇAMENTO!$AF$11)),"")</f>
        <v/>
      </c>
      <c r="Y178" s="340">
        <f ca="1">AO178-O178</f>
        <v>0</v>
      </c>
      <c r="Z178" s="474"/>
      <c r="AB178" s="338"/>
      <c r="AC178" s="438"/>
      <c r="AD178" s="438"/>
      <c r="AE178" s="438"/>
      <c r="AF178" s="438"/>
      <c r="AG178" s="438"/>
      <c r="AH178" s="438"/>
      <c r="AI178" s="438"/>
      <c r="AJ178" s="438"/>
      <c r="AK178" s="438"/>
      <c r="AL178" s="438"/>
      <c r="AM178" s="339"/>
      <c r="AO178" s="714">
        <f ca="1">IF($A178="S",IF(BM!$I178=0,0,CHOOSE(MATCH(RegimeExecucao,{"Global","Unitário"},0),ROUND(ROUND(BM.MEDAcumulado,15-13*BM!$A$9)/100*BM!$I178,15-13*ORÇAMENTO!$AF$11),ROUND(ROUND(BM.MEDAcumulado,15-13*BM!$A$9)*ROUND(BM!$H178,15-13*ORÇAMENTO!$AF$10),15-13*ORÇAMENTO!$AF$11))),IF($A178=0,0,ROUND(SomaAgrupBM,15-13*ORÇAMENTO!$AF$11)))</f>
        <v>0</v>
      </c>
    </row>
    <row r="179" spans="1:41" s="675" customFormat="1" ht="38.25" x14ac:dyDescent="0.2">
      <c r="A179" s="675" t="str">
        <f ca="1">ORÇAMENTO!C179</f>
        <v>S</v>
      </c>
      <c r="B179" s="675">
        <f ca="1">ORÇAMENTO!D179</f>
        <v>0</v>
      </c>
      <c r="C179" s="115" t="str">
        <f t="shared" ca="1" si="15"/>
        <v/>
      </c>
      <c r="D179" s="118" t="str">
        <f ca="1">ORÇAMENTO!O179</f>
        <v>-</v>
      </c>
      <c r="E179" s="164" t="str">
        <f t="shared" ca="1" si="16"/>
        <v>(abra o arquivo 'Referência 09-2025.xlsm)</v>
      </c>
      <c r="F179" s="165" t="str">
        <f ca="1">IF(RegimeExecucao="Global","",ORÇAMENTO.Unidade)</f>
        <v>-</v>
      </c>
      <c r="G179" s="123">
        <f ca="1">IF(RegimeExecucao="Global","",ORÇAMENTO!T179)</f>
        <v>2.16</v>
      </c>
      <c r="H179" s="123">
        <f ca="1">IF(RegimeExecucao="Global","",ORÇAMENTO!W179)</f>
        <v>0</v>
      </c>
      <c r="I179" s="126">
        <f ca="1">ORÇAMENTO!X179</f>
        <v>0</v>
      </c>
      <c r="J179" s="334" t="e" cm="1">
        <f t="array" aca="1" ref="J179" ca="1">_xlfn.SINGLE(IF($A179="S",IF(CAIXA.Modo,BM.AFAnterior,BM.MEDAnterior),IF(AND(_xlfn.SINGLE(RegimeExecucao)="Global",$I179&gt;0,COUNTIF($AB$13:$AM$13,BM.medicao-1)&gt;0),M179/$I179*100,0)))</f>
        <v>#NAME?</v>
      </c>
      <c r="K179" s="123" t="e">
        <f t="shared" ca="1" si="17"/>
        <v>#NAME?</v>
      </c>
      <c r="L179" s="335" t="e" cm="1">
        <f t="array" aca="1" ref="L179" ca="1">_xlfn.SINGLE(IF($A179="S",IF(CAIXA.Modo,BM.AFAcumulado,BM.MEDAcumulado),IF(AND(_xlfn.SINGLE(RegimeExecucao)="Global",$I179&gt;0,COUNTIF($AB$13:$AM$13,BM.medicao)&gt;0),O179/$I179*100,0)))</f>
        <v>#NAME?</v>
      </c>
      <c r="M179" s="336">
        <f ca="1">IF($A179="S",VTOTALBM,IF($A179=0,0,ROUND(SomaAgrupBM,15-13*ORÇAMENTO!$AF$11)))</f>
        <v>0</v>
      </c>
      <c r="N179" s="337">
        <f t="shared" ca="1" si="18"/>
        <v>0</v>
      </c>
      <c r="O179" s="126">
        <f ca="1">IF($A179="S",VTOTALBM,IF($A179=0,0,ROUND(SomaAgrupBM,15-13*ORÇAMENTO!$AF$11)))</f>
        <v>0</v>
      </c>
      <c r="Q179" s="338"/>
      <c r="R179" s="339"/>
      <c r="T179" s="118" t="str">
        <f t="shared" ca="1" si="19"/>
        <v/>
      </c>
      <c r="U179" s="164" t="str">
        <f t="shared" ca="1" si="20"/>
        <v/>
      </c>
      <c r="V179" s="165" t="str">
        <f ca="1">IF(AND($W179&gt;0,RegimeExecucao="Unitário"),$F179,"")</f>
        <v/>
      </c>
      <c r="W179" s="455">
        <f ca="1">IF($Y179&gt;0,CHOOSE(MATCH(RegimeExecucao,{"Unitário","Global"},0),IF($A179="S",$Y179/$X179,""),($Y179/$X179)*100),0)</f>
        <v>0</v>
      </c>
      <c r="X179" s="340" t="str">
        <f ca="1">IF($Y179&gt;0,CHOOSE(MATCH(RegimeExecucao,{"Unitário","Global"},0),IF($A179="S",ROUND($H179,ORÇAMENTO!$AF$10),""),ROUND($I179,ORÇAMENTO!$AF$11)),"")</f>
        <v/>
      </c>
      <c r="Y179" s="340">
        <f t="shared" ca="1" si="21"/>
        <v>0</v>
      </c>
      <c r="Z179" s="474"/>
      <c r="AB179" s="338"/>
      <c r="AC179" s="438"/>
      <c r="AD179" s="438"/>
      <c r="AE179" s="438"/>
      <c r="AF179" s="438"/>
      <c r="AG179" s="438"/>
      <c r="AH179" s="438"/>
      <c r="AI179" s="438"/>
      <c r="AJ179" s="438"/>
      <c r="AK179" s="438"/>
      <c r="AL179" s="438"/>
      <c r="AM179" s="339"/>
      <c r="AO179" s="675">
        <f ca="1">IF($A179="S",IF(BM!$I179=0,0,CHOOSE(MATCH(RegimeExecucao,{"Global","Unitário"},0),ROUND(ROUND(BM.MEDAcumulado,15-13*BM!$A$9)/100*BM!$I179,15-13*ORÇAMENTO!$AF$11),ROUND(ROUND(BM.MEDAcumulado,15-13*BM!$A$9)*ROUND(BM!$H179,15-13*ORÇAMENTO!$AF$10),15-13*ORÇAMENTO!$AF$11))),IF($A179=0,0,ROUND(SomaAgrupBM,15-13*ORÇAMENTO!$AF$11)))</f>
        <v>0</v>
      </c>
    </row>
    <row r="180" spans="1:41" s="675" customFormat="1" ht="38.25" x14ac:dyDescent="0.2">
      <c r="A180" s="675" t="str">
        <f ca="1">ORÇAMENTO!C180</f>
        <v>S</v>
      </c>
      <c r="B180" s="675">
        <f ca="1">ORÇAMENTO!D180</f>
        <v>0</v>
      </c>
      <c r="C180" s="115" t="str">
        <f t="shared" ca="1" si="15"/>
        <v/>
      </c>
      <c r="D180" s="118" t="str">
        <f ca="1">ORÇAMENTO!O180</f>
        <v>-</v>
      </c>
      <c r="E180" s="164" t="str">
        <f t="shared" ca="1" si="16"/>
        <v>(abra o arquivo 'Referência 09-2025.xlsm)</v>
      </c>
      <c r="F180" s="165" t="str">
        <f ca="1">IF(RegimeExecucao="Global","",ORÇAMENTO.Unidade)</f>
        <v>-</v>
      </c>
      <c r="G180" s="123">
        <f ca="1">IF(RegimeExecucao="Global","",ORÇAMENTO!T180)</f>
        <v>16</v>
      </c>
      <c r="H180" s="123">
        <f ca="1">IF(RegimeExecucao="Global","",ORÇAMENTO!W180)</f>
        <v>0</v>
      </c>
      <c r="I180" s="126">
        <f ca="1">ORÇAMENTO!X180</f>
        <v>0</v>
      </c>
      <c r="J180" s="334" t="e" cm="1">
        <f t="array" aca="1" ref="J180" ca="1">_xlfn.SINGLE(IF($A180="S",IF(CAIXA.Modo,BM.AFAnterior,BM.MEDAnterior),IF(AND(_xlfn.SINGLE(RegimeExecucao)="Global",$I180&gt;0,COUNTIF($AB$13:$AM$13,BM.medicao-1)&gt;0),M180/$I180*100,0)))</f>
        <v>#NAME?</v>
      </c>
      <c r="K180" s="123" t="e">
        <f t="shared" ca="1" si="17"/>
        <v>#NAME?</v>
      </c>
      <c r="L180" s="335" t="e" cm="1">
        <f t="array" aca="1" ref="L180" ca="1">_xlfn.SINGLE(IF($A180="S",IF(CAIXA.Modo,BM.AFAcumulado,BM.MEDAcumulado),IF(AND(_xlfn.SINGLE(RegimeExecucao)="Global",$I180&gt;0,COUNTIF($AB$13:$AM$13,BM.medicao)&gt;0),O180/$I180*100,0)))</f>
        <v>#NAME?</v>
      </c>
      <c r="M180" s="336">
        <f ca="1">IF($A180="S",VTOTALBM,IF($A180=0,0,ROUND(SomaAgrupBM,15-13*ORÇAMENTO!$AF$11)))</f>
        <v>0</v>
      </c>
      <c r="N180" s="337">
        <f t="shared" ca="1" si="18"/>
        <v>0</v>
      </c>
      <c r="O180" s="126">
        <f ca="1">IF($A180="S",VTOTALBM,IF($A180=0,0,ROUND(SomaAgrupBM,15-13*ORÇAMENTO!$AF$11)))</f>
        <v>0</v>
      </c>
      <c r="Q180" s="338"/>
      <c r="R180" s="339"/>
      <c r="T180" s="118" t="str">
        <f t="shared" ca="1" si="19"/>
        <v/>
      </c>
      <c r="U180" s="164" t="str">
        <f t="shared" ca="1" si="20"/>
        <v/>
      </c>
      <c r="V180" s="165" t="str">
        <f ca="1">IF(AND($W180&gt;0,RegimeExecucao="Unitário"),$F180,"")</f>
        <v/>
      </c>
      <c r="W180" s="455">
        <f ca="1">IF($Y180&gt;0,CHOOSE(MATCH(RegimeExecucao,{"Unitário","Global"},0),IF($A180="S",$Y180/$X180,""),($Y180/$X180)*100),0)</f>
        <v>0</v>
      </c>
      <c r="X180" s="340" t="str">
        <f ca="1">IF($Y180&gt;0,CHOOSE(MATCH(RegimeExecucao,{"Unitário","Global"},0),IF($A180="S",ROUND($H180,ORÇAMENTO!$AF$10),""),ROUND($I180,ORÇAMENTO!$AF$11)),"")</f>
        <v/>
      </c>
      <c r="Y180" s="340">
        <f t="shared" ca="1" si="21"/>
        <v>0</v>
      </c>
      <c r="Z180" s="474"/>
      <c r="AB180" s="338"/>
      <c r="AC180" s="438"/>
      <c r="AD180" s="438"/>
      <c r="AE180" s="438"/>
      <c r="AF180" s="438"/>
      <c r="AG180" s="438"/>
      <c r="AH180" s="438"/>
      <c r="AI180" s="438"/>
      <c r="AJ180" s="438"/>
      <c r="AK180" s="438"/>
      <c r="AL180" s="438"/>
      <c r="AM180" s="339"/>
      <c r="AO180" s="675">
        <f ca="1">IF($A180="S",IF(BM!$I180=0,0,CHOOSE(MATCH(RegimeExecucao,{"Global","Unitário"},0),ROUND(ROUND(BM.MEDAcumulado,15-13*BM!$A$9)/100*BM!$I180,15-13*ORÇAMENTO!$AF$11),ROUND(ROUND(BM.MEDAcumulado,15-13*BM!$A$9)*ROUND(BM!$H180,15-13*ORÇAMENTO!$AF$10),15-13*ORÇAMENTO!$AF$11))),IF($A180=0,0,ROUND(SomaAgrupBM,15-13*ORÇAMENTO!$AF$11)))</f>
        <v>0</v>
      </c>
    </row>
    <row r="181" spans="1:41" s="675" customFormat="1" ht="38.25" x14ac:dyDescent="0.2">
      <c r="A181" s="675" t="str">
        <f ca="1">ORÇAMENTO!C181</f>
        <v>S</v>
      </c>
      <c r="B181" s="675">
        <f ca="1">ORÇAMENTO!D181</f>
        <v>0</v>
      </c>
      <c r="C181" s="115" t="str">
        <f t="shared" ca="1" si="15"/>
        <v/>
      </c>
      <c r="D181" s="118" t="str">
        <f ca="1">ORÇAMENTO!O181</f>
        <v>-</v>
      </c>
      <c r="E181" s="164" t="str">
        <f t="shared" ca="1" si="16"/>
        <v>(abra o arquivo 'Referência 09-2025.xlsm)</v>
      </c>
      <c r="F181" s="165" t="str">
        <f ca="1">IF(RegimeExecucao="Global","",ORÇAMENTO.Unidade)</f>
        <v>-</v>
      </c>
      <c r="G181" s="123">
        <f ca="1">IF(RegimeExecucao="Global","",ORÇAMENTO!T181)</f>
        <v>15.82</v>
      </c>
      <c r="H181" s="123">
        <f ca="1">IF(RegimeExecucao="Global","",ORÇAMENTO!W181)</f>
        <v>0</v>
      </c>
      <c r="I181" s="126">
        <f ca="1">ORÇAMENTO!X181</f>
        <v>0</v>
      </c>
      <c r="J181" s="334" t="e" cm="1">
        <f t="array" aca="1" ref="J181" ca="1">_xlfn.SINGLE(IF($A181="S",IF(CAIXA.Modo,BM.AFAnterior,BM.MEDAnterior),IF(AND(_xlfn.SINGLE(RegimeExecucao)="Global",$I181&gt;0,COUNTIF($AB$13:$AM$13,BM.medicao-1)&gt;0),M181/$I181*100,0)))</f>
        <v>#NAME?</v>
      </c>
      <c r="K181" s="123" t="e">
        <f t="shared" ca="1" si="17"/>
        <v>#NAME?</v>
      </c>
      <c r="L181" s="335" t="e" cm="1">
        <f t="array" aca="1" ref="L181" ca="1">_xlfn.SINGLE(IF($A181="S",IF(CAIXA.Modo,BM.AFAcumulado,BM.MEDAcumulado),IF(AND(_xlfn.SINGLE(RegimeExecucao)="Global",$I181&gt;0,COUNTIF($AB$13:$AM$13,BM.medicao)&gt;0),O181/$I181*100,0)))</f>
        <v>#NAME?</v>
      </c>
      <c r="M181" s="336">
        <f ca="1">IF($A181="S",VTOTALBM,IF($A181=0,0,ROUND(SomaAgrupBM,15-13*ORÇAMENTO!$AF$11)))</f>
        <v>0</v>
      </c>
      <c r="N181" s="337">
        <f t="shared" ca="1" si="18"/>
        <v>0</v>
      </c>
      <c r="O181" s="126">
        <f ca="1">IF($A181="S",VTOTALBM,IF($A181=0,0,ROUND(SomaAgrupBM,15-13*ORÇAMENTO!$AF$11)))</f>
        <v>0</v>
      </c>
      <c r="Q181" s="338"/>
      <c r="R181" s="339"/>
      <c r="T181" s="118" t="str">
        <f t="shared" ca="1" si="19"/>
        <v/>
      </c>
      <c r="U181" s="164" t="str">
        <f t="shared" ca="1" si="20"/>
        <v/>
      </c>
      <c r="V181" s="165" t="str">
        <f ca="1">IF(AND($W181&gt;0,RegimeExecucao="Unitário"),$F181,"")</f>
        <v/>
      </c>
      <c r="W181" s="455">
        <f ca="1">IF($Y181&gt;0,CHOOSE(MATCH(RegimeExecucao,{"Unitário","Global"},0),IF($A181="S",$Y181/$X181,""),($Y181/$X181)*100),0)</f>
        <v>0</v>
      </c>
      <c r="X181" s="340" t="str">
        <f ca="1">IF($Y181&gt;0,CHOOSE(MATCH(RegimeExecucao,{"Unitário","Global"},0),IF($A181="S",ROUND($H181,ORÇAMENTO!$AF$10),""),ROUND($I181,ORÇAMENTO!$AF$11)),"")</f>
        <v/>
      </c>
      <c r="Y181" s="340">
        <f t="shared" ca="1" si="21"/>
        <v>0</v>
      </c>
      <c r="Z181" s="474"/>
      <c r="AB181" s="338"/>
      <c r="AC181" s="438"/>
      <c r="AD181" s="438"/>
      <c r="AE181" s="438"/>
      <c r="AF181" s="438"/>
      <c r="AG181" s="438"/>
      <c r="AH181" s="438"/>
      <c r="AI181" s="438"/>
      <c r="AJ181" s="438"/>
      <c r="AK181" s="438"/>
      <c r="AL181" s="438"/>
      <c r="AM181" s="339"/>
      <c r="AO181" s="675">
        <f ca="1">IF($A181="S",IF(BM!$I181=0,0,CHOOSE(MATCH(RegimeExecucao,{"Global","Unitário"},0),ROUND(ROUND(BM.MEDAcumulado,15-13*BM!$A$9)/100*BM!$I181,15-13*ORÇAMENTO!$AF$11),ROUND(ROUND(BM.MEDAcumulado,15-13*BM!$A$9)*ROUND(BM!$H181,15-13*ORÇAMENTO!$AF$10),15-13*ORÇAMENTO!$AF$11))),IF($A181=0,0,ROUND(SomaAgrupBM,15-13*ORÇAMENTO!$AF$11)))</f>
        <v>0</v>
      </c>
    </row>
    <row r="182" spans="1:41" s="675" customFormat="1" ht="38.25" x14ac:dyDescent="0.2">
      <c r="A182" s="675" t="str">
        <f ca="1">ORÇAMENTO!C182</f>
        <v>S</v>
      </c>
      <c r="B182" s="675">
        <f ca="1">ORÇAMENTO!D182</f>
        <v>0</v>
      </c>
      <c r="C182" s="115" t="str">
        <f t="shared" ca="1" si="15"/>
        <v/>
      </c>
      <c r="D182" s="118" t="str">
        <f ca="1">ORÇAMENTO!O182</f>
        <v>-</v>
      </c>
      <c r="E182" s="164" t="str">
        <f t="shared" ca="1" si="16"/>
        <v>(abra o arquivo 'Referência 09-2025.xlsm)</v>
      </c>
      <c r="F182" s="165" t="str">
        <f ca="1">IF(RegimeExecucao="Global","",ORÇAMENTO.Unidade)</f>
        <v>-</v>
      </c>
      <c r="G182" s="123">
        <f ca="1">IF(RegimeExecucao="Global","",ORÇAMENTO!T182)</f>
        <v>0.3</v>
      </c>
      <c r="H182" s="123">
        <f ca="1">IF(RegimeExecucao="Global","",ORÇAMENTO!W182)</f>
        <v>0</v>
      </c>
      <c r="I182" s="126">
        <f ca="1">ORÇAMENTO!X182</f>
        <v>0</v>
      </c>
      <c r="J182" s="334" t="e" cm="1">
        <f t="array" aca="1" ref="J182" ca="1">_xlfn.SINGLE(IF($A182="S",IF(CAIXA.Modo,BM.AFAnterior,BM.MEDAnterior),IF(AND(_xlfn.SINGLE(RegimeExecucao)="Global",$I182&gt;0,COUNTIF($AB$13:$AM$13,BM.medicao-1)&gt;0),M182/$I182*100,0)))</f>
        <v>#NAME?</v>
      </c>
      <c r="K182" s="123" t="e">
        <f t="shared" ca="1" si="17"/>
        <v>#NAME?</v>
      </c>
      <c r="L182" s="335" t="e" cm="1">
        <f t="array" aca="1" ref="L182" ca="1">_xlfn.SINGLE(IF($A182="S",IF(CAIXA.Modo,BM.AFAcumulado,BM.MEDAcumulado),IF(AND(_xlfn.SINGLE(RegimeExecucao)="Global",$I182&gt;0,COUNTIF($AB$13:$AM$13,BM.medicao)&gt;0),O182/$I182*100,0)))</f>
        <v>#NAME?</v>
      </c>
      <c r="M182" s="336">
        <f ca="1">IF($A182="S",VTOTALBM,IF($A182=0,0,ROUND(SomaAgrupBM,15-13*ORÇAMENTO!$AF$11)))</f>
        <v>0</v>
      </c>
      <c r="N182" s="337">
        <f t="shared" ca="1" si="18"/>
        <v>0</v>
      </c>
      <c r="O182" s="126">
        <f ca="1">IF($A182="S",VTOTALBM,IF($A182=0,0,ROUND(SomaAgrupBM,15-13*ORÇAMENTO!$AF$11)))</f>
        <v>0</v>
      </c>
      <c r="Q182" s="338"/>
      <c r="R182" s="339"/>
      <c r="T182" s="118" t="str">
        <f t="shared" ca="1" si="19"/>
        <v/>
      </c>
      <c r="U182" s="164" t="str">
        <f t="shared" ca="1" si="20"/>
        <v/>
      </c>
      <c r="V182" s="165" t="str">
        <f ca="1">IF(AND($W182&gt;0,RegimeExecucao="Unitário"),$F182,"")</f>
        <v/>
      </c>
      <c r="W182" s="455">
        <f ca="1">IF($Y182&gt;0,CHOOSE(MATCH(RegimeExecucao,{"Unitário","Global"},0),IF($A182="S",$Y182/$X182,""),($Y182/$X182)*100),0)</f>
        <v>0</v>
      </c>
      <c r="X182" s="340" t="str">
        <f ca="1">IF($Y182&gt;0,CHOOSE(MATCH(RegimeExecucao,{"Unitário","Global"},0),IF($A182="S",ROUND($H182,ORÇAMENTO!$AF$10),""),ROUND($I182,ORÇAMENTO!$AF$11)),"")</f>
        <v/>
      </c>
      <c r="Y182" s="340">
        <f t="shared" ca="1" si="21"/>
        <v>0</v>
      </c>
      <c r="Z182" s="474"/>
      <c r="AB182" s="338"/>
      <c r="AC182" s="438"/>
      <c r="AD182" s="438"/>
      <c r="AE182" s="438"/>
      <c r="AF182" s="438"/>
      <c r="AG182" s="438"/>
      <c r="AH182" s="438"/>
      <c r="AI182" s="438"/>
      <c r="AJ182" s="438"/>
      <c r="AK182" s="438"/>
      <c r="AL182" s="438"/>
      <c r="AM182" s="339"/>
      <c r="AO182" s="675">
        <f ca="1">IF($A182="S",IF(BM!$I182=0,0,CHOOSE(MATCH(RegimeExecucao,{"Global","Unitário"},0),ROUND(ROUND(BM.MEDAcumulado,15-13*BM!$A$9)/100*BM!$I182,15-13*ORÇAMENTO!$AF$11),ROUND(ROUND(BM.MEDAcumulado,15-13*BM!$A$9)*ROUND(BM!$H182,15-13*ORÇAMENTO!$AF$10),15-13*ORÇAMENTO!$AF$11))),IF($A182=0,0,ROUND(SomaAgrupBM,15-13*ORÇAMENTO!$AF$11)))</f>
        <v>0</v>
      </c>
    </row>
    <row r="183" spans="1:41" s="675" customFormat="1" ht="25.5" x14ac:dyDescent="0.2">
      <c r="A183" s="675" t="str">
        <f ca="1">ORÇAMENTO!C183</f>
        <v>S</v>
      </c>
      <c r="B183" s="675">
        <f ca="1">ORÇAMENTO!D183</f>
        <v>0</v>
      </c>
      <c r="C183" s="115" t="str">
        <f t="shared" ca="1" si="15"/>
        <v/>
      </c>
      <c r="D183" s="118" t="str">
        <f ca="1">ORÇAMENTO!O183</f>
        <v>-</v>
      </c>
      <c r="E183" s="164" t="str">
        <f t="shared" ca="1" si="16"/>
        <v>(abra o arquivo 'Referência 09-2025.xlsm)</v>
      </c>
      <c r="F183" s="165" t="str">
        <f ca="1">IF(RegimeExecucao="Global","",ORÇAMENTO.Unidade)</f>
        <v>-</v>
      </c>
      <c r="G183" s="123">
        <f ca="1">IF(RegimeExecucao="Global","",ORÇAMENTO!T183)</f>
        <v>8.1300000000000008</v>
      </c>
      <c r="H183" s="123">
        <f ca="1">IF(RegimeExecucao="Global","",ORÇAMENTO!W183)</f>
        <v>0</v>
      </c>
      <c r="I183" s="126">
        <f ca="1">ORÇAMENTO!X183</f>
        <v>0</v>
      </c>
      <c r="J183" s="334" t="e" cm="1">
        <f t="array" aca="1" ref="J183" ca="1">_xlfn.SINGLE(IF($A183="S",IF(CAIXA.Modo,BM.AFAnterior,BM.MEDAnterior),IF(AND(_xlfn.SINGLE(RegimeExecucao)="Global",$I183&gt;0,COUNTIF($AB$13:$AM$13,BM.medicao-1)&gt;0),M183/$I183*100,0)))</f>
        <v>#NAME?</v>
      </c>
      <c r="K183" s="123" t="e">
        <f t="shared" ca="1" si="17"/>
        <v>#NAME?</v>
      </c>
      <c r="L183" s="335" t="e" cm="1">
        <f t="array" aca="1" ref="L183" ca="1">_xlfn.SINGLE(IF($A183="S",IF(CAIXA.Modo,BM.AFAcumulado,BM.MEDAcumulado),IF(AND(_xlfn.SINGLE(RegimeExecucao)="Global",$I183&gt;0,COUNTIF($AB$13:$AM$13,BM.medicao)&gt;0),O183/$I183*100,0)))</f>
        <v>#NAME?</v>
      </c>
      <c r="M183" s="336">
        <f ca="1">IF($A183="S",VTOTALBM,IF($A183=0,0,ROUND(SomaAgrupBM,15-13*ORÇAMENTO!$AF$11)))</f>
        <v>0</v>
      </c>
      <c r="N183" s="337">
        <f t="shared" ca="1" si="18"/>
        <v>0</v>
      </c>
      <c r="O183" s="126">
        <f ca="1">IF($A183="S",VTOTALBM,IF($A183=0,0,ROUND(SomaAgrupBM,15-13*ORÇAMENTO!$AF$11)))</f>
        <v>0</v>
      </c>
      <c r="Q183" s="338"/>
      <c r="R183" s="339"/>
      <c r="T183" s="118" t="str">
        <f t="shared" ca="1" si="19"/>
        <v/>
      </c>
      <c r="U183" s="164" t="str">
        <f t="shared" ca="1" si="20"/>
        <v/>
      </c>
      <c r="V183" s="165" t="str">
        <f ca="1">IF(AND($W183&gt;0,RegimeExecucao="Unitário"),$F183,"")</f>
        <v/>
      </c>
      <c r="W183" s="455">
        <f ca="1">IF($Y183&gt;0,CHOOSE(MATCH(RegimeExecucao,{"Unitário","Global"},0),IF($A183="S",$Y183/$X183,""),($Y183/$X183)*100),0)</f>
        <v>0</v>
      </c>
      <c r="X183" s="340" t="str">
        <f ca="1">IF($Y183&gt;0,CHOOSE(MATCH(RegimeExecucao,{"Unitário","Global"},0),IF($A183="S",ROUND($H183,ORÇAMENTO!$AF$10),""),ROUND($I183,ORÇAMENTO!$AF$11)),"")</f>
        <v/>
      </c>
      <c r="Y183" s="340">
        <f t="shared" ca="1" si="21"/>
        <v>0</v>
      </c>
      <c r="Z183" s="474"/>
      <c r="AB183" s="338"/>
      <c r="AC183" s="438"/>
      <c r="AD183" s="438"/>
      <c r="AE183" s="438"/>
      <c r="AF183" s="438"/>
      <c r="AG183" s="438"/>
      <c r="AH183" s="438"/>
      <c r="AI183" s="438"/>
      <c r="AJ183" s="438"/>
      <c r="AK183" s="438"/>
      <c r="AL183" s="438"/>
      <c r="AM183" s="339"/>
      <c r="AO183" s="675">
        <f ca="1">IF($A183="S",IF(BM!$I183=0,0,CHOOSE(MATCH(RegimeExecucao,{"Global","Unitário"},0),ROUND(ROUND(BM.MEDAcumulado,15-13*BM!$A$9)/100*BM!$I183,15-13*ORÇAMENTO!$AF$11),ROUND(ROUND(BM.MEDAcumulado,15-13*BM!$A$9)*ROUND(BM!$H183,15-13*ORÇAMENTO!$AF$10),15-13*ORÇAMENTO!$AF$11))),IF($A183=0,0,ROUND(SomaAgrupBM,15-13*ORÇAMENTO!$AF$11)))</f>
        <v>0</v>
      </c>
    </row>
    <row r="184" spans="1:41" s="675" customFormat="1" ht="25.5" x14ac:dyDescent="0.2">
      <c r="A184" s="675" t="str">
        <f ca="1">ORÇAMENTO!C184</f>
        <v>S</v>
      </c>
      <c r="B184" s="675">
        <f ca="1">ORÇAMENTO!D184</f>
        <v>0</v>
      </c>
      <c r="C184" s="115" t="str">
        <f t="shared" ca="1" si="15"/>
        <v/>
      </c>
      <c r="D184" s="118" t="str">
        <f ca="1">ORÇAMENTO!O184</f>
        <v>-</v>
      </c>
      <c r="E184" s="164" t="str">
        <f t="shared" ca="1" si="16"/>
        <v>(abra o arquivo 'Referência 09-2025.xlsm)</v>
      </c>
      <c r="F184" s="165" t="str">
        <f ca="1">IF(RegimeExecucao="Global","",ORÇAMENTO.Unidade)</f>
        <v>-</v>
      </c>
      <c r="G184" s="123">
        <f ca="1">IF(RegimeExecucao="Global","",ORÇAMENTO!T184)</f>
        <v>9.32</v>
      </c>
      <c r="H184" s="123">
        <f ca="1">IF(RegimeExecucao="Global","",ORÇAMENTO!W184)</f>
        <v>0</v>
      </c>
      <c r="I184" s="126">
        <f ca="1">ORÇAMENTO!X184</f>
        <v>0</v>
      </c>
      <c r="J184" s="334" t="e" cm="1">
        <f t="array" aca="1" ref="J184" ca="1">_xlfn.SINGLE(IF($A184="S",IF(CAIXA.Modo,BM.AFAnterior,BM.MEDAnterior),IF(AND(_xlfn.SINGLE(RegimeExecucao)="Global",$I184&gt;0,COUNTIF($AB$13:$AM$13,BM.medicao-1)&gt;0),M184/$I184*100,0)))</f>
        <v>#NAME?</v>
      </c>
      <c r="K184" s="123" t="e">
        <f t="shared" ca="1" si="17"/>
        <v>#NAME?</v>
      </c>
      <c r="L184" s="335" t="e" cm="1">
        <f t="array" aca="1" ref="L184" ca="1">_xlfn.SINGLE(IF($A184="S",IF(CAIXA.Modo,BM.AFAcumulado,BM.MEDAcumulado),IF(AND(_xlfn.SINGLE(RegimeExecucao)="Global",$I184&gt;0,COUNTIF($AB$13:$AM$13,BM.medicao)&gt;0),O184/$I184*100,0)))</f>
        <v>#NAME?</v>
      </c>
      <c r="M184" s="336">
        <f ca="1">IF($A184="S",VTOTALBM,IF($A184=0,0,ROUND(SomaAgrupBM,15-13*ORÇAMENTO!$AF$11)))</f>
        <v>0</v>
      </c>
      <c r="N184" s="337">
        <f t="shared" ca="1" si="18"/>
        <v>0</v>
      </c>
      <c r="O184" s="126">
        <f ca="1">IF($A184="S",VTOTALBM,IF($A184=0,0,ROUND(SomaAgrupBM,15-13*ORÇAMENTO!$AF$11)))</f>
        <v>0</v>
      </c>
      <c r="Q184" s="338"/>
      <c r="R184" s="339"/>
      <c r="T184" s="118" t="str">
        <f t="shared" ca="1" si="19"/>
        <v/>
      </c>
      <c r="U184" s="164" t="str">
        <f t="shared" ca="1" si="20"/>
        <v/>
      </c>
      <c r="V184" s="165" t="str">
        <f ca="1">IF(AND($W184&gt;0,RegimeExecucao="Unitário"),$F184,"")</f>
        <v/>
      </c>
      <c r="W184" s="455">
        <f ca="1">IF($Y184&gt;0,CHOOSE(MATCH(RegimeExecucao,{"Unitário","Global"},0),IF($A184="S",$Y184/$X184,""),($Y184/$X184)*100),0)</f>
        <v>0</v>
      </c>
      <c r="X184" s="340" t="str">
        <f ca="1">IF($Y184&gt;0,CHOOSE(MATCH(RegimeExecucao,{"Unitário","Global"},0),IF($A184="S",ROUND($H184,ORÇAMENTO!$AF$10),""),ROUND($I184,ORÇAMENTO!$AF$11)),"")</f>
        <v/>
      </c>
      <c r="Y184" s="340">
        <f t="shared" ca="1" si="21"/>
        <v>0</v>
      </c>
      <c r="Z184" s="474"/>
      <c r="AB184" s="338"/>
      <c r="AC184" s="438"/>
      <c r="AD184" s="438"/>
      <c r="AE184" s="438"/>
      <c r="AF184" s="438"/>
      <c r="AG184" s="438"/>
      <c r="AH184" s="438"/>
      <c r="AI184" s="438"/>
      <c r="AJ184" s="438"/>
      <c r="AK184" s="438"/>
      <c r="AL184" s="438"/>
      <c r="AM184" s="339"/>
      <c r="AO184" s="675">
        <f ca="1">IF($A184="S",IF(BM!$I184=0,0,CHOOSE(MATCH(RegimeExecucao,{"Global","Unitário"},0),ROUND(ROUND(BM.MEDAcumulado,15-13*BM!$A$9)/100*BM!$I184,15-13*ORÇAMENTO!$AF$11),ROUND(ROUND(BM.MEDAcumulado,15-13*BM!$A$9)*ROUND(BM!$H184,15-13*ORÇAMENTO!$AF$10),15-13*ORÇAMENTO!$AF$11))),IF($A184=0,0,ROUND(SomaAgrupBM,15-13*ORÇAMENTO!$AF$11)))</f>
        <v>0</v>
      </c>
    </row>
    <row r="185" spans="1:41" s="675" customFormat="1" ht="25.5" x14ac:dyDescent="0.2">
      <c r="A185" s="675" t="str">
        <f ca="1">ORÇAMENTO!C185</f>
        <v>S</v>
      </c>
      <c r="B185" s="675">
        <f ca="1">ORÇAMENTO!D185</f>
        <v>0</v>
      </c>
      <c r="C185" s="115" t="str">
        <f t="shared" ca="1" si="15"/>
        <v/>
      </c>
      <c r="D185" s="118" t="str">
        <f ca="1">ORÇAMENTO!O185</f>
        <v>-</v>
      </c>
      <c r="E185" s="164" t="str">
        <f t="shared" ca="1" si="16"/>
        <v>(abra o arquivo 'Referência 09-2025.xlsm)</v>
      </c>
      <c r="F185" s="165" t="str">
        <f ca="1">IF(RegimeExecucao="Global","",ORÇAMENTO.Unidade)</f>
        <v>-</v>
      </c>
      <c r="G185" s="123">
        <f ca="1">IF(RegimeExecucao="Global","",ORÇAMENTO!T185)</f>
        <v>65.41</v>
      </c>
      <c r="H185" s="123">
        <f ca="1">IF(RegimeExecucao="Global","",ORÇAMENTO!W185)</f>
        <v>0</v>
      </c>
      <c r="I185" s="126">
        <f ca="1">ORÇAMENTO!X185</f>
        <v>0</v>
      </c>
      <c r="J185" s="334" t="e" cm="1">
        <f t="array" aca="1" ref="J185" ca="1">_xlfn.SINGLE(IF($A185="S",IF(CAIXA.Modo,BM.AFAnterior,BM.MEDAnterior),IF(AND(_xlfn.SINGLE(RegimeExecucao)="Global",$I185&gt;0,COUNTIF($AB$13:$AM$13,BM.medicao-1)&gt;0),M185/$I185*100,0)))</f>
        <v>#NAME?</v>
      </c>
      <c r="K185" s="123" t="e">
        <f t="shared" ca="1" si="17"/>
        <v>#NAME?</v>
      </c>
      <c r="L185" s="335" t="e" cm="1">
        <f t="array" aca="1" ref="L185" ca="1">_xlfn.SINGLE(IF($A185="S",IF(CAIXA.Modo,BM.AFAcumulado,BM.MEDAcumulado),IF(AND(_xlfn.SINGLE(RegimeExecucao)="Global",$I185&gt;0,COUNTIF($AB$13:$AM$13,BM.medicao)&gt;0),O185/$I185*100,0)))</f>
        <v>#NAME?</v>
      </c>
      <c r="M185" s="336">
        <f ca="1">IF($A185="S",VTOTALBM,IF($A185=0,0,ROUND(SomaAgrupBM,15-13*ORÇAMENTO!$AF$11)))</f>
        <v>0</v>
      </c>
      <c r="N185" s="337">
        <f t="shared" ca="1" si="18"/>
        <v>0</v>
      </c>
      <c r="O185" s="126">
        <f ca="1">IF($A185="S",VTOTALBM,IF($A185=0,0,ROUND(SomaAgrupBM,15-13*ORÇAMENTO!$AF$11)))</f>
        <v>0</v>
      </c>
      <c r="Q185" s="338"/>
      <c r="R185" s="339"/>
      <c r="T185" s="118" t="str">
        <f t="shared" ca="1" si="19"/>
        <v/>
      </c>
      <c r="U185" s="164" t="str">
        <f t="shared" ca="1" si="20"/>
        <v/>
      </c>
      <c r="V185" s="165" t="str">
        <f ca="1">IF(AND($W185&gt;0,RegimeExecucao="Unitário"),$F185,"")</f>
        <v/>
      </c>
      <c r="W185" s="455">
        <f ca="1">IF($Y185&gt;0,CHOOSE(MATCH(RegimeExecucao,{"Unitário","Global"},0),IF($A185="S",$Y185/$X185,""),($Y185/$X185)*100),0)</f>
        <v>0</v>
      </c>
      <c r="X185" s="340" t="str">
        <f ca="1">IF($Y185&gt;0,CHOOSE(MATCH(RegimeExecucao,{"Unitário","Global"},0),IF($A185="S",ROUND($H185,ORÇAMENTO!$AF$10),""),ROUND($I185,ORÇAMENTO!$AF$11)),"")</f>
        <v/>
      </c>
      <c r="Y185" s="340">
        <f t="shared" ca="1" si="21"/>
        <v>0</v>
      </c>
      <c r="Z185" s="474"/>
      <c r="AB185" s="338"/>
      <c r="AC185" s="438"/>
      <c r="AD185" s="438"/>
      <c r="AE185" s="438"/>
      <c r="AF185" s="438"/>
      <c r="AG185" s="438"/>
      <c r="AH185" s="438"/>
      <c r="AI185" s="438"/>
      <c r="AJ185" s="438"/>
      <c r="AK185" s="438"/>
      <c r="AL185" s="438"/>
      <c r="AM185" s="339"/>
      <c r="AO185" s="675">
        <f ca="1">IF($A185="S",IF(BM!$I185=0,0,CHOOSE(MATCH(RegimeExecucao,{"Global","Unitário"},0),ROUND(ROUND(BM.MEDAcumulado,15-13*BM!$A$9)/100*BM!$I185,15-13*ORÇAMENTO!$AF$11),ROUND(ROUND(BM.MEDAcumulado,15-13*BM!$A$9)*ROUND(BM!$H185,15-13*ORÇAMENTO!$AF$10),15-13*ORÇAMENTO!$AF$11))),IF($A185=0,0,ROUND(SomaAgrupBM,15-13*ORÇAMENTO!$AF$11)))</f>
        <v>0</v>
      </c>
    </row>
    <row r="186" spans="1:41" s="675" customFormat="1" ht="38.25" x14ac:dyDescent="0.2">
      <c r="A186" s="675" t="str">
        <f ca="1">ORÇAMENTO!C186</f>
        <v>S</v>
      </c>
      <c r="B186" s="675">
        <f ca="1">ORÇAMENTO!D186</f>
        <v>0</v>
      </c>
      <c r="C186" s="115" t="str">
        <f t="shared" ca="1" si="15"/>
        <v/>
      </c>
      <c r="D186" s="118" t="str">
        <f ca="1">ORÇAMENTO!O186</f>
        <v>-</v>
      </c>
      <c r="E186" s="164" t="str">
        <f t="shared" ca="1" si="16"/>
        <v>(abra o arquivo 'Referência 09-2025.xlsm)</v>
      </c>
      <c r="F186" s="165" t="str">
        <f ca="1">IF(RegimeExecucao="Global","",ORÇAMENTO.Unidade)</f>
        <v>-</v>
      </c>
      <c r="G186" s="123">
        <f ca="1">IF(RegimeExecucao="Global","",ORÇAMENTO!T186)</f>
        <v>4.55</v>
      </c>
      <c r="H186" s="123">
        <f ca="1">IF(RegimeExecucao="Global","",ORÇAMENTO!W186)</f>
        <v>0</v>
      </c>
      <c r="I186" s="126">
        <f ca="1">ORÇAMENTO!X186</f>
        <v>0</v>
      </c>
      <c r="J186" s="334" t="e" cm="1">
        <f t="array" aca="1" ref="J186" ca="1">_xlfn.SINGLE(IF($A186="S",IF(CAIXA.Modo,BM.AFAnterior,BM.MEDAnterior),IF(AND(_xlfn.SINGLE(RegimeExecucao)="Global",$I186&gt;0,COUNTIF($AB$13:$AM$13,BM.medicao-1)&gt;0),M186/$I186*100,0)))</f>
        <v>#NAME?</v>
      </c>
      <c r="K186" s="123" t="e">
        <f t="shared" ca="1" si="17"/>
        <v>#NAME?</v>
      </c>
      <c r="L186" s="335" t="e" cm="1">
        <f t="array" aca="1" ref="L186" ca="1">_xlfn.SINGLE(IF($A186="S",IF(CAIXA.Modo,BM.AFAcumulado,BM.MEDAcumulado),IF(AND(_xlfn.SINGLE(RegimeExecucao)="Global",$I186&gt;0,COUNTIF($AB$13:$AM$13,BM.medicao)&gt;0),O186/$I186*100,0)))</f>
        <v>#NAME?</v>
      </c>
      <c r="M186" s="336">
        <f ca="1">IF($A186="S",VTOTALBM,IF($A186=0,0,ROUND(SomaAgrupBM,15-13*ORÇAMENTO!$AF$11)))</f>
        <v>0</v>
      </c>
      <c r="N186" s="337">
        <f t="shared" ca="1" si="18"/>
        <v>0</v>
      </c>
      <c r="O186" s="126">
        <f ca="1">IF($A186="S",VTOTALBM,IF($A186=0,0,ROUND(SomaAgrupBM,15-13*ORÇAMENTO!$AF$11)))</f>
        <v>0</v>
      </c>
      <c r="Q186" s="338"/>
      <c r="R186" s="339"/>
      <c r="T186" s="118" t="str">
        <f t="shared" ca="1" si="19"/>
        <v/>
      </c>
      <c r="U186" s="164" t="str">
        <f t="shared" ca="1" si="20"/>
        <v/>
      </c>
      <c r="V186" s="165" t="str">
        <f ca="1">IF(AND($W186&gt;0,RegimeExecucao="Unitário"),$F186,"")</f>
        <v/>
      </c>
      <c r="W186" s="455">
        <f ca="1">IF($Y186&gt;0,CHOOSE(MATCH(RegimeExecucao,{"Unitário","Global"},0),IF($A186="S",$Y186/$X186,""),($Y186/$X186)*100),0)</f>
        <v>0</v>
      </c>
      <c r="X186" s="340" t="str">
        <f ca="1">IF($Y186&gt;0,CHOOSE(MATCH(RegimeExecucao,{"Unitário","Global"},0),IF($A186="S",ROUND($H186,ORÇAMENTO!$AF$10),""),ROUND($I186,ORÇAMENTO!$AF$11)),"")</f>
        <v/>
      </c>
      <c r="Y186" s="340">
        <f t="shared" ca="1" si="21"/>
        <v>0</v>
      </c>
      <c r="Z186" s="474"/>
      <c r="AB186" s="338"/>
      <c r="AC186" s="438"/>
      <c r="AD186" s="438"/>
      <c r="AE186" s="438"/>
      <c r="AF186" s="438"/>
      <c r="AG186" s="438"/>
      <c r="AH186" s="438"/>
      <c r="AI186" s="438"/>
      <c r="AJ186" s="438"/>
      <c r="AK186" s="438"/>
      <c r="AL186" s="438"/>
      <c r="AM186" s="339"/>
      <c r="AO186" s="675">
        <f ca="1">IF($A186="S",IF(BM!$I186=0,0,CHOOSE(MATCH(RegimeExecucao,{"Global","Unitário"},0),ROUND(ROUND(BM.MEDAcumulado,15-13*BM!$A$9)/100*BM!$I186,15-13*ORÇAMENTO!$AF$11),ROUND(ROUND(BM.MEDAcumulado,15-13*BM!$A$9)*ROUND(BM!$H186,15-13*ORÇAMENTO!$AF$10),15-13*ORÇAMENTO!$AF$11))),IF($A186=0,0,ROUND(SomaAgrupBM,15-13*ORÇAMENTO!$AF$11)))</f>
        <v>0</v>
      </c>
    </row>
    <row r="187" spans="1:41" s="675" customFormat="1" ht="38.25" x14ac:dyDescent="0.2">
      <c r="A187" s="675" t="str">
        <f ca="1">ORÇAMENTO!C187</f>
        <v>S</v>
      </c>
      <c r="B187" s="675">
        <f ca="1">ORÇAMENTO!D187</f>
        <v>0</v>
      </c>
      <c r="C187" s="115" t="str">
        <f t="shared" ca="1" si="15"/>
        <v/>
      </c>
      <c r="D187" s="118" t="str">
        <f ca="1">ORÇAMENTO!O187</f>
        <v>-</v>
      </c>
      <c r="E187" s="164" t="str">
        <f t="shared" ca="1" si="16"/>
        <v>(abra o arquivo 'Referência 09-2025.xlsm)</v>
      </c>
      <c r="F187" s="165" t="str">
        <f ca="1">IF(RegimeExecucao="Global","",ORÇAMENTO.Unidade)</f>
        <v>-</v>
      </c>
      <c r="G187" s="123">
        <f ca="1">IF(RegimeExecucao="Global","",ORÇAMENTO!T187)</f>
        <v>37.729999999999997</v>
      </c>
      <c r="H187" s="123">
        <f ca="1">IF(RegimeExecucao="Global","",ORÇAMENTO!W187)</f>
        <v>0</v>
      </c>
      <c r="I187" s="126">
        <f ca="1">ORÇAMENTO!X187</f>
        <v>0</v>
      </c>
      <c r="J187" s="334" t="e" cm="1">
        <f t="array" aca="1" ref="J187" ca="1">_xlfn.SINGLE(IF($A187="S",IF(CAIXA.Modo,BM.AFAnterior,BM.MEDAnterior),IF(AND(_xlfn.SINGLE(RegimeExecucao)="Global",$I187&gt;0,COUNTIF($AB$13:$AM$13,BM.medicao-1)&gt;0),M187/$I187*100,0)))</f>
        <v>#NAME?</v>
      </c>
      <c r="K187" s="123" t="e">
        <f t="shared" ca="1" si="17"/>
        <v>#NAME?</v>
      </c>
      <c r="L187" s="335" t="e" cm="1">
        <f t="array" aca="1" ref="L187" ca="1">_xlfn.SINGLE(IF($A187="S",IF(CAIXA.Modo,BM.AFAcumulado,BM.MEDAcumulado),IF(AND(_xlfn.SINGLE(RegimeExecucao)="Global",$I187&gt;0,COUNTIF($AB$13:$AM$13,BM.medicao)&gt;0),O187/$I187*100,0)))</f>
        <v>#NAME?</v>
      </c>
      <c r="M187" s="336">
        <f ca="1">IF($A187="S",VTOTALBM,IF($A187=0,0,ROUND(SomaAgrupBM,15-13*ORÇAMENTO!$AF$11)))</f>
        <v>0</v>
      </c>
      <c r="N187" s="337">
        <f t="shared" ca="1" si="18"/>
        <v>0</v>
      </c>
      <c r="O187" s="126">
        <f ca="1">IF($A187="S",VTOTALBM,IF($A187=0,0,ROUND(SomaAgrupBM,15-13*ORÇAMENTO!$AF$11)))</f>
        <v>0</v>
      </c>
      <c r="Q187" s="338"/>
      <c r="R187" s="339"/>
      <c r="T187" s="118" t="str">
        <f t="shared" ca="1" si="19"/>
        <v/>
      </c>
      <c r="U187" s="164" t="str">
        <f t="shared" ca="1" si="20"/>
        <v/>
      </c>
      <c r="V187" s="165" t="str">
        <f ca="1">IF(AND($W187&gt;0,RegimeExecucao="Unitário"),$F187,"")</f>
        <v/>
      </c>
      <c r="W187" s="455">
        <f ca="1">IF($Y187&gt;0,CHOOSE(MATCH(RegimeExecucao,{"Unitário","Global"},0),IF($A187="S",$Y187/$X187,""),($Y187/$X187)*100),0)</f>
        <v>0</v>
      </c>
      <c r="X187" s="340" t="str">
        <f ca="1">IF($Y187&gt;0,CHOOSE(MATCH(RegimeExecucao,{"Unitário","Global"},0),IF($A187="S",ROUND($H187,ORÇAMENTO!$AF$10),""),ROUND($I187,ORÇAMENTO!$AF$11)),"")</f>
        <v/>
      </c>
      <c r="Y187" s="340">
        <f t="shared" ca="1" si="21"/>
        <v>0</v>
      </c>
      <c r="Z187" s="474"/>
      <c r="AB187" s="338"/>
      <c r="AC187" s="438"/>
      <c r="AD187" s="438"/>
      <c r="AE187" s="438"/>
      <c r="AF187" s="438"/>
      <c r="AG187" s="438"/>
      <c r="AH187" s="438"/>
      <c r="AI187" s="438"/>
      <c r="AJ187" s="438"/>
      <c r="AK187" s="438"/>
      <c r="AL187" s="438"/>
      <c r="AM187" s="339"/>
      <c r="AO187" s="675">
        <f ca="1">IF($A187="S",IF(BM!$I187=0,0,CHOOSE(MATCH(RegimeExecucao,{"Global","Unitário"},0),ROUND(ROUND(BM.MEDAcumulado,15-13*BM!$A$9)/100*BM!$I187,15-13*ORÇAMENTO!$AF$11),ROUND(ROUND(BM.MEDAcumulado,15-13*BM!$A$9)*ROUND(BM!$H187,15-13*ORÇAMENTO!$AF$10),15-13*ORÇAMENTO!$AF$11))),IF($A187=0,0,ROUND(SomaAgrupBM,15-13*ORÇAMENTO!$AF$11)))</f>
        <v>0</v>
      </c>
    </row>
    <row r="188" spans="1:41" s="675" customFormat="1" ht="38.25" x14ac:dyDescent="0.2">
      <c r="A188" s="675" t="str">
        <f ca="1">ORÇAMENTO!C188</f>
        <v>S</v>
      </c>
      <c r="B188" s="675">
        <f ca="1">ORÇAMENTO!D188</f>
        <v>0</v>
      </c>
      <c r="C188" s="115" t="str">
        <f t="shared" ca="1" si="15"/>
        <v/>
      </c>
      <c r="D188" s="118" t="str">
        <f ca="1">ORÇAMENTO!O188</f>
        <v>-</v>
      </c>
      <c r="E188" s="164" t="str">
        <f t="shared" ca="1" si="16"/>
        <v>(abra o arquivo 'Referência 09-2025.xlsm)</v>
      </c>
      <c r="F188" s="165" t="str">
        <f ca="1">IF(RegimeExecucao="Global","",ORÇAMENTO.Unidade)</f>
        <v>-</v>
      </c>
      <c r="G188" s="123">
        <f ca="1">IF(RegimeExecucao="Global","",ORÇAMENTO!T188)</f>
        <v>155.47999999999999</v>
      </c>
      <c r="H188" s="123">
        <f ca="1">IF(RegimeExecucao="Global","",ORÇAMENTO!W188)</f>
        <v>0</v>
      </c>
      <c r="I188" s="126">
        <f ca="1">ORÇAMENTO!X188</f>
        <v>0</v>
      </c>
      <c r="J188" s="334" t="e" cm="1">
        <f t="array" aca="1" ref="J188" ca="1">_xlfn.SINGLE(IF($A188="S",IF(CAIXA.Modo,BM.AFAnterior,BM.MEDAnterior),IF(AND(_xlfn.SINGLE(RegimeExecucao)="Global",$I188&gt;0,COUNTIF($AB$13:$AM$13,BM.medicao-1)&gt;0),M188/$I188*100,0)))</f>
        <v>#NAME?</v>
      </c>
      <c r="K188" s="123" t="e">
        <f t="shared" ca="1" si="17"/>
        <v>#NAME?</v>
      </c>
      <c r="L188" s="335" t="e" cm="1">
        <f t="array" aca="1" ref="L188" ca="1">_xlfn.SINGLE(IF($A188="S",IF(CAIXA.Modo,BM.AFAcumulado,BM.MEDAcumulado),IF(AND(_xlfn.SINGLE(RegimeExecucao)="Global",$I188&gt;0,COUNTIF($AB$13:$AM$13,BM.medicao)&gt;0),O188/$I188*100,0)))</f>
        <v>#NAME?</v>
      </c>
      <c r="M188" s="336">
        <f ca="1">IF($A188="S",VTOTALBM,IF($A188=0,0,ROUND(SomaAgrupBM,15-13*ORÇAMENTO!$AF$11)))</f>
        <v>0</v>
      </c>
      <c r="N188" s="337">
        <f t="shared" ca="1" si="18"/>
        <v>0</v>
      </c>
      <c r="O188" s="126">
        <f ca="1">IF($A188="S",VTOTALBM,IF($A188=0,0,ROUND(SomaAgrupBM,15-13*ORÇAMENTO!$AF$11)))</f>
        <v>0</v>
      </c>
      <c r="Q188" s="338"/>
      <c r="R188" s="339"/>
      <c r="T188" s="118" t="str">
        <f t="shared" ca="1" si="19"/>
        <v/>
      </c>
      <c r="U188" s="164" t="str">
        <f t="shared" ca="1" si="20"/>
        <v/>
      </c>
      <c r="V188" s="165" t="str">
        <f ca="1">IF(AND($W188&gt;0,RegimeExecucao="Unitário"),$F188,"")</f>
        <v/>
      </c>
      <c r="W188" s="455">
        <f ca="1">IF($Y188&gt;0,CHOOSE(MATCH(RegimeExecucao,{"Unitário","Global"},0),IF($A188="S",$Y188/$X188,""),($Y188/$X188)*100),0)</f>
        <v>0</v>
      </c>
      <c r="X188" s="340" t="str">
        <f ca="1">IF($Y188&gt;0,CHOOSE(MATCH(RegimeExecucao,{"Unitário","Global"},0),IF($A188="S",ROUND($H188,ORÇAMENTO!$AF$10),""),ROUND($I188,ORÇAMENTO!$AF$11)),"")</f>
        <v/>
      </c>
      <c r="Y188" s="340">
        <f t="shared" ca="1" si="21"/>
        <v>0</v>
      </c>
      <c r="Z188" s="474"/>
      <c r="AB188" s="338"/>
      <c r="AC188" s="438"/>
      <c r="AD188" s="438"/>
      <c r="AE188" s="438"/>
      <c r="AF188" s="438"/>
      <c r="AG188" s="438"/>
      <c r="AH188" s="438"/>
      <c r="AI188" s="438"/>
      <c r="AJ188" s="438"/>
      <c r="AK188" s="438"/>
      <c r="AL188" s="438"/>
      <c r="AM188" s="339"/>
      <c r="AO188" s="675">
        <f ca="1">IF($A188="S",IF(BM!$I188=0,0,CHOOSE(MATCH(RegimeExecucao,{"Global","Unitário"},0),ROUND(ROUND(BM.MEDAcumulado,15-13*BM!$A$9)/100*BM!$I188,15-13*ORÇAMENTO!$AF$11),ROUND(ROUND(BM.MEDAcumulado,15-13*BM!$A$9)*ROUND(BM!$H188,15-13*ORÇAMENTO!$AF$10),15-13*ORÇAMENTO!$AF$11))),IF($A188=0,0,ROUND(SomaAgrupBM,15-13*ORÇAMENTO!$AF$11)))</f>
        <v>0</v>
      </c>
    </row>
    <row r="189" spans="1:41" s="720" customFormat="1" ht="25.5" x14ac:dyDescent="0.2">
      <c r="A189" s="720" t="str">
        <f ca="1">ORÇAMENTO!C189</f>
        <v>S</v>
      </c>
      <c r="B189" s="720">
        <f ca="1">ORÇAMENTO!D189</f>
        <v>0</v>
      </c>
      <c r="C189" s="115" t="str">
        <f ca="1">IF(OR($I189&gt;0,$A189=1,$A189=2,$A189=3,$A189=4),"F","")</f>
        <v/>
      </c>
      <c r="D189" s="118" t="str">
        <f ca="1">ORÇAMENTO!O189</f>
        <v>-</v>
      </c>
      <c r="E189" s="164" t="str">
        <f ca="1">ORÇAMENTO.Descricao</f>
        <v>(abra o arquivo 'Referência 09-2025.xlsm)</v>
      </c>
      <c r="F189" s="165" t="str">
        <f ca="1">IF(RegimeExecucao="Global","",ORÇAMENTO.Unidade)</f>
        <v>-</v>
      </c>
      <c r="G189" s="123">
        <f ca="1">IF(RegimeExecucao="Global","",ORÇAMENTO!T189)</f>
        <v>2.75</v>
      </c>
      <c r="H189" s="123">
        <f ca="1">IF(RegimeExecucao="Global","",ORÇAMENTO!W189)</f>
        <v>0</v>
      </c>
      <c r="I189" s="126">
        <f ca="1">ORÇAMENTO!X189</f>
        <v>0</v>
      </c>
      <c r="J189" s="334" t="e" cm="1">
        <f t="array" aca="1" ref="J189" ca="1">_xlfn.SINGLE(IF($A189="S",IF(CAIXA.Modo,BM.AFAnterior,BM.MEDAnterior),IF(AND(_xlfn.SINGLE(RegimeExecucao)="Global",$I189&gt;0,COUNTIF($AB$13:$AM$13,BM.medicao-1)&gt;0),M189/$I189*100,0)))</f>
        <v>#NAME?</v>
      </c>
      <c r="K189" s="123" t="e">
        <f ca="1">L189-J189</f>
        <v>#NAME?</v>
      </c>
      <c r="L189" s="335" t="e" cm="1">
        <f t="array" aca="1" ref="L189" ca="1">_xlfn.SINGLE(IF($A189="S",IF(CAIXA.Modo,BM.AFAcumulado,BM.MEDAcumulado),IF(AND(_xlfn.SINGLE(RegimeExecucao)="Global",$I189&gt;0,COUNTIF($AB$13:$AM$13,BM.medicao)&gt;0),O189/$I189*100,0)))</f>
        <v>#NAME?</v>
      </c>
      <c r="M189" s="336">
        <f ca="1">IF($A189="S",VTOTALBM,IF($A189=0,0,ROUND(SomaAgrupBM,15-13*ORÇAMENTO!$AF$11)))</f>
        <v>0</v>
      </c>
      <c r="N189" s="337">
        <f ca="1">O189-M189</f>
        <v>0</v>
      </c>
      <c r="O189" s="126">
        <f ca="1">IF($A189="S",VTOTALBM,IF($A189=0,0,ROUND(SomaAgrupBM,15-13*ORÇAMENTO!$AF$11)))</f>
        <v>0</v>
      </c>
      <c r="Q189" s="338"/>
      <c r="R189" s="339"/>
      <c r="T189" s="118" t="str">
        <f ca="1">IF($W189&gt;0,$D189,"")</f>
        <v/>
      </c>
      <c r="U189" s="164" t="str">
        <f ca="1">IF($W189&gt;0,$E189,"")</f>
        <v/>
      </c>
      <c r="V189" s="165" t="str">
        <f ca="1">IF(AND($W189&gt;0,RegimeExecucao="Unitário"),$F189,"")</f>
        <v/>
      </c>
      <c r="W189" s="455">
        <f ca="1">IF($Y189&gt;0,CHOOSE(MATCH(RegimeExecucao,{"Unitário","Global"},0),IF($A189="S",$Y189/$X189,""),($Y189/$X189)*100),0)</f>
        <v>0</v>
      </c>
      <c r="X189" s="340" t="str">
        <f ca="1">IF($Y189&gt;0,CHOOSE(MATCH(RegimeExecucao,{"Unitário","Global"},0),IF($A189="S",ROUND($H189,ORÇAMENTO!$AF$10),""),ROUND($I189,ORÇAMENTO!$AF$11)),"")</f>
        <v/>
      </c>
      <c r="Y189" s="340">
        <f ca="1">AO189-O189</f>
        <v>0</v>
      </c>
      <c r="Z189" s="474"/>
      <c r="AB189" s="338"/>
      <c r="AC189" s="438"/>
      <c r="AD189" s="438"/>
      <c r="AE189" s="438"/>
      <c r="AF189" s="438"/>
      <c r="AG189" s="438"/>
      <c r="AH189" s="438"/>
      <c r="AI189" s="438"/>
      <c r="AJ189" s="438"/>
      <c r="AK189" s="438"/>
      <c r="AL189" s="438"/>
      <c r="AM189" s="339"/>
      <c r="AO189" s="720">
        <f ca="1">IF($A189="S",IF(BM!$I189=0,0,CHOOSE(MATCH(RegimeExecucao,{"Global","Unitário"},0),ROUND(ROUND(BM.MEDAcumulado,15-13*BM!$A$9)/100*BM!$I189,15-13*ORÇAMENTO!$AF$11),ROUND(ROUND(BM.MEDAcumulado,15-13*BM!$A$9)*ROUND(BM!$H189,15-13*ORÇAMENTO!$AF$10),15-13*ORÇAMENTO!$AF$11))),IF($A189=0,0,ROUND(SomaAgrupBM,15-13*ORÇAMENTO!$AF$11)))</f>
        <v>0</v>
      </c>
    </row>
    <row r="190" spans="1:41" s="675" customFormat="1" x14ac:dyDescent="0.2">
      <c r="A190" s="675">
        <f ca="1">ORÇAMENTO!C190</f>
        <v>2</v>
      </c>
      <c r="B190" s="675">
        <f ca="1">ORÇAMENTO!D190</f>
        <v>5</v>
      </c>
      <c r="C190" s="115" t="str">
        <f t="shared" ca="1" si="15"/>
        <v>F</v>
      </c>
      <c r="D190" s="118" t="str">
        <f ca="1">ORÇAMENTO!O190</f>
        <v>1.23.</v>
      </c>
      <c r="E190" s="164" t="str">
        <f t="shared" si="16"/>
        <v>PISO</v>
      </c>
      <c r="F190" s="165" t="str">
        <f ca="1">IF(RegimeExecucao="Global","",ORÇAMENTO.Unidade)</f>
        <v>-</v>
      </c>
      <c r="G190" s="123">
        <f ca="1">IF(RegimeExecucao="Global","",ORÇAMENTO!T190)</f>
        <v>0</v>
      </c>
      <c r="H190" s="123">
        <f ca="1">IF(RegimeExecucao="Global","",ORÇAMENTO!W190)</f>
        <v>0</v>
      </c>
      <c r="I190" s="126">
        <f ca="1">ORÇAMENTO!X190</f>
        <v>0</v>
      </c>
      <c r="J190" s="334" t="e" cm="1">
        <f t="array" aca="1" ref="J190" ca="1">_xlfn.SINGLE(IF($A190="S",IF(CAIXA.Modo,BM.AFAnterior,BM.MEDAnterior),IF(AND(_xlfn.SINGLE(RegimeExecucao)="Global",$I190&gt;0,COUNTIF($AB$13:$AM$13,BM.medicao-1)&gt;0),M190/$I190*100,0)))</f>
        <v>#NAME?</v>
      </c>
      <c r="K190" s="123" t="e">
        <f t="shared" ca="1" si="17"/>
        <v>#NAME?</v>
      </c>
      <c r="L190" s="335" t="e" cm="1">
        <f t="array" aca="1" ref="L190" ca="1">_xlfn.SINGLE(IF($A190="S",IF(CAIXA.Modo,BM.AFAcumulado,BM.MEDAcumulado),IF(AND(_xlfn.SINGLE(RegimeExecucao)="Global",$I190&gt;0,COUNTIF($AB$13:$AM$13,BM.medicao)&gt;0),O190/$I190*100,0)))</f>
        <v>#NAME?</v>
      </c>
      <c r="M190" s="336">
        <f ca="1">IF($A190="S",VTOTALBM,IF($A190=0,0,ROUND(SomaAgrupBM,15-13*ORÇAMENTO!$AF$11)))</f>
        <v>0</v>
      </c>
      <c r="N190" s="337">
        <f t="shared" ca="1" si="18"/>
        <v>0</v>
      </c>
      <c r="O190" s="126">
        <f ca="1">IF($A190="S",VTOTALBM,IF($A190=0,0,ROUND(SomaAgrupBM,15-13*ORÇAMENTO!$AF$11)))</f>
        <v>0</v>
      </c>
      <c r="Q190" s="338"/>
      <c r="R190" s="339"/>
      <c r="T190" s="118" t="str">
        <f t="shared" ca="1" si="19"/>
        <v/>
      </c>
      <c r="U190" s="164" t="str">
        <f t="shared" ca="1" si="20"/>
        <v/>
      </c>
      <c r="V190" s="165" t="str">
        <f ca="1">IF(AND($W190&gt;0,RegimeExecucao="Unitário"),$F190,"")</f>
        <v/>
      </c>
      <c r="W190" s="455">
        <f ca="1">IF($Y190&gt;0,CHOOSE(MATCH(RegimeExecucao,{"Unitário","Global"},0),IF($A190="S",$Y190/$X190,""),($Y190/$X190)*100),0)</f>
        <v>0</v>
      </c>
      <c r="X190" s="340" t="str">
        <f ca="1">IF($Y190&gt;0,CHOOSE(MATCH(RegimeExecucao,{"Unitário","Global"},0),IF($A190="S",ROUND($H190,ORÇAMENTO!$AF$10),""),ROUND($I190,ORÇAMENTO!$AF$11)),"")</f>
        <v/>
      </c>
      <c r="Y190" s="340">
        <f t="shared" ca="1" si="21"/>
        <v>0</v>
      </c>
      <c r="Z190" s="474"/>
      <c r="AB190" s="338"/>
      <c r="AC190" s="438"/>
      <c r="AD190" s="438"/>
      <c r="AE190" s="438"/>
      <c r="AF190" s="438"/>
      <c r="AG190" s="438"/>
      <c r="AH190" s="438"/>
      <c r="AI190" s="438"/>
      <c r="AJ190" s="438"/>
      <c r="AK190" s="438"/>
      <c r="AL190" s="438"/>
      <c r="AM190" s="339"/>
      <c r="AO190" s="675">
        <f ca="1">IF($A190="S",IF(BM!$I190=0,0,CHOOSE(MATCH(RegimeExecucao,{"Global","Unitário"},0),ROUND(ROUND(BM.MEDAcumulado,15-13*BM!$A$9)/100*BM!$I190,15-13*ORÇAMENTO!$AF$11),ROUND(ROUND(BM.MEDAcumulado,15-13*BM!$A$9)*ROUND(BM!$H190,15-13*ORÇAMENTO!$AF$10),15-13*ORÇAMENTO!$AF$11))),IF($A190=0,0,ROUND(SomaAgrupBM,15-13*ORÇAMENTO!$AF$11)))</f>
        <v>0</v>
      </c>
    </row>
    <row r="191" spans="1:41" s="675" customFormat="1" ht="38.25" x14ac:dyDescent="0.2">
      <c r="A191" s="675" t="str">
        <f ca="1">ORÇAMENTO!C191</f>
        <v>S</v>
      </c>
      <c r="B191" s="675">
        <f ca="1">ORÇAMENTO!D191</f>
        <v>0</v>
      </c>
      <c r="C191" s="115" t="str">
        <f t="shared" ca="1" si="15"/>
        <v/>
      </c>
      <c r="D191" s="118" t="str">
        <f ca="1">ORÇAMENTO!O191</f>
        <v>-</v>
      </c>
      <c r="E191" s="164" t="str">
        <f t="shared" ca="1" si="16"/>
        <v>(abra o arquivo 'Referência 09-2025.xlsm)</v>
      </c>
      <c r="F191" s="165" t="str">
        <f ca="1">IF(RegimeExecucao="Global","",ORÇAMENTO.Unidade)</f>
        <v>-</v>
      </c>
      <c r="G191" s="123">
        <f ca="1">IF(RegimeExecucao="Global","",ORÇAMENTO!T191)</f>
        <v>10.3</v>
      </c>
      <c r="H191" s="123">
        <f ca="1">IF(RegimeExecucao="Global","",ORÇAMENTO!W191)</f>
        <v>0</v>
      </c>
      <c r="I191" s="126">
        <f ca="1">ORÇAMENTO!X191</f>
        <v>0</v>
      </c>
      <c r="J191" s="334" t="e" cm="1">
        <f t="array" aca="1" ref="J191" ca="1">_xlfn.SINGLE(IF($A191="S",IF(CAIXA.Modo,BM.AFAnterior,BM.MEDAnterior),IF(AND(_xlfn.SINGLE(RegimeExecucao)="Global",$I191&gt;0,COUNTIF($AB$13:$AM$13,BM.medicao-1)&gt;0),M191/$I191*100,0)))</f>
        <v>#NAME?</v>
      </c>
      <c r="K191" s="123" t="e">
        <f t="shared" ca="1" si="17"/>
        <v>#NAME?</v>
      </c>
      <c r="L191" s="335" t="e" cm="1">
        <f t="array" aca="1" ref="L191" ca="1">_xlfn.SINGLE(IF($A191="S",IF(CAIXA.Modo,BM.AFAcumulado,BM.MEDAcumulado),IF(AND(_xlfn.SINGLE(RegimeExecucao)="Global",$I191&gt;0,COUNTIF($AB$13:$AM$13,BM.medicao)&gt;0),O191/$I191*100,0)))</f>
        <v>#NAME?</v>
      </c>
      <c r="M191" s="336">
        <f ca="1">IF($A191="S",VTOTALBM,IF($A191=0,0,ROUND(SomaAgrupBM,15-13*ORÇAMENTO!$AF$11)))</f>
        <v>0</v>
      </c>
      <c r="N191" s="337">
        <f t="shared" ca="1" si="18"/>
        <v>0</v>
      </c>
      <c r="O191" s="126">
        <f ca="1">IF($A191="S",VTOTALBM,IF($A191=0,0,ROUND(SomaAgrupBM,15-13*ORÇAMENTO!$AF$11)))</f>
        <v>0</v>
      </c>
      <c r="Q191" s="338"/>
      <c r="R191" s="339"/>
      <c r="T191" s="118" t="str">
        <f t="shared" ca="1" si="19"/>
        <v/>
      </c>
      <c r="U191" s="164" t="str">
        <f t="shared" ca="1" si="20"/>
        <v/>
      </c>
      <c r="V191" s="165" t="str">
        <f ca="1">IF(AND($W191&gt;0,RegimeExecucao="Unitário"),$F191,"")</f>
        <v/>
      </c>
      <c r="W191" s="455">
        <f ca="1">IF($Y191&gt;0,CHOOSE(MATCH(RegimeExecucao,{"Unitário","Global"},0),IF($A191="S",$Y191/$X191,""),($Y191/$X191)*100),0)</f>
        <v>0</v>
      </c>
      <c r="X191" s="340" t="str">
        <f ca="1">IF($Y191&gt;0,CHOOSE(MATCH(RegimeExecucao,{"Unitário","Global"},0),IF($A191="S",ROUND($H191,ORÇAMENTO!$AF$10),""),ROUND($I191,ORÇAMENTO!$AF$11)),"")</f>
        <v/>
      </c>
      <c r="Y191" s="340">
        <f t="shared" ca="1" si="21"/>
        <v>0</v>
      </c>
      <c r="Z191" s="474"/>
      <c r="AB191" s="338"/>
      <c r="AC191" s="438"/>
      <c r="AD191" s="438"/>
      <c r="AE191" s="438"/>
      <c r="AF191" s="438"/>
      <c r="AG191" s="438"/>
      <c r="AH191" s="438"/>
      <c r="AI191" s="438"/>
      <c r="AJ191" s="438"/>
      <c r="AK191" s="438"/>
      <c r="AL191" s="438"/>
      <c r="AM191" s="339"/>
      <c r="AO191" s="675">
        <f ca="1">IF($A191="S",IF(BM!$I191=0,0,CHOOSE(MATCH(RegimeExecucao,{"Global","Unitário"},0),ROUND(ROUND(BM.MEDAcumulado,15-13*BM!$A$9)/100*BM!$I191,15-13*ORÇAMENTO!$AF$11),ROUND(ROUND(BM.MEDAcumulado,15-13*BM!$A$9)*ROUND(BM!$H191,15-13*ORÇAMENTO!$AF$10),15-13*ORÇAMENTO!$AF$11))),IF($A191=0,0,ROUND(SomaAgrupBM,15-13*ORÇAMENTO!$AF$11)))</f>
        <v>0</v>
      </c>
    </row>
    <row r="192" spans="1:41" s="675" customFormat="1" ht="38.25" x14ac:dyDescent="0.2">
      <c r="A192" s="675" t="str">
        <f ca="1">ORÇAMENTO!C192</f>
        <v>S</v>
      </c>
      <c r="B192" s="675">
        <f ca="1">ORÇAMENTO!D192</f>
        <v>0</v>
      </c>
      <c r="C192" s="115" t="str">
        <f t="shared" ca="1" si="15"/>
        <v/>
      </c>
      <c r="D192" s="118" t="str">
        <f ca="1">ORÇAMENTO!O192</f>
        <v>-</v>
      </c>
      <c r="E192" s="164" t="str">
        <f t="shared" ca="1" si="16"/>
        <v>(abra o arquivo 'Referência 09-2025.xlsm)</v>
      </c>
      <c r="F192" s="165" t="str">
        <f ca="1">IF(RegimeExecucao="Global","",ORÇAMENTO.Unidade)</f>
        <v>-</v>
      </c>
      <c r="G192" s="123">
        <f ca="1">IF(RegimeExecucao="Global","",ORÇAMENTO!T192)</f>
        <v>0.8</v>
      </c>
      <c r="H192" s="123">
        <f ca="1">IF(RegimeExecucao="Global","",ORÇAMENTO!W192)</f>
        <v>0</v>
      </c>
      <c r="I192" s="126">
        <f ca="1">ORÇAMENTO!X192</f>
        <v>0</v>
      </c>
      <c r="J192" s="334" t="e" cm="1">
        <f t="array" aca="1" ref="J192" ca="1">_xlfn.SINGLE(IF($A192="S",IF(CAIXA.Modo,BM.AFAnterior,BM.MEDAnterior),IF(AND(_xlfn.SINGLE(RegimeExecucao)="Global",$I192&gt;0,COUNTIF($AB$13:$AM$13,BM.medicao-1)&gt;0),M192/$I192*100,0)))</f>
        <v>#NAME?</v>
      </c>
      <c r="K192" s="123" t="e">
        <f t="shared" ca="1" si="17"/>
        <v>#NAME?</v>
      </c>
      <c r="L192" s="335" t="e" cm="1">
        <f t="array" aca="1" ref="L192" ca="1">_xlfn.SINGLE(IF($A192="S",IF(CAIXA.Modo,BM.AFAcumulado,BM.MEDAcumulado),IF(AND(_xlfn.SINGLE(RegimeExecucao)="Global",$I192&gt;0,COUNTIF($AB$13:$AM$13,BM.medicao)&gt;0),O192/$I192*100,0)))</f>
        <v>#NAME?</v>
      </c>
      <c r="M192" s="336">
        <f ca="1">IF($A192="S",VTOTALBM,IF($A192=0,0,ROUND(SomaAgrupBM,15-13*ORÇAMENTO!$AF$11)))</f>
        <v>0</v>
      </c>
      <c r="N192" s="337">
        <f t="shared" ca="1" si="18"/>
        <v>0</v>
      </c>
      <c r="O192" s="126">
        <f ca="1">IF($A192="S",VTOTALBM,IF($A192=0,0,ROUND(SomaAgrupBM,15-13*ORÇAMENTO!$AF$11)))</f>
        <v>0</v>
      </c>
      <c r="Q192" s="338"/>
      <c r="R192" s="339"/>
      <c r="T192" s="118" t="str">
        <f t="shared" ca="1" si="19"/>
        <v/>
      </c>
      <c r="U192" s="164" t="str">
        <f t="shared" ca="1" si="20"/>
        <v/>
      </c>
      <c r="V192" s="165" t="str">
        <f ca="1">IF(AND($W192&gt;0,RegimeExecucao="Unitário"),$F192,"")</f>
        <v/>
      </c>
      <c r="W192" s="455">
        <f ca="1">IF($Y192&gt;0,CHOOSE(MATCH(RegimeExecucao,{"Unitário","Global"},0),IF($A192="S",$Y192/$X192,""),($Y192/$X192)*100),0)</f>
        <v>0</v>
      </c>
      <c r="X192" s="340" t="str">
        <f ca="1">IF($Y192&gt;0,CHOOSE(MATCH(RegimeExecucao,{"Unitário","Global"},0),IF($A192="S",ROUND($H192,ORÇAMENTO!$AF$10),""),ROUND($I192,ORÇAMENTO!$AF$11)),"")</f>
        <v/>
      </c>
      <c r="Y192" s="340">
        <f t="shared" ca="1" si="21"/>
        <v>0</v>
      </c>
      <c r="Z192" s="474"/>
      <c r="AB192" s="338"/>
      <c r="AC192" s="438"/>
      <c r="AD192" s="438"/>
      <c r="AE192" s="438"/>
      <c r="AF192" s="438"/>
      <c r="AG192" s="438"/>
      <c r="AH192" s="438"/>
      <c r="AI192" s="438"/>
      <c r="AJ192" s="438"/>
      <c r="AK192" s="438"/>
      <c r="AL192" s="438"/>
      <c r="AM192" s="339"/>
      <c r="AO192" s="675">
        <f ca="1">IF($A192="S",IF(BM!$I192=0,0,CHOOSE(MATCH(RegimeExecucao,{"Global","Unitário"},0),ROUND(ROUND(BM.MEDAcumulado,15-13*BM!$A$9)/100*BM!$I192,15-13*ORÇAMENTO!$AF$11),ROUND(ROUND(BM.MEDAcumulado,15-13*BM!$A$9)*ROUND(BM!$H192,15-13*ORÇAMENTO!$AF$10),15-13*ORÇAMENTO!$AF$11))),IF($A192=0,0,ROUND(SomaAgrupBM,15-13*ORÇAMENTO!$AF$11)))</f>
        <v>0</v>
      </c>
    </row>
    <row r="193" spans="1:41" s="675" customFormat="1" ht="38.25" x14ac:dyDescent="0.2">
      <c r="A193" s="675" t="str">
        <f ca="1">ORÇAMENTO!C193</f>
        <v>S</v>
      </c>
      <c r="B193" s="675">
        <f ca="1">ORÇAMENTO!D193</f>
        <v>0</v>
      </c>
      <c r="C193" s="115" t="str">
        <f t="shared" ca="1" si="15"/>
        <v/>
      </c>
      <c r="D193" s="118" t="str">
        <f ca="1">ORÇAMENTO!O193</f>
        <v>-</v>
      </c>
      <c r="E193" s="164" t="str">
        <f t="shared" ca="1" si="16"/>
        <v>(abra o arquivo 'Referência 09-2025.xlsm)</v>
      </c>
      <c r="F193" s="165" t="str">
        <f ca="1">IF(RegimeExecucao="Global","",ORÇAMENTO.Unidade)</f>
        <v>-</v>
      </c>
      <c r="G193" s="123">
        <f ca="1">IF(RegimeExecucao="Global","",ORÇAMENTO!T193)</f>
        <v>320.52999999999997</v>
      </c>
      <c r="H193" s="123">
        <f ca="1">IF(RegimeExecucao="Global","",ORÇAMENTO!W193)</f>
        <v>0</v>
      </c>
      <c r="I193" s="126">
        <f ca="1">ORÇAMENTO!X193</f>
        <v>0</v>
      </c>
      <c r="J193" s="334" t="e" cm="1">
        <f t="array" aca="1" ref="J193" ca="1">_xlfn.SINGLE(IF($A193="S",IF(CAIXA.Modo,BM.AFAnterior,BM.MEDAnterior),IF(AND(_xlfn.SINGLE(RegimeExecucao)="Global",$I193&gt;0,COUNTIF($AB$13:$AM$13,BM.medicao-1)&gt;0),M193/$I193*100,0)))</f>
        <v>#NAME?</v>
      </c>
      <c r="K193" s="123" t="e">
        <f t="shared" ca="1" si="17"/>
        <v>#NAME?</v>
      </c>
      <c r="L193" s="335" t="e" cm="1">
        <f t="array" aca="1" ref="L193" ca="1">_xlfn.SINGLE(IF($A193="S",IF(CAIXA.Modo,BM.AFAcumulado,BM.MEDAcumulado),IF(AND(_xlfn.SINGLE(RegimeExecucao)="Global",$I193&gt;0,COUNTIF($AB$13:$AM$13,BM.medicao)&gt;0),O193/$I193*100,0)))</f>
        <v>#NAME?</v>
      </c>
      <c r="M193" s="336">
        <f ca="1">IF($A193="S",VTOTALBM,IF($A193=0,0,ROUND(SomaAgrupBM,15-13*ORÇAMENTO!$AF$11)))</f>
        <v>0</v>
      </c>
      <c r="N193" s="337">
        <f t="shared" ca="1" si="18"/>
        <v>0</v>
      </c>
      <c r="O193" s="126">
        <f ca="1">IF($A193="S",VTOTALBM,IF($A193=0,0,ROUND(SomaAgrupBM,15-13*ORÇAMENTO!$AF$11)))</f>
        <v>0</v>
      </c>
      <c r="Q193" s="338"/>
      <c r="R193" s="339"/>
      <c r="T193" s="118" t="str">
        <f t="shared" ca="1" si="19"/>
        <v/>
      </c>
      <c r="U193" s="164" t="str">
        <f t="shared" ca="1" si="20"/>
        <v/>
      </c>
      <c r="V193" s="165" t="str">
        <f ca="1">IF(AND($W193&gt;0,RegimeExecucao="Unitário"),$F193,"")</f>
        <v/>
      </c>
      <c r="W193" s="455">
        <f ca="1">IF($Y193&gt;0,CHOOSE(MATCH(RegimeExecucao,{"Unitário","Global"},0),IF($A193="S",$Y193/$X193,""),($Y193/$X193)*100),0)</f>
        <v>0</v>
      </c>
      <c r="X193" s="340" t="str">
        <f ca="1">IF($Y193&gt;0,CHOOSE(MATCH(RegimeExecucao,{"Unitário","Global"},0),IF($A193="S",ROUND($H193,ORÇAMENTO!$AF$10),""),ROUND($I193,ORÇAMENTO!$AF$11)),"")</f>
        <v/>
      </c>
      <c r="Y193" s="340">
        <f t="shared" ca="1" si="21"/>
        <v>0</v>
      </c>
      <c r="Z193" s="474"/>
      <c r="AB193" s="338"/>
      <c r="AC193" s="438"/>
      <c r="AD193" s="438"/>
      <c r="AE193" s="438"/>
      <c r="AF193" s="438"/>
      <c r="AG193" s="438"/>
      <c r="AH193" s="438"/>
      <c r="AI193" s="438"/>
      <c r="AJ193" s="438"/>
      <c r="AK193" s="438"/>
      <c r="AL193" s="438"/>
      <c r="AM193" s="339"/>
      <c r="AO193" s="675">
        <f ca="1">IF($A193="S",IF(BM!$I193=0,0,CHOOSE(MATCH(RegimeExecucao,{"Global","Unitário"},0),ROUND(ROUND(BM.MEDAcumulado,15-13*BM!$A$9)/100*BM!$I193,15-13*ORÇAMENTO!$AF$11),ROUND(ROUND(BM.MEDAcumulado,15-13*BM!$A$9)*ROUND(BM!$H193,15-13*ORÇAMENTO!$AF$10),15-13*ORÇAMENTO!$AF$11))),IF($A193=0,0,ROUND(SomaAgrupBM,15-13*ORÇAMENTO!$AF$11)))</f>
        <v>0</v>
      </c>
    </row>
    <row r="194" spans="1:41" s="675" customFormat="1" ht="38.25" x14ac:dyDescent="0.2">
      <c r="A194" s="675" t="str">
        <f ca="1">ORÇAMENTO!C194</f>
        <v>S</v>
      </c>
      <c r="B194" s="675">
        <f ca="1">ORÇAMENTO!D194</f>
        <v>0</v>
      </c>
      <c r="C194" s="115" t="str">
        <f t="shared" ca="1" si="15"/>
        <v/>
      </c>
      <c r="D194" s="118" t="str">
        <f ca="1">ORÇAMENTO!O194</f>
        <v>-</v>
      </c>
      <c r="E194" s="164" t="str">
        <f t="shared" ca="1" si="16"/>
        <v>(abra o arquivo 'Referência 09-2025.xlsm)</v>
      </c>
      <c r="F194" s="165" t="str">
        <f ca="1">IF(RegimeExecucao="Global","",ORÇAMENTO.Unidade)</f>
        <v>-</v>
      </c>
      <c r="G194" s="123">
        <f ca="1">IF(RegimeExecucao="Global","",ORÇAMENTO!T194)</f>
        <v>3</v>
      </c>
      <c r="H194" s="123">
        <f ca="1">IF(RegimeExecucao="Global","",ORÇAMENTO!W194)</f>
        <v>0</v>
      </c>
      <c r="I194" s="126">
        <f ca="1">ORÇAMENTO!X194</f>
        <v>0</v>
      </c>
      <c r="J194" s="334" t="e" cm="1">
        <f t="array" aca="1" ref="J194" ca="1">_xlfn.SINGLE(IF($A194="S",IF(CAIXA.Modo,BM.AFAnterior,BM.MEDAnterior),IF(AND(_xlfn.SINGLE(RegimeExecucao)="Global",$I194&gt;0,COUNTIF($AB$13:$AM$13,BM.medicao-1)&gt;0),M194/$I194*100,0)))</f>
        <v>#NAME?</v>
      </c>
      <c r="K194" s="123" t="e">
        <f t="shared" ca="1" si="17"/>
        <v>#NAME?</v>
      </c>
      <c r="L194" s="335" t="e" cm="1">
        <f t="array" aca="1" ref="L194" ca="1">_xlfn.SINGLE(IF($A194="S",IF(CAIXA.Modo,BM.AFAcumulado,BM.MEDAcumulado),IF(AND(_xlfn.SINGLE(RegimeExecucao)="Global",$I194&gt;0,COUNTIF($AB$13:$AM$13,BM.medicao)&gt;0),O194/$I194*100,0)))</f>
        <v>#NAME?</v>
      </c>
      <c r="M194" s="336">
        <f ca="1">IF($A194="S",VTOTALBM,IF($A194=0,0,ROUND(SomaAgrupBM,15-13*ORÇAMENTO!$AF$11)))</f>
        <v>0</v>
      </c>
      <c r="N194" s="337">
        <f t="shared" ca="1" si="18"/>
        <v>0</v>
      </c>
      <c r="O194" s="126">
        <f ca="1">IF($A194="S",VTOTALBM,IF($A194=0,0,ROUND(SomaAgrupBM,15-13*ORÇAMENTO!$AF$11)))</f>
        <v>0</v>
      </c>
      <c r="Q194" s="338"/>
      <c r="R194" s="339"/>
      <c r="T194" s="118" t="str">
        <f t="shared" ca="1" si="19"/>
        <v/>
      </c>
      <c r="U194" s="164" t="str">
        <f t="shared" ca="1" si="20"/>
        <v/>
      </c>
      <c r="V194" s="165" t="str">
        <f ca="1">IF(AND($W194&gt;0,RegimeExecucao="Unitário"),$F194,"")</f>
        <v/>
      </c>
      <c r="W194" s="455">
        <f ca="1">IF($Y194&gt;0,CHOOSE(MATCH(RegimeExecucao,{"Unitário","Global"},0),IF($A194="S",$Y194/$X194,""),($Y194/$X194)*100),0)</f>
        <v>0</v>
      </c>
      <c r="X194" s="340" t="str">
        <f ca="1">IF($Y194&gt;0,CHOOSE(MATCH(RegimeExecucao,{"Unitário","Global"},0),IF($A194="S",ROUND($H194,ORÇAMENTO!$AF$10),""),ROUND($I194,ORÇAMENTO!$AF$11)),"")</f>
        <v/>
      </c>
      <c r="Y194" s="340">
        <f t="shared" ca="1" si="21"/>
        <v>0</v>
      </c>
      <c r="Z194" s="474"/>
      <c r="AB194" s="338"/>
      <c r="AC194" s="438"/>
      <c r="AD194" s="438"/>
      <c r="AE194" s="438"/>
      <c r="AF194" s="438"/>
      <c r="AG194" s="438"/>
      <c r="AH194" s="438"/>
      <c r="AI194" s="438"/>
      <c r="AJ194" s="438"/>
      <c r="AK194" s="438"/>
      <c r="AL194" s="438"/>
      <c r="AM194" s="339"/>
      <c r="AO194" s="675">
        <f ca="1">IF($A194="S",IF(BM!$I194=0,0,CHOOSE(MATCH(RegimeExecucao,{"Global","Unitário"},0),ROUND(ROUND(BM.MEDAcumulado,15-13*BM!$A$9)/100*BM!$I194,15-13*ORÇAMENTO!$AF$11),ROUND(ROUND(BM.MEDAcumulado,15-13*BM!$A$9)*ROUND(BM!$H194,15-13*ORÇAMENTO!$AF$10),15-13*ORÇAMENTO!$AF$11))),IF($A194=0,0,ROUND(SomaAgrupBM,15-13*ORÇAMENTO!$AF$11)))</f>
        <v>0</v>
      </c>
    </row>
    <row r="195" spans="1:41" s="675" customFormat="1" x14ac:dyDescent="0.2">
      <c r="A195" s="675">
        <f ca="1">ORÇAMENTO!C195</f>
        <v>2</v>
      </c>
      <c r="B195" s="675">
        <f ca="1">ORÇAMENTO!D195</f>
        <v>5</v>
      </c>
      <c r="C195" s="115" t="str">
        <f t="shared" ca="1" si="15"/>
        <v>F</v>
      </c>
      <c r="D195" s="118" t="str">
        <f ca="1">ORÇAMENTO!O195</f>
        <v>1.24.</v>
      </c>
      <c r="E195" s="164" t="str">
        <f t="shared" si="16"/>
        <v>ESTRUTURA</v>
      </c>
      <c r="F195" s="165" t="str">
        <f ca="1">IF(RegimeExecucao="Global","",ORÇAMENTO.Unidade)</f>
        <v>-</v>
      </c>
      <c r="G195" s="123">
        <f ca="1">IF(RegimeExecucao="Global","",ORÇAMENTO!T195)</f>
        <v>0</v>
      </c>
      <c r="H195" s="123">
        <f ca="1">IF(RegimeExecucao="Global","",ORÇAMENTO!W195)</f>
        <v>0</v>
      </c>
      <c r="I195" s="126">
        <f ca="1">ORÇAMENTO!X195</f>
        <v>0</v>
      </c>
      <c r="J195" s="334" t="e" cm="1">
        <f t="array" aca="1" ref="J195" ca="1">_xlfn.SINGLE(IF($A195="S",IF(CAIXA.Modo,BM.AFAnterior,BM.MEDAnterior),IF(AND(_xlfn.SINGLE(RegimeExecucao)="Global",$I195&gt;0,COUNTIF($AB$13:$AM$13,BM.medicao-1)&gt;0),M195/$I195*100,0)))</f>
        <v>#NAME?</v>
      </c>
      <c r="K195" s="123" t="e">
        <f t="shared" ca="1" si="17"/>
        <v>#NAME?</v>
      </c>
      <c r="L195" s="335" t="e" cm="1">
        <f t="array" aca="1" ref="L195" ca="1">_xlfn.SINGLE(IF($A195="S",IF(CAIXA.Modo,BM.AFAcumulado,BM.MEDAcumulado),IF(AND(_xlfn.SINGLE(RegimeExecucao)="Global",$I195&gt;0,COUNTIF($AB$13:$AM$13,BM.medicao)&gt;0),O195/$I195*100,0)))</f>
        <v>#NAME?</v>
      </c>
      <c r="M195" s="336">
        <f ca="1">IF($A195="S",VTOTALBM,IF($A195=0,0,ROUND(SomaAgrupBM,15-13*ORÇAMENTO!$AF$11)))</f>
        <v>0</v>
      </c>
      <c r="N195" s="337">
        <f t="shared" ca="1" si="18"/>
        <v>0</v>
      </c>
      <c r="O195" s="126">
        <f ca="1">IF($A195="S",VTOTALBM,IF($A195=0,0,ROUND(SomaAgrupBM,15-13*ORÇAMENTO!$AF$11)))</f>
        <v>0</v>
      </c>
      <c r="Q195" s="338"/>
      <c r="R195" s="339"/>
      <c r="T195" s="118" t="str">
        <f t="shared" ca="1" si="19"/>
        <v/>
      </c>
      <c r="U195" s="164" t="str">
        <f t="shared" ca="1" si="20"/>
        <v/>
      </c>
      <c r="V195" s="165" t="str">
        <f ca="1">IF(AND($W195&gt;0,RegimeExecucao="Unitário"),$F195,"")</f>
        <v/>
      </c>
      <c r="W195" s="455">
        <f ca="1">IF($Y195&gt;0,CHOOSE(MATCH(RegimeExecucao,{"Unitário","Global"},0),IF($A195="S",$Y195/$X195,""),($Y195/$X195)*100),0)</f>
        <v>0</v>
      </c>
      <c r="X195" s="340" t="str">
        <f ca="1">IF($Y195&gt;0,CHOOSE(MATCH(RegimeExecucao,{"Unitário","Global"},0),IF($A195="S",ROUND($H195,ORÇAMENTO!$AF$10),""),ROUND($I195,ORÇAMENTO!$AF$11)),"")</f>
        <v/>
      </c>
      <c r="Y195" s="340">
        <f t="shared" ca="1" si="21"/>
        <v>0</v>
      </c>
      <c r="Z195" s="474"/>
      <c r="AB195" s="338"/>
      <c r="AC195" s="438"/>
      <c r="AD195" s="438"/>
      <c r="AE195" s="438"/>
      <c r="AF195" s="438"/>
      <c r="AG195" s="438"/>
      <c r="AH195" s="438"/>
      <c r="AI195" s="438"/>
      <c r="AJ195" s="438"/>
      <c r="AK195" s="438"/>
      <c r="AL195" s="438"/>
      <c r="AM195" s="339"/>
      <c r="AO195" s="675">
        <f ca="1">IF($A195="S",IF(BM!$I195=0,0,CHOOSE(MATCH(RegimeExecucao,{"Global","Unitário"},0),ROUND(ROUND(BM.MEDAcumulado,15-13*BM!$A$9)/100*BM!$I195,15-13*ORÇAMENTO!$AF$11),ROUND(ROUND(BM.MEDAcumulado,15-13*BM!$A$9)*ROUND(BM!$H195,15-13*ORÇAMENTO!$AF$10),15-13*ORÇAMENTO!$AF$11))),IF($A195=0,0,ROUND(SomaAgrupBM,15-13*ORÇAMENTO!$AF$11)))</f>
        <v>0</v>
      </c>
    </row>
    <row r="196" spans="1:41" s="675" customFormat="1" ht="38.25" x14ac:dyDescent="0.2">
      <c r="A196" s="675" t="str">
        <f ca="1">ORÇAMENTO!C196</f>
        <v>S</v>
      </c>
      <c r="B196" s="675">
        <f ca="1">ORÇAMENTO!D196</f>
        <v>0</v>
      </c>
      <c r="C196" s="115" t="str">
        <f t="shared" ca="1" si="15"/>
        <v/>
      </c>
      <c r="D196" s="118" t="str">
        <f ca="1">ORÇAMENTO!O196</f>
        <v>-</v>
      </c>
      <c r="E196" s="164" t="str">
        <f t="shared" ca="1" si="16"/>
        <v>(abra o arquivo 'Referência 09-2025.xlsm)</v>
      </c>
      <c r="F196" s="165" t="str">
        <f ca="1">IF(RegimeExecucao="Global","",ORÇAMENTO.Unidade)</f>
        <v>-</v>
      </c>
      <c r="G196" s="123">
        <f ca="1">IF(RegimeExecucao="Global","",ORÇAMENTO!T196)</f>
        <v>339</v>
      </c>
      <c r="H196" s="123">
        <f ca="1">IF(RegimeExecucao="Global","",ORÇAMENTO!W196)</f>
        <v>0</v>
      </c>
      <c r="I196" s="126">
        <f ca="1">ORÇAMENTO!X196</f>
        <v>0</v>
      </c>
      <c r="J196" s="334" t="e" cm="1">
        <f t="array" aca="1" ref="J196" ca="1">_xlfn.SINGLE(IF($A196="S",IF(CAIXA.Modo,BM.AFAnterior,BM.MEDAnterior),IF(AND(_xlfn.SINGLE(RegimeExecucao)="Global",$I196&gt;0,COUNTIF($AB$13:$AM$13,BM.medicao-1)&gt;0),M196/$I196*100,0)))</f>
        <v>#NAME?</v>
      </c>
      <c r="K196" s="123" t="e">
        <f t="shared" ca="1" si="17"/>
        <v>#NAME?</v>
      </c>
      <c r="L196" s="335" t="e" cm="1">
        <f t="array" aca="1" ref="L196" ca="1">_xlfn.SINGLE(IF($A196="S",IF(CAIXA.Modo,BM.AFAcumulado,BM.MEDAcumulado),IF(AND(_xlfn.SINGLE(RegimeExecucao)="Global",$I196&gt;0,COUNTIF($AB$13:$AM$13,BM.medicao)&gt;0),O196/$I196*100,0)))</f>
        <v>#NAME?</v>
      </c>
      <c r="M196" s="336">
        <f ca="1">IF($A196="S",VTOTALBM,IF($A196=0,0,ROUND(SomaAgrupBM,15-13*ORÇAMENTO!$AF$11)))</f>
        <v>0</v>
      </c>
      <c r="N196" s="337">
        <f t="shared" ca="1" si="18"/>
        <v>0</v>
      </c>
      <c r="O196" s="126">
        <f ca="1">IF($A196="S",VTOTALBM,IF($A196=0,0,ROUND(SomaAgrupBM,15-13*ORÇAMENTO!$AF$11)))</f>
        <v>0</v>
      </c>
      <c r="Q196" s="338"/>
      <c r="R196" s="339"/>
      <c r="T196" s="118" t="str">
        <f t="shared" ca="1" si="19"/>
        <v/>
      </c>
      <c r="U196" s="164" t="str">
        <f t="shared" ca="1" si="20"/>
        <v/>
      </c>
      <c r="V196" s="165" t="str">
        <f ca="1">IF(AND($W196&gt;0,RegimeExecucao="Unitário"),$F196,"")</f>
        <v/>
      </c>
      <c r="W196" s="455">
        <f ca="1">IF($Y196&gt;0,CHOOSE(MATCH(RegimeExecucao,{"Unitário","Global"},0),IF($A196="S",$Y196/$X196,""),($Y196/$X196)*100),0)</f>
        <v>0</v>
      </c>
      <c r="X196" s="340" t="str">
        <f ca="1">IF($Y196&gt;0,CHOOSE(MATCH(RegimeExecucao,{"Unitário","Global"},0),IF($A196="S",ROUND($H196,ORÇAMENTO!$AF$10),""),ROUND($I196,ORÇAMENTO!$AF$11)),"")</f>
        <v/>
      </c>
      <c r="Y196" s="340">
        <f t="shared" ca="1" si="21"/>
        <v>0</v>
      </c>
      <c r="Z196" s="474"/>
      <c r="AB196" s="338"/>
      <c r="AC196" s="438"/>
      <c r="AD196" s="438"/>
      <c r="AE196" s="438"/>
      <c r="AF196" s="438"/>
      <c r="AG196" s="438"/>
      <c r="AH196" s="438"/>
      <c r="AI196" s="438"/>
      <c r="AJ196" s="438"/>
      <c r="AK196" s="438"/>
      <c r="AL196" s="438"/>
      <c r="AM196" s="339"/>
      <c r="AO196" s="675">
        <f ca="1">IF($A196="S",IF(BM!$I196=0,0,CHOOSE(MATCH(RegimeExecucao,{"Global","Unitário"},0),ROUND(ROUND(BM.MEDAcumulado,15-13*BM!$A$9)/100*BM!$I196,15-13*ORÇAMENTO!$AF$11),ROUND(ROUND(BM.MEDAcumulado,15-13*BM!$A$9)*ROUND(BM!$H196,15-13*ORÇAMENTO!$AF$10),15-13*ORÇAMENTO!$AF$11))),IF($A196=0,0,ROUND(SomaAgrupBM,15-13*ORÇAMENTO!$AF$11)))</f>
        <v>0</v>
      </c>
    </row>
    <row r="197" spans="1:41" s="675" customFormat="1" ht="38.25" x14ac:dyDescent="0.2">
      <c r="A197" s="675" t="str">
        <f ca="1">ORÇAMENTO!C197</f>
        <v>S</v>
      </c>
      <c r="B197" s="675">
        <f ca="1">ORÇAMENTO!D197</f>
        <v>0</v>
      </c>
      <c r="C197" s="115" t="str">
        <f t="shared" ca="1" si="15"/>
        <v/>
      </c>
      <c r="D197" s="118" t="str">
        <f ca="1">ORÇAMENTO!O197</f>
        <v>-</v>
      </c>
      <c r="E197" s="164" t="str">
        <f t="shared" ca="1" si="16"/>
        <v>(abra o arquivo 'Referência 09-2025.xlsm)</v>
      </c>
      <c r="F197" s="165" t="str">
        <f ca="1">IF(RegimeExecucao="Global","",ORÇAMENTO.Unidade)</f>
        <v>-</v>
      </c>
      <c r="G197" s="123">
        <f ca="1">IF(RegimeExecucao="Global","",ORÇAMENTO!T197)</f>
        <v>79.44</v>
      </c>
      <c r="H197" s="123">
        <f ca="1">IF(RegimeExecucao="Global","",ORÇAMENTO!W197)</f>
        <v>0</v>
      </c>
      <c r="I197" s="126">
        <f ca="1">ORÇAMENTO!X197</f>
        <v>0</v>
      </c>
      <c r="J197" s="334" t="e" cm="1">
        <f t="array" aca="1" ref="J197" ca="1">_xlfn.SINGLE(IF($A197="S",IF(CAIXA.Modo,BM.AFAnterior,BM.MEDAnterior),IF(AND(_xlfn.SINGLE(RegimeExecucao)="Global",$I197&gt;0,COUNTIF($AB$13:$AM$13,BM.medicao-1)&gt;0),M197/$I197*100,0)))</f>
        <v>#NAME?</v>
      </c>
      <c r="K197" s="123" t="e">
        <f t="shared" ca="1" si="17"/>
        <v>#NAME?</v>
      </c>
      <c r="L197" s="335" t="e" cm="1">
        <f t="array" aca="1" ref="L197" ca="1">_xlfn.SINGLE(IF($A197="S",IF(CAIXA.Modo,BM.AFAcumulado,BM.MEDAcumulado),IF(AND(_xlfn.SINGLE(RegimeExecucao)="Global",$I197&gt;0,COUNTIF($AB$13:$AM$13,BM.medicao)&gt;0),O197/$I197*100,0)))</f>
        <v>#NAME?</v>
      </c>
      <c r="M197" s="336">
        <f ca="1">IF($A197="S",VTOTALBM,IF($A197=0,0,ROUND(SomaAgrupBM,15-13*ORÇAMENTO!$AF$11)))</f>
        <v>0</v>
      </c>
      <c r="N197" s="337">
        <f t="shared" ca="1" si="18"/>
        <v>0</v>
      </c>
      <c r="O197" s="126">
        <f ca="1">IF($A197="S",VTOTALBM,IF($A197=0,0,ROUND(SomaAgrupBM,15-13*ORÇAMENTO!$AF$11)))</f>
        <v>0</v>
      </c>
      <c r="Q197" s="338"/>
      <c r="R197" s="339"/>
      <c r="T197" s="118" t="str">
        <f t="shared" ca="1" si="19"/>
        <v/>
      </c>
      <c r="U197" s="164" t="str">
        <f t="shared" ca="1" si="20"/>
        <v/>
      </c>
      <c r="V197" s="165" t="str">
        <f ca="1">IF(AND($W197&gt;0,RegimeExecucao="Unitário"),$F197,"")</f>
        <v/>
      </c>
      <c r="W197" s="455">
        <f ca="1">IF($Y197&gt;0,CHOOSE(MATCH(RegimeExecucao,{"Unitário","Global"},0),IF($A197="S",$Y197/$X197,""),($Y197/$X197)*100),0)</f>
        <v>0</v>
      </c>
      <c r="X197" s="340" t="str">
        <f ca="1">IF($Y197&gt;0,CHOOSE(MATCH(RegimeExecucao,{"Unitário","Global"},0),IF($A197="S",ROUND($H197,ORÇAMENTO!$AF$10),""),ROUND($I197,ORÇAMENTO!$AF$11)),"")</f>
        <v/>
      </c>
      <c r="Y197" s="340">
        <f t="shared" ca="1" si="21"/>
        <v>0</v>
      </c>
      <c r="Z197" s="474"/>
      <c r="AB197" s="338"/>
      <c r="AC197" s="438"/>
      <c r="AD197" s="438"/>
      <c r="AE197" s="438"/>
      <c r="AF197" s="438"/>
      <c r="AG197" s="438"/>
      <c r="AH197" s="438"/>
      <c r="AI197" s="438"/>
      <c r="AJ197" s="438"/>
      <c r="AK197" s="438"/>
      <c r="AL197" s="438"/>
      <c r="AM197" s="339"/>
      <c r="AO197" s="675">
        <f ca="1">IF($A197="S",IF(BM!$I197=0,0,CHOOSE(MATCH(RegimeExecucao,{"Global","Unitário"},0),ROUND(ROUND(BM.MEDAcumulado,15-13*BM!$A$9)/100*BM!$I197,15-13*ORÇAMENTO!$AF$11),ROUND(ROUND(BM.MEDAcumulado,15-13*BM!$A$9)*ROUND(BM!$H197,15-13*ORÇAMENTO!$AF$10),15-13*ORÇAMENTO!$AF$11))),IF($A197=0,0,ROUND(SomaAgrupBM,15-13*ORÇAMENTO!$AF$11)))</f>
        <v>0</v>
      </c>
    </row>
    <row r="198" spans="1:41" s="675" customFormat="1" ht="38.25" x14ac:dyDescent="0.2">
      <c r="A198" s="675" t="str">
        <f ca="1">ORÇAMENTO!C198</f>
        <v>S</v>
      </c>
      <c r="B198" s="675">
        <f ca="1">ORÇAMENTO!D198</f>
        <v>0</v>
      </c>
      <c r="C198" s="115" t="str">
        <f t="shared" ca="1" si="15"/>
        <v/>
      </c>
      <c r="D198" s="118" t="str">
        <f ca="1">ORÇAMENTO!O198</f>
        <v>-</v>
      </c>
      <c r="E198" s="164" t="str">
        <f t="shared" ca="1" si="16"/>
        <v>(abra o arquivo 'Referência 09-2025.xlsm)</v>
      </c>
      <c r="F198" s="165" t="str">
        <f ca="1">IF(RegimeExecucao="Global","",ORÇAMENTO.Unidade)</f>
        <v>-</v>
      </c>
      <c r="G198" s="123">
        <f ca="1">IF(RegimeExecucao="Global","",ORÇAMENTO!T198)</f>
        <v>28.8</v>
      </c>
      <c r="H198" s="123">
        <f ca="1">IF(RegimeExecucao="Global","",ORÇAMENTO!W198)</f>
        <v>0</v>
      </c>
      <c r="I198" s="126">
        <f ca="1">ORÇAMENTO!X198</f>
        <v>0</v>
      </c>
      <c r="J198" s="334" t="e" cm="1">
        <f t="array" aca="1" ref="J198" ca="1">_xlfn.SINGLE(IF($A198="S",IF(CAIXA.Modo,BM.AFAnterior,BM.MEDAnterior),IF(AND(_xlfn.SINGLE(RegimeExecucao)="Global",$I198&gt;0,COUNTIF($AB$13:$AM$13,BM.medicao-1)&gt;0),M198/$I198*100,0)))</f>
        <v>#NAME?</v>
      </c>
      <c r="K198" s="123" t="e">
        <f t="shared" ca="1" si="17"/>
        <v>#NAME?</v>
      </c>
      <c r="L198" s="335" t="e" cm="1">
        <f t="array" aca="1" ref="L198" ca="1">_xlfn.SINGLE(IF($A198="S",IF(CAIXA.Modo,BM.AFAcumulado,BM.MEDAcumulado),IF(AND(_xlfn.SINGLE(RegimeExecucao)="Global",$I198&gt;0,COUNTIF($AB$13:$AM$13,BM.medicao)&gt;0),O198/$I198*100,0)))</f>
        <v>#NAME?</v>
      </c>
      <c r="M198" s="336">
        <f ca="1">IF($A198="S",VTOTALBM,IF($A198=0,0,ROUND(SomaAgrupBM,15-13*ORÇAMENTO!$AF$11)))</f>
        <v>0</v>
      </c>
      <c r="N198" s="337">
        <f t="shared" ca="1" si="18"/>
        <v>0</v>
      </c>
      <c r="O198" s="126">
        <f ca="1">IF($A198="S",VTOTALBM,IF($A198=0,0,ROUND(SomaAgrupBM,15-13*ORÇAMENTO!$AF$11)))</f>
        <v>0</v>
      </c>
      <c r="Q198" s="338"/>
      <c r="R198" s="339"/>
      <c r="T198" s="118" t="str">
        <f t="shared" ca="1" si="19"/>
        <v/>
      </c>
      <c r="U198" s="164" t="str">
        <f t="shared" ca="1" si="20"/>
        <v/>
      </c>
      <c r="V198" s="165" t="str">
        <f ca="1">IF(AND($W198&gt;0,RegimeExecucao="Unitário"),$F198,"")</f>
        <v/>
      </c>
      <c r="W198" s="455">
        <f ca="1">IF($Y198&gt;0,CHOOSE(MATCH(RegimeExecucao,{"Unitário","Global"},0),IF($A198="S",$Y198/$X198,""),($Y198/$X198)*100),0)</f>
        <v>0</v>
      </c>
      <c r="X198" s="340" t="str">
        <f ca="1">IF($Y198&gt;0,CHOOSE(MATCH(RegimeExecucao,{"Unitário","Global"},0),IF($A198="S",ROUND($H198,ORÇAMENTO!$AF$10),""),ROUND($I198,ORÇAMENTO!$AF$11)),"")</f>
        <v/>
      </c>
      <c r="Y198" s="340">
        <f t="shared" ca="1" si="21"/>
        <v>0</v>
      </c>
      <c r="Z198" s="474"/>
      <c r="AB198" s="338"/>
      <c r="AC198" s="438"/>
      <c r="AD198" s="438"/>
      <c r="AE198" s="438"/>
      <c r="AF198" s="438"/>
      <c r="AG198" s="438"/>
      <c r="AH198" s="438"/>
      <c r="AI198" s="438"/>
      <c r="AJ198" s="438"/>
      <c r="AK198" s="438"/>
      <c r="AL198" s="438"/>
      <c r="AM198" s="339"/>
      <c r="AO198" s="675">
        <f ca="1">IF($A198="S",IF(BM!$I198=0,0,CHOOSE(MATCH(RegimeExecucao,{"Global","Unitário"},0),ROUND(ROUND(BM.MEDAcumulado,15-13*BM!$A$9)/100*BM!$I198,15-13*ORÇAMENTO!$AF$11),ROUND(ROUND(BM.MEDAcumulado,15-13*BM!$A$9)*ROUND(BM!$H198,15-13*ORÇAMENTO!$AF$10),15-13*ORÇAMENTO!$AF$11))),IF($A198=0,0,ROUND(SomaAgrupBM,15-13*ORÇAMENTO!$AF$11)))</f>
        <v>0</v>
      </c>
    </row>
    <row r="199" spans="1:41" s="675" customFormat="1" ht="38.25" x14ac:dyDescent="0.2">
      <c r="A199" s="675" t="str">
        <f ca="1">ORÇAMENTO!C199</f>
        <v>S</v>
      </c>
      <c r="B199" s="675">
        <f ca="1">ORÇAMENTO!D199</f>
        <v>0</v>
      </c>
      <c r="C199" s="115" t="str">
        <f t="shared" ca="1" si="15"/>
        <v/>
      </c>
      <c r="D199" s="118" t="str">
        <f ca="1">ORÇAMENTO!O199</f>
        <v>-</v>
      </c>
      <c r="E199" s="164" t="str">
        <f t="shared" ca="1" si="16"/>
        <v>(abra o arquivo 'Referência 09-2025.xlsm)</v>
      </c>
      <c r="F199" s="165" t="str">
        <f ca="1">IF(RegimeExecucao="Global","",ORÇAMENTO.Unidade)</f>
        <v>-</v>
      </c>
      <c r="G199" s="123">
        <f ca="1">IF(RegimeExecucao="Global","",ORÇAMENTO!T199)</f>
        <v>3.6</v>
      </c>
      <c r="H199" s="123">
        <f ca="1">IF(RegimeExecucao="Global","",ORÇAMENTO!W199)</f>
        <v>0</v>
      </c>
      <c r="I199" s="126">
        <f ca="1">ORÇAMENTO!X199</f>
        <v>0</v>
      </c>
      <c r="J199" s="334" t="e" cm="1">
        <f t="array" aca="1" ref="J199" ca="1">_xlfn.SINGLE(IF($A199="S",IF(CAIXA.Modo,BM.AFAnterior,BM.MEDAnterior),IF(AND(_xlfn.SINGLE(RegimeExecucao)="Global",$I199&gt;0,COUNTIF($AB$13:$AM$13,BM.medicao-1)&gt;0),M199/$I199*100,0)))</f>
        <v>#NAME?</v>
      </c>
      <c r="K199" s="123" t="e">
        <f t="shared" ca="1" si="17"/>
        <v>#NAME?</v>
      </c>
      <c r="L199" s="335" t="e" cm="1">
        <f t="array" aca="1" ref="L199" ca="1">_xlfn.SINGLE(IF($A199="S",IF(CAIXA.Modo,BM.AFAcumulado,BM.MEDAcumulado),IF(AND(_xlfn.SINGLE(RegimeExecucao)="Global",$I199&gt;0,COUNTIF($AB$13:$AM$13,BM.medicao)&gt;0),O199/$I199*100,0)))</f>
        <v>#NAME?</v>
      </c>
      <c r="M199" s="336">
        <f ca="1">IF($A199="S",VTOTALBM,IF($A199=0,0,ROUND(SomaAgrupBM,15-13*ORÇAMENTO!$AF$11)))</f>
        <v>0</v>
      </c>
      <c r="N199" s="337">
        <f t="shared" ca="1" si="18"/>
        <v>0</v>
      </c>
      <c r="O199" s="126">
        <f ca="1">IF($A199="S",VTOTALBM,IF($A199=0,0,ROUND(SomaAgrupBM,15-13*ORÇAMENTO!$AF$11)))</f>
        <v>0</v>
      </c>
      <c r="Q199" s="338"/>
      <c r="R199" s="339"/>
      <c r="T199" s="118" t="str">
        <f t="shared" ca="1" si="19"/>
        <v/>
      </c>
      <c r="U199" s="164" t="str">
        <f t="shared" ca="1" si="20"/>
        <v/>
      </c>
      <c r="V199" s="165" t="str">
        <f ca="1">IF(AND($W199&gt;0,RegimeExecucao="Unitário"),$F199,"")</f>
        <v/>
      </c>
      <c r="W199" s="455">
        <f ca="1">IF($Y199&gt;0,CHOOSE(MATCH(RegimeExecucao,{"Unitário","Global"},0),IF($A199="S",$Y199/$X199,""),($Y199/$X199)*100),0)</f>
        <v>0</v>
      </c>
      <c r="X199" s="340" t="str">
        <f ca="1">IF($Y199&gt;0,CHOOSE(MATCH(RegimeExecucao,{"Unitário","Global"},0),IF($A199="S",ROUND($H199,ORÇAMENTO!$AF$10),""),ROUND($I199,ORÇAMENTO!$AF$11)),"")</f>
        <v/>
      </c>
      <c r="Y199" s="340">
        <f t="shared" ca="1" si="21"/>
        <v>0</v>
      </c>
      <c r="Z199" s="474"/>
      <c r="AB199" s="338"/>
      <c r="AC199" s="438"/>
      <c r="AD199" s="438"/>
      <c r="AE199" s="438"/>
      <c r="AF199" s="438"/>
      <c r="AG199" s="438"/>
      <c r="AH199" s="438"/>
      <c r="AI199" s="438"/>
      <c r="AJ199" s="438"/>
      <c r="AK199" s="438"/>
      <c r="AL199" s="438"/>
      <c r="AM199" s="339"/>
      <c r="AO199" s="675">
        <f ca="1">IF($A199="S",IF(BM!$I199=0,0,CHOOSE(MATCH(RegimeExecucao,{"Global","Unitário"},0),ROUND(ROUND(BM.MEDAcumulado,15-13*BM!$A$9)/100*BM!$I199,15-13*ORÇAMENTO!$AF$11),ROUND(ROUND(BM.MEDAcumulado,15-13*BM!$A$9)*ROUND(BM!$H199,15-13*ORÇAMENTO!$AF$10),15-13*ORÇAMENTO!$AF$11))),IF($A199=0,0,ROUND(SomaAgrupBM,15-13*ORÇAMENTO!$AF$11)))</f>
        <v>0</v>
      </c>
    </row>
    <row r="200" spans="1:41" s="675" customFormat="1" x14ac:dyDescent="0.2">
      <c r="A200" s="675">
        <f ca="1">ORÇAMENTO!C200</f>
        <v>2</v>
      </c>
      <c r="B200" s="675">
        <f ca="1">ORÇAMENTO!D200</f>
        <v>6</v>
      </c>
      <c r="C200" s="115" t="str">
        <f t="shared" ca="1" si="15"/>
        <v>F</v>
      </c>
      <c r="D200" s="118" t="str">
        <f ca="1">ORÇAMENTO!O200</f>
        <v>1.25.</v>
      </c>
      <c r="E200" s="164" t="str">
        <f t="shared" si="16"/>
        <v>PAREDE DE CONTENÇÃO ARMADA</v>
      </c>
      <c r="F200" s="165" t="str">
        <f ca="1">IF(RegimeExecucao="Global","",ORÇAMENTO.Unidade)</f>
        <v>-</v>
      </c>
      <c r="G200" s="123">
        <f ca="1">IF(RegimeExecucao="Global","",ORÇAMENTO!T200)</f>
        <v>0</v>
      </c>
      <c r="H200" s="123">
        <f ca="1">IF(RegimeExecucao="Global","",ORÇAMENTO!W200)</f>
        <v>0</v>
      </c>
      <c r="I200" s="126">
        <f ca="1">ORÇAMENTO!X200</f>
        <v>0</v>
      </c>
      <c r="J200" s="334" t="e" cm="1">
        <f t="array" aca="1" ref="J200" ca="1">_xlfn.SINGLE(IF($A200="S",IF(CAIXA.Modo,BM.AFAnterior,BM.MEDAnterior),IF(AND(_xlfn.SINGLE(RegimeExecucao)="Global",$I200&gt;0,COUNTIF($AB$13:$AM$13,BM.medicao-1)&gt;0),M200/$I200*100,0)))</f>
        <v>#NAME?</v>
      </c>
      <c r="K200" s="123" t="e">
        <f t="shared" ca="1" si="17"/>
        <v>#NAME?</v>
      </c>
      <c r="L200" s="335" t="e" cm="1">
        <f t="array" aca="1" ref="L200" ca="1">_xlfn.SINGLE(IF($A200="S",IF(CAIXA.Modo,BM.AFAcumulado,BM.MEDAcumulado),IF(AND(_xlfn.SINGLE(RegimeExecucao)="Global",$I200&gt;0,COUNTIF($AB$13:$AM$13,BM.medicao)&gt;0),O200/$I200*100,0)))</f>
        <v>#NAME?</v>
      </c>
      <c r="M200" s="336">
        <f ca="1">IF($A200="S",VTOTALBM,IF($A200=0,0,ROUND(SomaAgrupBM,15-13*ORÇAMENTO!$AF$11)))</f>
        <v>0</v>
      </c>
      <c r="N200" s="337">
        <f t="shared" ca="1" si="18"/>
        <v>0</v>
      </c>
      <c r="O200" s="126">
        <f ca="1">IF($A200="S",VTOTALBM,IF($A200=0,0,ROUND(SomaAgrupBM,15-13*ORÇAMENTO!$AF$11)))</f>
        <v>0</v>
      </c>
      <c r="Q200" s="338"/>
      <c r="R200" s="339"/>
      <c r="T200" s="118" t="str">
        <f t="shared" ca="1" si="19"/>
        <v/>
      </c>
      <c r="U200" s="164" t="str">
        <f t="shared" ca="1" si="20"/>
        <v/>
      </c>
      <c r="V200" s="165" t="str">
        <f ca="1">IF(AND($W200&gt;0,RegimeExecucao="Unitário"),$F200,"")</f>
        <v/>
      </c>
      <c r="W200" s="455">
        <f ca="1">IF($Y200&gt;0,CHOOSE(MATCH(RegimeExecucao,{"Unitário","Global"},0),IF($A200="S",$Y200/$X200,""),($Y200/$X200)*100),0)</f>
        <v>0</v>
      </c>
      <c r="X200" s="340" t="str">
        <f ca="1">IF($Y200&gt;0,CHOOSE(MATCH(RegimeExecucao,{"Unitário","Global"},0),IF($A200="S",ROUND($H200,ORÇAMENTO!$AF$10),""),ROUND($I200,ORÇAMENTO!$AF$11)),"")</f>
        <v/>
      </c>
      <c r="Y200" s="340">
        <f t="shared" ca="1" si="21"/>
        <v>0</v>
      </c>
      <c r="Z200" s="474"/>
      <c r="AB200" s="338"/>
      <c r="AC200" s="438"/>
      <c r="AD200" s="438"/>
      <c r="AE200" s="438"/>
      <c r="AF200" s="438"/>
      <c r="AG200" s="438"/>
      <c r="AH200" s="438"/>
      <c r="AI200" s="438"/>
      <c r="AJ200" s="438"/>
      <c r="AK200" s="438"/>
      <c r="AL200" s="438"/>
      <c r="AM200" s="339"/>
      <c r="AO200" s="675">
        <f ca="1">IF($A200="S",IF(BM!$I200=0,0,CHOOSE(MATCH(RegimeExecucao,{"Global","Unitário"},0),ROUND(ROUND(BM.MEDAcumulado,15-13*BM!$A$9)/100*BM!$I200,15-13*ORÇAMENTO!$AF$11),ROUND(ROUND(BM.MEDAcumulado,15-13*BM!$A$9)*ROUND(BM!$H200,15-13*ORÇAMENTO!$AF$10),15-13*ORÇAMENTO!$AF$11))),IF($A200=0,0,ROUND(SomaAgrupBM,15-13*ORÇAMENTO!$AF$11)))</f>
        <v>0</v>
      </c>
    </row>
    <row r="201" spans="1:41" s="675" customFormat="1" ht="25.5" x14ac:dyDescent="0.2">
      <c r="A201" s="675" t="str">
        <f ca="1">ORÇAMENTO!C201</f>
        <v>S</v>
      </c>
      <c r="B201" s="675">
        <f ca="1">ORÇAMENTO!D201</f>
        <v>0</v>
      </c>
      <c r="C201" s="115" t="str">
        <f t="shared" ca="1" si="15"/>
        <v/>
      </c>
      <c r="D201" s="118" t="str">
        <f ca="1">ORÇAMENTO!O201</f>
        <v>-</v>
      </c>
      <c r="E201" s="164" t="str">
        <f t="shared" ca="1" si="16"/>
        <v>(abra o arquivo 'Referência 09-2025.xlsm)</v>
      </c>
      <c r="F201" s="165" t="str">
        <f ca="1">IF(RegimeExecucao="Global","",ORÇAMENTO.Unidade)</f>
        <v>-</v>
      </c>
      <c r="G201" s="123">
        <f ca="1">IF(RegimeExecucao="Global","",ORÇAMENTO!T201)</f>
        <v>85.57</v>
      </c>
      <c r="H201" s="123">
        <f ca="1">IF(RegimeExecucao="Global","",ORÇAMENTO!W201)</f>
        <v>0</v>
      </c>
      <c r="I201" s="126">
        <f ca="1">ORÇAMENTO!X201</f>
        <v>0</v>
      </c>
      <c r="J201" s="334" t="e" cm="1">
        <f t="array" aca="1" ref="J201" ca="1">_xlfn.SINGLE(IF($A201="S",IF(CAIXA.Modo,BM.AFAnterior,BM.MEDAnterior),IF(AND(_xlfn.SINGLE(RegimeExecucao)="Global",$I201&gt;0,COUNTIF($AB$13:$AM$13,BM.medicao-1)&gt;0),M201/$I201*100,0)))</f>
        <v>#NAME?</v>
      </c>
      <c r="K201" s="123" t="e">
        <f t="shared" ca="1" si="17"/>
        <v>#NAME?</v>
      </c>
      <c r="L201" s="335" t="e" cm="1">
        <f t="array" aca="1" ref="L201" ca="1">_xlfn.SINGLE(IF($A201="S",IF(CAIXA.Modo,BM.AFAcumulado,BM.MEDAcumulado),IF(AND(_xlfn.SINGLE(RegimeExecucao)="Global",$I201&gt;0,COUNTIF($AB$13:$AM$13,BM.medicao)&gt;0),O201/$I201*100,0)))</f>
        <v>#NAME?</v>
      </c>
      <c r="M201" s="336">
        <f ca="1">IF($A201="S",VTOTALBM,IF($A201=0,0,ROUND(SomaAgrupBM,15-13*ORÇAMENTO!$AF$11)))</f>
        <v>0</v>
      </c>
      <c r="N201" s="337">
        <f t="shared" ca="1" si="18"/>
        <v>0</v>
      </c>
      <c r="O201" s="126">
        <f ca="1">IF($A201="S",VTOTALBM,IF($A201=0,0,ROUND(SomaAgrupBM,15-13*ORÇAMENTO!$AF$11)))</f>
        <v>0</v>
      </c>
      <c r="Q201" s="338"/>
      <c r="R201" s="339"/>
      <c r="T201" s="118" t="str">
        <f t="shared" ca="1" si="19"/>
        <v/>
      </c>
      <c r="U201" s="164" t="str">
        <f t="shared" ca="1" si="20"/>
        <v/>
      </c>
      <c r="V201" s="165" t="str">
        <f ca="1">IF(AND($W201&gt;0,RegimeExecucao="Unitário"),$F201,"")</f>
        <v/>
      </c>
      <c r="W201" s="455">
        <f ca="1">IF($Y201&gt;0,CHOOSE(MATCH(RegimeExecucao,{"Unitário","Global"},0),IF($A201="S",$Y201/$X201,""),($Y201/$X201)*100),0)</f>
        <v>0</v>
      </c>
      <c r="X201" s="340" t="str">
        <f ca="1">IF($Y201&gt;0,CHOOSE(MATCH(RegimeExecucao,{"Unitário","Global"},0),IF($A201="S",ROUND($H201,ORÇAMENTO!$AF$10),""),ROUND($I201,ORÇAMENTO!$AF$11)),"")</f>
        <v/>
      </c>
      <c r="Y201" s="340">
        <f t="shared" ca="1" si="21"/>
        <v>0</v>
      </c>
      <c r="Z201" s="474"/>
      <c r="AB201" s="338"/>
      <c r="AC201" s="438"/>
      <c r="AD201" s="438"/>
      <c r="AE201" s="438"/>
      <c r="AF201" s="438"/>
      <c r="AG201" s="438"/>
      <c r="AH201" s="438"/>
      <c r="AI201" s="438"/>
      <c r="AJ201" s="438"/>
      <c r="AK201" s="438"/>
      <c r="AL201" s="438"/>
      <c r="AM201" s="339"/>
      <c r="AO201" s="675">
        <f ca="1">IF($A201="S",IF(BM!$I201=0,0,CHOOSE(MATCH(RegimeExecucao,{"Global","Unitário"},0),ROUND(ROUND(BM.MEDAcumulado,15-13*BM!$A$9)/100*BM!$I201,15-13*ORÇAMENTO!$AF$11),ROUND(ROUND(BM.MEDAcumulado,15-13*BM!$A$9)*ROUND(BM!$H201,15-13*ORÇAMENTO!$AF$10),15-13*ORÇAMENTO!$AF$11))),IF($A201=0,0,ROUND(SomaAgrupBM,15-13*ORÇAMENTO!$AF$11)))</f>
        <v>0</v>
      </c>
    </row>
    <row r="202" spans="1:41" s="675" customFormat="1" ht="38.25" x14ac:dyDescent="0.2">
      <c r="A202" s="675" t="str">
        <f ca="1">ORÇAMENTO!C202</f>
        <v>S</v>
      </c>
      <c r="B202" s="675">
        <f ca="1">ORÇAMENTO!D202</f>
        <v>0</v>
      </c>
      <c r="C202" s="115" t="str">
        <f t="shared" ca="1" si="15"/>
        <v/>
      </c>
      <c r="D202" s="118" t="str">
        <f ca="1">ORÇAMENTO!O202</f>
        <v>-</v>
      </c>
      <c r="E202" s="164" t="str">
        <f t="shared" ca="1" si="16"/>
        <v>(abra o arquivo 'Referência 09-2025.xlsm)</v>
      </c>
      <c r="F202" s="165" t="str">
        <f ca="1">IF(RegimeExecucao="Global","",ORÇAMENTO.Unidade)</f>
        <v>-</v>
      </c>
      <c r="G202" s="123">
        <f ca="1">IF(RegimeExecucao="Global","",ORÇAMENTO!T202)</f>
        <v>250.88</v>
      </c>
      <c r="H202" s="123">
        <f ca="1">IF(RegimeExecucao="Global","",ORÇAMENTO!W202)</f>
        <v>0</v>
      </c>
      <c r="I202" s="126">
        <f ca="1">ORÇAMENTO!X202</f>
        <v>0</v>
      </c>
      <c r="J202" s="334" t="e" cm="1">
        <f t="array" aca="1" ref="J202" ca="1">_xlfn.SINGLE(IF($A202="S",IF(CAIXA.Modo,BM.AFAnterior,BM.MEDAnterior),IF(AND(_xlfn.SINGLE(RegimeExecucao)="Global",$I202&gt;0,COUNTIF($AB$13:$AM$13,BM.medicao-1)&gt;0),M202/$I202*100,0)))</f>
        <v>#NAME?</v>
      </c>
      <c r="K202" s="123" t="e">
        <f t="shared" ca="1" si="17"/>
        <v>#NAME?</v>
      </c>
      <c r="L202" s="335" t="e" cm="1">
        <f t="array" aca="1" ref="L202" ca="1">_xlfn.SINGLE(IF($A202="S",IF(CAIXA.Modo,BM.AFAcumulado,BM.MEDAcumulado),IF(AND(_xlfn.SINGLE(RegimeExecucao)="Global",$I202&gt;0,COUNTIF($AB$13:$AM$13,BM.medicao)&gt;0),O202/$I202*100,0)))</f>
        <v>#NAME?</v>
      </c>
      <c r="M202" s="336">
        <f ca="1">IF($A202="S",VTOTALBM,IF($A202=0,0,ROUND(SomaAgrupBM,15-13*ORÇAMENTO!$AF$11)))</f>
        <v>0</v>
      </c>
      <c r="N202" s="337">
        <f t="shared" ca="1" si="18"/>
        <v>0</v>
      </c>
      <c r="O202" s="126">
        <f ca="1">IF($A202="S",VTOTALBM,IF($A202=0,0,ROUND(SomaAgrupBM,15-13*ORÇAMENTO!$AF$11)))</f>
        <v>0</v>
      </c>
      <c r="Q202" s="338"/>
      <c r="R202" s="339"/>
      <c r="T202" s="118" t="str">
        <f t="shared" ca="1" si="19"/>
        <v/>
      </c>
      <c r="U202" s="164" t="str">
        <f t="shared" ca="1" si="20"/>
        <v/>
      </c>
      <c r="V202" s="165" t="str">
        <f ca="1">IF(AND($W202&gt;0,RegimeExecucao="Unitário"),$F202,"")</f>
        <v/>
      </c>
      <c r="W202" s="455">
        <f ca="1">IF($Y202&gt;0,CHOOSE(MATCH(RegimeExecucao,{"Unitário","Global"},0),IF($A202="S",$Y202/$X202,""),($Y202/$X202)*100),0)</f>
        <v>0</v>
      </c>
      <c r="X202" s="340" t="str">
        <f ca="1">IF($Y202&gt;0,CHOOSE(MATCH(RegimeExecucao,{"Unitário","Global"},0),IF($A202="S",ROUND($H202,ORÇAMENTO!$AF$10),""),ROUND($I202,ORÇAMENTO!$AF$11)),"")</f>
        <v/>
      </c>
      <c r="Y202" s="340">
        <f t="shared" ca="1" si="21"/>
        <v>0</v>
      </c>
      <c r="Z202" s="474"/>
      <c r="AB202" s="338"/>
      <c r="AC202" s="438"/>
      <c r="AD202" s="438"/>
      <c r="AE202" s="438"/>
      <c r="AF202" s="438"/>
      <c r="AG202" s="438"/>
      <c r="AH202" s="438"/>
      <c r="AI202" s="438"/>
      <c r="AJ202" s="438"/>
      <c r="AK202" s="438"/>
      <c r="AL202" s="438"/>
      <c r="AM202" s="339"/>
      <c r="AO202" s="675">
        <f ca="1">IF($A202="S",IF(BM!$I202=0,0,CHOOSE(MATCH(RegimeExecucao,{"Global","Unitário"},0),ROUND(ROUND(BM.MEDAcumulado,15-13*BM!$A$9)/100*BM!$I202,15-13*ORÇAMENTO!$AF$11),ROUND(ROUND(BM.MEDAcumulado,15-13*BM!$A$9)*ROUND(BM!$H202,15-13*ORÇAMENTO!$AF$10),15-13*ORÇAMENTO!$AF$11))),IF($A202=0,0,ROUND(SomaAgrupBM,15-13*ORÇAMENTO!$AF$11)))</f>
        <v>0</v>
      </c>
    </row>
    <row r="203" spans="1:41" s="675" customFormat="1" ht="38.25" x14ac:dyDescent="0.2">
      <c r="A203" s="675" t="str">
        <f ca="1">ORÇAMENTO!C203</f>
        <v>S</v>
      </c>
      <c r="B203" s="675">
        <f ca="1">ORÇAMENTO!D203</f>
        <v>0</v>
      </c>
      <c r="C203" s="115" t="str">
        <f t="shared" ca="1" si="15"/>
        <v/>
      </c>
      <c r="D203" s="118" t="str">
        <f ca="1">ORÇAMENTO!O203</f>
        <v>-</v>
      </c>
      <c r="E203" s="164" t="str">
        <f t="shared" ca="1" si="16"/>
        <v>(abra o arquivo 'Referência 09-2025.xlsm)</v>
      </c>
      <c r="F203" s="165" t="str">
        <f ca="1">IF(RegimeExecucao="Global","",ORÇAMENTO.Unidade)</f>
        <v>-</v>
      </c>
      <c r="G203" s="123">
        <f ca="1">IF(RegimeExecucao="Global","",ORÇAMENTO!T203)</f>
        <v>276.41000000000003</v>
      </c>
      <c r="H203" s="123">
        <f ca="1">IF(RegimeExecucao="Global","",ORÇAMENTO!W203)</f>
        <v>0</v>
      </c>
      <c r="I203" s="126">
        <f ca="1">ORÇAMENTO!X203</f>
        <v>0</v>
      </c>
      <c r="J203" s="334" t="e" cm="1">
        <f t="array" aca="1" ref="J203" ca="1">_xlfn.SINGLE(IF($A203="S",IF(CAIXA.Modo,BM.AFAnterior,BM.MEDAnterior),IF(AND(_xlfn.SINGLE(RegimeExecucao)="Global",$I203&gt;0,COUNTIF($AB$13:$AM$13,BM.medicao-1)&gt;0),M203/$I203*100,0)))</f>
        <v>#NAME?</v>
      </c>
      <c r="K203" s="123" t="e">
        <f t="shared" ca="1" si="17"/>
        <v>#NAME?</v>
      </c>
      <c r="L203" s="335" t="e" cm="1">
        <f t="array" aca="1" ref="L203" ca="1">_xlfn.SINGLE(IF($A203="S",IF(CAIXA.Modo,BM.AFAcumulado,BM.MEDAcumulado),IF(AND(_xlfn.SINGLE(RegimeExecucao)="Global",$I203&gt;0,COUNTIF($AB$13:$AM$13,BM.medicao)&gt;0),O203/$I203*100,0)))</f>
        <v>#NAME?</v>
      </c>
      <c r="M203" s="336">
        <f ca="1">IF($A203="S",VTOTALBM,IF($A203=0,0,ROUND(SomaAgrupBM,15-13*ORÇAMENTO!$AF$11)))</f>
        <v>0</v>
      </c>
      <c r="N203" s="337">
        <f t="shared" ca="1" si="18"/>
        <v>0</v>
      </c>
      <c r="O203" s="126">
        <f ca="1">IF($A203="S",VTOTALBM,IF($A203=0,0,ROUND(SomaAgrupBM,15-13*ORÇAMENTO!$AF$11)))</f>
        <v>0</v>
      </c>
      <c r="Q203" s="338"/>
      <c r="R203" s="339"/>
      <c r="T203" s="118" t="str">
        <f t="shared" ca="1" si="19"/>
        <v/>
      </c>
      <c r="U203" s="164" t="str">
        <f t="shared" ca="1" si="20"/>
        <v/>
      </c>
      <c r="V203" s="165" t="str">
        <f ca="1">IF(AND($W203&gt;0,RegimeExecucao="Unitário"),$F203,"")</f>
        <v/>
      </c>
      <c r="W203" s="455">
        <f ca="1">IF($Y203&gt;0,CHOOSE(MATCH(RegimeExecucao,{"Unitário","Global"},0),IF($A203="S",$Y203/$X203,""),($Y203/$X203)*100),0)</f>
        <v>0</v>
      </c>
      <c r="X203" s="340" t="str">
        <f ca="1">IF($Y203&gt;0,CHOOSE(MATCH(RegimeExecucao,{"Unitário","Global"},0),IF($A203="S",ROUND($H203,ORÇAMENTO!$AF$10),""),ROUND($I203,ORÇAMENTO!$AF$11)),"")</f>
        <v/>
      </c>
      <c r="Y203" s="340">
        <f t="shared" ca="1" si="21"/>
        <v>0</v>
      </c>
      <c r="Z203" s="474"/>
      <c r="AB203" s="338"/>
      <c r="AC203" s="438"/>
      <c r="AD203" s="438"/>
      <c r="AE203" s="438"/>
      <c r="AF203" s="438"/>
      <c r="AG203" s="438"/>
      <c r="AH203" s="438"/>
      <c r="AI203" s="438"/>
      <c r="AJ203" s="438"/>
      <c r="AK203" s="438"/>
      <c r="AL203" s="438"/>
      <c r="AM203" s="339"/>
      <c r="AO203" s="675">
        <f ca="1">IF($A203="S",IF(BM!$I203=0,0,CHOOSE(MATCH(RegimeExecucao,{"Global","Unitário"},0),ROUND(ROUND(BM.MEDAcumulado,15-13*BM!$A$9)/100*BM!$I203,15-13*ORÇAMENTO!$AF$11),ROUND(ROUND(BM.MEDAcumulado,15-13*BM!$A$9)*ROUND(BM!$H203,15-13*ORÇAMENTO!$AF$10),15-13*ORÇAMENTO!$AF$11))),IF($A203=0,0,ROUND(SomaAgrupBM,15-13*ORÇAMENTO!$AF$11)))</f>
        <v>0</v>
      </c>
    </row>
    <row r="204" spans="1:41" s="675" customFormat="1" ht="51" x14ac:dyDescent="0.2">
      <c r="A204" s="675" t="str">
        <f ca="1">ORÇAMENTO!C204</f>
        <v>S</v>
      </c>
      <c r="B204" s="675">
        <f ca="1">ORÇAMENTO!D204</f>
        <v>0</v>
      </c>
      <c r="C204" s="115" t="str">
        <f t="shared" ca="1" si="15"/>
        <v/>
      </c>
      <c r="D204" s="118" t="str">
        <f ca="1">ORÇAMENTO!O204</f>
        <v>-</v>
      </c>
      <c r="E204" s="164" t="str">
        <f t="shared" ca="1" si="16"/>
        <v>(abra o arquivo 'Referência 09-2025.xlsm)</v>
      </c>
      <c r="F204" s="165" t="str">
        <f ca="1">IF(RegimeExecucao="Global","",ORÇAMENTO.Unidade)</f>
        <v>-</v>
      </c>
      <c r="G204" s="123">
        <f ca="1">IF(RegimeExecucao="Global","",ORÇAMENTO!T204)</f>
        <v>13.98</v>
      </c>
      <c r="H204" s="123">
        <f ca="1">IF(RegimeExecucao="Global","",ORÇAMENTO!W204)</f>
        <v>0</v>
      </c>
      <c r="I204" s="126">
        <f ca="1">ORÇAMENTO!X204</f>
        <v>0</v>
      </c>
      <c r="J204" s="334" t="e" cm="1">
        <f t="array" aca="1" ref="J204" ca="1">_xlfn.SINGLE(IF($A204="S",IF(CAIXA.Modo,BM.AFAnterior,BM.MEDAnterior),IF(AND(_xlfn.SINGLE(RegimeExecucao)="Global",$I204&gt;0,COUNTIF($AB$13:$AM$13,BM.medicao-1)&gt;0),M204/$I204*100,0)))</f>
        <v>#NAME?</v>
      </c>
      <c r="K204" s="123" t="e">
        <f t="shared" ca="1" si="17"/>
        <v>#NAME?</v>
      </c>
      <c r="L204" s="335" t="e" cm="1">
        <f t="array" aca="1" ref="L204" ca="1">_xlfn.SINGLE(IF($A204="S",IF(CAIXA.Modo,BM.AFAcumulado,BM.MEDAcumulado),IF(AND(_xlfn.SINGLE(RegimeExecucao)="Global",$I204&gt;0,COUNTIF($AB$13:$AM$13,BM.medicao)&gt;0),O204/$I204*100,0)))</f>
        <v>#NAME?</v>
      </c>
      <c r="M204" s="336">
        <f ca="1">IF($A204="S",VTOTALBM,IF($A204=0,0,ROUND(SomaAgrupBM,15-13*ORÇAMENTO!$AF$11)))</f>
        <v>0</v>
      </c>
      <c r="N204" s="337">
        <f t="shared" ca="1" si="18"/>
        <v>0</v>
      </c>
      <c r="O204" s="126">
        <f ca="1">IF($A204="S",VTOTALBM,IF($A204=0,0,ROUND(SomaAgrupBM,15-13*ORÇAMENTO!$AF$11)))</f>
        <v>0</v>
      </c>
      <c r="Q204" s="338"/>
      <c r="R204" s="339"/>
      <c r="T204" s="118" t="str">
        <f t="shared" ca="1" si="19"/>
        <v/>
      </c>
      <c r="U204" s="164" t="str">
        <f t="shared" ca="1" si="20"/>
        <v/>
      </c>
      <c r="V204" s="165" t="str">
        <f ca="1">IF(AND($W204&gt;0,RegimeExecucao="Unitário"),$F204,"")</f>
        <v/>
      </c>
      <c r="W204" s="455">
        <f ca="1">IF($Y204&gt;0,CHOOSE(MATCH(RegimeExecucao,{"Unitário","Global"},0),IF($A204="S",$Y204/$X204,""),($Y204/$X204)*100),0)</f>
        <v>0</v>
      </c>
      <c r="X204" s="340" t="str">
        <f ca="1">IF($Y204&gt;0,CHOOSE(MATCH(RegimeExecucao,{"Unitário","Global"},0),IF($A204="S",ROUND($H204,ORÇAMENTO!$AF$10),""),ROUND($I204,ORÇAMENTO!$AF$11)),"")</f>
        <v/>
      </c>
      <c r="Y204" s="340">
        <f t="shared" ca="1" si="21"/>
        <v>0</v>
      </c>
      <c r="Z204" s="474"/>
      <c r="AB204" s="338"/>
      <c r="AC204" s="438"/>
      <c r="AD204" s="438"/>
      <c r="AE204" s="438"/>
      <c r="AF204" s="438"/>
      <c r="AG204" s="438"/>
      <c r="AH204" s="438"/>
      <c r="AI204" s="438"/>
      <c r="AJ204" s="438"/>
      <c r="AK204" s="438"/>
      <c r="AL204" s="438"/>
      <c r="AM204" s="339"/>
      <c r="AO204" s="675">
        <f ca="1">IF($A204="S",IF(BM!$I204=0,0,CHOOSE(MATCH(RegimeExecucao,{"Global","Unitário"},0),ROUND(ROUND(BM.MEDAcumulado,15-13*BM!$A$9)/100*BM!$I204,15-13*ORÇAMENTO!$AF$11),ROUND(ROUND(BM.MEDAcumulado,15-13*BM!$A$9)*ROUND(BM!$H204,15-13*ORÇAMENTO!$AF$10),15-13*ORÇAMENTO!$AF$11))),IF($A204=0,0,ROUND(SomaAgrupBM,15-13*ORÇAMENTO!$AF$11)))</f>
        <v>0</v>
      </c>
    </row>
    <row r="205" spans="1:41" s="675" customFormat="1" ht="38.25" x14ac:dyDescent="0.2">
      <c r="A205" s="675" t="str">
        <f ca="1">ORÇAMENTO!C205</f>
        <v>S</v>
      </c>
      <c r="B205" s="675">
        <f ca="1">ORÇAMENTO!D205</f>
        <v>0</v>
      </c>
      <c r="C205" s="115" t="str">
        <f t="shared" ca="1" si="15"/>
        <v/>
      </c>
      <c r="D205" s="118" t="str">
        <f ca="1">ORÇAMENTO!O205</f>
        <v>-</v>
      </c>
      <c r="E205" s="164" t="str">
        <f t="shared" ca="1" si="16"/>
        <v>(abra o arquivo 'Referência 09-2025.xlsm)</v>
      </c>
      <c r="F205" s="165" t="str">
        <f ca="1">IF(RegimeExecucao="Global","",ORÇAMENTO.Unidade)</f>
        <v>-</v>
      </c>
      <c r="G205" s="123">
        <f ca="1">IF(RegimeExecucao="Global","",ORÇAMENTO!T205)</f>
        <v>139.84</v>
      </c>
      <c r="H205" s="123">
        <f ca="1">IF(RegimeExecucao="Global","",ORÇAMENTO!W205)</f>
        <v>0</v>
      </c>
      <c r="I205" s="126">
        <f ca="1">ORÇAMENTO!X205</f>
        <v>0</v>
      </c>
      <c r="J205" s="334" t="e" cm="1">
        <f t="array" aca="1" ref="J205" ca="1">_xlfn.SINGLE(IF($A205="S",IF(CAIXA.Modo,BM.AFAnterior,BM.MEDAnterior),IF(AND(_xlfn.SINGLE(RegimeExecucao)="Global",$I205&gt;0,COUNTIF($AB$13:$AM$13,BM.medicao-1)&gt;0),M205/$I205*100,0)))</f>
        <v>#NAME?</v>
      </c>
      <c r="K205" s="123" t="e">
        <f t="shared" ca="1" si="17"/>
        <v>#NAME?</v>
      </c>
      <c r="L205" s="335" t="e" cm="1">
        <f t="array" aca="1" ref="L205" ca="1">_xlfn.SINGLE(IF($A205="S",IF(CAIXA.Modo,BM.AFAcumulado,BM.MEDAcumulado),IF(AND(_xlfn.SINGLE(RegimeExecucao)="Global",$I205&gt;0,COUNTIF($AB$13:$AM$13,BM.medicao)&gt;0),O205/$I205*100,0)))</f>
        <v>#NAME?</v>
      </c>
      <c r="M205" s="336">
        <f ca="1">IF($A205="S",VTOTALBM,IF($A205=0,0,ROUND(SomaAgrupBM,15-13*ORÇAMENTO!$AF$11)))</f>
        <v>0</v>
      </c>
      <c r="N205" s="337">
        <f t="shared" ca="1" si="18"/>
        <v>0</v>
      </c>
      <c r="O205" s="126">
        <f ca="1">IF($A205="S",VTOTALBM,IF($A205=0,0,ROUND(SomaAgrupBM,15-13*ORÇAMENTO!$AF$11)))</f>
        <v>0</v>
      </c>
      <c r="Q205" s="338"/>
      <c r="R205" s="339"/>
      <c r="T205" s="118" t="str">
        <f t="shared" ca="1" si="19"/>
        <v/>
      </c>
      <c r="U205" s="164" t="str">
        <f t="shared" ca="1" si="20"/>
        <v/>
      </c>
      <c r="V205" s="165" t="str">
        <f ca="1">IF(AND($W205&gt;0,RegimeExecucao="Unitário"),$F205,"")</f>
        <v/>
      </c>
      <c r="W205" s="455">
        <f ca="1">IF($Y205&gt;0,CHOOSE(MATCH(RegimeExecucao,{"Unitário","Global"},0),IF($A205="S",$Y205/$X205,""),($Y205/$X205)*100),0)</f>
        <v>0</v>
      </c>
      <c r="X205" s="340" t="str">
        <f ca="1">IF($Y205&gt;0,CHOOSE(MATCH(RegimeExecucao,{"Unitário","Global"},0),IF($A205="S",ROUND($H205,ORÇAMENTO!$AF$10),""),ROUND($I205,ORÇAMENTO!$AF$11)),"")</f>
        <v/>
      </c>
      <c r="Y205" s="340">
        <f t="shared" ca="1" si="21"/>
        <v>0</v>
      </c>
      <c r="Z205" s="474"/>
      <c r="AB205" s="338"/>
      <c r="AC205" s="438"/>
      <c r="AD205" s="438"/>
      <c r="AE205" s="438"/>
      <c r="AF205" s="438"/>
      <c r="AG205" s="438"/>
      <c r="AH205" s="438"/>
      <c r="AI205" s="438"/>
      <c r="AJ205" s="438"/>
      <c r="AK205" s="438"/>
      <c r="AL205" s="438"/>
      <c r="AM205" s="339"/>
      <c r="AO205" s="675">
        <f ca="1">IF($A205="S",IF(BM!$I205=0,0,CHOOSE(MATCH(RegimeExecucao,{"Global","Unitário"},0),ROUND(ROUND(BM.MEDAcumulado,15-13*BM!$A$9)/100*BM!$I205,15-13*ORÇAMENTO!$AF$11),ROUND(ROUND(BM.MEDAcumulado,15-13*BM!$A$9)*ROUND(BM!$H205,15-13*ORÇAMENTO!$AF$10),15-13*ORÇAMENTO!$AF$11))),IF($A205=0,0,ROUND(SomaAgrupBM,15-13*ORÇAMENTO!$AF$11)))</f>
        <v>0</v>
      </c>
    </row>
    <row r="206" spans="1:41" s="675" customFormat="1" x14ac:dyDescent="0.2">
      <c r="A206" s="675">
        <f ca="1">ORÇAMENTO!C206</f>
        <v>2</v>
      </c>
      <c r="B206" s="675">
        <f ca="1">ORÇAMENTO!D206</f>
        <v>4</v>
      </c>
      <c r="C206" s="115" t="str">
        <f t="shared" ca="1" si="15"/>
        <v>F</v>
      </c>
      <c r="D206" s="118" t="str">
        <f ca="1">ORÇAMENTO!O206</f>
        <v>1.26.</v>
      </c>
      <c r="E206" s="164" t="str">
        <f t="shared" si="16"/>
        <v>LAJE COBERTURA</v>
      </c>
      <c r="F206" s="165" t="str">
        <f ca="1">IF(RegimeExecucao="Global","",ORÇAMENTO.Unidade)</f>
        <v>-</v>
      </c>
      <c r="G206" s="123">
        <f ca="1">IF(RegimeExecucao="Global","",ORÇAMENTO!T206)</f>
        <v>0</v>
      </c>
      <c r="H206" s="123">
        <f ca="1">IF(RegimeExecucao="Global","",ORÇAMENTO!W206)</f>
        <v>0</v>
      </c>
      <c r="I206" s="126">
        <f ca="1">ORÇAMENTO!X206</f>
        <v>0</v>
      </c>
      <c r="J206" s="334" t="e" cm="1">
        <f t="array" aca="1" ref="J206" ca="1">_xlfn.SINGLE(IF($A206="S",IF(CAIXA.Modo,BM.AFAnterior,BM.MEDAnterior),IF(AND(_xlfn.SINGLE(RegimeExecucao)="Global",$I206&gt;0,COUNTIF($AB$13:$AM$13,BM.medicao-1)&gt;0),M206/$I206*100,0)))</f>
        <v>#NAME?</v>
      </c>
      <c r="K206" s="123" t="e">
        <f t="shared" ca="1" si="17"/>
        <v>#NAME?</v>
      </c>
      <c r="L206" s="335" t="e" cm="1">
        <f t="array" aca="1" ref="L206" ca="1">_xlfn.SINGLE(IF($A206="S",IF(CAIXA.Modo,BM.AFAcumulado,BM.MEDAcumulado),IF(AND(_xlfn.SINGLE(RegimeExecucao)="Global",$I206&gt;0,COUNTIF($AB$13:$AM$13,BM.medicao)&gt;0),O206/$I206*100,0)))</f>
        <v>#NAME?</v>
      </c>
      <c r="M206" s="336">
        <f ca="1">IF($A206="S",VTOTALBM,IF($A206=0,0,ROUND(SomaAgrupBM,15-13*ORÇAMENTO!$AF$11)))</f>
        <v>0</v>
      </c>
      <c r="N206" s="337">
        <f t="shared" ca="1" si="18"/>
        <v>0</v>
      </c>
      <c r="O206" s="126">
        <f ca="1">IF($A206="S",VTOTALBM,IF($A206=0,0,ROUND(SomaAgrupBM,15-13*ORÇAMENTO!$AF$11)))</f>
        <v>0</v>
      </c>
      <c r="Q206" s="338"/>
      <c r="R206" s="339"/>
      <c r="T206" s="118" t="str">
        <f t="shared" ca="1" si="19"/>
        <v/>
      </c>
      <c r="U206" s="164" t="str">
        <f t="shared" ca="1" si="20"/>
        <v/>
      </c>
      <c r="V206" s="165" t="str">
        <f ca="1">IF(AND($W206&gt;0,RegimeExecucao="Unitário"),$F206,"")</f>
        <v/>
      </c>
      <c r="W206" s="455">
        <f ca="1">IF($Y206&gt;0,CHOOSE(MATCH(RegimeExecucao,{"Unitário","Global"},0),IF($A206="S",$Y206/$X206,""),($Y206/$X206)*100),0)</f>
        <v>0</v>
      </c>
      <c r="X206" s="340" t="str">
        <f ca="1">IF($Y206&gt;0,CHOOSE(MATCH(RegimeExecucao,{"Unitário","Global"},0),IF($A206="S",ROUND($H206,ORÇAMENTO!$AF$10),""),ROUND($I206,ORÇAMENTO!$AF$11)),"")</f>
        <v/>
      </c>
      <c r="Y206" s="340">
        <f t="shared" ca="1" si="21"/>
        <v>0</v>
      </c>
      <c r="Z206" s="474"/>
      <c r="AB206" s="338"/>
      <c r="AC206" s="438"/>
      <c r="AD206" s="438"/>
      <c r="AE206" s="438"/>
      <c r="AF206" s="438"/>
      <c r="AG206" s="438"/>
      <c r="AH206" s="438"/>
      <c r="AI206" s="438"/>
      <c r="AJ206" s="438"/>
      <c r="AK206" s="438"/>
      <c r="AL206" s="438"/>
      <c r="AM206" s="339"/>
      <c r="AO206" s="675">
        <f ca="1">IF($A206="S",IF(BM!$I206=0,0,CHOOSE(MATCH(RegimeExecucao,{"Global","Unitário"},0),ROUND(ROUND(BM.MEDAcumulado,15-13*BM!$A$9)/100*BM!$I206,15-13*ORÇAMENTO!$AF$11),ROUND(ROUND(BM.MEDAcumulado,15-13*BM!$A$9)*ROUND(BM!$H206,15-13*ORÇAMENTO!$AF$10),15-13*ORÇAMENTO!$AF$11))),IF($A206=0,0,ROUND(SomaAgrupBM,15-13*ORÇAMENTO!$AF$11)))</f>
        <v>0</v>
      </c>
    </row>
    <row r="207" spans="1:41" s="675" customFormat="1" ht="38.25" x14ac:dyDescent="0.2">
      <c r="A207" s="675" t="str">
        <f ca="1">ORÇAMENTO!C207</f>
        <v>S</v>
      </c>
      <c r="B207" s="675">
        <f ca="1">ORÇAMENTO!D207</f>
        <v>0</v>
      </c>
      <c r="C207" s="115" t="str">
        <f t="shared" ca="1" si="15"/>
        <v/>
      </c>
      <c r="D207" s="118" t="str">
        <f ca="1">ORÇAMENTO!O207</f>
        <v>-</v>
      </c>
      <c r="E207" s="164" t="str">
        <f t="shared" ca="1" si="16"/>
        <v>(abra o arquivo 'Referência 09-2025.xlsm)</v>
      </c>
      <c r="F207" s="165" t="str">
        <f ca="1">IF(RegimeExecucao="Global","",ORÇAMENTO.Unidade)</f>
        <v>-</v>
      </c>
      <c r="G207" s="123">
        <f ca="1">IF(RegimeExecucao="Global","",ORÇAMENTO!T207)</f>
        <v>16</v>
      </c>
      <c r="H207" s="123">
        <f ca="1">IF(RegimeExecucao="Global","",ORÇAMENTO!W207)</f>
        <v>0</v>
      </c>
      <c r="I207" s="126">
        <f ca="1">ORÇAMENTO!X207</f>
        <v>0</v>
      </c>
      <c r="J207" s="334" t="e" cm="1">
        <f t="array" aca="1" ref="J207" ca="1">_xlfn.SINGLE(IF($A207="S",IF(CAIXA.Modo,BM.AFAnterior,BM.MEDAnterior),IF(AND(_xlfn.SINGLE(RegimeExecucao)="Global",$I207&gt;0,COUNTIF($AB$13:$AM$13,BM.medicao-1)&gt;0),M207/$I207*100,0)))</f>
        <v>#NAME?</v>
      </c>
      <c r="K207" s="123" t="e">
        <f t="shared" ca="1" si="17"/>
        <v>#NAME?</v>
      </c>
      <c r="L207" s="335" t="e" cm="1">
        <f t="array" aca="1" ref="L207" ca="1">_xlfn.SINGLE(IF($A207="S",IF(CAIXA.Modo,BM.AFAcumulado,BM.MEDAcumulado),IF(AND(_xlfn.SINGLE(RegimeExecucao)="Global",$I207&gt;0,COUNTIF($AB$13:$AM$13,BM.medicao)&gt;0),O207/$I207*100,0)))</f>
        <v>#NAME?</v>
      </c>
      <c r="M207" s="336">
        <f ca="1">IF($A207="S",VTOTALBM,IF($A207=0,0,ROUND(SomaAgrupBM,15-13*ORÇAMENTO!$AF$11)))</f>
        <v>0</v>
      </c>
      <c r="N207" s="337">
        <f t="shared" ca="1" si="18"/>
        <v>0</v>
      </c>
      <c r="O207" s="126">
        <f ca="1">IF($A207="S",VTOTALBM,IF($A207=0,0,ROUND(SomaAgrupBM,15-13*ORÇAMENTO!$AF$11)))</f>
        <v>0</v>
      </c>
      <c r="Q207" s="338"/>
      <c r="R207" s="339"/>
      <c r="T207" s="118" t="str">
        <f t="shared" ca="1" si="19"/>
        <v/>
      </c>
      <c r="U207" s="164" t="str">
        <f t="shared" ca="1" si="20"/>
        <v/>
      </c>
      <c r="V207" s="165" t="str">
        <f ca="1">IF(AND($W207&gt;0,RegimeExecucao="Unitário"),$F207,"")</f>
        <v/>
      </c>
      <c r="W207" s="455">
        <f ca="1">IF($Y207&gt;0,CHOOSE(MATCH(RegimeExecucao,{"Unitário","Global"},0),IF($A207="S",$Y207/$X207,""),($Y207/$X207)*100),0)</f>
        <v>0</v>
      </c>
      <c r="X207" s="340" t="str">
        <f ca="1">IF($Y207&gt;0,CHOOSE(MATCH(RegimeExecucao,{"Unitário","Global"},0),IF($A207="S",ROUND($H207,ORÇAMENTO!$AF$10),""),ROUND($I207,ORÇAMENTO!$AF$11)),"")</f>
        <v/>
      </c>
      <c r="Y207" s="340">
        <f t="shared" ca="1" si="21"/>
        <v>0</v>
      </c>
      <c r="Z207" s="474"/>
      <c r="AB207" s="338"/>
      <c r="AC207" s="438"/>
      <c r="AD207" s="438"/>
      <c r="AE207" s="438"/>
      <c r="AF207" s="438"/>
      <c r="AG207" s="438"/>
      <c r="AH207" s="438"/>
      <c r="AI207" s="438"/>
      <c r="AJ207" s="438"/>
      <c r="AK207" s="438"/>
      <c r="AL207" s="438"/>
      <c r="AM207" s="339"/>
      <c r="AO207" s="675">
        <f ca="1">IF($A207="S",IF(BM!$I207=0,0,CHOOSE(MATCH(RegimeExecucao,{"Global","Unitário"},0),ROUND(ROUND(BM.MEDAcumulado,15-13*BM!$A$9)/100*BM!$I207,15-13*ORÇAMENTO!$AF$11),ROUND(ROUND(BM.MEDAcumulado,15-13*BM!$A$9)*ROUND(BM!$H207,15-13*ORÇAMENTO!$AF$10),15-13*ORÇAMENTO!$AF$11))),IF($A207=0,0,ROUND(SomaAgrupBM,15-13*ORÇAMENTO!$AF$11)))</f>
        <v>0</v>
      </c>
    </row>
    <row r="208" spans="1:41" s="675" customFormat="1" x14ac:dyDescent="0.2">
      <c r="A208" s="675" t="str">
        <f ca="1">ORÇAMENTO!C208</f>
        <v>S</v>
      </c>
      <c r="B208" s="675">
        <f ca="1">ORÇAMENTO!D208</f>
        <v>0</v>
      </c>
      <c r="C208" s="115" t="str">
        <f t="shared" ca="1" si="15"/>
        <v/>
      </c>
      <c r="D208" s="118" t="str">
        <f ca="1">ORÇAMENTO!O208</f>
        <v>-</v>
      </c>
      <c r="E208" s="164" t="str">
        <f t="shared" ca="1" si="16"/>
        <v>(abra o arquivo 'Referência 09-2025.xlsm)</v>
      </c>
      <c r="F208" s="165" t="str">
        <f ca="1">IF(RegimeExecucao="Global","",ORÇAMENTO.Unidade)</f>
        <v>-</v>
      </c>
      <c r="G208" s="123">
        <f ca="1">IF(RegimeExecucao="Global","",ORÇAMENTO!T208)</f>
        <v>1</v>
      </c>
      <c r="H208" s="123">
        <f ca="1">IF(RegimeExecucao="Global","",ORÇAMENTO!W208)</f>
        <v>0</v>
      </c>
      <c r="I208" s="126">
        <f ca="1">ORÇAMENTO!X208</f>
        <v>0</v>
      </c>
      <c r="J208" s="334" t="e" cm="1">
        <f t="array" aca="1" ref="J208" ca="1">_xlfn.SINGLE(IF($A208="S",IF(CAIXA.Modo,BM.AFAnterior,BM.MEDAnterior),IF(AND(_xlfn.SINGLE(RegimeExecucao)="Global",$I208&gt;0,COUNTIF($AB$13:$AM$13,BM.medicao-1)&gt;0),M208/$I208*100,0)))</f>
        <v>#NAME?</v>
      </c>
      <c r="K208" s="123" t="e">
        <f t="shared" ca="1" si="17"/>
        <v>#NAME?</v>
      </c>
      <c r="L208" s="335" t="e" cm="1">
        <f t="array" aca="1" ref="L208" ca="1">_xlfn.SINGLE(IF($A208="S",IF(CAIXA.Modo,BM.AFAcumulado,BM.MEDAcumulado),IF(AND(_xlfn.SINGLE(RegimeExecucao)="Global",$I208&gt;0,COUNTIF($AB$13:$AM$13,BM.medicao)&gt;0),O208/$I208*100,0)))</f>
        <v>#NAME?</v>
      </c>
      <c r="M208" s="336">
        <f ca="1">IF($A208="S",VTOTALBM,IF($A208=0,0,ROUND(SomaAgrupBM,15-13*ORÇAMENTO!$AF$11)))</f>
        <v>0</v>
      </c>
      <c r="N208" s="337">
        <f t="shared" ca="1" si="18"/>
        <v>0</v>
      </c>
      <c r="O208" s="126">
        <f ca="1">IF($A208="S",VTOTALBM,IF($A208=0,0,ROUND(SomaAgrupBM,15-13*ORÇAMENTO!$AF$11)))</f>
        <v>0</v>
      </c>
      <c r="Q208" s="338"/>
      <c r="R208" s="339"/>
      <c r="T208" s="118" t="str">
        <f t="shared" ca="1" si="19"/>
        <v/>
      </c>
      <c r="U208" s="164" t="str">
        <f t="shared" ca="1" si="20"/>
        <v/>
      </c>
      <c r="V208" s="165" t="str">
        <f ca="1">IF(AND($W208&gt;0,RegimeExecucao="Unitário"),$F208,"")</f>
        <v/>
      </c>
      <c r="W208" s="455">
        <f ca="1">IF($Y208&gt;0,CHOOSE(MATCH(RegimeExecucao,{"Unitário","Global"},0),IF($A208="S",$Y208/$X208,""),($Y208/$X208)*100),0)</f>
        <v>0</v>
      </c>
      <c r="X208" s="340" t="str">
        <f ca="1">IF($Y208&gt;0,CHOOSE(MATCH(RegimeExecucao,{"Unitário","Global"},0),IF($A208="S",ROUND($H208,ORÇAMENTO!$AF$10),""),ROUND($I208,ORÇAMENTO!$AF$11)),"")</f>
        <v/>
      </c>
      <c r="Y208" s="340">
        <f t="shared" ca="1" si="21"/>
        <v>0</v>
      </c>
      <c r="Z208" s="474"/>
      <c r="AB208" s="338"/>
      <c r="AC208" s="438"/>
      <c r="AD208" s="438"/>
      <c r="AE208" s="438"/>
      <c r="AF208" s="438"/>
      <c r="AG208" s="438"/>
      <c r="AH208" s="438"/>
      <c r="AI208" s="438"/>
      <c r="AJ208" s="438"/>
      <c r="AK208" s="438"/>
      <c r="AL208" s="438"/>
      <c r="AM208" s="339"/>
      <c r="AO208" s="675">
        <f ca="1">IF($A208="S",IF(BM!$I208=0,0,CHOOSE(MATCH(RegimeExecucao,{"Global","Unitário"},0),ROUND(ROUND(BM.MEDAcumulado,15-13*BM!$A$9)/100*BM!$I208,15-13*ORÇAMENTO!$AF$11),ROUND(ROUND(BM.MEDAcumulado,15-13*BM!$A$9)*ROUND(BM!$H208,15-13*ORÇAMENTO!$AF$10),15-13*ORÇAMENTO!$AF$11))),IF($A208=0,0,ROUND(SomaAgrupBM,15-13*ORÇAMENTO!$AF$11)))</f>
        <v>0</v>
      </c>
    </row>
    <row r="209" spans="1:41" s="675" customFormat="1" ht="38.25" x14ac:dyDescent="0.2">
      <c r="A209" s="675" t="str">
        <f ca="1">ORÇAMENTO!C209</f>
        <v>S</v>
      </c>
      <c r="B209" s="675">
        <f ca="1">ORÇAMENTO!D209</f>
        <v>0</v>
      </c>
      <c r="C209" s="115" t="str">
        <f t="shared" ca="1" si="15"/>
        <v/>
      </c>
      <c r="D209" s="118" t="str">
        <f ca="1">ORÇAMENTO!O209</f>
        <v>-</v>
      </c>
      <c r="E209" s="164" t="str">
        <f t="shared" ca="1" si="16"/>
        <v>(abra o arquivo 'Referência 09-2025.xlsm)</v>
      </c>
      <c r="F209" s="165" t="str">
        <f ca="1">IF(RegimeExecucao="Global","",ORÇAMENTO.Unidade)</f>
        <v>-</v>
      </c>
      <c r="G209" s="123">
        <f ca="1">IF(RegimeExecucao="Global","",ORÇAMENTO!T209)</f>
        <v>1</v>
      </c>
      <c r="H209" s="123">
        <f ca="1">IF(RegimeExecucao="Global","",ORÇAMENTO!W209)</f>
        <v>0</v>
      </c>
      <c r="I209" s="126">
        <f ca="1">ORÇAMENTO!X209</f>
        <v>0</v>
      </c>
      <c r="J209" s="334" t="e" cm="1">
        <f t="array" aca="1" ref="J209" ca="1">_xlfn.SINGLE(IF($A209="S",IF(CAIXA.Modo,BM.AFAnterior,BM.MEDAnterior),IF(AND(_xlfn.SINGLE(RegimeExecucao)="Global",$I209&gt;0,COUNTIF($AB$13:$AM$13,BM.medicao-1)&gt;0),M209/$I209*100,0)))</f>
        <v>#NAME?</v>
      </c>
      <c r="K209" s="123" t="e">
        <f t="shared" ca="1" si="17"/>
        <v>#NAME?</v>
      </c>
      <c r="L209" s="335" t="e" cm="1">
        <f t="array" aca="1" ref="L209" ca="1">_xlfn.SINGLE(IF($A209="S",IF(CAIXA.Modo,BM.AFAcumulado,BM.MEDAcumulado),IF(AND(_xlfn.SINGLE(RegimeExecucao)="Global",$I209&gt;0,COUNTIF($AB$13:$AM$13,BM.medicao)&gt;0),O209/$I209*100,0)))</f>
        <v>#NAME?</v>
      </c>
      <c r="M209" s="336">
        <f ca="1">IF($A209="S",VTOTALBM,IF($A209=0,0,ROUND(SomaAgrupBM,15-13*ORÇAMENTO!$AF$11)))</f>
        <v>0</v>
      </c>
      <c r="N209" s="337">
        <f t="shared" ca="1" si="18"/>
        <v>0</v>
      </c>
      <c r="O209" s="126">
        <f ca="1">IF($A209="S",VTOTALBM,IF($A209=0,0,ROUND(SomaAgrupBM,15-13*ORÇAMENTO!$AF$11)))</f>
        <v>0</v>
      </c>
      <c r="Q209" s="338"/>
      <c r="R209" s="339"/>
      <c r="T209" s="118" t="str">
        <f t="shared" ca="1" si="19"/>
        <v/>
      </c>
      <c r="U209" s="164" t="str">
        <f t="shared" ca="1" si="20"/>
        <v/>
      </c>
      <c r="V209" s="165" t="str">
        <f ca="1">IF(AND($W209&gt;0,RegimeExecucao="Unitário"),$F209,"")</f>
        <v/>
      </c>
      <c r="W209" s="455">
        <f ca="1">IF($Y209&gt;0,CHOOSE(MATCH(RegimeExecucao,{"Unitário","Global"},0),IF($A209="S",$Y209/$X209,""),($Y209/$X209)*100),0)</f>
        <v>0</v>
      </c>
      <c r="X209" s="340" t="str">
        <f ca="1">IF($Y209&gt;0,CHOOSE(MATCH(RegimeExecucao,{"Unitário","Global"},0),IF($A209="S",ROUND($H209,ORÇAMENTO!$AF$10),""),ROUND($I209,ORÇAMENTO!$AF$11)),"")</f>
        <v/>
      </c>
      <c r="Y209" s="340">
        <f t="shared" ca="1" si="21"/>
        <v>0</v>
      </c>
      <c r="Z209" s="474"/>
      <c r="AB209" s="338"/>
      <c r="AC209" s="438"/>
      <c r="AD209" s="438"/>
      <c r="AE209" s="438"/>
      <c r="AF209" s="438"/>
      <c r="AG209" s="438"/>
      <c r="AH209" s="438"/>
      <c r="AI209" s="438"/>
      <c r="AJ209" s="438"/>
      <c r="AK209" s="438"/>
      <c r="AL209" s="438"/>
      <c r="AM209" s="339"/>
      <c r="AO209" s="675">
        <f ca="1">IF($A209="S",IF(BM!$I209=0,0,CHOOSE(MATCH(RegimeExecucao,{"Global","Unitário"},0),ROUND(ROUND(BM.MEDAcumulado,15-13*BM!$A$9)/100*BM!$I209,15-13*ORÇAMENTO!$AF$11),ROUND(ROUND(BM.MEDAcumulado,15-13*BM!$A$9)*ROUND(BM!$H209,15-13*ORÇAMENTO!$AF$10),15-13*ORÇAMENTO!$AF$11))),IF($A209=0,0,ROUND(SomaAgrupBM,15-13*ORÇAMENTO!$AF$11)))</f>
        <v>0</v>
      </c>
    </row>
    <row r="210" spans="1:41" s="675" customFormat="1" x14ac:dyDescent="0.2">
      <c r="A210" s="675">
        <f ca="1">ORÇAMENTO!C210</f>
        <v>2</v>
      </c>
      <c r="B210" s="675">
        <f ca="1">ORÇAMENTO!D210</f>
        <v>8</v>
      </c>
      <c r="C210" s="115" t="str">
        <f t="shared" ca="1" si="15"/>
        <v>F</v>
      </c>
      <c r="D210" s="118" t="str">
        <f ca="1">ORÇAMENTO!O210</f>
        <v>1.27.</v>
      </c>
      <c r="E210" s="164" t="str">
        <f t="shared" si="16"/>
        <v>DIVERSOS</v>
      </c>
      <c r="F210" s="165" t="str">
        <f ca="1">IF(RegimeExecucao="Global","",ORÇAMENTO.Unidade)</f>
        <v>-</v>
      </c>
      <c r="G210" s="123">
        <f ca="1">IF(RegimeExecucao="Global","",ORÇAMENTO!T210)</f>
        <v>0</v>
      </c>
      <c r="H210" s="123">
        <f ca="1">IF(RegimeExecucao="Global","",ORÇAMENTO!W210)</f>
        <v>0</v>
      </c>
      <c r="I210" s="126">
        <f ca="1">ORÇAMENTO!X210</f>
        <v>0</v>
      </c>
      <c r="J210" s="334" t="e" cm="1">
        <f t="array" aca="1" ref="J210" ca="1">_xlfn.SINGLE(IF($A210="S",IF(CAIXA.Modo,BM.AFAnterior,BM.MEDAnterior),IF(AND(_xlfn.SINGLE(RegimeExecucao)="Global",$I210&gt;0,COUNTIF($AB$13:$AM$13,BM.medicao-1)&gt;0),M210/$I210*100,0)))</f>
        <v>#NAME?</v>
      </c>
      <c r="K210" s="123" t="e">
        <f t="shared" ca="1" si="17"/>
        <v>#NAME?</v>
      </c>
      <c r="L210" s="335" t="e" cm="1">
        <f t="array" aca="1" ref="L210" ca="1">_xlfn.SINGLE(IF($A210="S",IF(CAIXA.Modo,BM.AFAcumulado,BM.MEDAcumulado),IF(AND(_xlfn.SINGLE(RegimeExecucao)="Global",$I210&gt;0,COUNTIF($AB$13:$AM$13,BM.medicao)&gt;0),O210/$I210*100,0)))</f>
        <v>#NAME?</v>
      </c>
      <c r="M210" s="336">
        <f ca="1">IF($A210="S",VTOTALBM,IF($A210=0,0,ROUND(SomaAgrupBM,15-13*ORÇAMENTO!$AF$11)))</f>
        <v>0</v>
      </c>
      <c r="N210" s="337">
        <f t="shared" ca="1" si="18"/>
        <v>0</v>
      </c>
      <c r="O210" s="126">
        <f ca="1">IF($A210="S",VTOTALBM,IF($A210=0,0,ROUND(SomaAgrupBM,15-13*ORÇAMENTO!$AF$11)))</f>
        <v>0</v>
      </c>
      <c r="Q210" s="338"/>
      <c r="R210" s="339"/>
      <c r="T210" s="118" t="str">
        <f t="shared" ca="1" si="19"/>
        <v/>
      </c>
      <c r="U210" s="164" t="str">
        <f t="shared" ca="1" si="20"/>
        <v/>
      </c>
      <c r="V210" s="165" t="str">
        <f ca="1">IF(AND($W210&gt;0,RegimeExecucao="Unitário"),$F210,"")</f>
        <v/>
      </c>
      <c r="W210" s="455">
        <f ca="1">IF($Y210&gt;0,CHOOSE(MATCH(RegimeExecucao,{"Unitário","Global"},0),IF($A210="S",$Y210/$X210,""),($Y210/$X210)*100),0)</f>
        <v>0</v>
      </c>
      <c r="X210" s="340" t="str">
        <f ca="1">IF($Y210&gt;0,CHOOSE(MATCH(RegimeExecucao,{"Unitário","Global"},0),IF($A210="S",ROUND($H210,ORÇAMENTO!$AF$10),""),ROUND($I210,ORÇAMENTO!$AF$11)),"")</f>
        <v/>
      </c>
      <c r="Y210" s="340">
        <f t="shared" ca="1" si="21"/>
        <v>0</v>
      </c>
      <c r="Z210" s="474"/>
      <c r="AB210" s="338"/>
      <c r="AC210" s="438"/>
      <c r="AD210" s="438"/>
      <c r="AE210" s="438"/>
      <c r="AF210" s="438"/>
      <c r="AG210" s="438"/>
      <c r="AH210" s="438"/>
      <c r="AI210" s="438"/>
      <c r="AJ210" s="438"/>
      <c r="AK210" s="438"/>
      <c r="AL210" s="438"/>
      <c r="AM210" s="339"/>
      <c r="AO210" s="675">
        <f ca="1">IF($A210="S",IF(BM!$I210=0,0,CHOOSE(MATCH(RegimeExecucao,{"Global","Unitário"},0),ROUND(ROUND(BM.MEDAcumulado,15-13*BM!$A$9)/100*BM!$I210,15-13*ORÇAMENTO!$AF$11),ROUND(ROUND(BM.MEDAcumulado,15-13*BM!$A$9)*ROUND(BM!$H210,15-13*ORÇAMENTO!$AF$10),15-13*ORÇAMENTO!$AF$11))),IF($A210=0,0,ROUND(SomaAgrupBM,15-13*ORÇAMENTO!$AF$11)))</f>
        <v>0</v>
      </c>
    </row>
    <row r="211" spans="1:41" s="675" customFormat="1" ht="38.25" x14ac:dyDescent="0.2">
      <c r="A211" s="675" t="str">
        <f ca="1">ORÇAMENTO!C211</f>
        <v>S</v>
      </c>
      <c r="B211" s="675">
        <f ca="1">ORÇAMENTO!D211</f>
        <v>0</v>
      </c>
      <c r="C211" s="115" t="str">
        <f t="shared" ca="1" si="15"/>
        <v/>
      </c>
      <c r="D211" s="118" t="str">
        <f ca="1">ORÇAMENTO!O211</f>
        <v>-</v>
      </c>
      <c r="E211" s="164" t="str">
        <f t="shared" ca="1" si="16"/>
        <v>(abra o arquivo 'Referência 09-2025.xlsm)</v>
      </c>
      <c r="F211" s="165" t="str">
        <f ca="1">IF(RegimeExecucao="Global","",ORÇAMENTO.Unidade)</f>
        <v>-</v>
      </c>
      <c r="G211" s="123">
        <f ca="1">IF(RegimeExecucao="Global","",ORÇAMENTO!T211)</f>
        <v>0.66</v>
      </c>
      <c r="H211" s="123">
        <f ca="1">IF(RegimeExecucao="Global","",ORÇAMENTO!W211)</f>
        <v>0</v>
      </c>
      <c r="I211" s="126">
        <f ca="1">ORÇAMENTO!X211</f>
        <v>0</v>
      </c>
      <c r="J211" s="334" t="e" cm="1">
        <f t="array" aca="1" ref="J211" ca="1">_xlfn.SINGLE(IF($A211="S",IF(CAIXA.Modo,BM.AFAnterior,BM.MEDAnterior),IF(AND(_xlfn.SINGLE(RegimeExecucao)="Global",$I211&gt;0,COUNTIF($AB$13:$AM$13,BM.medicao-1)&gt;0),M211/$I211*100,0)))</f>
        <v>#NAME?</v>
      </c>
      <c r="K211" s="123" t="e">
        <f t="shared" ca="1" si="17"/>
        <v>#NAME?</v>
      </c>
      <c r="L211" s="335" t="e" cm="1">
        <f t="array" aca="1" ref="L211" ca="1">_xlfn.SINGLE(IF($A211="S",IF(CAIXA.Modo,BM.AFAcumulado,BM.MEDAcumulado),IF(AND(_xlfn.SINGLE(RegimeExecucao)="Global",$I211&gt;0,COUNTIF($AB$13:$AM$13,BM.medicao)&gt;0),O211/$I211*100,0)))</f>
        <v>#NAME?</v>
      </c>
      <c r="M211" s="336">
        <f ca="1">IF($A211="S",VTOTALBM,IF($A211=0,0,ROUND(SomaAgrupBM,15-13*ORÇAMENTO!$AF$11)))</f>
        <v>0</v>
      </c>
      <c r="N211" s="337">
        <f t="shared" ca="1" si="18"/>
        <v>0</v>
      </c>
      <c r="O211" s="126">
        <f ca="1">IF($A211="S",VTOTALBM,IF($A211=0,0,ROUND(SomaAgrupBM,15-13*ORÇAMENTO!$AF$11)))</f>
        <v>0</v>
      </c>
      <c r="Q211" s="338"/>
      <c r="R211" s="339"/>
      <c r="T211" s="118" t="str">
        <f t="shared" ca="1" si="19"/>
        <v/>
      </c>
      <c r="U211" s="164" t="str">
        <f t="shared" ca="1" si="20"/>
        <v/>
      </c>
      <c r="V211" s="165" t="str">
        <f ca="1">IF(AND($W211&gt;0,RegimeExecucao="Unitário"),$F211,"")</f>
        <v/>
      </c>
      <c r="W211" s="455">
        <f ca="1">IF($Y211&gt;0,CHOOSE(MATCH(RegimeExecucao,{"Unitário","Global"},0),IF($A211="S",$Y211/$X211,""),($Y211/$X211)*100),0)</f>
        <v>0</v>
      </c>
      <c r="X211" s="340" t="str">
        <f ca="1">IF($Y211&gt;0,CHOOSE(MATCH(RegimeExecucao,{"Unitário","Global"},0),IF($A211="S",ROUND($H211,ORÇAMENTO!$AF$10),""),ROUND($I211,ORÇAMENTO!$AF$11)),"")</f>
        <v/>
      </c>
      <c r="Y211" s="340">
        <f t="shared" ca="1" si="21"/>
        <v>0</v>
      </c>
      <c r="Z211" s="474"/>
      <c r="AB211" s="338"/>
      <c r="AC211" s="438"/>
      <c r="AD211" s="438"/>
      <c r="AE211" s="438"/>
      <c r="AF211" s="438"/>
      <c r="AG211" s="438"/>
      <c r="AH211" s="438"/>
      <c r="AI211" s="438"/>
      <c r="AJ211" s="438"/>
      <c r="AK211" s="438"/>
      <c r="AL211" s="438"/>
      <c r="AM211" s="339"/>
      <c r="AO211" s="675">
        <f ca="1">IF($A211="S",IF(BM!$I211=0,0,CHOOSE(MATCH(RegimeExecucao,{"Global","Unitário"},0),ROUND(ROUND(BM.MEDAcumulado,15-13*BM!$A$9)/100*BM!$I211,15-13*ORÇAMENTO!$AF$11),ROUND(ROUND(BM.MEDAcumulado,15-13*BM!$A$9)*ROUND(BM!$H211,15-13*ORÇAMENTO!$AF$10),15-13*ORÇAMENTO!$AF$11))),IF($A211=0,0,ROUND(SomaAgrupBM,15-13*ORÇAMENTO!$AF$11)))</f>
        <v>0</v>
      </c>
    </row>
    <row r="212" spans="1:41" s="675" customFormat="1" x14ac:dyDescent="0.2">
      <c r="A212" s="675" t="str">
        <f ca="1">ORÇAMENTO!C212</f>
        <v>S</v>
      </c>
      <c r="B212" s="675">
        <f ca="1">ORÇAMENTO!D212</f>
        <v>0</v>
      </c>
      <c r="C212" s="115" t="str">
        <f t="shared" ca="1" si="15"/>
        <v/>
      </c>
      <c r="D212" s="118" t="str">
        <f ca="1">ORÇAMENTO!O212</f>
        <v>-</v>
      </c>
      <c r="E212" s="164" t="str">
        <f t="shared" ca="1" si="16"/>
        <v>(abra o arquivo 'Referência 09-2025.xlsm)</v>
      </c>
      <c r="F212" s="165" t="str">
        <f ca="1">IF(RegimeExecucao="Global","",ORÇAMENTO.Unidade)</f>
        <v>-</v>
      </c>
      <c r="G212" s="123">
        <f ca="1">IF(RegimeExecucao="Global","",ORÇAMENTO!T212)</f>
        <v>634.45000000000005</v>
      </c>
      <c r="H212" s="123">
        <f ca="1">IF(RegimeExecucao="Global","",ORÇAMENTO!W212)</f>
        <v>0</v>
      </c>
      <c r="I212" s="126">
        <f ca="1">ORÇAMENTO!X212</f>
        <v>0</v>
      </c>
      <c r="J212" s="334" t="e" cm="1">
        <f t="array" aca="1" ref="J212" ca="1">_xlfn.SINGLE(IF($A212="S",IF(CAIXA.Modo,BM.AFAnterior,BM.MEDAnterior),IF(AND(_xlfn.SINGLE(RegimeExecucao)="Global",$I212&gt;0,COUNTIF($AB$13:$AM$13,BM.medicao-1)&gt;0),M212/$I212*100,0)))</f>
        <v>#NAME?</v>
      </c>
      <c r="K212" s="123" t="e">
        <f t="shared" ca="1" si="17"/>
        <v>#NAME?</v>
      </c>
      <c r="L212" s="335" t="e" cm="1">
        <f t="array" aca="1" ref="L212" ca="1">_xlfn.SINGLE(IF($A212="S",IF(CAIXA.Modo,BM.AFAcumulado,BM.MEDAcumulado),IF(AND(_xlfn.SINGLE(RegimeExecucao)="Global",$I212&gt;0,COUNTIF($AB$13:$AM$13,BM.medicao)&gt;0),O212/$I212*100,0)))</f>
        <v>#NAME?</v>
      </c>
      <c r="M212" s="336">
        <f ca="1">IF($A212="S",VTOTALBM,IF($A212=0,0,ROUND(SomaAgrupBM,15-13*ORÇAMENTO!$AF$11)))</f>
        <v>0</v>
      </c>
      <c r="N212" s="337">
        <f t="shared" ca="1" si="18"/>
        <v>0</v>
      </c>
      <c r="O212" s="126">
        <f ca="1">IF($A212="S",VTOTALBM,IF($A212=0,0,ROUND(SomaAgrupBM,15-13*ORÇAMENTO!$AF$11)))</f>
        <v>0</v>
      </c>
      <c r="Q212" s="338"/>
      <c r="R212" s="339"/>
      <c r="T212" s="118" t="str">
        <f t="shared" ca="1" si="19"/>
        <v/>
      </c>
      <c r="U212" s="164" t="str">
        <f t="shared" ca="1" si="20"/>
        <v/>
      </c>
      <c r="V212" s="165" t="str">
        <f ca="1">IF(AND($W212&gt;0,RegimeExecucao="Unitário"),$F212,"")</f>
        <v/>
      </c>
      <c r="W212" s="455">
        <f ca="1">IF($Y212&gt;0,CHOOSE(MATCH(RegimeExecucao,{"Unitário","Global"},0),IF($A212="S",$Y212/$X212,""),($Y212/$X212)*100),0)</f>
        <v>0</v>
      </c>
      <c r="X212" s="340" t="str">
        <f ca="1">IF($Y212&gt;0,CHOOSE(MATCH(RegimeExecucao,{"Unitário","Global"},0),IF($A212="S",ROUND($H212,ORÇAMENTO!$AF$10),""),ROUND($I212,ORÇAMENTO!$AF$11)),"")</f>
        <v/>
      </c>
      <c r="Y212" s="340">
        <f t="shared" ca="1" si="21"/>
        <v>0</v>
      </c>
      <c r="Z212" s="474"/>
      <c r="AB212" s="338"/>
      <c r="AC212" s="438"/>
      <c r="AD212" s="438"/>
      <c r="AE212" s="438"/>
      <c r="AF212" s="438"/>
      <c r="AG212" s="438"/>
      <c r="AH212" s="438"/>
      <c r="AI212" s="438"/>
      <c r="AJ212" s="438"/>
      <c r="AK212" s="438"/>
      <c r="AL212" s="438"/>
      <c r="AM212" s="339"/>
      <c r="AO212" s="675">
        <f ca="1">IF($A212="S",IF(BM!$I212=0,0,CHOOSE(MATCH(RegimeExecucao,{"Global","Unitário"},0),ROUND(ROUND(BM.MEDAcumulado,15-13*BM!$A$9)/100*BM!$I212,15-13*ORÇAMENTO!$AF$11),ROUND(ROUND(BM.MEDAcumulado,15-13*BM!$A$9)*ROUND(BM!$H212,15-13*ORÇAMENTO!$AF$10),15-13*ORÇAMENTO!$AF$11))),IF($A212=0,0,ROUND(SomaAgrupBM,15-13*ORÇAMENTO!$AF$11)))</f>
        <v>0</v>
      </c>
    </row>
    <row r="213" spans="1:41" s="675" customFormat="1" ht="25.5" x14ac:dyDescent="0.2">
      <c r="A213" s="675" t="str">
        <f ca="1">ORÇAMENTO!C213</f>
        <v>S</v>
      </c>
      <c r="B213" s="675">
        <f ca="1">ORÇAMENTO!D213</f>
        <v>0</v>
      </c>
      <c r="C213" s="115" t="str">
        <f t="shared" ca="1" si="15"/>
        <v/>
      </c>
      <c r="D213" s="118" t="str">
        <f ca="1">ORÇAMENTO!O213</f>
        <v>-</v>
      </c>
      <c r="E213" s="164" t="str">
        <f t="shared" ca="1" si="16"/>
        <v>(abra o arquivo 'Referência 09-2025.xlsm)</v>
      </c>
      <c r="F213" s="165" t="str">
        <f ca="1">IF(RegimeExecucao="Global","",ORÇAMENTO.Unidade)</f>
        <v>-</v>
      </c>
      <c r="G213" s="123">
        <f ca="1">IF(RegimeExecucao="Global","",ORÇAMENTO!T213)</f>
        <v>1</v>
      </c>
      <c r="H213" s="123">
        <f ca="1">IF(RegimeExecucao="Global","",ORÇAMENTO!W213)</f>
        <v>0</v>
      </c>
      <c r="I213" s="126">
        <f ca="1">ORÇAMENTO!X213</f>
        <v>0</v>
      </c>
      <c r="J213" s="334" t="e" cm="1">
        <f t="array" aca="1" ref="J213" ca="1">_xlfn.SINGLE(IF($A213="S",IF(CAIXA.Modo,BM.AFAnterior,BM.MEDAnterior),IF(AND(_xlfn.SINGLE(RegimeExecucao)="Global",$I213&gt;0,COUNTIF($AB$13:$AM$13,BM.medicao-1)&gt;0),M213/$I213*100,0)))</f>
        <v>#NAME?</v>
      </c>
      <c r="K213" s="123" t="e">
        <f t="shared" ca="1" si="17"/>
        <v>#NAME?</v>
      </c>
      <c r="L213" s="335" t="e" cm="1">
        <f t="array" aca="1" ref="L213" ca="1">_xlfn.SINGLE(IF($A213="S",IF(CAIXA.Modo,BM.AFAcumulado,BM.MEDAcumulado),IF(AND(_xlfn.SINGLE(RegimeExecucao)="Global",$I213&gt;0,COUNTIF($AB$13:$AM$13,BM.medicao)&gt;0),O213/$I213*100,0)))</f>
        <v>#NAME?</v>
      </c>
      <c r="M213" s="336">
        <f ca="1">IF($A213="S",VTOTALBM,IF($A213=0,0,ROUND(SomaAgrupBM,15-13*ORÇAMENTO!$AF$11)))</f>
        <v>0</v>
      </c>
      <c r="N213" s="337">
        <f t="shared" ca="1" si="18"/>
        <v>0</v>
      </c>
      <c r="O213" s="126">
        <f ca="1">IF($A213="S",VTOTALBM,IF($A213=0,0,ROUND(SomaAgrupBM,15-13*ORÇAMENTO!$AF$11)))</f>
        <v>0</v>
      </c>
      <c r="Q213" s="338"/>
      <c r="R213" s="339"/>
      <c r="T213" s="118" t="str">
        <f t="shared" ca="1" si="19"/>
        <v/>
      </c>
      <c r="U213" s="164" t="str">
        <f t="shared" ca="1" si="20"/>
        <v/>
      </c>
      <c r="V213" s="165" t="str">
        <f ca="1">IF(AND($W213&gt;0,RegimeExecucao="Unitário"),$F213,"")</f>
        <v/>
      </c>
      <c r="W213" s="455">
        <f ca="1">IF($Y213&gt;0,CHOOSE(MATCH(RegimeExecucao,{"Unitário","Global"},0),IF($A213="S",$Y213/$X213,""),($Y213/$X213)*100),0)</f>
        <v>0</v>
      </c>
      <c r="X213" s="340" t="str">
        <f ca="1">IF($Y213&gt;0,CHOOSE(MATCH(RegimeExecucao,{"Unitário","Global"},0),IF($A213="S",ROUND($H213,ORÇAMENTO!$AF$10),""),ROUND($I213,ORÇAMENTO!$AF$11)),"")</f>
        <v/>
      </c>
      <c r="Y213" s="340">
        <f t="shared" ca="1" si="21"/>
        <v>0</v>
      </c>
      <c r="Z213" s="474"/>
      <c r="AB213" s="338"/>
      <c r="AC213" s="438"/>
      <c r="AD213" s="438"/>
      <c r="AE213" s="438"/>
      <c r="AF213" s="438"/>
      <c r="AG213" s="438"/>
      <c r="AH213" s="438"/>
      <c r="AI213" s="438"/>
      <c r="AJ213" s="438"/>
      <c r="AK213" s="438"/>
      <c r="AL213" s="438"/>
      <c r="AM213" s="339"/>
      <c r="AO213" s="675">
        <f ca="1">IF($A213="S",IF(BM!$I213=0,0,CHOOSE(MATCH(RegimeExecucao,{"Global","Unitário"},0),ROUND(ROUND(BM.MEDAcumulado,15-13*BM!$A$9)/100*BM!$I213,15-13*ORÇAMENTO!$AF$11),ROUND(ROUND(BM.MEDAcumulado,15-13*BM!$A$9)*ROUND(BM!$H213,15-13*ORÇAMENTO!$AF$10),15-13*ORÇAMENTO!$AF$11))),IF($A213=0,0,ROUND(SomaAgrupBM,15-13*ORÇAMENTO!$AF$11)))</f>
        <v>0</v>
      </c>
    </row>
    <row r="214" spans="1:41" s="675" customFormat="1" ht="25.5" x14ac:dyDescent="0.2">
      <c r="A214" s="675" t="str">
        <f ca="1">ORÇAMENTO!C214</f>
        <v>S</v>
      </c>
      <c r="B214" s="675">
        <f ca="1">ORÇAMENTO!D214</f>
        <v>0</v>
      </c>
      <c r="C214" s="115" t="str">
        <f t="shared" ca="1" si="15"/>
        <v/>
      </c>
      <c r="D214" s="118" t="str">
        <f ca="1">ORÇAMENTO!O214</f>
        <v>-</v>
      </c>
      <c r="E214" s="164" t="str">
        <f t="shared" ca="1" si="16"/>
        <v>(abra o arquivo 'Referência 09-2025.xlsm)</v>
      </c>
      <c r="F214" s="165" t="str">
        <f ca="1">IF(RegimeExecucao="Global","",ORÇAMENTO.Unidade)</f>
        <v>-</v>
      </c>
      <c r="G214" s="123">
        <f ca="1">IF(RegimeExecucao="Global","",ORÇAMENTO!T214)</f>
        <v>16</v>
      </c>
      <c r="H214" s="123">
        <f ca="1">IF(RegimeExecucao="Global","",ORÇAMENTO!W214)</f>
        <v>0</v>
      </c>
      <c r="I214" s="126">
        <f ca="1">ORÇAMENTO!X214</f>
        <v>0</v>
      </c>
      <c r="J214" s="334" t="e" cm="1">
        <f t="array" aca="1" ref="J214" ca="1">_xlfn.SINGLE(IF($A214="S",IF(CAIXA.Modo,BM.AFAnterior,BM.MEDAnterior),IF(AND(_xlfn.SINGLE(RegimeExecucao)="Global",$I214&gt;0,COUNTIF($AB$13:$AM$13,BM.medicao-1)&gt;0),M214/$I214*100,0)))</f>
        <v>#NAME?</v>
      </c>
      <c r="K214" s="123" t="e">
        <f t="shared" ca="1" si="17"/>
        <v>#NAME?</v>
      </c>
      <c r="L214" s="335" t="e" cm="1">
        <f t="array" aca="1" ref="L214" ca="1">_xlfn.SINGLE(IF($A214="S",IF(CAIXA.Modo,BM.AFAcumulado,BM.MEDAcumulado),IF(AND(_xlfn.SINGLE(RegimeExecucao)="Global",$I214&gt;0,COUNTIF($AB$13:$AM$13,BM.medicao)&gt;0),O214/$I214*100,0)))</f>
        <v>#NAME?</v>
      </c>
      <c r="M214" s="336">
        <f ca="1">IF($A214="S",VTOTALBM,IF($A214=0,0,ROUND(SomaAgrupBM,15-13*ORÇAMENTO!$AF$11)))</f>
        <v>0</v>
      </c>
      <c r="N214" s="337">
        <f t="shared" ca="1" si="18"/>
        <v>0</v>
      </c>
      <c r="O214" s="126">
        <f ca="1">IF($A214="S",VTOTALBM,IF($A214=0,0,ROUND(SomaAgrupBM,15-13*ORÇAMENTO!$AF$11)))</f>
        <v>0</v>
      </c>
      <c r="Q214" s="338"/>
      <c r="R214" s="339"/>
      <c r="T214" s="118" t="str">
        <f t="shared" ca="1" si="19"/>
        <v/>
      </c>
      <c r="U214" s="164" t="str">
        <f t="shared" ca="1" si="20"/>
        <v/>
      </c>
      <c r="V214" s="165" t="str">
        <f ca="1">IF(AND($W214&gt;0,RegimeExecucao="Unitário"),$F214,"")</f>
        <v/>
      </c>
      <c r="W214" s="455">
        <f ca="1">IF($Y214&gt;0,CHOOSE(MATCH(RegimeExecucao,{"Unitário","Global"},0),IF($A214="S",$Y214/$X214,""),($Y214/$X214)*100),0)</f>
        <v>0</v>
      </c>
      <c r="X214" s="340" t="str">
        <f ca="1">IF($Y214&gt;0,CHOOSE(MATCH(RegimeExecucao,{"Unitário","Global"},0),IF($A214="S",ROUND($H214,ORÇAMENTO!$AF$10),""),ROUND($I214,ORÇAMENTO!$AF$11)),"")</f>
        <v/>
      </c>
      <c r="Y214" s="340">
        <f t="shared" ca="1" si="21"/>
        <v>0</v>
      </c>
      <c r="Z214" s="474"/>
      <c r="AB214" s="338"/>
      <c r="AC214" s="438"/>
      <c r="AD214" s="438"/>
      <c r="AE214" s="438"/>
      <c r="AF214" s="438"/>
      <c r="AG214" s="438"/>
      <c r="AH214" s="438"/>
      <c r="AI214" s="438"/>
      <c r="AJ214" s="438"/>
      <c r="AK214" s="438"/>
      <c r="AL214" s="438"/>
      <c r="AM214" s="339"/>
      <c r="AO214" s="675">
        <f ca="1">IF($A214="S",IF(BM!$I214=0,0,CHOOSE(MATCH(RegimeExecucao,{"Global","Unitário"},0),ROUND(ROUND(BM.MEDAcumulado,15-13*BM!$A$9)/100*BM!$I214,15-13*ORÇAMENTO!$AF$11),ROUND(ROUND(BM.MEDAcumulado,15-13*BM!$A$9)*ROUND(BM!$H214,15-13*ORÇAMENTO!$AF$10),15-13*ORÇAMENTO!$AF$11))),IF($A214=0,0,ROUND(SomaAgrupBM,15-13*ORÇAMENTO!$AF$11)))</f>
        <v>0</v>
      </c>
    </row>
    <row r="215" spans="1:41" s="675" customFormat="1" ht="25.5" x14ac:dyDescent="0.2">
      <c r="A215" s="675" t="str">
        <f ca="1">ORÇAMENTO!C215</f>
        <v>S</v>
      </c>
      <c r="B215" s="675">
        <f ca="1">ORÇAMENTO!D215</f>
        <v>0</v>
      </c>
      <c r="C215" s="115" t="str">
        <f t="shared" ca="1" si="15"/>
        <v/>
      </c>
      <c r="D215" s="118" t="str">
        <f ca="1">ORÇAMENTO!O215</f>
        <v>-</v>
      </c>
      <c r="E215" s="164" t="str">
        <f t="shared" ca="1" si="16"/>
        <v>(abra o arquivo 'Referência 09-2025.xlsm)</v>
      </c>
      <c r="F215" s="165" t="str">
        <f ca="1">IF(RegimeExecucao="Global","",ORÇAMENTO.Unidade)</f>
        <v>-</v>
      </c>
      <c r="G215" s="123">
        <f ca="1">IF(RegimeExecucao="Global","",ORÇAMENTO!T215)</f>
        <v>4.4000000000000004</v>
      </c>
      <c r="H215" s="123">
        <f ca="1">IF(RegimeExecucao="Global","",ORÇAMENTO!W215)</f>
        <v>0</v>
      </c>
      <c r="I215" s="126">
        <f ca="1">ORÇAMENTO!X215</f>
        <v>0</v>
      </c>
      <c r="J215" s="334" t="e" cm="1">
        <f t="array" aca="1" ref="J215" ca="1">_xlfn.SINGLE(IF($A215="S",IF(CAIXA.Modo,BM.AFAnterior,BM.MEDAnterior),IF(AND(_xlfn.SINGLE(RegimeExecucao)="Global",$I215&gt;0,COUNTIF($AB$13:$AM$13,BM.medicao-1)&gt;0),M215/$I215*100,0)))</f>
        <v>#NAME?</v>
      </c>
      <c r="K215" s="123" t="e">
        <f t="shared" ca="1" si="17"/>
        <v>#NAME?</v>
      </c>
      <c r="L215" s="335" t="e" cm="1">
        <f t="array" aca="1" ref="L215" ca="1">_xlfn.SINGLE(IF($A215="S",IF(CAIXA.Modo,BM.AFAcumulado,BM.MEDAcumulado),IF(AND(_xlfn.SINGLE(RegimeExecucao)="Global",$I215&gt;0,COUNTIF($AB$13:$AM$13,BM.medicao)&gt;0),O215/$I215*100,0)))</f>
        <v>#NAME?</v>
      </c>
      <c r="M215" s="336">
        <f ca="1">IF($A215="S",VTOTALBM,IF($A215=0,0,ROUND(SomaAgrupBM,15-13*ORÇAMENTO!$AF$11)))</f>
        <v>0</v>
      </c>
      <c r="N215" s="337">
        <f t="shared" ca="1" si="18"/>
        <v>0</v>
      </c>
      <c r="O215" s="126">
        <f ca="1">IF($A215="S",VTOTALBM,IF($A215=0,0,ROUND(SomaAgrupBM,15-13*ORÇAMENTO!$AF$11)))</f>
        <v>0</v>
      </c>
      <c r="Q215" s="338"/>
      <c r="R215" s="339"/>
      <c r="T215" s="118" t="str">
        <f t="shared" ca="1" si="19"/>
        <v/>
      </c>
      <c r="U215" s="164" t="str">
        <f t="shared" ca="1" si="20"/>
        <v/>
      </c>
      <c r="V215" s="165" t="str">
        <f ca="1">IF(AND($W215&gt;0,RegimeExecucao="Unitário"),$F215,"")</f>
        <v/>
      </c>
      <c r="W215" s="455">
        <f ca="1">IF($Y215&gt;0,CHOOSE(MATCH(RegimeExecucao,{"Unitário","Global"},0),IF($A215="S",$Y215/$X215,""),($Y215/$X215)*100),0)</f>
        <v>0</v>
      </c>
      <c r="X215" s="340" t="str">
        <f ca="1">IF($Y215&gt;0,CHOOSE(MATCH(RegimeExecucao,{"Unitário","Global"},0),IF($A215="S",ROUND($H215,ORÇAMENTO!$AF$10),""),ROUND($I215,ORÇAMENTO!$AF$11)),"")</f>
        <v/>
      </c>
      <c r="Y215" s="340">
        <f t="shared" ca="1" si="21"/>
        <v>0</v>
      </c>
      <c r="Z215" s="474"/>
      <c r="AB215" s="338"/>
      <c r="AC215" s="438"/>
      <c r="AD215" s="438"/>
      <c r="AE215" s="438"/>
      <c r="AF215" s="438"/>
      <c r="AG215" s="438"/>
      <c r="AH215" s="438"/>
      <c r="AI215" s="438"/>
      <c r="AJ215" s="438"/>
      <c r="AK215" s="438"/>
      <c r="AL215" s="438"/>
      <c r="AM215" s="339"/>
      <c r="AO215" s="675">
        <f ca="1">IF($A215="S",IF(BM!$I215=0,0,CHOOSE(MATCH(RegimeExecucao,{"Global","Unitário"},0),ROUND(ROUND(BM.MEDAcumulado,15-13*BM!$A$9)/100*BM!$I215,15-13*ORÇAMENTO!$AF$11),ROUND(ROUND(BM.MEDAcumulado,15-13*BM!$A$9)*ROUND(BM!$H215,15-13*ORÇAMENTO!$AF$10),15-13*ORÇAMENTO!$AF$11))),IF($A215=0,0,ROUND(SomaAgrupBM,15-13*ORÇAMENTO!$AF$11)))</f>
        <v>0</v>
      </c>
    </row>
    <row r="216" spans="1:41" s="675" customFormat="1" ht="63.75" x14ac:dyDescent="0.2">
      <c r="A216" s="675" t="str">
        <f ca="1">ORÇAMENTO!C216</f>
        <v>S</v>
      </c>
      <c r="B216" s="675">
        <f ca="1">ORÇAMENTO!D216</f>
        <v>0</v>
      </c>
      <c r="C216" s="115" t="str">
        <f t="shared" ca="1" si="15"/>
        <v/>
      </c>
      <c r="D216" s="118" t="str">
        <f ca="1">ORÇAMENTO!O216</f>
        <v>-</v>
      </c>
      <c r="E216" s="164" t="str">
        <f t="shared" ca="1" si="16"/>
        <v>(abra o arquivo 'Referência 09-2025.xlsm)</v>
      </c>
      <c r="F216" s="165" t="str">
        <f ca="1">IF(RegimeExecucao="Global","",ORÇAMENTO.Unidade)</f>
        <v>-</v>
      </c>
      <c r="G216" s="123">
        <f ca="1">IF(RegimeExecucao="Global","",ORÇAMENTO!T216)</f>
        <v>4</v>
      </c>
      <c r="H216" s="123">
        <f ca="1">IF(RegimeExecucao="Global","",ORÇAMENTO!W216)</f>
        <v>0</v>
      </c>
      <c r="I216" s="126">
        <f ca="1">ORÇAMENTO!X216</f>
        <v>0</v>
      </c>
      <c r="J216" s="334" t="e" cm="1">
        <f t="array" aca="1" ref="J216" ca="1">_xlfn.SINGLE(IF($A216="S",IF(CAIXA.Modo,BM.AFAnterior,BM.MEDAnterior),IF(AND(_xlfn.SINGLE(RegimeExecucao)="Global",$I216&gt;0,COUNTIF($AB$13:$AM$13,BM.medicao-1)&gt;0),M216/$I216*100,0)))</f>
        <v>#NAME?</v>
      </c>
      <c r="K216" s="123" t="e">
        <f t="shared" ca="1" si="17"/>
        <v>#NAME?</v>
      </c>
      <c r="L216" s="335" t="e" cm="1">
        <f t="array" aca="1" ref="L216" ca="1">_xlfn.SINGLE(IF($A216="S",IF(CAIXA.Modo,BM.AFAcumulado,BM.MEDAcumulado),IF(AND(_xlfn.SINGLE(RegimeExecucao)="Global",$I216&gt;0,COUNTIF($AB$13:$AM$13,BM.medicao)&gt;0),O216/$I216*100,0)))</f>
        <v>#NAME?</v>
      </c>
      <c r="M216" s="336">
        <f ca="1">IF($A216="S",VTOTALBM,IF($A216=0,0,ROUND(SomaAgrupBM,15-13*ORÇAMENTO!$AF$11)))</f>
        <v>0</v>
      </c>
      <c r="N216" s="337">
        <f t="shared" ca="1" si="18"/>
        <v>0</v>
      </c>
      <c r="O216" s="126">
        <f ca="1">IF($A216="S",VTOTALBM,IF($A216=0,0,ROUND(SomaAgrupBM,15-13*ORÇAMENTO!$AF$11)))</f>
        <v>0</v>
      </c>
      <c r="Q216" s="338"/>
      <c r="R216" s="339"/>
      <c r="T216" s="118" t="str">
        <f t="shared" ca="1" si="19"/>
        <v/>
      </c>
      <c r="U216" s="164" t="str">
        <f t="shared" ca="1" si="20"/>
        <v/>
      </c>
      <c r="V216" s="165" t="str">
        <f ca="1">IF(AND($W216&gt;0,RegimeExecucao="Unitário"),$F216,"")</f>
        <v/>
      </c>
      <c r="W216" s="455">
        <f ca="1">IF($Y216&gt;0,CHOOSE(MATCH(RegimeExecucao,{"Unitário","Global"},0),IF($A216="S",$Y216/$X216,""),($Y216/$X216)*100),0)</f>
        <v>0</v>
      </c>
      <c r="X216" s="340" t="str">
        <f ca="1">IF($Y216&gt;0,CHOOSE(MATCH(RegimeExecucao,{"Unitário","Global"},0),IF($A216="S",ROUND($H216,ORÇAMENTO!$AF$10),""),ROUND($I216,ORÇAMENTO!$AF$11)),"")</f>
        <v/>
      </c>
      <c r="Y216" s="340">
        <f t="shared" ca="1" si="21"/>
        <v>0</v>
      </c>
      <c r="Z216" s="474"/>
      <c r="AB216" s="338"/>
      <c r="AC216" s="438"/>
      <c r="AD216" s="438"/>
      <c r="AE216" s="438"/>
      <c r="AF216" s="438"/>
      <c r="AG216" s="438"/>
      <c r="AH216" s="438"/>
      <c r="AI216" s="438"/>
      <c r="AJ216" s="438"/>
      <c r="AK216" s="438"/>
      <c r="AL216" s="438"/>
      <c r="AM216" s="339"/>
      <c r="AO216" s="675">
        <f ca="1">IF($A216="S",IF(BM!$I216=0,0,CHOOSE(MATCH(RegimeExecucao,{"Global","Unitário"},0),ROUND(ROUND(BM.MEDAcumulado,15-13*BM!$A$9)/100*BM!$I216,15-13*ORÇAMENTO!$AF$11),ROUND(ROUND(BM.MEDAcumulado,15-13*BM!$A$9)*ROUND(BM!$H216,15-13*ORÇAMENTO!$AF$10),15-13*ORÇAMENTO!$AF$11))),IF($A216=0,0,ROUND(SomaAgrupBM,15-13*ORÇAMENTO!$AF$11)))</f>
        <v>0</v>
      </c>
    </row>
    <row r="217" spans="1:41" s="675" customFormat="1" ht="25.5" x14ac:dyDescent="0.2">
      <c r="A217" s="675" t="str">
        <f ca="1">ORÇAMENTO!C217</f>
        <v>S</v>
      </c>
      <c r="B217" s="675">
        <f ca="1">ORÇAMENTO!D217</f>
        <v>0</v>
      </c>
      <c r="C217" s="115" t="str">
        <f t="shared" ca="1" si="15"/>
        <v/>
      </c>
      <c r="D217" s="118" t="str">
        <f ca="1">ORÇAMENTO!O217</f>
        <v>-</v>
      </c>
      <c r="E217" s="164" t="str">
        <f t="shared" ca="1" si="16"/>
        <v>(abra o arquivo 'Referência 09-2025.xlsm)</v>
      </c>
      <c r="F217" s="165" t="str">
        <f ca="1">IF(RegimeExecucao="Global","",ORÇAMENTO.Unidade)</f>
        <v>-</v>
      </c>
      <c r="G217" s="123">
        <f ca="1">IF(RegimeExecucao="Global","",ORÇAMENTO!T217)</f>
        <v>1.2</v>
      </c>
      <c r="H217" s="123">
        <f ca="1">IF(RegimeExecucao="Global","",ORÇAMENTO!W217)</f>
        <v>0</v>
      </c>
      <c r="I217" s="126">
        <f ca="1">ORÇAMENTO!X217</f>
        <v>0</v>
      </c>
      <c r="J217" s="334" t="e" cm="1">
        <f t="array" aca="1" ref="J217" ca="1">_xlfn.SINGLE(IF($A217="S",IF(CAIXA.Modo,BM.AFAnterior,BM.MEDAnterior),IF(AND(_xlfn.SINGLE(RegimeExecucao)="Global",$I217&gt;0,COUNTIF($AB$13:$AM$13,BM.medicao-1)&gt;0),M217/$I217*100,0)))</f>
        <v>#NAME?</v>
      </c>
      <c r="K217" s="123" t="e">
        <f t="shared" ca="1" si="17"/>
        <v>#NAME?</v>
      </c>
      <c r="L217" s="335" t="e" cm="1">
        <f t="array" aca="1" ref="L217" ca="1">_xlfn.SINGLE(IF($A217="S",IF(CAIXA.Modo,BM.AFAcumulado,BM.MEDAcumulado),IF(AND(_xlfn.SINGLE(RegimeExecucao)="Global",$I217&gt;0,COUNTIF($AB$13:$AM$13,BM.medicao)&gt;0),O217/$I217*100,0)))</f>
        <v>#NAME?</v>
      </c>
      <c r="M217" s="336">
        <f ca="1">IF($A217="S",VTOTALBM,IF($A217=0,0,ROUND(SomaAgrupBM,15-13*ORÇAMENTO!$AF$11)))</f>
        <v>0</v>
      </c>
      <c r="N217" s="337">
        <f t="shared" ca="1" si="18"/>
        <v>0</v>
      </c>
      <c r="O217" s="126">
        <f ca="1">IF($A217="S",VTOTALBM,IF($A217=0,0,ROUND(SomaAgrupBM,15-13*ORÇAMENTO!$AF$11)))</f>
        <v>0</v>
      </c>
      <c r="Q217" s="338"/>
      <c r="R217" s="339"/>
      <c r="T217" s="118" t="str">
        <f t="shared" ca="1" si="19"/>
        <v/>
      </c>
      <c r="U217" s="164" t="str">
        <f t="shared" ca="1" si="20"/>
        <v/>
      </c>
      <c r="V217" s="165" t="str">
        <f ca="1">IF(AND($W217&gt;0,RegimeExecucao="Unitário"),$F217,"")</f>
        <v/>
      </c>
      <c r="W217" s="455">
        <f ca="1">IF($Y217&gt;0,CHOOSE(MATCH(RegimeExecucao,{"Unitário","Global"},0),IF($A217="S",$Y217/$X217,""),($Y217/$X217)*100),0)</f>
        <v>0</v>
      </c>
      <c r="X217" s="340" t="str">
        <f ca="1">IF($Y217&gt;0,CHOOSE(MATCH(RegimeExecucao,{"Unitário","Global"},0),IF($A217="S",ROUND($H217,ORÇAMENTO!$AF$10),""),ROUND($I217,ORÇAMENTO!$AF$11)),"")</f>
        <v/>
      </c>
      <c r="Y217" s="340">
        <f t="shared" ca="1" si="21"/>
        <v>0</v>
      </c>
      <c r="Z217" s="474"/>
      <c r="AB217" s="338"/>
      <c r="AC217" s="438"/>
      <c r="AD217" s="438"/>
      <c r="AE217" s="438"/>
      <c r="AF217" s="438"/>
      <c r="AG217" s="438"/>
      <c r="AH217" s="438"/>
      <c r="AI217" s="438"/>
      <c r="AJ217" s="438"/>
      <c r="AK217" s="438"/>
      <c r="AL217" s="438"/>
      <c r="AM217" s="339"/>
      <c r="AO217" s="675">
        <f ca="1">IF($A217="S",IF(BM!$I217=0,0,CHOOSE(MATCH(RegimeExecucao,{"Global","Unitário"},0),ROUND(ROUND(BM.MEDAcumulado,15-13*BM!$A$9)/100*BM!$I217,15-13*ORÇAMENTO!$AF$11),ROUND(ROUND(BM.MEDAcumulado,15-13*BM!$A$9)*ROUND(BM!$H217,15-13*ORÇAMENTO!$AF$10),15-13*ORÇAMENTO!$AF$11))),IF($A217=0,0,ROUND(SomaAgrupBM,15-13*ORÇAMENTO!$AF$11)))</f>
        <v>0</v>
      </c>
    </row>
    <row r="218" spans="1:41" s="675" customFormat="1" x14ac:dyDescent="0.2">
      <c r="A218" s="675">
        <f ca="1">ORÇAMENTO!C218</f>
        <v>2</v>
      </c>
      <c r="B218" s="675">
        <f ca="1">ORÇAMENTO!D218</f>
        <v>3</v>
      </c>
      <c r="C218" s="115" t="str">
        <f t="shared" ca="1" si="15"/>
        <v>F</v>
      </c>
      <c r="D218" s="118" t="str">
        <f ca="1">ORÇAMENTO!O218</f>
        <v>1.28.</v>
      </c>
      <c r="E218" s="164" t="str">
        <f t="shared" si="16"/>
        <v>REVESTIMENTO, IMPERMEABILIZAÇÃO E PINTURA</v>
      </c>
      <c r="F218" s="165" t="str">
        <f ca="1">IF(RegimeExecucao="Global","",ORÇAMENTO.Unidade)</f>
        <v>-</v>
      </c>
      <c r="G218" s="123">
        <f ca="1">IF(RegimeExecucao="Global","",ORÇAMENTO!T218)</f>
        <v>0</v>
      </c>
      <c r="H218" s="123">
        <f ca="1">IF(RegimeExecucao="Global","",ORÇAMENTO!W218)</f>
        <v>0</v>
      </c>
      <c r="I218" s="126">
        <f ca="1">ORÇAMENTO!X218</f>
        <v>0</v>
      </c>
      <c r="J218" s="334" t="e" cm="1">
        <f t="array" aca="1" ref="J218" ca="1">_xlfn.SINGLE(IF($A218="S",IF(CAIXA.Modo,BM.AFAnterior,BM.MEDAnterior),IF(AND(_xlfn.SINGLE(RegimeExecucao)="Global",$I218&gt;0,COUNTIF($AB$13:$AM$13,BM.medicao-1)&gt;0),M218/$I218*100,0)))</f>
        <v>#NAME?</v>
      </c>
      <c r="K218" s="123" t="e">
        <f t="shared" ca="1" si="17"/>
        <v>#NAME?</v>
      </c>
      <c r="L218" s="335" t="e" cm="1">
        <f t="array" aca="1" ref="L218" ca="1">_xlfn.SINGLE(IF($A218="S",IF(CAIXA.Modo,BM.AFAcumulado,BM.MEDAcumulado),IF(AND(_xlfn.SINGLE(RegimeExecucao)="Global",$I218&gt;0,COUNTIF($AB$13:$AM$13,BM.medicao)&gt;0),O218/$I218*100,0)))</f>
        <v>#NAME?</v>
      </c>
      <c r="M218" s="336">
        <f ca="1">IF($A218="S",VTOTALBM,IF($A218=0,0,ROUND(SomaAgrupBM,15-13*ORÇAMENTO!$AF$11)))</f>
        <v>0</v>
      </c>
      <c r="N218" s="337">
        <f t="shared" ca="1" si="18"/>
        <v>0</v>
      </c>
      <c r="O218" s="126">
        <f ca="1">IF($A218="S",VTOTALBM,IF($A218=0,0,ROUND(SomaAgrupBM,15-13*ORÇAMENTO!$AF$11)))</f>
        <v>0</v>
      </c>
      <c r="Q218" s="338"/>
      <c r="R218" s="339"/>
      <c r="T218" s="118" t="str">
        <f t="shared" ca="1" si="19"/>
        <v/>
      </c>
      <c r="U218" s="164" t="str">
        <f t="shared" ca="1" si="20"/>
        <v/>
      </c>
      <c r="V218" s="165" t="str">
        <f ca="1">IF(AND($W218&gt;0,RegimeExecucao="Unitário"),$F218,"")</f>
        <v/>
      </c>
      <c r="W218" s="455">
        <f ca="1">IF($Y218&gt;0,CHOOSE(MATCH(RegimeExecucao,{"Unitário","Global"},0),IF($A218="S",$Y218/$X218,""),($Y218/$X218)*100),0)</f>
        <v>0</v>
      </c>
      <c r="X218" s="340" t="str">
        <f ca="1">IF($Y218&gt;0,CHOOSE(MATCH(RegimeExecucao,{"Unitário","Global"},0),IF($A218="S",ROUND($H218,ORÇAMENTO!$AF$10),""),ROUND($I218,ORÇAMENTO!$AF$11)),"")</f>
        <v/>
      </c>
      <c r="Y218" s="340">
        <f t="shared" ca="1" si="21"/>
        <v>0</v>
      </c>
      <c r="Z218" s="474"/>
      <c r="AB218" s="338"/>
      <c r="AC218" s="438"/>
      <c r="AD218" s="438"/>
      <c r="AE218" s="438"/>
      <c r="AF218" s="438"/>
      <c r="AG218" s="438"/>
      <c r="AH218" s="438"/>
      <c r="AI218" s="438"/>
      <c r="AJ218" s="438"/>
      <c r="AK218" s="438"/>
      <c r="AL218" s="438"/>
      <c r="AM218" s="339"/>
      <c r="AO218" s="675">
        <f ca="1">IF($A218="S",IF(BM!$I218=0,0,CHOOSE(MATCH(RegimeExecucao,{"Global","Unitário"},0),ROUND(ROUND(BM.MEDAcumulado,15-13*BM!$A$9)/100*BM!$I218,15-13*ORÇAMENTO!$AF$11),ROUND(ROUND(BM.MEDAcumulado,15-13*BM!$A$9)*ROUND(BM!$H218,15-13*ORÇAMENTO!$AF$10),15-13*ORÇAMENTO!$AF$11))),IF($A218=0,0,ROUND(SomaAgrupBM,15-13*ORÇAMENTO!$AF$11)))</f>
        <v>0</v>
      </c>
    </row>
    <row r="219" spans="1:41" s="675" customFormat="1" ht="51" x14ac:dyDescent="0.2">
      <c r="A219" s="675" t="str">
        <f ca="1">ORÇAMENTO!C219</f>
        <v>S</v>
      </c>
      <c r="B219" s="675">
        <f ca="1">ORÇAMENTO!D219</f>
        <v>0</v>
      </c>
      <c r="C219" s="115" t="str">
        <f t="shared" ca="1" si="15"/>
        <v/>
      </c>
      <c r="D219" s="118" t="str">
        <f ca="1">ORÇAMENTO!O219</f>
        <v>-</v>
      </c>
      <c r="E219" s="164" t="str">
        <f t="shared" ca="1" si="16"/>
        <v>(abra o arquivo 'Referência 09-2025.xlsm)</v>
      </c>
      <c r="F219" s="165" t="str">
        <f ca="1">IF(RegimeExecucao="Global","",ORÇAMENTO.Unidade)</f>
        <v>-</v>
      </c>
      <c r="G219" s="123">
        <f ca="1">IF(RegimeExecucao="Global","",ORÇAMENTO!T219)</f>
        <v>66.239999999999995</v>
      </c>
      <c r="H219" s="123">
        <f ca="1">IF(RegimeExecucao="Global","",ORÇAMENTO!W219)</f>
        <v>0</v>
      </c>
      <c r="I219" s="126">
        <f ca="1">ORÇAMENTO!X219</f>
        <v>0</v>
      </c>
      <c r="J219" s="334" t="e" cm="1">
        <f t="array" aca="1" ref="J219" ca="1">_xlfn.SINGLE(IF($A219="S",IF(CAIXA.Modo,BM.AFAnterior,BM.MEDAnterior),IF(AND(_xlfn.SINGLE(RegimeExecucao)="Global",$I219&gt;0,COUNTIF($AB$13:$AM$13,BM.medicao-1)&gt;0),M219/$I219*100,0)))</f>
        <v>#NAME?</v>
      </c>
      <c r="K219" s="123" t="e">
        <f t="shared" ca="1" si="17"/>
        <v>#NAME?</v>
      </c>
      <c r="L219" s="335" t="e" cm="1">
        <f t="array" aca="1" ref="L219" ca="1">_xlfn.SINGLE(IF($A219="S",IF(CAIXA.Modo,BM.AFAcumulado,BM.MEDAcumulado),IF(AND(_xlfn.SINGLE(RegimeExecucao)="Global",$I219&gt;0,COUNTIF($AB$13:$AM$13,BM.medicao)&gt;0),O219/$I219*100,0)))</f>
        <v>#NAME?</v>
      </c>
      <c r="M219" s="336">
        <f ca="1">IF($A219="S",VTOTALBM,IF($A219=0,0,ROUND(SomaAgrupBM,15-13*ORÇAMENTO!$AF$11)))</f>
        <v>0</v>
      </c>
      <c r="N219" s="337">
        <f t="shared" ca="1" si="18"/>
        <v>0</v>
      </c>
      <c r="O219" s="126">
        <f ca="1">IF($A219="S",VTOTALBM,IF($A219=0,0,ROUND(SomaAgrupBM,15-13*ORÇAMENTO!$AF$11)))</f>
        <v>0</v>
      </c>
      <c r="Q219" s="338"/>
      <c r="R219" s="339"/>
      <c r="T219" s="118" t="str">
        <f t="shared" ca="1" si="19"/>
        <v/>
      </c>
      <c r="U219" s="164" t="str">
        <f t="shared" ca="1" si="20"/>
        <v/>
      </c>
      <c r="V219" s="165" t="str">
        <f ca="1">IF(AND($W219&gt;0,RegimeExecucao="Unitário"),$F219,"")</f>
        <v/>
      </c>
      <c r="W219" s="455">
        <f ca="1">IF($Y219&gt;0,CHOOSE(MATCH(RegimeExecucao,{"Unitário","Global"},0),IF($A219="S",$Y219/$X219,""),($Y219/$X219)*100),0)</f>
        <v>0</v>
      </c>
      <c r="X219" s="340" t="str">
        <f ca="1">IF($Y219&gt;0,CHOOSE(MATCH(RegimeExecucao,{"Unitário","Global"},0),IF($A219="S",ROUND($H219,ORÇAMENTO!$AF$10),""),ROUND($I219,ORÇAMENTO!$AF$11)),"")</f>
        <v/>
      </c>
      <c r="Y219" s="340">
        <f t="shared" ca="1" si="21"/>
        <v>0</v>
      </c>
      <c r="Z219" s="474"/>
      <c r="AB219" s="338"/>
      <c r="AC219" s="438"/>
      <c r="AD219" s="438"/>
      <c r="AE219" s="438"/>
      <c r="AF219" s="438"/>
      <c r="AG219" s="438"/>
      <c r="AH219" s="438"/>
      <c r="AI219" s="438"/>
      <c r="AJ219" s="438"/>
      <c r="AK219" s="438"/>
      <c r="AL219" s="438"/>
      <c r="AM219" s="339"/>
      <c r="AO219" s="675">
        <f ca="1">IF($A219="S",IF(BM!$I219=0,0,CHOOSE(MATCH(RegimeExecucao,{"Global","Unitário"},0),ROUND(ROUND(BM.MEDAcumulado,15-13*BM!$A$9)/100*BM!$I219,15-13*ORÇAMENTO!$AF$11),ROUND(ROUND(BM.MEDAcumulado,15-13*BM!$A$9)*ROUND(BM!$H219,15-13*ORÇAMENTO!$AF$10),15-13*ORÇAMENTO!$AF$11))),IF($A219=0,0,ROUND(SomaAgrupBM,15-13*ORÇAMENTO!$AF$11)))</f>
        <v>0</v>
      </c>
    </row>
    <row r="220" spans="1:41" s="675" customFormat="1" ht="38.25" x14ac:dyDescent="0.2">
      <c r="A220" s="675" t="str">
        <f ca="1">ORÇAMENTO!C220</f>
        <v>S</v>
      </c>
      <c r="B220" s="675">
        <f ca="1">ORÇAMENTO!D220</f>
        <v>0</v>
      </c>
      <c r="C220" s="115" t="str">
        <f t="shared" ca="1" si="15"/>
        <v/>
      </c>
      <c r="D220" s="118" t="str">
        <f ca="1">ORÇAMENTO!O220</f>
        <v>-</v>
      </c>
      <c r="E220" s="164" t="str">
        <f t="shared" ca="1" si="16"/>
        <v>(abra o arquivo 'Referência 09-2025.xlsm)</v>
      </c>
      <c r="F220" s="165" t="str">
        <f ca="1">IF(RegimeExecucao="Global","",ORÇAMENTO.Unidade)</f>
        <v>-</v>
      </c>
      <c r="G220" s="123">
        <f ca="1">IF(RegimeExecucao="Global","",ORÇAMENTO!T220)</f>
        <v>112.48</v>
      </c>
      <c r="H220" s="123">
        <f ca="1">IF(RegimeExecucao="Global","",ORÇAMENTO!W220)</f>
        <v>0</v>
      </c>
      <c r="I220" s="126">
        <f ca="1">ORÇAMENTO!X220</f>
        <v>0</v>
      </c>
      <c r="J220" s="334" t="e" cm="1">
        <f t="array" aca="1" ref="J220" ca="1">_xlfn.SINGLE(IF($A220="S",IF(CAIXA.Modo,BM.AFAnterior,BM.MEDAnterior),IF(AND(_xlfn.SINGLE(RegimeExecucao)="Global",$I220&gt;0,COUNTIF($AB$13:$AM$13,BM.medicao-1)&gt;0),M220/$I220*100,0)))</f>
        <v>#NAME?</v>
      </c>
      <c r="K220" s="123" t="e">
        <f t="shared" ca="1" si="17"/>
        <v>#NAME?</v>
      </c>
      <c r="L220" s="335" t="e" cm="1">
        <f t="array" aca="1" ref="L220" ca="1">_xlfn.SINGLE(IF($A220="S",IF(CAIXA.Modo,BM.AFAcumulado,BM.MEDAcumulado),IF(AND(_xlfn.SINGLE(RegimeExecucao)="Global",$I220&gt;0,COUNTIF($AB$13:$AM$13,BM.medicao)&gt;0),O220/$I220*100,0)))</f>
        <v>#NAME?</v>
      </c>
      <c r="M220" s="336">
        <f ca="1">IF($A220="S",VTOTALBM,IF($A220=0,0,ROUND(SomaAgrupBM,15-13*ORÇAMENTO!$AF$11)))</f>
        <v>0</v>
      </c>
      <c r="N220" s="337">
        <f t="shared" ca="1" si="18"/>
        <v>0</v>
      </c>
      <c r="O220" s="126">
        <f ca="1">IF($A220="S",VTOTALBM,IF($A220=0,0,ROUND(SomaAgrupBM,15-13*ORÇAMENTO!$AF$11)))</f>
        <v>0</v>
      </c>
      <c r="Q220" s="338"/>
      <c r="R220" s="339"/>
      <c r="T220" s="118" t="str">
        <f t="shared" ca="1" si="19"/>
        <v/>
      </c>
      <c r="U220" s="164" t="str">
        <f t="shared" ca="1" si="20"/>
        <v/>
      </c>
      <c r="V220" s="165" t="str">
        <f ca="1">IF(AND($W220&gt;0,RegimeExecucao="Unitário"),$F220,"")</f>
        <v/>
      </c>
      <c r="W220" s="455">
        <f ca="1">IF($Y220&gt;0,CHOOSE(MATCH(RegimeExecucao,{"Unitário","Global"},0),IF($A220="S",$Y220/$X220,""),($Y220/$X220)*100),0)</f>
        <v>0</v>
      </c>
      <c r="X220" s="340" t="str">
        <f ca="1">IF($Y220&gt;0,CHOOSE(MATCH(RegimeExecucao,{"Unitário","Global"},0),IF($A220="S",ROUND($H220,ORÇAMENTO!$AF$10),""),ROUND($I220,ORÇAMENTO!$AF$11)),"")</f>
        <v/>
      </c>
      <c r="Y220" s="340">
        <f t="shared" ca="1" si="21"/>
        <v>0</v>
      </c>
      <c r="Z220" s="474"/>
      <c r="AB220" s="338"/>
      <c r="AC220" s="438"/>
      <c r="AD220" s="438"/>
      <c r="AE220" s="438"/>
      <c r="AF220" s="438"/>
      <c r="AG220" s="438"/>
      <c r="AH220" s="438"/>
      <c r="AI220" s="438"/>
      <c r="AJ220" s="438"/>
      <c r="AK220" s="438"/>
      <c r="AL220" s="438"/>
      <c r="AM220" s="339"/>
      <c r="AO220" s="675">
        <f ca="1">IF($A220="S",IF(BM!$I220=0,0,CHOOSE(MATCH(RegimeExecucao,{"Global","Unitário"},0),ROUND(ROUND(BM.MEDAcumulado,15-13*BM!$A$9)/100*BM!$I220,15-13*ORÇAMENTO!$AF$11),ROUND(ROUND(BM.MEDAcumulado,15-13*BM!$A$9)*ROUND(BM!$H220,15-13*ORÇAMENTO!$AF$10),15-13*ORÇAMENTO!$AF$11))),IF($A220=0,0,ROUND(SomaAgrupBM,15-13*ORÇAMENTO!$AF$11)))</f>
        <v>0</v>
      </c>
    </row>
    <row r="221" spans="1:41" s="720" customFormat="1" x14ac:dyDescent="0.2">
      <c r="A221" s="720">
        <f ca="1">ORÇAMENTO!C221</f>
        <v>2</v>
      </c>
      <c r="B221" s="720">
        <f ca="1">ORÇAMENTO!D221</f>
        <v>2</v>
      </c>
      <c r="C221" s="115" t="str">
        <f t="shared" ca="1" si="15"/>
        <v>F</v>
      </c>
      <c r="D221" s="118" t="str">
        <f ca="1">ORÇAMENTO!O221</f>
        <v>1.29.</v>
      </c>
      <c r="E221" s="164" t="str">
        <f t="shared" si="16"/>
        <v>EXTENSÃO REDE ELÉTRICA</v>
      </c>
      <c r="F221" s="165" t="str">
        <f ca="1">IF(RegimeExecucao="Global","",ORÇAMENTO.Unidade)</f>
        <v>-</v>
      </c>
      <c r="G221" s="123">
        <f ca="1">IF(RegimeExecucao="Global","",ORÇAMENTO!T221)</f>
        <v>0</v>
      </c>
      <c r="H221" s="123">
        <f ca="1">IF(RegimeExecucao="Global","",ORÇAMENTO!W221)</f>
        <v>0</v>
      </c>
      <c r="I221" s="126">
        <f ca="1">ORÇAMENTO!X221</f>
        <v>0</v>
      </c>
      <c r="J221" s="334" t="e" cm="1">
        <f t="array" aca="1" ref="J221" ca="1">_xlfn.SINGLE(IF($A221="S",IF(CAIXA.Modo,BM.AFAnterior,BM.MEDAnterior),IF(AND(_xlfn.SINGLE(RegimeExecucao)="Global",$I221&gt;0,COUNTIF($AB$13:$AM$13,BM.medicao-1)&gt;0),M221/$I221*100,0)))</f>
        <v>#NAME?</v>
      </c>
      <c r="K221" s="123" t="e">
        <f t="shared" ca="1" si="17"/>
        <v>#NAME?</v>
      </c>
      <c r="L221" s="335" t="e" cm="1">
        <f t="array" aca="1" ref="L221" ca="1">_xlfn.SINGLE(IF($A221="S",IF(CAIXA.Modo,BM.AFAcumulado,BM.MEDAcumulado),IF(AND(_xlfn.SINGLE(RegimeExecucao)="Global",$I221&gt;0,COUNTIF($AB$13:$AM$13,BM.medicao)&gt;0),O221/$I221*100,0)))</f>
        <v>#NAME?</v>
      </c>
      <c r="M221" s="336">
        <f ca="1">IF($A221="S",VTOTALBM,IF($A221=0,0,ROUND(SomaAgrupBM,15-13*ORÇAMENTO!$AF$11)))</f>
        <v>0</v>
      </c>
      <c r="N221" s="337">
        <f t="shared" ca="1" si="18"/>
        <v>0</v>
      </c>
      <c r="O221" s="126">
        <f ca="1">IF($A221="S",VTOTALBM,IF($A221=0,0,ROUND(SomaAgrupBM,15-13*ORÇAMENTO!$AF$11)))</f>
        <v>0</v>
      </c>
      <c r="Q221" s="338"/>
      <c r="R221" s="339"/>
      <c r="T221" s="118" t="str">
        <f t="shared" ca="1" si="19"/>
        <v/>
      </c>
      <c r="U221" s="164" t="str">
        <f t="shared" ca="1" si="20"/>
        <v/>
      </c>
      <c r="V221" s="165" t="str">
        <f ca="1">IF(AND($W221&gt;0,RegimeExecucao="Unitário"),$F221,"")</f>
        <v/>
      </c>
      <c r="W221" s="455">
        <f ca="1">IF($Y221&gt;0,CHOOSE(MATCH(RegimeExecucao,{"Unitário","Global"},0),IF($A221="S",$Y221/$X221,""),($Y221/$X221)*100),0)</f>
        <v>0</v>
      </c>
      <c r="X221" s="340" t="str">
        <f ca="1">IF($Y221&gt;0,CHOOSE(MATCH(RegimeExecucao,{"Unitário","Global"},0),IF($A221="S",ROUND($H221,ORÇAMENTO!$AF$10),""),ROUND($I221,ORÇAMENTO!$AF$11)),"")</f>
        <v/>
      </c>
      <c r="Y221" s="340">
        <f t="shared" ca="1" si="21"/>
        <v>0</v>
      </c>
      <c r="Z221" s="474"/>
      <c r="AB221" s="338"/>
      <c r="AC221" s="438"/>
      <c r="AD221" s="438"/>
      <c r="AE221" s="438"/>
      <c r="AF221" s="438"/>
      <c r="AG221" s="438"/>
      <c r="AH221" s="438"/>
      <c r="AI221" s="438"/>
      <c r="AJ221" s="438"/>
      <c r="AK221" s="438"/>
      <c r="AL221" s="438"/>
      <c r="AM221" s="339"/>
      <c r="AO221" s="720">
        <f ca="1">IF($A221="S",IF(BM!$I221=0,0,CHOOSE(MATCH(RegimeExecucao,{"Global","Unitário"},0),ROUND(ROUND(BM.MEDAcumulado,15-13*BM!$A$9)/100*BM!$I221,15-13*ORÇAMENTO!$AF$11),ROUND(ROUND(BM.MEDAcumulado,15-13*BM!$A$9)*ROUND(BM!$H221,15-13*ORÇAMENTO!$AF$10),15-13*ORÇAMENTO!$AF$11))),IF($A221=0,0,ROUND(SomaAgrupBM,15-13*ORÇAMENTO!$AF$11)))</f>
        <v>0</v>
      </c>
    </row>
    <row r="222" spans="1:41" s="720" customFormat="1" ht="63.75" x14ac:dyDescent="0.2">
      <c r="A222" s="720" t="str">
        <f ca="1">ORÇAMENTO!C222</f>
        <v>S</v>
      </c>
      <c r="B222" s="720">
        <f ca="1">ORÇAMENTO!D222</f>
        <v>0</v>
      </c>
      <c r="C222" s="115" t="str">
        <f t="shared" ca="1" si="15"/>
        <v/>
      </c>
      <c r="D222" s="118" t="str">
        <f ca="1">ORÇAMENTO!O222</f>
        <v>-</v>
      </c>
      <c r="E222" s="164" t="str">
        <f t="shared" ca="1" si="16"/>
        <v>(abra o arquivo 'Referência 09-2025.xlsm)</v>
      </c>
      <c r="F222" s="165" t="str">
        <f ca="1">IF(RegimeExecucao="Global","",ORÇAMENTO.Unidade)</f>
        <v>-</v>
      </c>
      <c r="G222" s="123">
        <f ca="1">IF(RegimeExecucao="Global","",ORÇAMENTO!T222)</f>
        <v>1</v>
      </c>
      <c r="H222" s="123">
        <f ca="1">IF(RegimeExecucao="Global","",ORÇAMENTO!W222)</f>
        <v>0</v>
      </c>
      <c r="I222" s="126">
        <f ca="1">ORÇAMENTO!X222</f>
        <v>0</v>
      </c>
      <c r="J222" s="334" t="e" cm="1">
        <f t="array" aca="1" ref="J222" ca="1">_xlfn.SINGLE(IF($A222="S",IF(CAIXA.Modo,BM.AFAnterior,BM.MEDAnterior),IF(AND(_xlfn.SINGLE(RegimeExecucao)="Global",$I222&gt;0,COUNTIF($AB$13:$AM$13,BM.medicao-1)&gt;0),M222/$I222*100,0)))</f>
        <v>#NAME?</v>
      </c>
      <c r="K222" s="123" t="e">
        <f t="shared" ca="1" si="17"/>
        <v>#NAME?</v>
      </c>
      <c r="L222" s="335" t="e" cm="1">
        <f t="array" aca="1" ref="L222" ca="1">_xlfn.SINGLE(IF($A222="S",IF(CAIXA.Modo,BM.AFAcumulado,BM.MEDAcumulado),IF(AND(_xlfn.SINGLE(RegimeExecucao)="Global",$I222&gt;0,COUNTIF($AB$13:$AM$13,BM.medicao)&gt;0),O222/$I222*100,0)))</f>
        <v>#NAME?</v>
      </c>
      <c r="M222" s="336">
        <f ca="1">IF($A222="S",VTOTALBM,IF($A222=0,0,ROUND(SomaAgrupBM,15-13*ORÇAMENTO!$AF$11)))</f>
        <v>0</v>
      </c>
      <c r="N222" s="337">
        <f t="shared" ca="1" si="18"/>
        <v>0</v>
      </c>
      <c r="O222" s="126">
        <f ca="1">IF($A222="S",VTOTALBM,IF($A222=0,0,ROUND(SomaAgrupBM,15-13*ORÇAMENTO!$AF$11)))</f>
        <v>0</v>
      </c>
      <c r="Q222" s="338"/>
      <c r="R222" s="339"/>
      <c r="T222" s="118" t="str">
        <f t="shared" ca="1" si="19"/>
        <v/>
      </c>
      <c r="U222" s="164" t="str">
        <f t="shared" ca="1" si="20"/>
        <v/>
      </c>
      <c r="V222" s="165" t="str">
        <f ca="1">IF(AND($W222&gt;0,RegimeExecucao="Unitário"),$F222,"")</f>
        <v/>
      </c>
      <c r="W222" s="455">
        <f ca="1">IF($Y222&gt;0,CHOOSE(MATCH(RegimeExecucao,{"Unitário","Global"},0),IF($A222="S",$Y222/$X222,""),($Y222/$X222)*100),0)</f>
        <v>0</v>
      </c>
      <c r="X222" s="340" t="str">
        <f ca="1">IF($Y222&gt;0,CHOOSE(MATCH(RegimeExecucao,{"Unitário","Global"},0),IF($A222="S",ROUND($H222,ORÇAMENTO!$AF$10),""),ROUND($I222,ORÇAMENTO!$AF$11)),"")</f>
        <v/>
      </c>
      <c r="Y222" s="340">
        <f t="shared" ca="1" si="21"/>
        <v>0</v>
      </c>
      <c r="Z222" s="474"/>
      <c r="AB222" s="338"/>
      <c r="AC222" s="438"/>
      <c r="AD222" s="438"/>
      <c r="AE222" s="438"/>
      <c r="AF222" s="438"/>
      <c r="AG222" s="438"/>
      <c r="AH222" s="438"/>
      <c r="AI222" s="438"/>
      <c r="AJ222" s="438"/>
      <c r="AK222" s="438"/>
      <c r="AL222" s="438"/>
      <c r="AM222" s="339"/>
      <c r="AO222" s="720">
        <f ca="1">IF($A222="S",IF(BM!$I222=0,0,CHOOSE(MATCH(RegimeExecucao,{"Global","Unitário"},0),ROUND(ROUND(BM.MEDAcumulado,15-13*BM!$A$9)/100*BM!$I222,15-13*ORÇAMENTO!$AF$11),ROUND(ROUND(BM.MEDAcumulado,15-13*BM!$A$9)*ROUND(BM!$H222,15-13*ORÇAMENTO!$AF$10),15-13*ORÇAMENTO!$AF$11))),IF($A222=0,0,ROUND(SomaAgrupBM,15-13*ORÇAMENTO!$AF$11)))</f>
        <v>0</v>
      </c>
    </row>
    <row r="223" spans="1:41" s="720" customFormat="1" x14ac:dyDescent="0.2">
      <c r="A223" s="720">
        <f ca="1">ORÇAMENTO!C223</f>
        <v>2</v>
      </c>
      <c r="B223" s="720">
        <f ca="1">ORÇAMENTO!D223</f>
        <v>3</v>
      </c>
      <c r="C223" s="115" t="str">
        <f t="shared" ca="1" si="15"/>
        <v>F</v>
      </c>
      <c r="D223" s="118" t="str">
        <f ca="1">ORÇAMENTO!O223</f>
        <v>1.30.</v>
      </c>
      <c r="E223" s="164" t="str">
        <f t="shared" si="16"/>
        <v>URBANIZAÇÃO</v>
      </c>
      <c r="F223" s="165" t="str">
        <f ca="1">IF(RegimeExecucao="Global","",ORÇAMENTO.Unidade)</f>
        <v>-</v>
      </c>
      <c r="G223" s="123">
        <f ca="1">IF(RegimeExecucao="Global","",ORÇAMENTO!T223)</f>
        <v>0</v>
      </c>
      <c r="H223" s="123">
        <f ca="1">IF(RegimeExecucao="Global","",ORÇAMENTO!W223)</f>
        <v>0</v>
      </c>
      <c r="I223" s="126">
        <f ca="1">ORÇAMENTO!X223</f>
        <v>0</v>
      </c>
      <c r="J223" s="334" t="e" cm="1">
        <f t="array" aca="1" ref="J223" ca="1">_xlfn.SINGLE(IF($A223="S",IF(CAIXA.Modo,BM.AFAnterior,BM.MEDAnterior),IF(AND(_xlfn.SINGLE(RegimeExecucao)="Global",$I223&gt;0,COUNTIF($AB$13:$AM$13,BM.medicao-1)&gt;0),M223/$I223*100,0)))</f>
        <v>#NAME?</v>
      </c>
      <c r="K223" s="123" t="e">
        <f t="shared" ca="1" si="17"/>
        <v>#NAME?</v>
      </c>
      <c r="L223" s="335" t="e" cm="1">
        <f t="array" aca="1" ref="L223" ca="1">_xlfn.SINGLE(IF($A223="S",IF(CAIXA.Modo,BM.AFAcumulado,BM.MEDAcumulado),IF(AND(_xlfn.SINGLE(RegimeExecucao)="Global",$I223&gt;0,COUNTIF($AB$13:$AM$13,BM.medicao)&gt;0),O223/$I223*100,0)))</f>
        <v>#NAME?</v>
      </c>
      <c r="M223" s="336">
        <f ca="1">IF($A223="S",VTOTALBM,IF($A223=0,0,ROUND(SomaAgrupBM,15-13*ORÇAMENTO!$AF$11)))</f>
        <v>0</v>
      </c>
      <c r="N223" s="337">
        <f t="shared" ca="1" si="18"/>
        <v>0</v>
      </c>
      <c r="O223" s="126">
        <f ca="1">IF($A223="S",VTOTALBM,IF($A223=0,0,ROUND(SomaAgrupBM,15-13*ORÇAMENTO!$AF$11)))</f>
        <v>0</v>
      </c>
      <c r="Q223" s="338"/>
      <c r="R223" s="339"/>
      <c r="T223" s="118" t="str">
        <f t="shared" ca="1" si="19"/>
        <v/>
      </c>
      <c r="U223" s="164" t="str">
        <f t="shared" ca="1" si="20"/>
        <v/>
      </c>
      <c r="V223" s="165" t="str">
        <f ca="1">IF(AND($W223&gt;0,RegimeExecucao="Unitário"),$F223,"")</f>
        <v/>
      </c>
      <c r="W223" s="455">
        <f ca="1">IF($Y223&gt;0,CHOOSE(MATCH(RegimeExecucao,{"Unitário","Global"},0),IF($A223="S",$Y223/$X223,""),($Y223/$X223)*100),0)</f>
        <v>0</v>
      </c>
      <c r="X223" s="340" t="str">
        <f ca="1">IF($Y223&gt;0,CHOOSE(MATCH(RegimeExecucao,{"Unitário","Global"},0),IF($A223="S",ROUND($H223,ORÇAMENTO!$AF$10),""),ROUND($I223,ORÇAMENTO!$AF$11)),"")</f>
        <v/>
      </c>
      <c r="Y223" s="340">
        <f t="shared" ca="1" si="21"/>
        <v>0</v>
      </c>
      <c r="Z223" s="474"/>
      <c r="AB223" s="338"/>
      <c r="AC223" s="438"/>
      <c r="AD223" s="438"/>
      <c r="AE223" s="438"/>
      <c r="AF223" s="438"/>
      <c r="AG223" s="438"/>
      <c r="AH223" s="438"/>
      <c r="AI223" s="438"/>
      <c r="AJ223" s="438"/>
      <c r="AK223" s="438"/>
      <c r="AL223" s="438"/>
      <c r="AM223" s="339"/>
      <c r="AO223" s="720">
        <f ca="1">IF($A223="S",IF(BM!$I223=0,0,CHOOSE(MATCH(RegimeExecucao,{"Global","Unitário"},0),ROUND(ROUND(BM.MEDAcumulado,15-13*BM!$A$9)/100*BM!$I223,15-13*ORÇAMENTO!$AF$11),ROUND(ROUND(BM.MEDAcumulado,15-13*BM!$A$9)*ROUND(BM!$H223,15-13*ORÇAMENTO!$AF$10),15-13*ORÇAMENTO!$AF$11))),IF($A223=0,0,ROUND(SomaAgrupBM,15-13*ORÇAMENTO!$AF$11)))</f>
        <v>0</v>
      </c>
    </row>
    <row r="224" spans="1:41" s="720" customFormat="1" ht="25.5" x14ac:dyDescent="0.2">
      <c r="A224" s="720" t="str">
        <f ca="1">ORÇAMENTO!C224</f>
        <v>S</v>
      </c>
      <c r="B224" s="720">
        <f ca="1">ORÇAMENTO!D224</f>
        <v>0</v>
      </c>
      <c r="C224" s="115" t="str">
        <f t="shared" ca="1" si="15"/>
        <v/>
      </c>
      <c r="D224" s="118" t="str">
        <f ca="1">ORÇAMENTO!O224</f>
        <v>-</v>
      </c>
      <c r="E224" s="164" t="str">
        <f t="shared" ca="1" si="16"/>
        <v>(abra o arquivo 'Referência 09-2025.xlsm)</v>
      </c>
      <c r="F224" s="165" t="str">
        <f ca="1">IF(RegimeExecucao="Global","",ORÇAMENTO.Unidade)</f>
        <v>-</v>
      </c>
      <c r="G224" s="123">
        <f ca="1">IF(RegimeExecucao="Global","",ORÇAMENTO!T224)</f>
        <v>100</v>
      </c>
      <c r="H224" s="123">
        <f ca="1">IF(RegimeExecucao="Global","",ORÇAMENTO!W224)</f>
        <v>0</v>
      </c>
      <c r="I224" s="126">
        <f ca="1">ORÇAMENTO!X224</f>
        <v>0</v>
      </c>
      <c r="J224" s="334" t="e" cm="1">
        <f t="array" aca="1" ref="J224" ca="1">_xlfn.SINGLE(IF($A224="S",IF(CAIXA.Modo,BM.AFAnterior,BM.MEDAnterior),IF(AND(_xlfn.SINGLE(RegimeExecucao)="Global",$I224&gt;0,COUNTIF($AB$13:$AM$13,BM.medicao-1)&gt;0),M224/$I224*100,0)))</f>
        <v>#NAME?</v>
      </c>
      <c r="K224" s="123" t="e">
        <f t="shared" ca="1" si="17"/>
        <v>#NAME?</v>
      </c>
      <c r="L224" s="335" t="e" cm="1">
        <f t="array" aca="1" ref="L224" ca="1">_xlfn.SINGLE(IF($A224="S",IF(CAIXA.Modo,BM.AFAcumulado,BM.MEDAcumulado),IF(AND(_xlfn.SINGLE(RegimeExecucao)="Global",$I224&gt;0,COUNTIF($AB$13:$AM$13,BM.medicao)&gt;0),O224/$I224*100,0)))</f>
        <v>#NAME?</v>
      </c>
      <c r="M224" s="336">
        <f ca="1">IF($A224="S",VTOTALBM,IF($A224=0,0,ROUND(SomaAgrupBM,15-13*ORÇAMENTO!$AF$11)))</f>
        <v>0</v>
      </c>
      <c r="N224" s="337">
        <f t="shared" ca="1" si="18"/>
        <v>0</v>
      </c>
      <c r="O224" s="126">
        <f ca="1">IF($A224="S",VTOTALBM,IF($A224=0,0,ROUND(SomaAgrupBM,15-13*ORÇAMENTO!$AF$11)))</f>
        <v>0</v>
      </c>
      <c r="Q224" s="338"/>
      <c r="R224" s="339"/>
      <c r="T224" s="118" t="str">
        <f t="shared" ca="1" si="19"/>
        <v/>
      </c>
      <c r="U224" s="164" t="str">
        <f t="shared" ca="1" si="20"/>
        <v/>
      </c>
      <c r="V224" s="165" t="str">
        <f ca="1">IF(AND($W224&gt;0,RegimeExecucao="Unitário"),$F224,"")</f>
        <v/>
      </c>
      <c r="W224" s="455">
        <f ca="1">IF($Y224&gt;0,CHOOSE(MATCH(RegimeExecucao,{"Unitário","Global"},0),IF($A224="S",$Y224/$X224,""),($Y224/$X224)*100),0)</f>
        <v>0</v>
      </c>
      <c r="X224" s="340" t="str">
        <f ca="1">IF($Y224&gt;0,CHOOSE(MATCH(RegimeExecucao,{"Unitário","Global"},0),IF($A224="S",ROUND($H224,ORÇAMENTO!$AF$10),""),ROUND($I224,ORÇAMENTO!$AF$11)),"")</f>
        <v/>
      </c>
      <c r="Y224" s="340">
        <f t="shared" ca="1" si="21"/>
        <v>0</v>
      </c>
      <c r="Z224" s="474"/>
      <c r="AB224" s="338"/>
      <c r="AC224" s="438"/>
      <c r="AD224" s="438"/>
      <c r="AE224" s="438"/>
      <c r="AF224" s="438"/>
      <c r="AG224" s="438"/>
      <c r="AH224" s="438"/>
      <c r="AI224" s="438"/>
      <c r="AJ224" s="438"/>
      <c r="AK224" s="438"/>
      <c r="AL224" s="438"/>
      <c r="AM224" s="339"/>
      <c r="AO224" s="720">
        <f ca="1">IF($A224="S",IF(BM!$I224=0,0,CHOOSE(MATCH(RegimeExecucao,{"Global","Unitário"},0),ROUND(ROUND(BM.MEDAcumulado,15-13*BM!$A$9)/100*BM!$I224,15-13*ORÇAMENTO!$AF$11),ROUND(ROUND(BM.MEDAcumulado,15-13*BM!$A$9)*ROUND(BM!$H224,15-13*ORÇAMENTO!$AF$10),15-13*ORÇAMENTO!$AF$11))),IF($A224=0,0,ROUND(SomaAgrupBM,15-13*ORÇAMENTO!$AF$11)))</f>
        <v>0</v>
      </c>
    </row>
    <row r="225" spans="1:41" s="720" customFormat="1" ht="25.5" x14ac:dyDescent="0.2">
      <c r="A225" s="720" t="str">
        <f ca="1">ORÇAMENTO!C225</f>
        <v>S</v>
      </c>
      <c r="B225" s="720">
        <f ca="1">ORÇAMENTO!D225</f>
        <v>0</v>
      </c>
      <c r="C225" s="115" t="str">
        <f t="shared" ca="1" si="15"/>
        <v/>
      </c>
      <c r="D225" s="118" t="str">
        <f ca="1">ORÇAMENTO!O225</f>
        <v>-</v>
      </c>
      <c r="E225" s="164" t="str">
        <f t="shared" ca="1" si="16"/>
        <v>(abra o arquivo 'Referência 09-2025.xlsm)</v>
      </c>
      <c r="F225" s="165" t="str">
        <f ca="1">IF(RegimeExecucao="Global","",ORÇAMENTO.Unidade)</f>
        <v>-</v>
      </c>
      <c r="G225" s="123">
        <f ca="1">IF(RegimeExecucao="Global","",ORÇAMENTO!T225)</f>
        <v>100</v>
      </c>
      <c r="H225" s="123">
        <f ca="1">IF(RegimeExecucao="Global","",ORÇAMENTO!W225)</f>
        <v>0</v>
      </c>
      <c r="I225" s="126">
        <f ca="1">ORÇAMENTO!X225</f>
        <v>0</v>
      </c>
      <c r="J225" s="334" t="e" cm="1">
        <f t="array" aca="1" ref="J225" ca="1">_xlfn.SINGLE(IF($A225="S",IF(CAIXA.Modo,BM.AFAnterior,BM.MEDAnterior),IF(AND(_xlfn.SINGLE(RegimeExecucao)="Global",$I225&gt;0,COUNTIF($AB$13:$AM$13,BM.medicao-1)&gt;0),M225/$I225*100,0)))</f>
        <v>#NAME?</v>
      </c>
      <c r="K225" s="123" t="e">
        <f t="shared" ca="1" si="17"/>
        <v>#NAME?</v>
      </c>
      <c r="L225" s="335" t="e" cm="1">
        <f t="array" aca="1" ref="L225" ca="1">_xlfn.SINGLE(IF($A225="S",IF(CAIXA.Modo,BM.AFAcumulado,BM.MEDAcumulado),IF(AND(_xlfn.SINGLE(RegimeExecucao)="Global",$I225&gt;0,COUNTIF($AB$13:$AM$13,BM.medicao)&gt;0),O225/$I225*100,0)))</f>
        <v>#NAME?</v>
      </c>
      <c r="M225" s="336">
        <f ca="1">IF($A225="S",VTOTALBM,IF($A225=0,0,ROUND(SomaAgrupBM,15-13*ORÇAMENTO!$AF$11)))</f>
        <v>0</v>
      </c>
      <c r="N225" s="337">
        <f t="shared" ca="1" si="18"/>
        <v>0</v>
      </c>
      <c r="O225" s="126">
        <f ca="1">IF($A225="S",VTOTALBM,IF($A225=0,0,ROUND(SomaAgrupBM,15-13*ORÇAMENTO!$AF$11)))</f>
        <v>0</v>
      </c>
      <c r="Q225" s="338"/>
      <c r="R225" s="339"/>
      <c r="T225" s="118" t="str">
        <f t="shared" ca="1" si="19"/>
        <v/>
      </c>
      <c r="U225" s="164" t="str">
        <f t="shared" ca="1" si="20"/>
        <v/>
      </c>
      <c r="V225" s="165" t="str">
        <f ca="1">IF(AND($W225&gt;0,RegimeExecucao="Unitário"),$F225,"")</f>
        <v/>
      </c>
      <c r="W225" s="455">
        <f ca="1">IF($Y225&gt;0,CHOOSE(MATCH(RegimeExecucao,{"Unitário","Global"},0),IF($A225="S",$Y225/$X225,""),($Y225/$X225)*100),0)</f>
        <v>0</v>
      </c>
      <c r="X225" s="340" t="str">
        <f ca="1">IF($Y225&gt;0,CHOOSE(MATCH(RegimeExecucao,{"Unitário","Global"},0),IF($A225="S",ROUND($H225,ORÇAMENTO!$AF$10),""),ROUND($I225,ORÇAMENTO!$AF$11)),"")</f>
        <v/>
      </c>
      <c r="Y225" s="340">
        <f t="shared" ca="1" si="21"/>
        <v>0</v>
      </c>
      <c r="Z225" s="474"/>
      <c r="AB225" s="338"/>
      <c r="AC225" s="438"/>
      <c r="AD225" s="438"/>
      <c r="AE225" s="438"/>
      <c r="AF225" s="438"/>
      <c r="AG225" s="438"/>
      <c r="AH225" s="438"/>
      <c r="AI225" s="438"/>
      <c r="AJ225" s="438"/>
      <c r="AK225" s="438"/>
      <c r="AL225" s="438"/>
      <c r="AM225" s="339"/>
      <c r="AO225" s="720">
        <f ca="1">IF($A225="S",IF(BM!$I225=0,0,CHOOSE(MATCH(RegimeExecucao,{"Global","Unitário"},0),ROUND(ROUND(BM.MEDAcumulado,15-13*BM!$A$9)/100*BM!$I225,15-13*ORÇAMENTO!$AF$11),ROUND(ROUND(BM.MEDAcumulado,15-13*BM!$A$9)*ROUND(BM!$H225,15-13*ORÇAMENTO!$AF$10),15-13*ORÇAMENTO!$AF$11))),IF($A225=0,0,ROUND(SomaAgrupBM,15-13*ORÇAMENTO!$AF$11)))</f>
        <v>0</v>
      </c>
    </row>
    <row r="226" spans="1:41" s="675" customFormat="1" x14ac:dyDescent="0.2">
      <c r="A226" s="675">
        <f ca="1">ORÇAMENTO!C226</f>
        <v>2</v>
      </c>
      <c r="B226" s="675">
        <f ca="1">ORÇAMENTO!D226</f>
        <v>1</v>
      </c>
      <c r="C226" s="115" t="str">
        <f t="shared" ca="1" si="15"/>
        <v>F</v>
      </c>
      <c r="D226" s="118" t="str">
        <f ca="1">ORÇAMENTO!O226</f>
        <v>1.31.</v>
      </c>
      <c r="E226" s="164" t="str">
        <f t="shared" si="16"/>
        <v>CONCLUSÃO DA OBRA</v>
      </c>
      <c r="F226" s="165" t="str">
        <f ca="1">IF(RegimeExecucao="Global","",ORÇAMENTO.Unidade)</f>
        <v>-</v>
      </c>
      <c r="G226" s="123">
        <f ca="1">IF(RegimeExecucao="Global","",ORÇAMENTO!T226)</f>
        <v>0</v>
      </c>
      <c r="H226" s="123">
        <f ca="1">IF(RegimeExecucao="Global","",ORÇAMENTO!W226)</f>
        <v>0</v>
      </c>
      <c r="I226" s="126">
        <f ca="1">ORÇAMENTO!X226</f>
        <v>0</v>
      </c>
      <c r="J226" s="334" t="e" cm="1">
        <f t="array" aca="1" ref="J226" ca="1">_xlfn.SINGLE(IF($A226="S",IF(CAIXA.Modo,BM.AFAnterior,BM.MEDAnterior),IF(AND(_xlfn.SINGLE(RegimeExecucao)="Global",$I226&gt;0,COUNTIF($AB$13:$AM$13,BM.medicao-1)&gt;0),M226/$I226*100,0)))</f>
        <v>#NAME?</v>
      </c>
      <c r="K226" s="123" t="e">
        <f t="shared" ca="1" si="17"/>
        <v>#NAME?</v>
      </c>
      <c r="L226" s="335" t="e" cm="1">
        <f t="array" aca="1" ref="L226" ca="1">_xlfn.SINGLE(IF($A226="S",IF(CAIXA.Modo,BM.AFAcumulado,BM.MEDAcumulado),IF(AND(_xlfn.SINGLE(RegimeExecucao)="Global",$I226&gt;0,COUNTIF($AB$13:$AM$13,BM.medicao)&gt;0),O226/$I226*100,0)))</f>
        <v>#NAME?</v>
      </c>
      <c r="M226" s="336">
        <f ca="1">IF($A226="S",VTOTALBM,IF($A226=0,0,ROUND(SomaAgrupBM,15-13*ORÇAMENTO!$AF$11)))</f>
        <v>0</v>
      </c>
      <c r="N226" s="337">
        <f t="shared" ca="1" si="18"/>
        <v>0</v>
      </c>
      <c r="O226" s="126">
        <f ca="1">IF($A226="S",VTOTALBM,IF($A226=0,0,ROUND(SomaAgrupBM,15-13*ORÇAMENTO!$AF$11)))</f>
        <v>0</v>
      </c>
      <c r="Q226" s="338"/>
      <c r="R226" s="339"/>
      <c r="T226" s="118" t="str">
        <f t="shared" ca="1" si="19"/>
        <v/>
      </c>
      <c r="U226" s="164" t="str">
        <f t="shared" ca="1" si="20"/>
        <v/>
      </c>
      <c r="V226" s="165" t="str">
        <f ca="1">IF(AND($W226&gt;0,RegimeExecucao="Unitário"),$F226,"")</f>
        <v/>
      </c>
      <c r="W226" s="455">
        <f ca="1">IF($Y226&gt;0,CHOOSE(MATCH(RegimeExecucao,{"Unitário","Global"},0),IF($A226="S",$Y226/$X226,""),($Y226/$X226)*100),0)</f>
        <v>0</v>
      </c>
      <c r="X226" s="340" t="str">
        <f ca="1">IF($Y226&gt;0,CHOOSE(MATCH(RegimeExecucao,{"Unitário","Global"},0),IF($A226="S",ROUND($H226,ORÇAMENTO!$AF$10),""),ROUND($I226,ORÇAMENTO!$AF$11)),"")</f>
        <v/>
      </c>
      <c r="Y226" s="340">
        <f t="shared" ca="1" si="21"/>
        <v>0</v>
      </c>
      <c r="Z226" s="474"/>
      <c r="AB226" s="338"/>
      <c r="AC226" s="438"/>
      <c r="AD226" s="438"/>
      <c r="AE226" s="438"/>
      <c r="AF226" s="438"/>
      <c r="AG226" s="438"/>
      <c r="AH226" s="438"/>
      <c r="AI226" s="438"/>
      <c r="AJ226" s="438"/>
      <c r="AK226" s="438"/>
      <c r="AL226" s="438"/>
      <c r="AM226" s="339"/>
      <c r="AO226" s="675">
        <f ca="1">IF($A226="S",IF(BM!$I226=0,0,CHOOSE(MATCH(RegimeExecucao,{"Global","Unitário"},0),ROUND(ROUND(BM.MEDAcumulado,15-13*BM!$A$9)/100*BM!$I226,15-13*ORÇAMENTO!$AF$11),ROUND(ROUND(BM.MEDAcumulado,15-13*BM!$A$9)*ROUND(BM!$H226,15-13*ORÇAMENTO!$AF$10),15-13*ORÇAMENTO!$AF$11))),IF($A226=0,0,ROUND(SomaAgrupBM,15-13*ORÇAMENTO!$AF$11)))</f>
        <v>0</v>
      </c>
    </row>
    <row r="227" spans="1:41" s="708" customFormat="1" x14ac:dyDescent="0.2">
      <c r="A227" s="708">
        <f ca="1">ORÇAMENTO!C227</f>
        <v>2</v>
      </c>
      <c r="B227" s="708">
        <f ca="1">ORÇAMENTO!D227</f>
        <v>4</v>
      </c>
      <c r="C227" s="115" t="str">
        <f t="shared" ca="1" si="15"/>
        <v>F</v>
      </c>
      <c r="D227" s="118" t="str">
        <f ca="1">ORÇAMENTO!O227</f>
        <v>1.32.</v>
      </c>
      <c r="E227" s="164" t="str">
        <f t="shared" si="16"/>
        <v>PROJETO AS BUILT</v>
      </c>
      <c r="F227" s="165" t="str">
        <f ca="1">IF(RegimeExecucao="Global","",ORÇAMENTO.Unidade)</f>
        <v>-</v>
      </c>
      <c r="G227" s="123">
        <f ca="1">IF(RegimeExecucao="Global","",ORÇAMENTO!T227)</f>
        <v>0</v>
      </c>
      <c r="H227" s="123">
        <f ca="1">IF(RegimeExecucao="Global","",ORÇAMENTO!W227)</f>
        <v>0</v>
      </c>
      <c r="I227" s="126">
        <f ca="1">ORÇAMENTO!X227</f>
        <v>0</v>
      </c>
      <c r="J227" s="334" t="e" cm="1">
        <f t="array" aca="1" ref="J227" ca="1">_xlfn.SINGLE(IF($A227="S",IF(CAIXA.Modo,BM.AFAnterior,BM.MEDAnterior),IF(AND(_xlfn.SINGLE(RegimeExecucao)="Global",$I227&gt;0,COUNTIF($AB$13:$AM$13,BM.medicao-1)&gt;0),M227/$I227*100,0)))</f>
        <v>#NAME?</v>
      </c>
      <c r="K227" s="123" t="e">
        <f t="shared" ca="1" si="17"/>
        <v>#NAME?</v>
      </c>
      <c r="L227" s="335" t="e" cm="1">
        <f t="array" aca="1" ref="L227" ca="1">_xlfn.SINGLE(IF($A227="S",IF(CAIXA.Modo,BM.AFAcumulado,BM.MEDAcumulado),IF(AND(_xlfn.SINGLE(RegimeExecucao)="Global",$I227&gt;0,COUNTIF($AB$13:$AM$13,BM.medicao)&gt;0),O227/$I227*100,0)))</f>
        <v>#NAME?</v>
      </c>
      <c r="M227" s="336">
        <f ca="1">IF($A227="S",VTOTALBM,IF($A227=0,0,ROUND(SomaAgrupBM,15-13*ORÇAMENTO!$AF$11)))</f>
        <v>0</v>
      </c>
      <c r="N227" s="337">
        <f t="shared" ca="1" si="18"/>
        <v>0</v>
      </c>
      <c r="O227" s="126">
        <f ca="1">IF($A227="S",VTOTALBM,IF($A227=0,0,ROUND(SomaAgrupBM,15-13*ORÇAMENTO!$AF$11)))</f>
        <v>0</v>
      </c>
      <c r="Q227" s="338"/>
      <c r="R227" s="339"/>
      <c r="T227" s="118" t="str">
        <f t="shared" ca="1" si="19"/>
        <v/>
      </c>
      <c r="U227" s="164" t="str">
        <f t="shared" ca="1" si="20"/>
        <v/>
      </c>
      <c r="V227" s="165" t="str">
        <f ca="1">IF(AND($W227&gt;0,RegimeExecucao="Unitário"),$F227,"")</f>
        <v/>
      </c>
      <c r="W227" s="455">
        <f ca="1">IF($Y227&gt;0,CHOOSE(MATCH(RegimeExecucao,{"Unitário","Global"},0),IF($A227="S",$Y227/$X227,""),($Y227/$X227)*100),0)</f>
        <v>0</v>
      </c>
      <c r="X227" s="340" t="str">
        <f ca="1">IF($Y227&gt;0,CHOOSE(MATCH(RegimeExecucao,{"Unitário","Global"},0),IF($A227="S",ROUND($H227,ORÇAMENTO!$AF$10),""),ROUND($I227,ORÇAMENTO!$AF$11)),"")</f>
        <v/>
      </c>
      <c r="Y227" s="340">
        <f t="shared" ca="1" si="21"/>
        <v>0</v>
      </c>
      <c r="Z227" s="474"/>
      <c r="AB227" s="338"/>
      <c r="AC227" s="438"/>
      <c r="AD227" s="438"/>
      <c r="AE227" s="438"/>
      <c r="AF227" s="438"/>
      <c r="AG227" s="438"/>
      <c r="AH227" s="438"/>
      <c r="AI227" s="438"/>
      <c r="AJ227" s="438"/>
      <c r="AK227" s="438"/>
      <c r="AL227" s="438"/>
      <c r="AM227" s="339"/>
      <c r="AO227" s="708">
        <f ca="1">IF($A227="S",IF(BM!$I227=0,0,CHOOSE(MATCH(RegimeExecucao,{"Global","Unitário"},0),ROUND(ROUND(BM.MEDAcumulado,15-13*BM!$A$9)/100*BM!$I227,15-13*ORÇAMENTO!$AF$11),ROUND(ROUND(BM.MEDAcumulado,15-13*BM!$A$9)*ROUND(BM!$H227,15-13*ORÇAMENTO!$AF$10),15-13*ORÇAMENTO!$AF$11))),IF($A227=0,0,ROUND(SomaAgrupBM,15-13*ORÇAMENTO!$AF$11)))</f>
        <v>0</v>
      </c>
    </row>
    <row r="228" spans="1:41" s="708" customFormat="1" x14ac:dyDescent="0.2">
      <c r="A228" s="708" t="str">
        <f ca="1">ORÇAMENTO!C228</f>
        <v>S</v>
      </c>
      <c r="B228" s="708">
        <f ca="1">ORÇAMENTO!D228</f>
        <v>0</v>
      </c>
      <c r="C228" s="115" t="str">
        <f t="shared" ca="1" si="15"/>
        <v/>
      </c>
      <c r="D228" s="118" t="str">
        <f ca="1">ORÇAMENTO!O228</f>
        <v>-</v>
      </c>
      <c r="E228" s="164" t="str">
        <f t="shared" ca="1" si="16"/>
        <v>(abra o arquivo 'Referência 09-2025.xlsm)</v>
      </c>
      <c r="F228" s="165" t="str">
        <f ca="1">IF(RegimeExecucao="Global","",ORÇAMENTO.Unidade)</f>
        <v>-</v>
      </c>
      <c r="G228" s="123">
        <f ca="1">IF(RegimeExecucao="Global","",ORÇAMENTO!T228)</f>
        <v>1.2</v>
      </c>
      <c r="H228" s="123">
        <f ca="1">IF(RegimeExecucao="Global","",ORÇAMENTO!W228)</f>
        <v>0</v>
      </c>
      <c r="I228" s="126">
        <f ca="1">ORÇAMENTO!X228</f>
        <v>0</v>
      </c>
      <c r="J228" s="334" t="e" cm="1">
        <f t="array" aca="1" ref="J228" ca="1">_xlfn.SINGLE(IF($A228="S",IF(CAIXA.Modo,BM.AFAnterior,BM.MEDAnterior),IF(AND(_xlfn.SINGLE(RegimeExecucao)="Global",$I228&gt;0,COUNTIF($AB$13:$AM$13,BM.medicao-1)&gt;0),M228/$I228*100,0)))</f>
        <v>#NAME?</v>
      </c>
      <c r="K228" s="123" t="e">
        <f t="shared" ca="1" si="17"/>
        <v>#NAME?</v>
      </c>
      <c r="L228" s="335" t="e" cm="1">
        <f t="array" aca="1" ref="L228" ca="1">_xlfn.SINGLE(IF($A228="S",IF(CAIXA.Modo,BM.AFAcumulado,BM.MEDAcumulado),IF(AND(_xlfn.SINGLE(RegimeExecucao)="Global",$I228&gt;0,COUNTIF($AB$13:$AM$13,BM.medicao)&gt;0),O228/$I228*100,0)))</f>
        <v>#NAME?</v>
      </c>
      <c r="M228" s="336">
        <f ca="1">IF($A228="S",VTOTALBM,IF($A228=0,0,ROUND(SomaAgrupBM,15-13*ORÇAMENTO!$AF$11)))</f>
        <v>0</v>
      </c>
      <c r="N228" s="337">
        <f t="shared" ca="1" si="18"/>
        <v>0</v>
      </c>
      <c r="O228" s="126">
        <f ca="1">IF($A228="S",VTOTALBM,IF($A228=0,0,ROUND(SomaAgrupBM,15-13*ORÇAMENTO!$AF$11)))</f>
        <v>0</v>
      </c>
      <c r="Q228" s="338"/>
      <c r="R228" s="339"/>
      <c r="T228" s="118" t="str">
        <f t="shared" ca="1" si="19"/>
        <v/>
      </c>
      <c r="U228" s="164" t="str">
        <f t="shared" ca="1" si="20"/>
        <v/>
      </c>
      <c r="V228" s="165" t="str">
        <f ca="1">IF(AND($W228&gt;0,RegimeExecucao="Unitário"),$F228,"")</f>
        <v/>
      </c>
      <c r="W228" s="455">
        <f ca="1">IF($Y228&gt;0,CHOOSE(MATCH(RegimeExecucao,{"Unitário","Global"},0),IF($A228="S",$Y228/$X228,""),($Y228/$X228)*100),0)</f>
        <v>0</v>
      </c>
      <c r="X228" s="340" t="str">
        <f ca="1">IF($Y228&gt;0,CHOOSE(MATCH(RegimeExecucao,{"Unitário","Global"},0),IF($A228="S",ROUND($H228,ORÇAMENTO!$AF$10),""),ROUND($I228,ORÇAMENTO!$AF$11)),"")</f>
        <v/>
      </c>
      <c r="Y228" s="340">
        <f t="shared" ca="1" si="21"/>
        <v>0</v>
      </c>
      <c r="Z228" s="474"/>
      <c r="AB228" s="338"/>
      <c r="AC228" s="438"/>
      <c r="AD228" s="438"/>
      <c r="AE228" s="438"/>
      <c r="AF228" s="438"/>
      <c r="AG228" s="438"/>
      <c r="AH228" s="438"/>
      <c r="AI228" s="438"/>
      <c r="AJ228" s="438"/>
      <c r="AK228" s="438"/>
      <c r="AL228" s="438"/>
      <c r="AM228" s="339"/>
      <c r="AO228" s="708">
        <f ca="1">IF($A228="S",IF(BM!$I228=0,0,CHOOSE(MATCH(RegimeExecucao,{"Global","Unitário"},0),ROUND(ROUND(BM.MEDAcumulado,15-13*BM!$A$9)/100*BM!$I228,15-13*ORÇAMENTO!$AF$11),ROUND(ROUND(BM.MEDAcumulado,15-13*BM!$A$9)*ROUND(BM!$H228,15-13*ORÇAMENTO!$AF$10),15-13*ORÇAMENTO!$AF$11))),IF($A228=0,0,ROUND(SomaAgrupBM,15-13*ORÇAMENTO!$AF$11)))</f>
        <v>0</v>
      </c>
    </row>
    <row r="229" spans="1:41" s="711" customFormat="1" x14ac:dyDescent="0.2">
      <c r="A229" s="711" t="str">
        <f ca="1">ORÇAMENTO!C229</f>
        <v>S</v>
      </c>
      <c r="B229" s="711">
        <f ca="1">ORÇAMENTO!D229</f>
        <v>0</v>
      </c>
      <c r="C229" s="115" t="str">
        <f ca="1">IF(OR($I229&gt;0,$A229=1,$A229=2,$A229=3,$A229=4),"F","")</f>
        <v/>
      </c>
      <c r="D229" s="118" t="str">
        <f ca="1">ORÇAMENTO!O229</f>
        <v>-</v>
      </c>
      <c r="E229" s="164" t="str">
        <f ca="1">ORÇAMENTO.Descricao</f>
        <v>(abra o arquivo 'Referência 09-2025.xlsm)</v>
      </c>
      <c r="F229" s="165" t="str">
        <f ca="1">IF(RegimeExecucao="Global","",ORÇAMENTO.Unidade)</f>
        <v>-</v>
      </c>
      <c r="G229" s="123">
        <f ca="1">IF(RegimeExecucao="Global","",ORÇAMENTO!T229)</f>
        <v>2.89</v>
      </c>
      <c r="H229" s="123">
        <f ca="1">IF(RegimeExecucao="Global","",ORÇAMENTO!W229)</f>
        <v>0</v>
      </c>
      <c r="I229" s="126">
        <f ca="1">ORÇAMENTO!X229</f>
        <v>0</v>
      </c>
      <c r="J229" s="334" t="e" cm="1">
        <f t="array" aca="1" ref="J229" ca="1">_xlfn.SINGLE(IF($A229="S",IF(CAIXA.Modo,BM.AFAnterior,BM.MEDAnterior),IF(AND(_xlfn.SINGLE(RegimeExecucao)="Global",$I229&gt;0,COUNTIF($AB$13:$AM$13,BM.medicao-1)&gt;0),M229/$I229*100,0)))</f>
        <v>#NAME?</v>
      </c>
      <c r="K229" s="123" t="e">
        <f ca="1">L229-J229</f>
        <v>#NAME?</v>
      </c>
      <c r="L229" s="335" t="e" cm="1">
        <f t="array" aca="1" ref="L229" ca="1">_xlfn.SINGLE(IF($A229="S",IF(CAIXA.Modo,BM.AFAcumulado,BM.MEDAcumulado),IF(AND(_xlfn.SINGLE(RegimeExecucao)="Global",$I229&gt;0,COUNTIF($AB$13:$AM$13,BM.medicao)&gt;0),O229/$I229*100,0)))</f>
        <v>#NAME?</v>
      </c>
      <c r="M229" s="336">
        <f ca="1">IF($A229="S",VTOTALBM,IF($A229=0,0,ROUND(SomaAgrupBM,15-13*ORÇAMENTO!$AF$11)))</f>
        <v>0</v>
      </c>
      <c r="N229" s="337">
        <f ca="1">O229-M229</f>
        <v>0</v>
      </c>
      <c r="O229" s="126">
        <f ca="1">IF($A229="S",VTOTALBM,IF($A229=0,0,ROUND(SomaAgrupBM,15-13*ORÇAMENTO!$AF$11)))</f>
        <v>0</v>
      </c>
      <c r="Q229" s="338"/>
      <c r="R229" s="339"/>
      <c r="T229" s="118" t="str">
        <f ca="1">IF($W229&gt;0,$D229,"")</f>
        <v/>
      </c>
      <c r="U229" s="164" t="str">
        <f ca="1">IF($W229&gt;0,$E229,"")</f>
        <v/>
      </c>
      <c r="V229" s="165" t="str">
        <f ca="1">IF(AND($W229&gt;0,RegimeExecucao="Unitário"),$F229,"")</f>
        <v/>
      </c>
      <c r="W229" s="455">
        <f ca="1">IF($Y229&gt;0,CHOOSE(MATCH(RegimeExecucao,{"Unitário","Global"},0),IF($A229="S",$Y229/$X229,""),($Y229/$X229)*100),0)</f>
        <v>0</v>
      </c>
      <c r="X229" s="340" t="str">
        <f ca="1">IF($Y229&gt;0,CHOOSE(MATCH(RegimeExecucao,{"Unitário","Global"},0),IF($A229="S",ROUND($H229,ORÇAMENTO!$AF$10),""),ROUND($I229,ORÇAMENTO!$AF$11)),"")</f>
        <v/>
      </c>
      <c r="Y229" s="340">
        <f ca="1">AO229-O229</f>
        <v>0</v>
      </c>
      <c r="Z229" s="474"/>
      <c r="AB229" s="338"/>
      <c r="AC229" s="438"/>
      <c r="AD229" s="438"/>
      <c r="AE229" s="438"/>
      <c r="AF229" s="438"/>
      <c r="AG229" s="438"/>
      <c r="AH229" s="438"/>
      <c r="AI229" s="438"/>
      <c r="AJ229" s="438"/>
      <c r="AK229" s="438"/>
      <c r="AL229" s="438"/>
      <c r="AM229" s="339"/>
      <c r="AO229" s="711">
        <f ca="1">IF($A229="S",IF(BM!$I229=0,0,CHOOSE(MATCH(RegimeExecucao,{"Global","Unitário"},0),ROUND(ROUND(BM.MEDAcumulado,15-13*BM!$A$9)/100*BM!$I229,15-13*ORÇAMENTO!$AF$11),ROUND(ROUND(BM.MEDAcumulado,15-13*BM!$A$9)*ROUND(BM!$H229,15-13*ORÇAMENTO!$AF$10),15-13*ORÇAMENTO!$AF$11))),IF($A229=0,0,ROUND(SomaAgrupBM,15-13*ORÇAMENTO!$AF$11)))</f>
        <v>0</v>
      </c>
    </row>
    <row r="230" spans="1:41" s="708" customFormat="1" ht="25.5" x14ac:dyDescent="0.2">
      <c r="A230" s="708" t="str">
        <f ca="1">ORÇAMENTO!C230</f>
        <v>S</v>
      </c>
      <c r="B230" s="708">
        <f ca="1">ORÇAMENTO!D230</f>
        <v>0</v>
      </c>
      <c r="C230" s="115" t="str">
        <f t="shared" ca="1" si="15"/>
        <v/>
      </c>
      <c r="D230" s="118" t="str">
        <f ca="1">ORÇAMENTO!O230</f>
        <v>-</v>
      </c>
      <c r="E230" s="164" t="str">
        <f t="shared" ca="1" si="16"/>
        <v>(abra o arquivo 'Referência 09-2025.xlsm)</v>
      </c>
      <c r="F230" s="165" t="str">
        <f ca="1">IF(RegimeExecucao="Global","",ORÇAMENTO.Unidade)</f>
        <v>-</v>
      </c>
      <c r="G230" s="123">
        <f ca="1">IF(RegimeExecucao="Global","",ORÇAMENTO!T230)</f>
        <v>2</v>
      </c>
      <c r="H230" s="123">
        <f ca="1">IF(RegimeExecucao="Global","",ORÇAMENTO!W230)</f>
        <v>0</v>
      </c>
      <c r="I230" s="126">
        <f ca="1">ORÇAMENTO!X230</f>
        <v>0</v>
      </c>
      <c r="J230" s="334" t="e" cm="1">
        <f t="array" aca="1" ref="J230" ca="1">_xlfn.SINGLE(IF($A230="S",IF(CAIXA.Modo,BM.AFAnterior,BM.MEDAnterior),IF(AND(_xlfn.SINGLE(RegimeExecucao)="Global",$I230&gt;0,COUNTIF($AB$13:$AM$13,BM.medicao-1)&gt;0),M230/$I230*100,0)))</f>
        <v>#NAME?</v>
      </c>
      <c r="K230" s="123" t="e">
        <f t="shared" ca="1" si="17"/>
        <v>#NAME?</v>
      </c>
      <c r="L230" s="335" t="e" cm="1">
        <f t="array" aca="1" ref="L230" ca="1">_xlfn.SINGLE(IF($A230="S",IF(CAIXA.Modo,BM.AFAcumulado,BM.MEDAcumulado),IF(AND(_xlfn.SINGLE(RegimeExecucao)="Global",$I230&gt;0,COUNTIF($AB$13:$AM$13,BM.medicao)&gt;0),O230/$I230*100,0)))</f>
        <v>#NAME?</v>
      </c>
      <c r="M230" s="336">
        <f ca="1">IF($A230="S",VTOTALBM,IF($A230=0,0,ROUND(SomaAgrupBM,15-13*ORÇAMENTO!$AF$11)))</f>
        <v>0</v>
      </c>
      <c r="N230" s="337">
        <f t="shared" ca="1" si="18"/>
        <v>0</v>
      </c>
      <c r="O230" s="126">
        <f ca="1">IF($A230="S",VTOTALBM,IF($A230=0,0,ROUND(SomaAgrupBM,15-13*ORÇAMENTO!$AF$11)))</f>
        <v>0</v>
      </c>
      <c r="Q230" s="338"/>
      <c r="R230" s="339"/>
      <c r="T230" s="118" t="str">
        <f t="shared" ca="1" si="19"/>
        <v/>
      </c>
      <c r="U230" s="164" t="str">
        <f t="shared" ca="1" si="20"/>
        <v/>
      </c>
      <c r="V230" s="165" t="str">
        <f ca="1">IF(AND($W230&gt;0,RegimeExecucao="Unitário"),$F230,"")</f>
        <v/>
      </c>
      <c r="W230" s="455">
        <f ca="1">IF($Y230&gt;0,CHOOSE(MATCH(RegimeExecucao,{"Unitário","Global"},0),IF($A230="S",$Y230/$X230,""),($Y230/$X230)*100),0)</f>
        <v>0</v>
      </c>
      <c r="X230" s="340" t="str">
        <f ca="1">IF($Y230&gt;0,CHOOSE(MATCH(RegimeExecucao,{"Unitário","Global"},0),IF($A230="S",ROUND($H230,ORÇAMENTO!$AF$10),""),ROUND($I230,ORÇAMENTO!$AF$11)),"")</f>
        <v/>
      </c>
      <c r="Y230" s="340">
        <f t="shared" ca="1" si="21"/>
        <v>0</v>
      </c>
      <c r="Z230" s="474"/>
      <c r="AB230" s="338"/>
      <c r="AC230" s="438"/>
      <c r="AD230" s="438"/>
      <c r="AE230" s="438"/>
      <c r="AF230" s="438"/>
      <c r="AG230" s="438"/>
      <c r="AH230" s="438"/>
      <c r="AI230" s="438"/>
      <c r="AJ230" s="438"/>
      <c r="AK230" s="438"/>
      <c r="AL230" s="438"/>
      <c r="AM230" s="339"/>
      <c r="AO230" s="708">
        <f ca="1">IF($A230="S",IF(BM!$I230=0,0,CHOOSE(MATCH(RegimeExecucao,{"Global","Unitário"},0),ROUND(ROUND(BM.MEDAcumulado,15-13*BM!$A$9)/100*BM!$I230,15-13*ORÇAMENTO!$AF$11),ROUND(ROUND(BM.MEDAcumulado,15-13*BM!$A$9)*ROUND(BM!$H230,15-13*ORÇAMENTO!$AF$10),15-13*ORÇAMENTO!$AF$11))),IF($A230=0,0,ROUND(SomaAgrupBM,15-13*ORÇAMENTO!$AF$11)))</f>
        <v>0</v>
      </c>
    </row>
    <row r="231" spans="1:41" ht="5.0999999999999996" customHeight="1" x14ac:dyDescent="0.2">
      <c r="C231" s="115" t="s">
        <v>537</v>
      </c>
      <c r="D231" s="619"/>
      <c r="E231" s="620"/>
      <c r="F231" s="620"/>
      <c r="G231" s="620"/>
      <c r="H231" s="620"/>
      <c r="I231" s="420"/>
      <c r="J231" s="619"/>
      <c r="K231" s="620"/>
      <c r="L231" s="420"/>
      <c r="M231" s="435"/>
      <c r="N231" s="436"/>
      <c r="O231" s="437"/>
      <c r="Q231" s="619"/>
      <c r="R231" s="420"/>
      <c r="T231" s="619"/>
      <c r="U231" s="620"/>
      <c r="V231" s="620"/>
      <c r="W231" s="620"/>
      <c r="X231" s="620"/>
      <c r="Y231" s="620"/>
      <c r="Z231" s="420"/>
      <c r="AB231" s="619"/>
      <c r="AC231" s="620"/>
      <c r="AD231" s="620"/>
      <c r="AE231" s="620"/>
      <c r="AF231" s="620"/>
      <c r="AG231" s="620"/>
      <c r="AH231" s="620"/>
      <c r="AI231" s="620"/>
      <c r="AJ231" s="620"/>
      <c r="AK231" s="620"/>
      <c r="AL231" s="620"/>
      <c r="AM231" s="420"/>
    </row>
    <row r="233" spans="1:41" ht="14.25" x14ac:dyDescent="0.2">
      <c r="D233" s="861" t="s">
        <v>690</v>
      </c>
      <c r="E233" s="861"/>
      <c r="F233" s="861"/>
      <c r="G233" s="861"/>
      <c r="H233" s="861"/>
      <c r="I233" s="861"/>
      <c r="J233" s="861"/>
      <c r="K233" s="861"/>
      <c r="L233" s="861"/>
      <c r="M233" s="861"/>
      <c r="N233" s="861"/>
      <c r="O233" s="861"/>
      <c r="T233" s="862" t="s">
        <v>866</v>
      </c>
      <c r="U233" s="862"/>
      <c r="V233" s="862"/>
      <c r="W233" s="862"/>
      <c r="X233" s="862"/>
      <c r="Y233" s="862"/>
      <c r="Z233" s="862"/>
    </row>
    <row r="234" spans="1:41" ht="12.75" customHeight="1" x14ac:dyDescent="0.2">
      <c r="D234" s="762"/>
      <c r="E234" s="762"/>
      <c r="F234" s="762"/>
      <c r="G234" s="762"/>
      <c r="H234" s="762"/>
      <c r="I234" s="762"/>
      <c r="J234" s="762"/>
      <c r="K234" s="762"/>
      <c r="L234" s="762"/>
      <c r="M234" s="762"/>
      <c r="N234" s="762"/>
      <c r="O234" s="762"/>
      <c r="T234" s="863"/>
      <c r="U234" s="863"/>
      <c r="V234" s="863"/>
      <c r="W234" s="863"/>
      <c r="X234" s="863"/>
      <c r="Y234" s="863"/>
      <c r="Z234" s="863"/>
    </row>
    <row r="235" spans="1:41" ht="12.75" customHeight="1" x14ac:dyDescent="0.2">
      <c r="D235" s="762"/>
      <c r="E235" s="762"/>
      <c r="F235" s="762"/>
      <c r="G235" s="762"/>
      <c r="H235" s="762"/>
      <c r="I235" s="762"/>
      <c r="J235" s="762"/>
      <c r="K235" s="762"/>
      <c r="L235" s="762"/>
      <c r="M235" s="762"/>
      <c r="N235" s="762"/>
      <c r="O235" s="762"/>
      <c r="T235" s="863"/>
      <c r="U235" s="863"/>
      <c r="V235" s="863"/>
      <c r="W235" s="863"/>
      <c r="X235" s="863"/>
      <c r="Y235" s="863"/>
      <c r="Z235" s="863"/>
    </row>
    <row r="236" spans="1:41" ht="12.75" customHeight="1" x14ac:dyDescent="0.2">
      <c r="D236" s="762"/>
      <c r="E236" s="762"/>
      <c r="F236" s="762"/>
      <c r="G236" s="762"/>
      <c r="H236" s="762"/>
      <c r="I236" s="762"/>
      <c r="J236" s="762"/>
      <c r="K236" s="762"/>
      <c r="L236" s="762"/>
      <c r="M236" s="762"/>
      <c r="N236" s="762"/>
      <c r="O236" s="762"/>
      <c r="T236" s="863"/>
      <c r="U236" s="863"/>
      <c r="V236" s="863"/>
      <c r="W236" s="863"/>
      <c r="X236" s="863"/>
      <c r="Y236" s="863"/>
      <c r="Z236" s="863"/>
    </row>
    <row r="237" spans="1:41" ht="14.25" x14ac:dyDescent="0.2">
      <c r="D237" s="444"/>
      <c r="E237" s="444"/>
      <c r="F237" s="444"/>
      <c r="G237" s="444"/>
      <c r="H237" s="444"/>
      <c r="I237" s="444"/>
      <c r="J237" s="444"/>
      <c r="K237" s="444"/>
      <c r="L237" s="444"/>
      <c r="M237" s="444"/>
      <c r="N237" s="444"/>
      <c r="O237" s="444"/>
    </row>
    <row r="238" spans="1:41" ht="15" customHeight="1" x14ac:dyDescent="0.25">
      <c r="D238" s="763"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238" s="763"/>
      <c r="F238" s="763"/>
      <c r="G238" s="763"/>
      <c r="H238" s="763"/>
      <c r="I238" s="763"/>
      <c r="J238" s="763"/>
      <c r="K238" s="763"/>
      <c r="L238" s="763"/>
    </row>
    <row r="239" spans="1:41" x14ac:dyDescent="0.2">
      <c r="D239" s="859"/>
      <c r="E239" s="859"/>
      <c r="F239" s="859"/>
      <c r="G239" s="859"/>
      <c r="H239" s="859"/>
      <c r="I239" s="859"/>
    </row>
    <row r="240" spans="1:41" x14ac:dyDescent="0.2">
      <c r="D240" s="86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40" s="866"/>
      <c r="F240" s="866"/>
      <c r="G240" s="866"/>
      <c r="H240" s="866"/>
      <c r="I240" s="866"/>
      <c r="J240" s="866"/>
      <c r="K240" s="866"/>
      <c r="L240" s="866"/>
      <c r="M240" s="866"/>
      <c r="N240" s="866"/>
      <c r="O240" s="866"/>
    </row>
    <row r="241" spans="5:26" ht="39.950000000000003" customHeight="1" x14ac:dyDescent="0.25">
      <c r="E241" s="139" t="str">
        <f>Import.Município</f>
        <v>PASSOS/MG</v>
      </c>
      <c r="J241" s="586" t="str">
        <f ca="1">IF(DADOS!$D$50&lt;&gt;"","Preencher os Dados do Responsável pela Fiscalização, na aba DADOS.","")</f>
        <v/>
      </c>
      <c r="K241" s="586"/>
      <c r="L241" s="586"/>
      <c r="M241" s="586"/>
      <c r="W241" s="867"/>
      <c r="X241" s="867"/>
      <c r="Y241" s="867"/>
      <c r="Z241" s="867"/>
    </row>
    <row r="242" spans="5:26" x14ac:dyDescent="0.2">
      <c r="E242" s="9" t="s">
        <v>694</v>
      </c>
      <c r="J242" s="182" t="s">
        <v>842</v>
      </c>
      <c r="W242" s="182" t="s">
        <v>867</v>
      </c>
    </row>
    <row r="243" spans="5:26" x14ac:dyDescent="0.2">
      <c r="J243" s="77" t="s">
        <v>240</v>
      </c>
      <c r="K243" s="272" t="str">
        <f t="array" ref="K243:K246">Import.RespFiscalização</f>
        <v>APARECIDO REIS DOS SANTOS</v>
      </c>
      <c r="L243" s="78"/>
      <c r="W243" s="77" t="s">
        <v>240</v>
      </c>
      <c r="X243" s="865"/>
      <c r="Y243" s="865"/>
      <c r="Z243" s="865"/>
    </row>
    <row r="244" spans="5:26" x14ac:dyDescent="0.2">
      <c r="E244" s="460">
        <f>DADOS!$C$48</f>
        <v>0</v>
      </c>
      <c r="J244" s="77" t="s">
        <v>320</v>
      </c>
      <c r="K244" s="272" t="str">
        <v>ENGENHEIRO CIVIL- GERENTE DE PROJETOS</v>
      </c>
      <c r="L244" s="78"/>
      <c r="W244" s="77" t="s">
        <v>868</v>
      </c>
      <c r="X244" s="865"/>
      <c r="Y244" s="865"/>
      <c r="Z244" s="865"/>
    </row>
    <row r="245" spans="5:26" x14ac:dyDescent="0.2">
      <c r="E245" s="141" t="s">
        <v>695</v>
      </c>
      <c r="J245" s="77" t="s">
        <v>243</v>
      </c>
      <c r="K245" s="272" t="str">
        <v>248.358/D</v>
      </c>
      <c r="L245" s="78"/>
      <c r="W245" s="77" t="s">
        <v>243</v>
      </c>
      <c r="X245" s="865"/>
      <c r="Y245" s="865"/>
      <c r="Z245" s="865"/>
    </row>
    <row r="246" spans="5:26" x14ac:dyDescent="0.2">
      <c r="J246" s="77" t="s">
        <v>246</v>
      </c>
      <c r="K246" s="12">
        <v>0</v>
      </c>
      <c r="W246" s="77"/>
      <c r="X246" s="12"/>
    </row>
  </sheetData>
  <sheetProtection algorithmName="SHA-512" hashValue="TM8Lz4nbsnPRRRa9Apb+7m5XN1b3rrTG5F9rGgPJCM1gSWo90f7hVM064XNhy3ofbOWZ8kHRFCVVMFf6fAggpQ==" saltValue="VyLSsTxmt7aMKM5V5NmraQ==" spinCount="100000" sheet="1" objects="1" scenarios="1" autoFilter="0"/>
  <autoFilter ref="C15:C231" xr:uid="{00000000-0001-0000-0B00-000000000000}"/>
  <mergeCells count="33">
    <mergeCell ref="X245:Z245"/>
    <mergeCell ref="D240:O240"/>
    <mergeCell ref="W241:Z241"/>
    <mergeCell ref="X243:Z243"/>
    <mergeCell ref="X244:Z244"/>
    <mergeCell ref="D238:L238"/>
    <mergeCell ref="D239:I239"/>
    <mergeCell ref="AB15:AM15"/>
    <mergeCell ref="D233:O233"/>
    <mergeCell ref="T233:Z233"/>
    <mergeCell ref="D234:O236"/>
    <mergeCell ref="T234:Z236"/>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36:O43 T36:Z43 D156:O163 T156:Z163 T141:Z141 D141:O141 D123:O130 T123:Z130 D211:O230 T211:Z230 D71:O73 T71:Z73">
    <cfRule type="expression" dxfId="203" priority="13424" stopIfTrue="1">
      <formula>OR(ACOMPANHAMENTO="PLE",TIPOORCAMENTO="Proposto",$L14&lt;0,AND($L14&gt;100,RegimeExecucao="Global"),$O14&gt;$I14,$O14&lt;0)</formula>
    </cfRule>
    <cfRule type="expression" dxfId="202" priority="13425" stopIfTrue="1">
      <formula>$A14=1</formula>
    </cfRule>
    <cfRule type="expression" dxfId="201" priority="13426" stopIfTrue="1">
      <formula>$A14&lt;&gt;"S"</formula>
    </cfRule>
  </conditionalFormatting>
  <conditionalFormatting sqref="Q14:R14 AB14:AM14 Q36:R43 AB36:AM43 Q156:R163 AB156:AM163 AB141:AM141 Q141:R141 Q123:R130 AB123:AM130 Q211:R230 AB211:AM230 Q71:R73 AB71:AM73">
    <cfRule type="expression" dxfId="200" priority="13427" stopIfTrue="1">
      <formula>$A14=1</formula>
    </cfRule>
    <cfRule type="expression" dxfId="199" priority="13428" stopIfTrue="1">
      <formula>$A14&lt;&gt;"S"</formula>
    </cfRule>
  </conditionalFormatting>
  <conditionalFormatting sqref="E2">
    <cfRule type="expression" dxfId="198" priority="13429" stopIfTrue="1">
      <formula>Import.RegimeExecução="(SELECIONAR)"</formula>
    </cfRule>
  </conditionalFormatting>
  <conditionalFormatting sqref="F13:H13">
    <cfRule type="expression" dxfId="197" priority="13430" stopIfTrue="1">
      <formula>RegimeExecucao="Global"</formula>
    </cfRule>
  </conditionalFormatting>
  <conditionalFormatting sqref="D15:O15">
    <cfRule type="expression" dxfId="196" priority="13431" stopIfTrue="1">
      <formula>OR(ACOMPANHAMENTO="PLE",TIPOORCAMENTO="Proposto")</formula>
    </cfRule>
  </conditionalFormatting>
  <conditionalFormatting sqref="AB13">
    <cfRule type="cellIs" dxfId="195" priority="13432" stopIfTrue="1" operator="notEqual">
      <formula>1</formula>
    </cfRule>
  </conditionalFormatting>
  <conditionalFormatting sqref="O11">
    <cfRule type="expression" dxfId="194" priority="8291">
      <formula>ROUND($P$11,4)&gt;ROUND($P$10,4)</formula>
    </cfRule>
  </conditionalFormatting>
  <conditionalFormatting sqref="D16:O24 T16:Z24">
    <cfRule type="expression" dxfId="193" priority="271" stopIfTrue="1">
      <formula>OR(ACOMPANHAMENTO="PLE",TIPOORCAMENTO="Proposto",$L16&lt;0,AND($L16&gt;100,RegimeExecucao="Global"),$O16&gt;$I16,$O16&lt;0)</formula>
    </cfRule>
    <cfRule type="expression" dxfId="192" priority="272" stopIfTrue="1">
      <formula>$A16=1</formula>
    </cfRule>
    <cfRule type="expression" dxfId="191" priority="273" stopIfTrue="1">
      <formula>$A16&lt;&gt;"S"</formula>
    </cfRule>
  </conditionalFormatting>
  <conditionalFormatting sqref="Q16:R24 AB16:AM24">
    <cfRule type="expression" dxfId="190" priority="274" stopIfTrue="1">
      <formula>$A16=1</formula>
    </cfRule>
    <cfRule type="expression" dxfId="189" priority="275" stopIfTrue="1">
      <formula>$A16&lt;&gt;"S"</formula>
    </cfRule>
  </conditionalFormatting>
  <conditionalFormatting sqref="D25:O25 T25:Z25 T28:Z35 D28:O35">
    <cfRule type="expression" dxfId="188" priority="266" stopIfTrue="1">
      <formula>OR(ACOMPANHAMENTO="PLE",TIPOORCAMENTO="Proposto",$L25&lt;0,AND($L25&gt;100,RegimeExecucao="Global"),$O25&gt;$I25,$O25&lt;0)</formula>
    </cfRule>
    <cfRule type="expression" dxfId="187" priority="267" stopIfTrue="1">
      <formula>$A25=1</formula>
    </cfRule>
    <cfRule type="expression" dxfId="186" priority="268" stopIfTrue="1">
      <formula>$A25&lt;&gt;"S"</formula>
    </cfRule>
  </conditionalFormatting>
  <conditionalFormatting sqref="Q25:R25 AB25:AM25 AB28:AM35 Q28:R35">
    <cfRule type="expression" dxfId="185" priority="269" stopIfTrue="1">
      <formula>$A25=1</formula>
    </cfRule>
    <cfRule type="expression" dxfId="184" priority="270" stopIfTrue="1">
      <formula>$A25&lt;&gt;"S"</formula>
    </cfRule>
  </conditionalFormatting>
  <conditionalFormatting sqref="D44:O52 T44:Z52">
    <cfRule type="expression" dxfId="183" priority="256" stopIfTrue="1">
      <formula>OR(ACOMPANHAMENTO="PLE",TIPOORCAMENTO="Proposto",$L44&lt;0,AND($L44&gt;100,RegimeExecucao="Global"),$O44&gt;$I44,$O44&lt;0)</formula>
    </cfRule>
    <cfRule type="expression" dxfId="182" priority="257" stopIfTrue="1">
      <formula>$A44=1</formula>
    </cfRule>
    <cfRule type="expression" dxfId="181" priority="258" stopIfTrue="1">
      <formula>$A44&lt;&gt;"S"</formula>
    </cfRule>
  </conditionalFormatting>
  <conditionalFormatting sqref="Q44:R52 AB44:AM52">
    <cfRule type="expression" dxfId="180" priority="259" stopIfTrue="1">
      <formula>$A44=1</formula>
    </cfRule>
    <cfRule type="expression" dxfId="179" priority="260" stopIfTrue="1">
      <formula>$A44&lt;&gt;"S"</formula>
    </cfRule>
  </conditionalFormatting>
  <conditionalFormatting sqref="D53:O61 T53:Z61">
    <cfRule type="expression" dxfId="178" priority="251" stopIfTrue="1">
      <formula>OR(ACOMPANHAMENTO="PLE",TIPOORCAMENTO="Proposto",$L53&lt;0,AND($L53&gt;100,RegimeExecucao="Global"),$O53&gt;$I53,$O53&lt;0)</formula>
    </cfRule>
    <cfRule type="expression" dxfId="177" priority="252" stopIfTrue="1">
      <formula>$A53=1</formula>
    </cfRule>
    <cfRule type="expression" dxfId="176" priority="253" stopIfTrue="1">
      <formula>$A53&lt;&gt;"S"</formula>
    </cfRule>
  </conditionalFormatting>
  <conditionalFormatting sqref="Q53:R61 AB53:AM61">
    <cfRule type="expression" dxfId="175" priority="254" stopIfTrue="1">
      <formula>$A53=1</formula>
    </cfRule>
    <cfRule type="expression" dxfId="174" priority="255" stopIfTrue="1">
      <formula>$A53&lt;&gt;"S"</formula>
    </cfRule>
  </conditionalFormatting>
  <conditionalFormatting sqref="D62:O70 T62:Z70">
    <cfRule type="expression" dxfId="173" priority="246" stopIfTrue="1">
      <formula>OR(ACOMPANHAMENTO="PLE",TIPOORCAMENTO="Proposto",$L62&lt;0,AND($L62&gt;100,RegimeExecucao="Global"),$O62&gt;$I62,$O62&lt;0)</formula>
    </cfRule>
    <cfRule type="expression" dxfId="172" priority="247" stopIfTrue="1">
      <formula>$A62=1</formula>
    </cfRule>
    <cfRule type="expression" dxfId="171" priority="248" stopIfTrue="1">
      <formula>$A62&lt;&gt;"S"</formula>
    </cfRule>
  </conditionalFormatting>
  <conditionalFormatting sqref="Q62:R70 AB62:AM70">
    <cfRule type="expression" dxfId="170" priority="249" stopIfTrue="1">
      <formula>$A62=1</formula>
    </cfRule>
    <cfRule type="expression" dxfId="169" priority="250" stopIfTrue="1">
      <formula>$A62&lt;&gt;"S"</formula>
    </cfRule>
  </conditionalFormatting>
  <conditionalFormatting sqref="T74:Z80 D74:O80">
    <cfRule type="expression" dxfId="168" priority="231" stopIfTrue="1">
      <formula>OR(ACOMPANHAMENTO="PLE",TIPOORCAMENTO="Proposto",$L74&lt;0,AND($L74&gt;100,RegimeExecucao="Global"),$O74&gt;$I74,$O74&lt;0)</formula>
    </cfRule>
    <cfRule type="expression" dxfId="167" priority="232" stopIfTrue="1">
      <formula>$A74=1</formula>
    </cfRule>
    <cfRule type="expression" dxfId="166" priority="233" stopIfTrue="1">
      <formula>$A74&lt;&gt;"S"</formula>
    </cfRule>
  </conditionalFormatting>
  <conditionalFormatting sqref="AB74:AM80 Q74:R80">
    <cfRule type="expression" dxfId="165" priority="234" stopIfTrue="1">
      <formula>$A74=1</formula>
    </cfRule>
    <cfRule type="expression" dxfId="164" priority="235" stopIfTrue="1">
      <formula>$A74&lt;&gt;"S"</formula>
    </cfRule>
  </conditionalFormatting>
  <conditionalFormatting sqref="D81:O81 T81:Z81 T84:Z91 D84:O91">
    <cfRule type="expression" dxfId="163" priority="226" stopIfTrue="1">
      <formula>OR(ACOMPANHAMENTO="PLE",TIPOORCAMENTO="Proposto",$L81&lt;0,AND($L81&gt;100,RegimeExecucao="Global"),$O81&gt;$I81,$O81&lt;0)</formula>
    </cfRule>
    <cfRule type="expression" dxfId="162" priority="227" stopIfTrue="1">
      <formula>$A81=1</formula>
    </cfRule>
    <cfRule type="expression" dxfId="161" priority="228" stopIfTrue="1">
      <formula>$A81&lt;&gt;"S"</formula>
    </cfRule>
  </conditionalFormatting>
  <conditionalFormatting sqref="Q81:R81 AB81:AM81 AB84:AM91 Q84:R91">
    <cfRule type="expression" dxfId="160" priority="229" stopIfTrue="1">
      <formula>$A81=1</formula>
    </cfRule>
    <cfRule type="expression" dxfId="159" priority="230" stopIfTrue="1">
      <formula>$A81&lt;&gt;"S"</formula>
    </cfRule>
  </conditionalFormatting>
  <conditionalFormatting sqref="D92:O97 T92:Z97 T113:Z113 D113:O113 T109:Z110 D109:O110">
    <cfRule type="expression" dxfId="158" priority="221" stopIfTrue="1">
      <formula>OR(ACOMPANHAMENTO="PLE",TIPOORCAMENTO="Proposto",$L92&lt;0,AND($L92&gt;100,RegimeExecucao="Global"),$O92&gt;$I92,$O92&lt;0)</formula>
    </cfRule>
    <cfRule type="expression" dxfId="157" priority="222" stopIfTrue="1">
      <formula>$A92=1</formula>
    </cfRule>
    <cfRule type="expression" dxfId="156" priority="223" stopIfTrue="1">
      <formula>$A92&lt;&gt;"S"</formula>
    </cfRule>
  </conditionalFormatting>
  <conditionalFormatting sqref="Q92:R97 AB92:AM97 AB113:AM113 Q113:R113 AB109:AM110 Q109:R110">
    <cfRule type="expression" dxfId="155" priority="224" stopIfTrue="1">
      <formula>$A92=1</formula>
    </cfRule>
    <cfRule type="expression" dxfId="154" priority="225" stopIfTrue="1">
      <formula>$A92&lt;&gt;"S"</formula>
    </cfRule>
  </conditionalFormatting>
  <conditionalFormatting sqref="D114:O122 T114:Z122">
    <cfRule type="expression" dxfId="153" priority="216" stopIfTrue="1">
      <formula>OR(ACOMPANHAMENTO="PLE",TIPOORCAMENTO="Proposto",$L114&lt;0,AND($L114&gt;100,RegimeExecucao="Global"),$O114&gt;$I114,$O114&lt;0)</formula>
    </cfRule>
    <cfRule type="expression" dxfId="152" priority="217" stopIfTrue="1">
      <formula>$A114=1</formula>
    </cfRule>
    <cfRule type="expression" dxfId="151" priority="218" stopIfTrue="1">
      <formula>$A114&lt;&gt;"S"</formula>
    </cfRule>
  </conditionalFormatting>
  <conditionalFormatting sqref="Q114:R122 AB114:AM122">
    <cfRule type="expression" dxfId="150" priority="219" stopIfTrue="1">
      <formula>$A114=1</formula>
    </cfRule>
    <cfRule type="expression" dxfId="149" priority="220" stopIfTrue="1">
      <formula>$A114&lt;&gt;"S"</formula>
    </cfRule>
  </conditionalFormatting>
  <conditionalFormatting sqref="T131:Z131 D131:O131 D133:O140 T133:Z140">
    <cfRule type="expression" dxfId="148" priority="206" stopIfTrue="1">
      <formula>OR(ACOMPANHAMENTO="PLE",TIPOORCAMENTO="Proposto",$L131&lt;0,AND($L131&gt;100,RegimeExecucao="Global"),$O131&gt;$I131,$O131&lt;0)</formula>
    </cfRule>
    <cfRule type="expression" dxfId="147" priority="207" stopIfTrue="1">
      <formula>$A131=1</formula>
    </cfRule>
    <cfRule type="expression" dxfId="146" priority="208" stopIfTrue="1">
      <formula>$A131&lt;&gt;"S"</formula>
    </cfRule>
  </conditionalFormatting>
  <conditionalFormatting sqref="AB131:AM131 Q131:R131 Q133:R140 AB133:AM140">
    <cfRule type="expression" dxfId="145" priority="209" stopIfTrue="1">
      <formula>$A131=1</formula>
    </cfRule>
    <cfRule type="expression" dxfId="144" priority="210" stopIfTrue="1">
      <formula>$A131&lt;&gt;"S"</formula>
    </cfRule>
  </conditionalFormatting>
  <conditionalFormatting sqref="D164:O164 T164:Z164 T143:Z145 D143:O145 T167:Z169 D167:O169">
    <cfRule type="expression" dxfId="143" priority="201" stopIfTrue="1">
      <formula>OR(ACOMPANHAMENTO="PLE",TIPOORCAMENTO="Proposto",$L143&lt;0,AND($L143&gt;100,RegimeExecucao="Global"),$O143&gt;$I143,$O143&lt;0)</formula>
    </cfRule>
    <cfRule type="expression" dxfId="142" priority="202" stopIfTrue="1">
      <formula>$A143=1</formula>
    </cfRule>
    <cfRule type="expression" dxfId="141" priority="203" stopIfTrue="1">
      <formula>$A143&lt;&gt;"S"</formula>
    </cfRule>
  </conditionalFormatting>
  <conditionalFormatting sqref="Q164:R164 AB164:AM164 AB143:AM145 Q143:R145 AB167:AM169 Q167:R169">
    <cfRule type="expression" dxfId="140" priority="204" stopIfTrue="1">
      <formula>$A143=1</formula>
    </cfRule>
    <cfRule type="expression" dxfId="139" priority="205" stopIfTrue="1">
      <formula>$A143&lt;&gt;"S"</formula>
    </cfRule>
  </conditionalFormatting>
  <conditionalFormatting sqref="D170:O173 T170:Z173 T179:Z182 D179:O182 T176:Z176 D176:O176">
    <cfRule type="expression" dxfId="138" priority="196" stopIfTrue="1">
      <formula>OR(ACOMPANHAMENTO="PLE",TIPOORCAMENTO="Proposto",$L170&lt;0,AND($L170&gt;100,RegimeExecucao="Global"),$O170&gt;$I170,$O170&lt;0)</formula>
    </cfRule>
    <cfRule type="expression" dxfId="137" priority="197" stopIfTrue="1">
      <formula>$A170=1</formula>
    </cfRule>
    <cfRule type="expression" dxfId="136" priority="198" stopIfTrue="1">
      <formula>$A170&lt;&gt;"S"</formula>
    </cfRule>
  </conditionalFormatting>
  <conditionalFormatting sqref="Q170:R173 AB170:AM173 AB179:AM182 Q179:R182 AB176:AM176 Q176:R176">
    <cfRule type="expression" dxfId="135" priority="199" stopIfTrue="1">
      <formula>$A170=1</formula>
    </cfRule>
    <cfRule type="expression" dxfId="134" priority="200" stopIfTrue="1">
      <formula>$A170&lt;&gt;"S"</formula>
    </cfRule>
  </conditionalFormatting>
  <conditionalFormatting sqref="T183:Z188 D183:O188 D190:O192 T190:Z192">
    <cfRule type="expression" dxfId="133" priority="191" stopIfTrue="1">
      <formula>OR(ACOMPANHAMENTO="PLE",TIPOORCAMENTO="Proposto",$L183&lt;0,AND($L183&gt;100,RegimeExecucao="Global"),$O183&gt;$I183,$O183&lt;0)</formula>
    </cfRule>
    <cfRule type="expression" dxfId="132" priority="192" stopIfTrue="1">
      <formula>$A183=1</formula>
    </cfRule>
    <cfRule type="expression" dxfId="131" priority="193" stopIfTrue="1">
      <formula>$A183&lt;&gt;"S"</formula>
    </cfRule>
  </conditionalFormatting>
  <conditionalFormatting sqref="AB183:AM188 Q183:R188 Q190:R192 AB190:AM192">
    <cfRule type="expression" dxfId="130" priority="194" stopIfTrue="1">
      <formula>$A183=1</formula>
    </cfRule>
    <cfRule type="expression" dxfId="129" priority="195" stopIfTrue="1">
      <formula>$A183&lt;&gt;"S"</formula>
    </cfRule>
  </conditionalFormatting>
  <conditionalFormatting sqref="D193:O201 T193:Z201">
    <cfRule type="expression" dxfId="128" priority="186" stopIfTrue="1">
      <formula>OR(ACOMPANHAMENTO="PLE",TIPOORCAMENTO="Proposto",$L193&lt;0,AND($L193&gt;100,RegimeExecucao="Global"),$O193&gt;$I193,$O193&lt;0)</formula>
    </cfRule>
    <cfRule type="expression" dxfId="127" priority="187" stopIfTrue="1">
      <formula>$A193=1</formula>
    </cfRule>
    <cfRule type="expression" dxfId="126" priority="188" stopIfTrue="1">
      <formula>$A193&lt;&gt;"S"</formula>
    </cfRule>
  </conditionalFormatting>
  <conditionalFormatting sqref="Q193:R201 AB193:AM201">
    <cfRule type="expression" dxfId="125" priority="189" stopIfTrue="1">
      <formula>$A193=1</formula>
    </cfRule>
    <cfRule type="expression" dxfId="124" priority="190" stopIfTrue="1">
      <formula>$A193&lt;&gt;"S"</formula>
    </cfRule>
  </conditionalFormatting>
  <conditionalFormatting sqref="D202:O210 T202:Z210">
    <cfRule type="expression" dxfId="123" priority="181" stopIfTrue="1">
      <formula>OR(ACOMPANHAMENTO="PLE",TIPOORCAMENTO="Proposto",$L202&lt;0,AND($L202&gt;100,RegimeExecucao="Global"),$O202&gt;$I202,$O202&lt;0)</formula>
    </cfRule>
    <cfRule type="expression" dxfId="122" priority="182" stopIfTrue="1">
      <formula>$A202=1</formula>
    </cfRule>
    <cfRule type="expression" dxfId="121" priority="183" stopIfTrue="1">
      <formula>$A202&lt;&gt;"S"</formula>
    </cfRule>
  </conditionalFormatting>
  <conditionalFormatting sqref="Q202:R210 AB202:AM210">
    <cfRule type="expression" dxfId="120" priority="184" stopIfTrue="1">
      <formula>$A202=1</formula>
    </cfRule>
    <cfRule type="expression" dxfId="119" priority="185" stopIfTrue="1">
      <formula>$A202&lt;&gt;"S"</formula>
    </cfRule>
  </conditionalFormatting>
  <conditionalFormatting sqref="D146:O154 T146:Z154">
    <cfRule type="expression" dxfId="118" priority="116" stopIfTrue="1">
      <formula>OR(ACOMPANHAMENTO="PLE",TIPOORCAMENTO="Proposto",$L146&lt;0,AND($L146&gt;100,RegimeExecucao="Global"),$O146&gt;$I146,$O146&lt;0)</formula>
    </cfRule>
    <cfRule type="expression" dxfId="117" priority="117" stopIfTrue="1">
      <formula>$A146=1</formula>
    </cfRule>
    <cfRule type="expression" dxfId="116" priority="118" stopIfTrue="1">
      <formula>$A146&lt;&gt;"S"</formula>
    </cfRule>
  </conditionalFormatting>
  <conditionalFormatting sqref="Q146:R154 AB146:AM154">
    <cfRule type="expression" dxfId="115" priority="119" stopIfTrue="1">
      <formula>$A146=1</formula>
    </cfRule>
    <cfRule type="expression" dxfId="114" priority="120" stopIfTrue="1">
      <formula>$A146&lt;&gt;"S"</formula>
    </cfRule>
  </conditionalFormatting>
  <conditionalFormatting sqref="D155:O155 T155:Z155">
    <cfRule type="expression" dxfId="113" priority="111" stopIfTrue="1">
      <formula>OR(ACOMPANHAMENTO="PLE",TIPOORCAMENTO="Proposto",$L155&lt;0,AND($L155&gt;100,RegimeExecucao="Global"),$O155&gt;$I155,$O155&lt;0)</formula>
    </cfRule>
    <cfRule type="expression" dxfId="112" priority="112" stopIfTrue="1">
      <formula>$A155=1</formula>
    </cfRule>
    <cfRule type="expression" dxfId="111" priority="113" stopIfTrue="1">
      <formula>$A155&lt;&gt;"S"</formula>
    </cfRule>
  </conditionalFormatting>
  <conditionalFormatting sqref="Q155:R155 AB155:AM155">
    <cfRule type="expression" dxfId="110" priority="114" stopIfTrue="1">
      <formula>$A155=1</formula>
    </cfRule>
    <cfRule type="expression" dxfId="109" priority="115" stopIfTrue="1">
      <formula>$A155&lt;&gt;"S"</formula>
    </cfRule>
  </conditionalFormatting>
  <conditionalFormatting sqref="D132:O132 T132:Z132">
    <cfRule type="expression" dxfId="108" priority="91" stopIfTrue="1">
      <formula>OR(ACOMPANHAMENTO="PLE",TIPOORCAMENTO="Proposto",$L132&lt;0,AND($L132&gt;100,RegimeExecucao="Global"),$O132&gt;$I132,$O132&lt;0)</formula>
    </cfRule>
    <cfRule type="expression" dxfId="107" priority="92" stopIfTrue="1">
      <formula>$A132=1</formula>
    </cfRule>
    <cfRule type="expression" dxfId="106" priority="93" stopIfTrue="1">
      <formula>$A132&lt;&gt;"S"</formula>
    </cfRule>
  </conditionalFormatting>
  <conditionalFormatting sqref="Q132:R132 AB132:AM132">
    <cfRule type="expression" dxfId="105" priority="94" stopIfTrue="1">
      <formula>$A132=1</formula>
    </cfRule>
    <cfRule type="expression" dxfId="104" priority="95" stopIfTrue="1">
      <formula>$A132&lt;&gt;"S"</formula>
    </cfRule>
  </conditionalFormatting>
  <conditionalFormatting sqref="D142:O142 T142:Z142">
    <cfRule type="expression" dxfId="103" priority="81" stopIfTrue="1">
      <formula>OR(ACOMPANHAMENTO="PLE",TIPOORCAMENTO="Proposto",$L142&lt;0,AND($L142&gt;100,RegimeExecucao="Global"),$O142&gt;$I142,$O142&lt;0)</formula>
    </cfRule>
    <cfRule type="expression" dxfId="102" priority="82" stopIfTrue="1">
      <formula>$A142=1</formula>
    </cfRule>
    <cfRule type="expression" dxfId="101" priority="83" stopIfTrue="1">
      <formula>$A142&lt;&gt;"S"</formula>
    </cfRule>
  </conditionalFormatting>
  <conditionalFormatting sqref="Q142:R142 AB142:AM142">
    <cfRule type="expression" dxfId="100" priority="84" stopIfTrue="1">
      <formula>$A142=1</formula>
    </cfRule>
    <cfRule type="expression" dxfId="99" priority="85" stopIfTrue="1">
      <formula>$A142&lt;&gt;"S"</formula>
    </cfRule>
  </conditionalFormatting>
  <conditionalFormatting sqref="D177:O177 T177:Z177">
    <cfRule type="expression" dxfId="98" priority="76" stopIfTrue="1">
      <formula>OR(ACOMPANHAMENTO="PLE",TIPOORCAMENTO="Proposto",$L177&lt;0,AND($L177&gt;100,RegimeExecucao="Global"),$O177&gt;$I177,$O177&lt;0)</formula>
    </cfRule>
    <cfRule type="expression" dxfId="97" priority="77" stopIfTrue="1">
      <formula>$A177=1</formula>
    </cfRule>
    <cfRule type="expression" dxfId="96" priority="78" stopIfTrue="1">
      <formula>$A177&lt;&gt;"S"</formula>
    </cfRule>
  </conditionalFormatting>
  <conditionalFormatting sqref="Q177:R177 AB177:AM177">
    <cfRule type="expression" dxfId="95" priority="79" stopIfTrue="1">
      <formula>$A177=1</formula>
    </cfRule>
    <cfRule type="expression" dxfId="94" priority="80" stopIfTrue="1">
      <formula>$A177&lt;&gt;"S"</formula>
    </cfRule>
  </conditionalFormatting>
  <conditionalFormatting sqref="D178:O178 T178:Z178">
    <cfRule type="expression" dxfId="93" priority="71" stopIfTrue="1">
      <formula>OR(ACOMPANHAMENTO="PLE",TIPOORCAMENTO="Proposto",$L178&lt;0,AND($L178&gt;100,RegimeExecucao="Global"),$O178&gt;$I178,$O178&lt;0)</formula>
    </cfRule>
    <cfRule type="expression" dxfId="92" priority="72" stopIfTrue="1">
      <formula>$A178=1</formula>
    </cfRule>
    <cfRule type="expression" dxfId="91" priority="73" stopIfTrue="1">
      <formula>$A178&lt;&gt;"S"</formula>
    </cfRule>
  </conditionalFormatting>
  <conditionalFormatting sqref="Q178:R178 AB178:AM178">
    <cfRule type="expression" dxfId="90" priority="74" stopIfTrue="1">
      <formula>$A178=1</formula>
    </cfRule>
    <cfRule type="expression" dxfId="89" priority="75" stopIfTrue="1">
      <formula>$A178&lt;&gt;"S"</formula>
    </cfRule>
  </conditionalFormatting>
  <conditionalFormatting sqref="D174:O175 T174:Z175">
    <cfRule type="expression" dxfId="88" priority="56" stopIfTrue="1">
      <formula>OR(ACOMPANHAMENTO="PLE",TIPOORCAMENTO="Proposto",$L174&lt;0,AND($L174&gt;100,RegimeExecucao="Global"),$O174&gt;$I174,$O174&lt;0)</formula>
    </cfRule>
    <cfRule type="expression" dxfId="87" priority="57" stopIfTrue="1">
      <formula>$A174=1</formula>
    </cfRule>
    <cfRule type="expression" dxfId="86" priority="58" stopIfTrue="1">
      <formula>$A174&lt;&gt;"S"</formula>
    </cfRule>
  </conditionalFormatting>
  <conditionalFormatting sqref="Q174:R175 AB174:AM175">
    <cfRule type="expression" dxfId="85" priority="59" stopIfTrue="1">
      <formula>$A174=1</formula>
    </cfRule>
    <cfRule type="expression" dxfId="84" priority="60" stopIfTrue="1">
      <formula>$A174&lt;&gt;"S"</formula>
    </cfRule>
  </conditionalFormatting>
  <conditionalFormatting sqref="D189:O189 T189:Z189">
    <cfRule type="expression" dxfId="83" priority="51" stopIfTrue="1">
      <formula>OR(ACOMPANHAMENTO="PLE",TIPOORCAMENTO="Proposto",$L189&lt;0,AND($L189&gt;100,RegimeExecucao="Global"),$O189&gt;$I189,$O189&lt;0)</formula>
    </cfRule>
    <cfRule type="expression" dxfId="82" priority="52" stopIfTrue="1">
      <formula>$A189=1</formula>
    </cfRule>
    <cfRule type="expression" dxfId="81" priority="53" stopIfTrue="1">
      <formula>$A189&lt;&gt;"S"</formula>
    </cfRule>
  </conditionalFormatting>
  <conditionalFormatting sqref="Q189:R189 AB189:AM189">
    <cfRule type="expression" dxfId="80" priority="54" stopIfTrue="1">
      <formula>$A189=1</formula>
    </cfRule>
    <cfRule type="expression" dxfId="79" priority="55" stopIfTrue="1">
      <formula>$A189&lt;&gt;"S"</formula>
    </cfRule>
  </conditionalFormatting>
  <conditionalFormatting sqref="D26:O27 T26:Z27">
    <cfRule type="expression" dxfId="78" priority="46" stopIfTrue="1">
      <formula>OR(ACOMPANHAMENTO="PLE",TIPOORCAMENTO="Proposto",$L26&lt;0,AND($L26&gt;100,RegimeExecucao="Global"),$O26&gt;$I26,$O26&lt;0)</formula>
    </cfRule>
    <cfRule type="expression" dxfId="77" priority="47" stopIfTrue="1">
      <formula>$A26=1</formula>
    </cfRule>
    <cfRule type="expression" dxfId="76" priority="48" stopIfTrue="1">
      <formula>$A26&lt;&gt;"S"</formula>
    </cfRule>
  </conditionalFormatting>
  <conditionalFormatting sqref="Q26:R27 AB26:AM27">
    <cfRule type="expression" dxfId="75" priority="49" stopIfTrue="1">
      <formula>$A26=1</formula>
    </cfRule>
    <cfRule type="expression" dxfId="74" priority="50" stopIfTrue="1">
      <formula>$A26&lt;&gt;"S"</formula>
    </cfRule>
  </conditionalFormatting>
  <conditionalFormatting sqref="D111:O112 T111:Z112">
    <cfRule type="expression" dxfId="73" priority="36" stopIfTrue="1">
      <formula>OR(ACOMPANHAMENTO="PLE",TIPOORCAMENTO="Proposto",$L111&lt;0,AND($L111&gt;100,RegimeExecucao="Global"),$O111&gt;$I111,$O111&lt;0)</formula>
    </cfRule>
    <cfRule type="expression" dxfId="72" priority="37" stopIfTrue="1">
      <formula>$A111=1</formula>
    </cfRule>
    <cfRule type="expression" dxfId="71" priority="38" stopIfTrue="1">
      <formula>$A111&lt;&gt;"S"</formula>
    </cfRule>
  </conditionalFormatting>
  <conditionalFormatting sqref="Q111:R112 AB111:AM112">
    <cfRule type="expression" dxfId="70" priority="39" stopIfTrue="1">
      <formula>$A111=1</formula>
    </cfRule>
    <cfRule type="expression" dxfId="69" priority="40" stopIfTrue="1">
      <formula>$A111&lt;&gt;"S"</formula>
    </cfRule>
  </conditionalFormatting>
  <conditionalFormatting sqref="D82:O83 T82:Z83">
    <cfRule type="expression" dxfId="68" priority="31" stopIfTrue="1">
      <formula>OR(ACOMPANHAMENTO="PLE",TIPOORCAMENTO="Proposto",$L82&lt;0,AND($L82&gt;100,RegimeExecucao="Global"),$O82&gt;$I82,$O82&lt;0)</formula>
    </cfRule>
    <cfRule type="expression" dxfId="67" priority="32" stopIfTrue="1">
      <formula>$A82=1</formula>
    </cfRule>
    <cfRule type="expression" dxfId="66" priority="33" stopIfTrue="1">
      <formula>$A82&lt;&gt;"S"</formula>
    </cfRule>
  </conditionalFormatting>
  <conditionalFormatting sqref="Q82:R83 AB82:AM83">
    <cfRule type="expression" dxfId="65" priority="34" stopIfTrue="1">
      <formula>$A82=1</formula>
    </cfRule>
    <cfRule type="expression" dxfId="64" priority="35" stopIfTrue="1">
      <formula>$A82&lt;&gt;"S"</formula>
    </cfRule>
  </conditionalFormatting>
  <conditionalFormatting sqref="D98:O98 T98:Z98 T100:Z107 D100:O107">
    <cfRule type="expression" dxfId="63" priority="16" stopIfTrue="1">
      <formula>OR(ACOMPANHAMENTO="PLE",TIPOORCAMENTO="Proposto",$L98&lt;0,AND($L98&gt;100,RegimeExecucao="Global"),$O98&gt;$I98,$O98&lt;0)</formula>
    </cfRule>
    <cfRule type="expression" dxfId="62" priority="17" stopIfTrue="1">
      <formula>$A98=1</formula>
    </cfRule>
    <cfRule type="expression" dxfId="61" priority="18" stopIfTrue="1">
      <formula>$A98&lt;&gt;"S"</formula>
    </cfRule>
  </conditionalFormatting>
  <conditionalFormatting sqref="Q98:R98 AB98:AM98 AB100:AM107 Q100:R107">
    <cfRule type="expression" dxfId="60" priority="19" stopIfTrue="1">
      <formula>$A98=1</formula>
    </cfRule>
    <cfRule type="expression" dxfId="59" priority="20" stopIfTrue="1">
      <formula>$A98&lt;&gt;"S"</formula>
    </cfRule>
  </conditionalFormatting>
  <conditionalFormatting sqref="D108:O108 T108:Z108">
    <cfRule type="expression" dxfId="58" priority="11" stopIfTrue="1">
      <formula>OR(ACOMPANHAMENTO="PLE",TIPOORCAMENTO="Proposto",$L108&lt;0,AND($L108&gt;100,RegimeExecucao="Global"),$O108&gt;$I108,$O108&lt;0)</formula>
    </cfRule>
    <cfRule type="expression" dxfId="57" priority="12" stopIfTrue="1">
      <formula>$A108=1</formula>
    </cfRule>
    <cfRule type="expression" dxfId="56" priority="13" stopIfTrue="1">
      <formula>$A108&lt;&gt;"S"</formula>
    </cfRule>
  </conditionalFormatting>
  <conditionalFormatting sqref="Q108:R108 AB108:AM108">
    <cfRule type="expression" dxfId="55" priority="14" stopIfTrue="1">
      <formula>$A108=1</formula>
    </cfRule>
    <cfRule type="expression" dxfId="54" priority="15" stopIfTrue="1">
      <formula>$A108&lt;&gt;"S"</formula>
    </cfRule>
  </conditionalFormatting>
  <conditionalFormatting sqref="D99:O99 T99:Z99">
    <cfRule type="expression" dxfId="53" priority="6" stopIfTrue="1">
      <formula>OR(ACOMPANHAMENTO="PLE",TIPOORCAMENTO="Proposto",$L99&lt;0,AND($L99&gt;100,RegimeExecucao="Global"),$O99&gt;$I99,$O99&lt;0)</formula>
    </cfRule>
    <cfRule type="expression" dxfId="52" priority="7" stopIfTrue="1">
      <formula>$A99=1</formula>
    </cfRule>
    <cfRule type="expression" dxfId="51" priority="8" stopIfTrue="1">
      <formula>$A99&lt;&gt;"S"</formula>
    </cfRule>
  </conditionalFormatting>
  <conditionalFormatting sqref="Q99:R99 AB99:AM99">
    <cfRule type="expression" dxfId="50" priority="9" stopIfTrue="1">
      <formula>$A99=1</formula>
    </cfRule>
    <cfRule type="expression" dxfId="49" priority="10" stopIfTrue="1">
      <formula>$A99&lt;&gt;"S"</formula>
    </cfRule>
  </conditionalFormatting>
  <conditionalFormatting sqref="D165:O166 T165:Z166">
    <cfRule type="expression" dxfId="48" priority="1" stopIfTrue="1">
      <formula>OR(ACOMPANHAMENTO="PLE",TIPOORCAMENTO="Proposto",$L165&lt;0,AND($L165&gt;100,RegimeExecucao="Global"),$O165&gt;$I165,$O165&lt;0)</formula>
    </cfRule>
    <cfRule type="expression" dxfId="47" priority="2" stopIfTrue="1">
      <formula>$A165=1</formula>
    </cfRule>
    <cfRule type="expression" dxfId="46" priority="3" stopIfTrue="1">
      <formula>$A165&lt;&gt;"S"</formula>
    </cfRule>
  </conditionalFormatting>
  <conditionalFormatting sqref="Q165:R166 AB165:AM166">
    <cfRule type="expression" dxfId="45" priority="4" stopIfTrue="1">
      <formula>$A165=1</formula>
    </cfRule>
    <cfRule type="expression" dxfId="44" priority="5" stopIfTrue="1">
      <formula>$A165&lt;&gt;"S"</formula>
    </cfRule>
  </conditionalFormatting>
  <dataValidations count="4">
    <dataValidation type="list" allowBlank="1" showErrorMessage="1" sqref="Z14 Z16:Z230"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30"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30"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&amp;LPMv3.12&amp;R&amp;P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0"/>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41" width="9.140625" hidden="1" customWidth="1"/>
  </cols>
  <sheetData>
    <row r="1" spans="1:41" ht="30" customHeight="1" x14ac:dyDescent="0.2">
      <c r="F1" s="347" t="str">
        <f>CONCATENATE("RRE - RELATÓRIO RESUMO DO EMPREENDIMENTO - ",IF(CAIXA.Modo,"CAIXA","TOMADOR"))</f>
        <v>RRE - RELATÓRIO RESUMO DO EMPREENDIMENTO - TOMADOR</v>
      </c>
      <c r="H1" s="8"/>
      <c r="I1" s="8"/>
      <c r="P1" s="493" t="s">
        <v>869</v>
      </c>
      <c r="AD1" s="648" t="s">
        <v>870</v>
      </c>
      <c r="AE1" s="348" t="s">
        <v>871</v>
      </c>
    </row>
    <row r="2" spans="1:41" ht="25.5" x14ac:dyDescent="0.2">
      <c r="AC2" s="349" t="str">
        <f>J16</f>
        <v>Financiamento</v>
      </c>
      <c r="AD2" s="350" t="e">
        <f ca="1">AD6-AD4-AD3</f>
        <v>#NAME?</v>
      </c>
      <c r="AE2" s="350" t="e">
        <f ca="1">AE6-AE4-AE3</f>
        <v>#NAME?</v>
      </c>
    </row>
    <row r="3" spans="1:41" x14ac:dyDescent="0.2">
      <c r="E3" s="769" t="s">
        <v>653</v>
      </c>
      <c r="F3" s="769"/>
      <c r="G3" s="769"/>
      <c r="H3" s="769"/>
      <c r="I3" s="731" t="s">
        <v>651</v>
      </c>
      <c r="J3" s="731"/>
      <c r="K3" s="731"/>
      <c r="L3" s="88" t="s">
        <v>708</v>
      </c>
      <c r="M3" s="147"/>
      <c r="O3" s="351"/>
      <c r="P3" s="275" t="s">
        <v>716</v>
      </c>
      <c r="R3" s="147"/>
      <c r="S3" s="147"/>
      <c r="T3" s="147"/>
      <c r="U3" s="147"/>
      <c r="AC3" s="349" t="s">
        <v>457</v>
      </c>
      <c r="AD3" s="350" t="e">
        <f ca="1">SUM(T13:OFFSET(T15,-1,0))</f>
        <v>#NAME?</v>
      </c>
      <c r="AE3" s="350" t="e">
        <f ca="1">IF(OR($O$19&lt;$M$19,$M$17&gt;$AD$3),MIN($M$17,$L$17),MIN($AD$3,$N$19-$N$18+$M$17))</f>
        <v>#NAME?</v>
      </c>
    </row>
    <row r="4" spans="1:41" ht="12.75" customHeight="1" x14ac:dyDescent="0.2">
      <c r="E4" s="767" t="str">
        <f>Import.Proponente</f>
        <v>PREFEITURA MUNICIPAL DE PASSOS/MG</v>
      </c>
      <c r="F4" s="767"/>
      <c r="G4" s="767"/>
      <c r="H4" s="767"/>
      <c r="I4" s="728" t="str">
        <f>Import.CR</f>
        <v>0639.998-99</v>
      </c>
      <c r="J4" s="728"/>
      <c r="K4" s="728"/>
      <c r="L4" s="56" t="str">
        <f>Import.TransfereGOV</f>
        <v>56000003291</v>
      </c>
      <c r="M4" s="880" t="s">
        <v>810</v>
      </c>
      <c r="N4" s="881"/>
      <c r="O4" s="882"/>
      <c r="P4" s="352" t="str">
        <f>import.recurso</f>
        <v>FGTS</v>
      </c>
      <c r="R4" s="147"/>
      <c r="S4" s="147"/>
      <c r="T4" s="351"/>
      <c r="U4" s="351"/>
      <c r="AC4" s="349" t="s">
        <v>872</v>
      </c>
      <c r="AD4" s="350" t="e">
        <f ca="1">SUM(U13:OFFSET(U15,-1,0))</f>
        <v>#NAME?</v>
      </c>
      <c r="AE4" s="350" t="e">
        <f ca="1">IF(OR($O$19&lt;$M$19,$M$18&gt;$AD$4),MIN($M$18,$L$18),MIN($AD$4,$N$19+$M$18))</f>
        <v>#NAME?</v>
      </c>
    </row>
    <row r="5" spans="1:41" ht="5.0999999999999996" customHeight="1" x14ac:dyDescent="0.2">
      <c r="H5" s="278"/>
      <c r="I5" s="278"/>
      <c r="J5" s="278"/>
      <c r="K5" s="278"/>
      <c r="L5" s="278"/>
      <c r="M5" s="353"/>
      <c r="N5" s="266"/>
      <c r="O5" s="4"/>
      <c r="R5" s="147"/>
      <c r="S5" s="147"/>
      <c r="T5" s="147"/>
      <c r="U5" s="147"/>
    </row>
    <row r="6" spans="1:41" ht="12.75" customHeight="1" x14ac:dyDescent="0.2">
      <c r="E6" s="731" t="s">
        <v>709</v>
      </c>
      <c r="F6" s="731"/>
      <c r="G6" s="731"/>
      <c r="H6" s="731"/>
      <c r="I6" s="868" t="s">
        <v>809</v>
      </c>
      <c r="J6" s="868"/>
      <c r="K6" s="868"/>
      <c r="L6" s="868"/>
      <c r="M6" s="55" t="str">
        <f>IF(import.recurso="FGTS","FINANCIAMENTO","REPASSE")</f>
        <v>FINANCIAMENTO</v>
      </c>
      <c r="N6" s="97" t="s">
        <v>811</v>
      </c>
      <c r="O6" s="55" t="s">
        <v>812</v>
      </c>
      <c r="P6" s="148" t="s">
        <v>873</v>
      </c>
      <c r="R6" s="147"/>
      <c r="S6" s="147"/>
      <c r="T6" s="147"/>
      <c r="U6" s="147"/>
      <c r="AC6" s="349" t="s">
        <v>874</v>
      </c>
      <c r="AD6" s="350" t="e">
        <f ca="1">$O$19</f>
        <v>#NAME?</v>
      </c>
      <c r="AE6" s="350" t="e">
        <f ca="1">AD6</f>
        <v>#NAME?</v>
      </c>
    </row>
    <row r="7" spans="1:41" ht="12.75" customHeight="1" x14ac:dyDescent="0.2">
      <c r="D7" s="757" t="s">
        <v>656</v>
      </c>
      <c r="E7" s="728" t="str">
        <f>Import.Apelido</f>
        <v>AMPLIAÇÃO DO SISTEMA DE ESGOTAMENTO SANITÁRIO</v>
      </c>
      <c r="F7" s="728"/>
      <c r="G7" s="728"/>
      <c r="H7" s="728"/>
      <c r="I7" s="869" t="str">
        <f>Import.Município</f>
        <v>PASSOS/MG</v>
      </c>
      <c r="J7" s="869"/>
      <c r="K7" s="869"/>
      <c r="L7" s="869"/>
      <c r="M7" s="354">
        <f>Import.Repasse</f>
        <v>5819655.71</v>
      </c>
      <c r="N7" s="355">
        <f>Import.Contrapartida</f>
        <v>306297.67</v>
      </c>
      <c r="O7" s="354">
        <f>M7+N7</f>
        <v>6125953.3799999999</v>
      </c>
      <c r="P7" s="424">
        <f ca="1">IF(ACOMPANHAMENTO="PLE",PLE.Medicao,BM.medicao)</f>
        <v>1</v>
      </c>
      <c r="R7" s="147"/>
      <c r="S7" s="147"/>
      <c r="T7" s="147"/>
      <c r="U7" s="147"/>
    </row>
    <row r="8" spans="1:41" x14ac:dyDescent="0.2">
      <c r="D8" s="757"/>
      <c r="E8" s="93"/>
      <c r="F8" s="93"/>
      <c r="G8" s="93"/>
      <c r="H8" s="93"/>
      <c r="I8" s="93"/>
      <c r="J8" s="93"/>
      <c r="K8" s="93"/>
      <c r="L8" s="93"/>
      <c r="M8" s="93"/>
      <c r="N8" s="93"/>
      <c r="O8" s="93"/>
      <c r="P8" s="93"/>
      <c r="R8" s="147"/>
      <c r="S8" s="147"/>
      <c r="T8" s="147"/>
      <c r="U8" s="147"/>
    </row>
    <row r="9" spans="1:41" ht="12.75" customHeight="1" x14ac:dyDescent="0.2">
      <c r="D9" s="757"/>
      <c r="G9" s="870" t="s">
        <v>875</v>
      </c>
      <c r="H9" s="870"/>
      <c r="I9" s="870" t="s">
        <v>876</v>
      </c>
      <c r="J9" s="870"/>
      <c r="K9" s="356"/>
      <c r="L9" s="871" t="s">
        <v>816</v>
      </c>
      <c r="M9" s="357" t="s">
        <v>819</v>
      </c>
      <c r="N9" s="279" t="s">
        <v>742</v>
      </c>
      <c r="P9" s="358"/>
      <c r="R9" s="147"/>
      <c r="S9" s="147"/>
      <c r="T9" s="147"/>
      <c r="U9" s="147"/>
      <c r="V9" s="7" t="s">
        <v>877</v>
      </c>
    </row>
    <row r="10" spans="1:41" ht="12.75" customHeight="1" x14ac:dyDescent="0.2">
      <c r="D10" s="757"/>
      <c r="G10" s="730" t="e">
        <f ca="1">IF(J10="-","-",IF($P$15&lt;J10,"Atrasada",IF($P$15&gt;J10,"Adiantada","Normal")))</f>
        <v>#NAME?</v>
      </c>
      <c r="H10" s="730"/>
      <c r="I10" s="359">
        <f>DATE(YEAR($L$26),MONTH($L$26),1)</f>
        <v>1</v>
      </c>
      <c r="J10" s="360">
        <f ca="1">IF($I$10&lt;DATE(YEAR(CRONO!$U$13),MONTH(CRONO!$U$13),1),0,IF($I$10&gt;OFFSET(CRONO!$AG$13,0,-1),1,INDEX(CRONO!$T$107:$AH$107,MATCH(RRE!$I$10,CRONO!$T$13:$AG$13,0))))</f>
        <v>0</v>
      </c>
      <c r="K10" s="356"/>
      <c r="L10" s="871"/>
      <c r="M10" s="361">
        <f ca="1">QCI!L10</f>
        <v>5819655.71</v>
      </c>
      <c r="N10" s="281">
        <f ca="1">QCI!M10</f>
        <v>306297.67</v>
      </c>
      <c r="P10" s="358"/>
      <c r="R10" s="147"/>
      <c r="S10" s="147"/>
      <c r="T10" s="147"/>
      <c r="U10" s="147"/>
      <c r="AC10" s="872" t="s">
        <v>76</v>
      </c>
      <c r="AD10" s="872"/>
      <c r="AE10" s="872"/>
      <c r="AF10" s="872"/>
      <c r="AG10" s="872"/>
      <c r="AH10" s="872"/>
      <c r="AJ10" s="872" t="s">
        <v>78</v>
      </c>
      <c r="AK10" s="872"/>
      <c r="AL10" s="872"/>
      <c r="AM10" s="872"/>
      <c r="AN10" s="872"/>
      <c r="AO10" s="872"/>
    </row>
    <row r="11" spans="1:41" ht="20.100000000000001" customHeight="1" x14ac:dyDescent="0.2">
      <c r="D11" s="757"/>
      <c r="M11" s="452" t="str">
        <f>IF(CAIXA.Modo,"Valores Aferidos (R$)","Valores Medidos (R$)")</f>
        <v>Valores Medidos (R$)</v>
      </c>
      <c r="N11" s="452"/>
      <c r="O11" s="452"/>
      <c r="R11" s="362"/>
      <c r="S11" s="362"/>
      <c r="T11" s="452"/>
      <c r="U11" s="452"/>
      <c r="V11" s="449" t="s">
        <v>878</v>
      </c>
      <c r="Y11" s="873" t="str">
        <f>IF(CAIXA.Modo,"Valores Aferidos (R$)","Valores Medidos (R$)")</f>
        <v>Valores Medidos (R$)</v>
      </c>
      <c r="Z11" s="873"/>
      <c r="AC11" s="874" t="s">
        <v>879</v>
      </c>
      <c r="AD11" s="874"/>
      <c r="AE11" s="874"/>
      <c r="AF11" s="874" t="s">
        <v>880</v>
      </c>
      <c r="AG11" s="874"/>
      <c r="AH11" s="874"/>
      <c r="AJ11" s="874" t="s">
        <v>879</v>
      </c>
      <c r="AK11" s="874"/>
      <c r="AL11" s="874"/>
      <c r="AM11" s="874" t="s">
        <v>880</v>
      </c>
      <c r="AN11" s="874"/>
      <c r="AO11" s="874"/>
    </row>
    <row r="12" spans="1:41" ht="30" hidden="1" customHeight="1" x14ac:dyDescent="0.2">
      <c r="A12" t="e">
        <f ca="1">MATCH(E12,ORÇAMENTO!$E$15:$E$231,0)-1</f>
        <v>#N/A</v>
      </c>
      <c r="B12" t="e">
        <f ca="1">IF(ISERROR($A12),NA(),OFFSET(ORÇAMENTO!$D$15,$A12,0))</f>
        <v>#N/A</v>
      </c>
      <c r="C12" t="str">
        <f ca="1">QCI!B12</f>
        <v>Branco</v>
      </c>
      <c r="D12" t="str">
        <f ca="1">IF(L12&gt;0,"F","")</f>
        <v/>
      </c>
      <c r="E12" s="282">
        <f>QCI!D12</f>
        <v>-1</v>
      </c>
      <c r="F12" s="363" t="str">
        <f ca="1">QCI!G12</f>
        <v/>
      </c>
      <c r="G12" s="364">
        <f>QCI!H12</f>
        <v>0</v>
      </c>
      <c r="H12" s="283">
        <f>QCI!I12</f>
        <v>0</v>
      </c>
      <c r="I12" s="283" t="str">
        <f ca="1">QCI!J12</f>
        <v/>
      </c>
      <c r="J12" s="365" t="str">
        <f ca="1">QCI!K12</f>
        <v/>
      </c>
      <c r="K12" s="366" t="e">
        <f ca="1">_xlfn.SINGLE(IF($C12="Automático",IF(_xlfn.SINGLE(ACOMPANHAMENTO)="BM",BM.medicao,PLE.Medicao),IF(ISBLANK($X12),"",$X12)))</f>
        <v>#NAME?</v>
      </c>
      <c r="L12" s="287">
        <f ca="1">QCI!$O12</f>
        <v>0</v>
      </c>
      <c r="M12" s="284">
        <f ca="1">ROUND(IF(C12="Automático",AE12+AL12,Y12),2)</f>
        <v>0</v>
      </c>
      <c r="N12" s="285">
        <f ca="1">O12-M12</f>
        <v>0</v>
      </c>
      <c r="O12" s="286">
        <f ca="1">ROUND(IF(C12="Automático",AH12+AO12,Z12),2)</f>
        <v>0</v>
      </c>
      <c r="P12" s="368">
        <f ca="1">O12/(L12+10^-12)</f>
        <v>0</v>
      </c>
      <c r="R12" s="367">
        <f ca="1">ROUND(IF($C12="Automático",AC12+AJ12,$Y12*IF(ISERROR(QCI!$AA12/QCI!$O12),0,QCI!$AA12/QCI!$O12)),2)</f>
        <v>0</v>
      </c>
      <c r="S12" s="367">
        <f ca="1">ROUND(IF($C12="Automático",AD12+AK12,$Y12*IF(ISERROR(QCI!$AB12/QCI!$O12),0,QCI!$AB12/QCI!$O12)),2)</f>
        <v>0</v>
      </c>
      <c r="T12" s="367">
        <f ca="1">ROUND(IF($C12="Automático",AF12+AM12,$Z12*IF(ISERROR(QCI!$AA12/QCI!$O12),0,QCI!$AA12/QCI!$O12)),2)</f>
        <v>0</v>
      </c>
      <c r="U12" s="367">
        <f ca="1">ROUND(IF($C12="Automático",AG12+AN12,$Z12*IF(ISERROR(QCI!$AB12/QCI!$O12),0,QCI!$AB12/QCI!$O12)),2)</f>
        <v>0</v>
      </c>
      <c r="V12" s="450" t="str">
        <f ca="1">IF(AND($L12&gt;0,$J12&lt;&gt;0,$J12&lt;&gt;"",COUNTIF($J12:$J$13,$J12)=1),OFFSET(V12,-1,0)+1,OFFSET(V12,-1,0))</f>
        <v>Lista CTEFs</v>
      </c>
      <c r="X12" s="514"/>
      <c r="Y12" s="288"/>
      <c r="Z12" s="289"/>
      <c r="AC12" s="184" t="e">
        <f ca="1">IF(_xlfn.SINGLE(ACOMPANHAMENTO)&lt;&gt;"PLE",0,SUMPRODUCT((OFFSET(CÁLCULO!$AX$15:$BH$15,$A12,0,$B12)&lt;=(PLE.Medicao-1))*OFFSET(CÁLCULO!$AB$15:$AL$15,$A12,0,$B12)*OFFSET(ORÇAMENTO!$AA$15,$A12,0,$B12)/(OFFSET(ORÇAMENTO!$X$15,$A12,0,$B12)+10^-12))+IF(AUTOEVENTO="Manual",SUMPRODUCT((OFFSET(CÁLCULO!$M$15,$A12,0,$B12)=1)*OFFSET(ORÇAMENTO!$AA$15,$A12,0,$B12)*(PLE!$AE$9-PLE!$Y$9)),0))</f>
        <v>#NAME?</v>
      </c>
      <c r="AD12" s="184" t="e">
        <f ca="1">IF(_xlfn.SINGLE(ACOMPANHAMENTO)&lt;&gt;"PLE",0,SUMPRODUCT((OFFSET(CÁLCULO!$AX$15:$BH$15,$A12,0,$B12)&lt;=(PLE.Medicao-1))*OFFSET(CÁLCULO!$AB$15:$AL$15,$A12,0,$B12)*OFFSET(ORÇAMENTO!$AB$15,$A12,0,$B12)/(OFFSET(ORÇAMENTO!$X$15,$A12,0,$B12)+10^-12))+IF(AUTOEVENTO="Manual",SUMPRODUCT((OFFSET(CÁLCULO!$M$15,$A12,0,$B12)=1)*OFFSET(ORÇAMENTO!$AB$15,$A12,0,$B12)*(PLE!$AE$9-PLE!$Y$9)),0))</f>
        <v>#NAME?</v>
      </c>
      <c r="AE12" s="184" t="e">
        <f ca="1">ROUND(IF(_xlfn.SINGLE(ACOMPANHAMENTO)&lt;&gt;"PLE",0,SUMIF(OFFSET(CÁLCULO!$AX$15:$BH$15,$A12,0,$B12),"&lt;="&amp;(PLE.Medicao-1),OFFSET(CÁLCULO!$AB$15:$AL$15,$A12,0,$B12))+IF(AUTOEVENTO="Manual",SUMIF(OFFSET(CÁLCULO!$M$15,$A12,0,$B12),1,OFFSET(ORÇAMENTO!$X$15,$A12,0,$B12))*(PLE!$AE$9-PLE!$Y$9),0)),2)</f>
        <v>#NAME?</v>
      </c>
      <c r="AF12" s="184" t="e">
        <f ca="1">IF(_xlfn.SINGLE(ACOMPANHAMENTO)&lt;&gt;"PLE",0,SUMPRODUCT((OFFSET(CÁLCULO!$AX$15:$BH$15,$A12,0,$B12)&lt;=PLE.Medicao)*OFFSET(CÁLCULO!$AB$15:$AL$15,$A12,0,$B12)*OFFSET(ORÇAMENTO!$AA$15,$A12,0,$B12)/(OFFSET(ORÇAMENTO!$X$15,$A12,0,$B12)+10^-12))+IF(AUTOEVENTO="Manual",SUMPRODUCT((OFFSET(CÁLCULO!$M$15,$A12,0,$B12)=1)*OFFSET(ORÇAMENTO!$AA$15,$A12,0,$B12)*PLE!$AE$9),0))</f>
        <v>#NAME?</v>
      </c>
      <c r="AG12" s="184" t="e">
        <f ca="1">IF(_xlfn.SINGLE(ACOMPANHAMENTO)&lt;&gt;"PLE",0,SUMPRODUCT((OFFSET(CÁLCULO!$AX$15:$BH$15,$A12,0,$B12)&lt;=PLE.Medicao)*OFFSET(CÁLCULO!$AB$15:$AL$15,$A12,0,$B12)*OFFSET(ORÇAMENTO!$AB$15,$A12,0,$B12)/(OFFSET(ORÇAMENTO!$X$15,$A12,0,$B12)+10^-12))+IF(AUTOEVENTO="Manual",SUMPRODUCT((OFFSET(CÁLCULO!$M$15,$A12,0,$B12)=1)*OFFSET(ORÇAMENTO!$AB$15,$A12,0,$B12)*PLE!$AE$9),0))</f>
        <v>#NAME?</v>
      </c>
      <c r="AH12" s="184" t="e">
        <f ca="1">ROUND(IF(_xlfn.SINGLE(ACOMPANHAMENTO)&lt;&gt;"PLE",0,SUMIF(OFFSET(CÁLCULO!$AX$15:$BH$15,$A12,0,$B12),"&lt;="&amp;PLE.Medicao,OFFSET(CÁLCULO!$AB$15:$AL$15,$A12,0,$B12))+IF(AUTOEVENTO="Manual",SUMIF(OFFSET(CÁLCULO!$M$15,$A12,0,$B12),1,OFFSET(ORÇAMENTO!$X$15,$A12,0,$B12))*PLE!$AE$9,0)),2)</f>
        <v>#NAME?</v>
      </c>
      <c r="AJ12" s="184" t="e">
        <f ca="1">IF(_xlfn.SINGLE(ACOMPANHAMENTO)&lt;&gt;"BM",0,SUMPRODUCT(OFFSET(BM!$M$15,$A12,0,$B12)*(OFFSET(BM!$A$15,$A12,0,$B12)="S")*OFFSET(ORÇAMENTO!AA$15,$A12,0,$B12)/(OFFSET(ORÇAMENTO!$X$15,$A12,0,$B12)+10^-12)))</f>
        <v>#NAME?</v>
      </c>
      <c r="AK12" s="184" t="e">
        <f ca="1">IF(_xlfn.SINGLE(ACOMPANHAMENTO)&lt;&gt;"BM",0,SUMPRODUCT(OFFSET(BM!$M$15,$A12,0,$B12)*(OFFSET(BM!$A$15,$A12,0,$B12)="S")*OFFSET(ORÇAMENTO!AB$15,$A12,0,$B12)/(OFFSET(ORÇAMENTO!$X$15,$A12,0,$B12)+10^-12)))</f>
        <v>#NAME?</v>
      </c>
      <c r="AL12" s="184" t="e">
        <f ca="1">IF(_xlfn.SINGLE(ACOMPANHAMENTO)&lt;&gt;"BM",0,OFFSET(BM!$M$15,$A12,0))</f>
        <v>#NAME?</v>
      </c>
      <c r="AM12" s="184" t="e">
        <f ca="1">IF(_xlfn.SINGLE(ACOMPANHAMENTO)&lt;&gt;"BM",0,SUMPRODUCT(OFFSET(BM!$O$15,$A12,0,$B12)*(OFFSET(BM!$A$15,$A12,0,$B12)="S")*OFFSET(ORÇAMENTO!AA$15,$A12,0,$B12)/(OFFSET(ORÇAMENTO!$X$15,$A12,0,$B12)+10^-12)))</f>
        <v>#NAME?</v>
      </c>
      <c r="AN12" s="184" t="e">
        <f ca="1">IF(_xlfn.SINGLE(ACOMPANHAMENTO)&lt;&gt;"BM",0,SUMPRODUCT(OFFSET(BM!$O$15,$A12,0,$B12)*(OFFSET(BM!$A$15,$A12,0,$B12)="S")*OFFSET(ORÇAMENTO!AB$15,$A12,0,$B12)/(OFFSET(ORÇAMENTO!$X$15,$A12,0,$B12)+10^-12)))</f>
        <v>#NAME?</v>
      </c>
      <c r="AO12" s="184" t="e">
        <f ca="1">IF(_xlfn.SINGLE(ACOMPANHAMENTO)&lt;&gt;"BM",0,OFFSET(BM!$O$15,$A12,0))</f>
        <v>#NAME?</v>
      </c>
    </row>
    <row r="13" spans="1:41" ht="39.950000000000003" customHeight="1" x14ac:dyDescent="0.2">
      <c r="A13" s="291" t="s">
        <v>881</v>
      </c>
      <c r="B13" s="9" t="s">
        <v>726</v>
      </c>
      <c r="C13" s="291" t="s">
        <v>821</v>
      </c>
      <c r="D13" s="107" t="s">
        <v>661</v>
      </c>
      <c r="E13" s="108" t="s">
        <v>702</v>
      </c>
      <c r="F13" s="108" t="s">
        <v>824</v>
      </c>
      <c r="G13" s="108" t="s">
        <v>670</v>
      </c>
      <c r="H13" s="108" t="s">
        <v>713</v>
      </c>
      <c r="I13" s="108" t="s">
        <v>825</v>
      </c>
      <c r="J13" s="108" t="s">
        <v>826</v>
      </c>
      <c r="K13" s="646" t="s">
        <v>882</v>
      </c>
      <c r="L13" s="108" t="s">
        <v>883</v>
      </c>
      <c r="M13" s="646" t="s">
        <v>879</v>
      </c>
      <c r="N13" s="647" t="s">
        <v>884</v>
      </c>
      <c r="O13" s="292" t="s">
        <v>880</v>
      </c>
      <c r="P13" s="108" t="s">
        <v>885</v>
      </c>
      <c r="R13" s="369" t="s">
        <v>886</v>
      </c>
      <c r="S13" s="369" t="s">
        <v>887</v>
      </c>
      <c r="T13" s="369" t="s">
        <v>888</v>
      </c>
      <c r="U13" s="369" t="s">
        <v>889</v>
      </c>
      <c r="V13" s="451"/>
      <c r="X13" s="646" t="s">
        <v>882</v>
      </c>
      <c r="Y13" s="160" t="s">
        <v>879</v>
      </c>
      <c r="Z13" s="161" t="s">
        <v>880</v>
      </c>
      <c r="AC13" s="110" t="s">
        <v>457</v>
      </c>
      <c r="AD13" s="110" t="s">
        <v>872</v>
      </c>
      <c r="AE13" s="110" t="s">
        <v>874</v>
      </c>
      <c r="AF13" s="110" t="s">
        <v>457</v>
      </c>
      <c r="AG13" s="110" t="s">
        <v>872</v>
      </c>
      <c r="AH13" s="110" t="s">
        <v>874</v>
      </c>
      <c r="AJ13" s="110" t="s">
        <v>457</v>
      </c>
      <c r="AK13" s="110" t="s">
        <v>872</v>
      </c>
      <c r="AL13" s="110" t="s">
        <v>874</v>
      </c>
      <c r="AM13" s="110" t="s">
        <v>457</v>
      </c>
      <c r="AN13" s="110" t="s">
        <v>872</v>
      </c>
      <c r="AO13" s="110" t="s">
        <v>874</v>
      </c>
    </row>
    <row r="14" spans="1:41" s="675" customFormat="1" ht="30" customHeight="1" x14ac:dyDescent="0.2">
      <c r="A14" s="675">
        <f ca="1">MATCH(E14,ORÇAMENTO!$E$15:$E$231,0)-1</f>
        <v>1</v>
      </c>
      <c r="B14" s="675">
        <f ca="1">IF(ISERROR($A14),NA(),OFFSET(ORÇAMENTO!$D$15,$A14,0))</f>
        <v>215</v>
      </c>
      <c r="C14" s="675" t="str">
        <f ca="1">QCI!B14</f>
        <v>Automático</v>
      </c>
      <c r="D14" s="675" t="str">
        <f t="shared" ref="D14" ca="1" si="0">IF(L14&gt;0,"F","")</f>
        <v/>
      </c>
      <c r="E14" s="282">
        <f>QCI!D14</f>
        <v>1</v>
      </c>
      <c r="F14" s="363" t="str">
        <f ca="1">QCI!G14</f>
        <v>ELEVATÓRIA DE ESGOTO BRUTO ACLIMAÇÃO, LINHA DE RECALQUE E EMISSÁRIO DE ESGOTO</v>
      </c>
      <c r="G14" s="364" t="str">
        <f>QCI!H14</f>
        <v>Em Análise</v>
      </c>
      <c r="H14" s="283">
        <f>QCI!I14</f>
        <v>6262</v>
      </c>
      <c r="I14" s="283" t="str">
        <f ca="1">QCI!J14</f>
        <v>m</v>
      </c>
      <c r="J14" s="365" t="str">
        <f ca="1">QCI!K14</f>
        <v>LOTE 1</v>
      </c>
      <c r="K14" s="366" t="e">
        <f ca="1">_xlfn.SINGLE(IF($C14="Automático",IF(_xlfn.SINGLE(ACOMPANHAMENTO)="BM",BM.medicao,PLE.Medicao),IF(ISBLANK($X14),"",$X14)))</f>
        <v>#NAME?</v>
      </c>
      <c r="L14" s="287">
        <f ca="1">QCI!$O14</f>
        <v>0</v>
      </c>
      <c r="M14" s="284" t="e">
        <f t="shared" ref="M14" ca="1" si="1">ROUND(IF(C14="Automático",AE14+AL14,Y14),2)</f>
        <v>#NAME?</v>
      </c>
      <c r="N14" s="285" t="e">
        <f t="shared" ref="N14" ca="1" si="2">O14-M14</f>
        <v>#NAME?</v>
      </c>
      <c r="O14" s="286" t="e">
        <f t="shared" ref="O14" ca="1" si="3">ROUND(IF(C14="Automático",AH14+AO14,Z14),2)</f>
        <v>#NAME?</v>
      </c>
      <c r="P14" s="368" t="e">
        <f t="shared" ref="P14" ca="1" si="4">O14/(L14+10^-12)</f>
        <v>#NAME?</v>
      </c>
      <c r="R14" s="367" t="e">
        <f ca="1">ROUND(IF($C14="Automático",AC14+AJ14,$Y14*IF(ISERROR(QCI!$AA14/QCI!$O14),0,QCI!$AA14/QCI!$O14)),2)</f>
        <v>#NAME?</v>
      </c>
      <c r="S14" s="367" t="e">
        <f ca="1">ROUND(IF($C14="Automático",AD14+AK14,$Y14*IF(ISERROR(QCI!$AB14/QCI!$O14),0,QCI!$AB14/QCI!$O14)),2)</f>
        <v>#NAME?</v>
      </c>
      <c r="T14" s="367" t="e">
        <f ca="1">ROUND(IF($C14="Automático",AF14+AM14,$Z14*IF(ISERROR(QCI!$AA14/QCI!$O14),0,QCI!$AA14/QCI!$O14)),2)</f>
        <v>#NAME?</v>
      </c>
      <c r="U14" s="367" t="e">
        <f ca="1">ROUND(IF($C14="Automático",AG14+AN14,$Z14*IF(ISERROR(QCI!$AB14/QCI!$O14),0,QCI!$AB14/QCI!$O14)),2)</f>
        <v>#NAME?</v>
      </c>
      <c r="V14" s="450">
        <f ca="1">IF(AND($L14&gt;0,$J14&lt;&gt;0,$J14&lt;&gt;"",COUNTIF($J$13:$J14,$J14)=1),OFFSET(V14,-1,0)+1,OFFSET(V14,-1,0))</f>
        <v>0</v>
      </c>
      <c r="X14" s="514"/>
      <c r="Y14" s="288"/>
      <c r="Z14" s="289"/>
      <c r="AC14" s="184" t="e">
        <f ca="1">IF(_xlfn.SINGLE(ACOMPANHAMENTO)&lt;&gt;"PLE",0,SUMPRODUCT((OFFSET(CÁLCULO!$AX$15:$BH$15,$A14,0,$B14)&lt;=(PLE.Medicao-1))*OFFSET(CÁLCULO!$AB$15:$AL$15,$A14,0,$B14)*OFFSET(ORÇAMENTO!$AA$15,$A14,0,$B14)/(OFFSET(ORÇAMENTO!$X$15,$A14,0,$B14)+10^-12))+IF(AUTOEVENTO="Manual",SUMPRODUCT((OFFSET(CÁLCULO!$M$15,$A14,0,$B14)=1)*OFFSET(ORÇAMENTO!$AA$15,$A14,0,$B14)*(PLE!$AE$9-PLE!$Y$9)),0))</f>
        <v>#NAME?</v>
      </c>
      <c r="AD14" s="184" t="e">
        <f ca="1">IF(_xlfn.SINGLE(ACOMPANHAMENTO)&lt;&gt;"PLE",0,SUMPRODUCT((OFFSET(CÁLCULO!$AX$15:$BH$15,$A14,0,$B14)&lt;=(PLE.Medicao-1))*OFFSET(CÁLCULO!$AB$15:$AL$15,$A14,0,$B14)*OFFSET(ORÇAMENTO!$AB$15,$A14,0,$B14)/(OFFSET(ORÇAMENTO!$X$15,$A14,0,$B14)+10^-12))+IF(AUTOEVENTO="Manual",SUMPRODUCT((OFFSET(CÁLCULO!$M$15,$A14,0,$B14)=1)*OFFSET(ORÇAMENTO!$AB$15,$A14,0,$B14)*(PLE!$AE$9-PLE!$Y$9)),0))</f>
        <v>#NAME?</v>
      </c>
      <c r="AE14" s="184" t="e">
        <f ca="1">ROUND(IF(_xlfn.SINGLE(ACOMPANHAMENTO)&lt;&gt;"PLE",0,SUMIF(OFFSET(CÁLCULO!$AX$15:$BH$15,$A14,0,$B14),"&lt;="&amp;(PLE.Medicao-1),OFFSET(CÁLCULO!$AB$15:$AL$15,$A14,0,$B14))+IF(AUTOEVENTO="Manual",SUMIF(OFFSET(CÁLCULO!$M$15,$A14,0,$B14),1,OFFSET(ORÇAMENTO!$X$15,$A14,0,$B14))*(PLE!$AE$9-PLE!$Y$9),0)),2)</f>
        <v>#NAME?</v>
      </c>
      <c r="AF14" s="184" t="e">
        <f ca="1">IF(_xlfn.SINGLE(ACOMPANHAMENTO)&lt;&gt;"PLE",0,SUMPRODUCT((OFFSET(CÁLCULO!$AX$15:$BH$15,$A14,0,$B14)&lt;=PLE.Medicao)*OFFSET(CÁLCULO!$AB$15:$AL$15,$A14,0,$B14)*OFFSET(ORÇAMENTO!$AA$15,$A14,0,$B14)/(OFFSET(ORÇAMENTO!$X$15,$A14,0,$B14)+10^-12))+IF(AUTOEVENTO="Manual",SUMPRODUCT((OFFSET(CÁLCULO!$M$15,$A14,0,$B14)=1)*OFFSET(ORÇAMENTO!$AA$15,$A14,0,$B14)*PLE!$AE$9),0))</f>
        <v>#NAME?</v>
      </c>
      <c r="AG14" s="184" t="e">
        <f ca="1">IF(_xlfn.SINGLE(ACOMPANHAMENTO)&lt;&gt;"PLE",0,SUMPRODUCT((OFFSET(CÁLCULO!$AX$15:$BH$15,$A14,0,$B14)&lt;=PLE.Medicao)*OFFSET(CÁLCULO!$AB$15:$AL$15,$A14,0,$B14)*OFFSET(ORÇAMENTO!$AB$15,$A14,0,$B14)/(OFFSET(ORÇAMENTO!$X$15,$A14,0,$B14)+10^-12))+IF(AUTOEVENTO="Manual",SUMPRODUCT((OFFSET(CÁLCULO!$M$15,$A14,0,$B14)=1)*OFFSET(ORÇAMENTO!$AB$15,$A14,0,$B14)*PLE!$AE$9),0))</f>
        <v>#NAME?</v>
      </c>
      <c r="AH14" s="184" t="e">
        <f ca="1">ROUND(IF(_xlfn.SINGLE(ACOMPANHAMENTO)&lt;&gt;"PLE",0,SUMIF(OFFSET(CÁLCULO!$AX$15:$BH$15,$A14,0,$B14),"&lt;="&amp;PLE.Medicao,OFFSET(CÁLCULO!$AB$15:$AL$15,$A14,0,$B14))+IF(AUTOEVENTO="Manual",SUMIF(OFFSET(CÁLCULO!$M$15,$A14,0,$B14),1,OFFSET(ORÇAMENTO!$X$15,$A14,0,$B14))*PLE!$AE$9,0)),2)</f>
        <v>#NAME?</v>
      </c>
      <c r="AJ14" s="184" t="e">
        <f ca="1">IF(_xlfn.SINGLE(ACOMPANHAMENTO)&lt;&gt;"BM",0,SUMPRODUCT(OFFSET(BM!$M$15,$A14,0,$B14)*(OFFSET(BM!$A$15,$A14,0,$B14)="S")*OFFSET(ORÇAMENTO!AA$15,$A14,0,$B14)/(OFFSET(ORÇAMENTO!$X$15,$A14,0,$B14)+10^-12)))</f>
        <v>#NAME?</v>
      </c>
      <c r="AK14" s="184" t="e">
        <f ca="1">IF(_xlfn.SINGLE(ACOMPANHAMENTO)&lt;&gt;"BM",0,SUMPRODUCT(OFFSET(BM!$M$15,$A14,0,$B14)*(OFFSET(BM!$A$15,$A14,0,$B14)="S")*OFFSET(ORÇAMENTO!AB$15,$A14,0,$B14)/(OFFSET(ORÇAMENTO!$X$15,$A14,0,$B14)+10^-12)))</f>
        <v>#NAME?</v>
      </c>
      <c r="AL14" s="184" t="e">
        <f ca="1">IF(_xlfn.SINGLE(ACOMPANHAMENTO)&lt;&gt;"BM",0,OFFSET(BM!$M$15,$A14,0))</f>
        <v>#NAME?</v>
      </c>
      <c r="AM14" s="184" t="e">
        <f ca="1">IF(_xlfn.SINGLE(ACOMPANHAMENTO)&lt;&gt;"BM",0,SUMPRODUCT(OFFSET(BM!$O$15,$A14,0,$B14)*(OFFSET(BM!$A$15,$A14,0,$B14)="S")*OFFSET(ORÇAMENTO!AA$15,$A14,0,$B14)/(OFFSET(ORÇAMENTO!$X$15,$A14,0,$B14)+10^-12)))</f>
        <v>#NAME?</v>
      </c>
      <c r="AN14" s="184" t="e">
        <f ca="1">IF(_xlfn.SINGLE(ACOMPANHAMENTO)&lt;&gt;"BM",0,SUMPRODUCT(OFFSET(BM!$O$15,$A14,0,$B14)*(OFFSET(BM!$A$15,$A14,0,$B14)="S")*OFFSET(ORÇAMENTO!AB$15,$A14,0,$B14)/(OFFSET(ORÇAMENTO!$X$15,$A14,0,$B14)+10^-12)))</f>
        <v>#NAME?</v>
      </c>
      <c r="AO14" s="184" t="e">
        <f ca="1">IF(_xlfn.SINGLE(ACOMPANHAMENTO)&lt;&gt;"BM",0,OFFSET(BM!$O$15,$A14,0))</f>
        <v>#NAME?</v>
      </c>
    </row>
    <row r="15" spans="1:41" ht="12.95" customHeight="1" x14ac:dyDescent="0.2">
      <c r="D15" t="s">
        <v>537</v>
      </c>
      <c r="E15" s="1"/>
      <c r="F15" s="1"/>
      <c r="G15" s="1"/>
      <c r="H15" s="1"/>
      <c r="I15" s="2"/>
      <c r="J15" s="889" t="s">
        <v>890</v>
      </c>
      <c r="K15" s="890"/>
      <c r="L15" s="370">
        <f ca="1">IF(ISERROR(L19/$L19),0,ROUND(L19/$L19,4))</f>
        <v>0</v>
      </c>
      <c r="M15" s="372">
        <f ca="1">IF(ISERROR(M19/$L19),0,ROUND(M19/$L19,4))</f>
        <v>0</v>
      </c>
      <c r="N15" s="371">
        <f ca="1">IF(ISERROR(N19/$L19),0,ROUND(N19/$L19,4))</f>
        <v>0</v>
      </c>
      <c r="O15" s="373">
        <f ca="1">IF(ISERROR(O19/$L19),0,ROUND(O19/$L19,4))</f>
        <v>0</v>
      </c>
      <c r="P15" s="891" t="e">
        <f ca="1">O19/(L19+10^-12)</f>
        <v>#NAME?</v>
      </c>
      <c r="X15" s="303"/>
      <c r="Y15" s="305"/>
      <c r="Z15" s="306"/>
    </row>
    <row r="16" spans="1:41" ht="12.95" customHeight="1" x14ac:dyDescent="0.2">
      <c r="D16" t="s">
        <v>537</v>
      </c>
      <c r="I16" s="4"/>
      <c r="J16" s="892" t="str">
        <f>IF(import.recurso="FGTS","Financiamento","Repasse")</f>
        <v>Financiamento</v>
      </c>
      <c r="K16" s="893"/>
      <c r="L16" s="287">
        <f ca="1">QCI!L15</f>
        <v>0</v>
      </c>
      <c r="M16" s="284" t="e">
        <f ca="1">M19-M18-M17</f>
        <v>#NAME?</v>
      </c>
      <c r="N16" s="285" t="e">
        <f ca="1">O16-M16</f>
        <v>#NAME?</v>
      </c>
      <c r="O16" s="286" t="e">
        <f ca="1">O19-O18-O17</f>
        <v>#NAME?</v>
      </c>
      <c r="P16" s="891"/>
      <c r="X16" s="374"/>
      <c r="Y16" s="375" t="s">
        <v>891</v>
      </c>
      <c r="Z16" s="376" t="s">
        <v>892</v>
      </c>
      <c r="AC16" s="377" t="s">
        <v>893</v>
      </c>
      <c r="AD16" s="377" t="s">
        <v>894</v>
      </c>
    </row>
    <row r="17" spans="4:30" ht="12.95" customHeight="1" x14ac:dyDescent="0.2">
      <c r="D17" t="s">
        <v>537</v>
      </c>
      <c r="I17" s="4"/>
      <c r="J17" s="894" t="s">
        <v>895</v>
      </c>
      <c r="K17" s="895"/>
      <c r="L17" s="378">
        <f ca="1">QCI!M15</f>
        <v>0</v>
      </c>
      <c r="M17" s="379" t="e">
        <f ca="1">ROUND(IF(OFFSET($X$17,0,1)&lt;&gt;"",OFFSET($X$17,0,1),SUM(R13:OFFSET(R15,-1,0))),2)</f>
        <v>#NAME?</v>
      </c>
      <c r="N17" s="380" t="e">
        <f ca="1">O17-M17</f>
        <v>#NAME?</v>
      </c>
      <c r="O17" s="381" t="e">
        <f ca="1">IF(OFFSET($X$17,0,2)&lt;&gt;"",OFFSET($X$17,0,2),$AE$3)</f>
        <v>#NAME?</v>
      </c>
      <c r="P17" s="891"/>
      <c r="X17" s="382" t="s">
        <v>457</v>
      </c>
      <c r="Y17" s="445"/>
      <c r="Z17" s="446"/>
      <c r="AC17" s="383" t="e">
        <f ca="1">MIN($L17,$O$19-OFFSET($X$18,0,1))</f>
        <v>#NAME?</v>
      </c>
      <c r="AD17" s="383" t="e">
        <f ca="1">MIN($L17,$O$19-OFFSET($X$18,0,2))</f>
        <v>#NAME?</v>
      </c>
    </row>
    <row r="18" spans="4:30" ht="12.95" customHeight="1" x14ac:dyDescent="0.2">
      <c r="D18" t="s">
        <v>537</v>
      </c>
      <c r="I18" s="4"/>
      <c r="J18" s="875" t="s">
        <v>872</v>
      </c>
      <c r="K18" s="876"/>
      <c r="L18" s="384">
        <f ca="1">QCI!N15</f>
        <v>0</v>
      </c>
      <c r="M18" s="385" t="e">
        <f ca="1">ROUND(IF(OFFSET($X$18,0,1)&lt;&gt;"",OFFSET($X$18,0,1),SUM(S13:OFFSET(S15,-1,0))),2)</f>
        <v>#NAME?</v>
      </c>
      <c r="N18" s="386" t="e">
        <f ca="1">O18-M18</f>
        <v>#NAME?</v>
      </c>
      <c r="O18" s="387" t="e">
        <f ca="1">IF(OFFSET($X$18,0,2)&lt;&gt;"",OFFSET($X$18,0,2),$AE$4)</f>
        <v>#NAME?</v>
      </c>
      <c r="P18" s="891"/>
      <c r="X18" s="388" t="s">
        <v>795</v>
      </c>
      <c r="Y18" s="447"/>
      <c r="Z18" s="448"/>
      <c r="AC18" s="383" t="e">
        <f ca="1">MIN($L18,$O$19-OFFSET($X$17,0,1))</f>
        <v>#NAME?</v>
      </c>
      <c r="AD18" s="383" t="e">
        <f ca="1">MIN($L18,$O$19-OFFSET($X$17,0,2))</f>
        <v>#NAME?</v>
      </c>
    </row>
    <row r="19" spans="4:30" ht="15" x14ac:dyDescent="0.2">
      <c r="D19" t="s">
        <v>537</v>
      </c>
      <c r="I19" s="4"/>
      <c r="J19" s="877" t="s">
        <v>874</v>
      </c>
      <c r="K19" s="878"/>
      <c r="L19" s="389">
        <f ca="1">SUM(L13:OFFSET(L15,-1,0))</f>
        <v>0</v>
      </c>
      <c r="M19" s="649" t="e">
        <f ca="1">ROUND(SUM(M13:OFFSET(M15,-1,0)),2)</f>
        <v>#NAME?</v>
      </c>
      <c r="N19" s="650" t="e">
        <f ca="1">O19-M19</f>
        <v>#NAME?</v>
      </c>
      <c r="O19" s="390" t="e">
        <f ca="1">SUM(O13:OFFSET(O15,-1,0))</f>
        <v>#NAME?</v>
      </c>
      <c r="P19" s="891"/>
      <c r="X19" s="315"/>
      <c r="Y19" s="317"/>
      <c r="Z19" s="318"/>
    </row>
    <row r="20" spans="4:30" x14ac:dyDescent="0.2">
      <c r="O20" s="879" t="e">
        <f ca="1">"Acumulado Anterior:  "&amp;TEXT($M$19/($L$19+10^-12),"0,00%")</f>
        <v>#NAME?</v>
      </c>
      <c r="P20" s="879"/>
    </row>
    <row r="21" spans="4:30" ht="14.25" x14ac:dyDescent="0.2">
      <c r="E21" s="136" t="s">
        <v>690</v>
      </c>
      <c r="P21" s="415"/>
    </row>
    <row r="22" spans="4:30" ht="12.75" customHeight="1" x14ac:dyDescent="0.2">
      <c r="E22" s="883"/>
      <c r="F22" s="884"/>
      <c r="G22" s="884"/>
      <c r="H22" s="884"/>
      <c r="I22" s="884"/>
      <c r="J22" s="884"/>
      <c r="K22" s="884"/>
      <c r="L22" s="884"/>
      <c r="M22" s="884"/>
      <c r="N22" s="884"/>
      <c r="O22" s="884"/>
      <c r="P22" s="885"/>
    </row>
    <row r="23" spans="4:30" ht="12.75" customHeight="1" x14ac:dyDescent="0.2">
      <c r="E23" s="883"/>
      <c r="F23" s="884"/>
      <c r="G23" s="884"/>
      <c r="H23" s="884"/>
      <c r="I23" s="884"/>
      <c r="J23" s="884"/>
      <c r="K23" s="884"/>
      <c r="L23" s="884"/>
      <c r="M23" s="884"/>
      <c r="N23" s="884"/>
      <c r="O23" s="884"/>
      <c r="P23" s="885"/>
      <c r="Y23" s="391"/>
      <c r="Z23" s="391"/>
    </row>
    <row r="24" spans="4:30" ht="12.75" customHeight="1" x14ac:dyDescent="0.2">
      <c r="E24" s="886"/>
      <c r="F24" s="887"/>
      <c r="G24" s="887"/>
      <c r="H24" s="887"/>
      <c r="I24" s="887"/>
      <c r="J24" s="887"/>
      <c r="K24" s="887"/>
      <c r="L24" s="887"/>
      <c r="M24" s="887"/>
      <c r="N24" s="887"/>
      <c r="O24" s="887"/>
      <c r="P24" s="888"/>
    </row>
    <row r="25" spans="4:30" x14ac:dyDescent="0.2">
      <c r="L25" s="572" t="str">
        <f>IF(L26=0,"Preencher a data de fechamento do RRE na aba DADOS (célula "&amp;ADDRESS(ROW(Import.DataFechaRRE),COLUMN(Import.DataFechaRRE),4)&amp;")","")</f>
        <v>Preencher a data de fechamento do RRE na aba DADOS (célula C48)</v>
      </c>
    </row>
    <row r="26" spans="4:30" ht="15" x14ac:dyDescent="0.2">
      <c r="E26" s="764" t="str">
        <f>Import.Município</f>
        <v>PASSOS/MG</v>
      </c>
      <c r="F26" s="764"/>
      <c r="G26" s="764"/>
      <c r="I26" s="392"/>
      <c r="K26" s="585"/>
      <c r="L26" s="817">
        <f>DADOS!$C$48</f>
        <v>0</v>
      </c>
      <c r="M26" s="817"/>
      <c r="N26" s="817"/>
      <c r="O26" s="817"/>
    </row>
    <row r="27" spans="4:30" x14ac:dyDescent="0.2">
      <c r="E27" s="9" t="s">
        <v>694</v>
      </c>
      <c r="L27" s="9" t="s">
        <v>695</v>
      </c>
    </row>
    <row r="29" spans="4:30" x14ac:dyDescent="0.2">
      <c r="E29" s="181"/>
      <c r="F29" s="181"/>
      <c r="G29" s="181"/>
      <c r="L29" s="181"/>
      <c r="M29" s="181"/>
      <c r="N29" s="181"/>
      <c r="O29" s="181"/>
    </row>
    <row r="30" spans="4:30" x14ac:dyDescent="0.2">
      <c r="E30" s="393" t="str">
        <f>IF(CAIXA.Modo,"Responsável Gerencial CAIXA","Representante Tomador")</f>
        <v>Representante Tomador</v>
      </c>
      <c r="F30" s="7"/>
      <c r="L30" s="393" t="str">
        <f>IF(CAIXA.Modo,"Responsável Técnico CAIXA","Responsável Técnico pela Fiscalização")</f>
        <v>Responsável Técnico pela Fiscalização</v>
      </c>
    </row>
    <row r="31" spans="4:30" x14ac:dyDescent="0.2">
      <c r="E31" s="77" t="s">
        <v>240</v>
      </c>
      <c r="F31" s="272" t="str">
        <f>IF(CAIXA.Modo,DADOS!C60,DADOS!C28)</f>
        <v>DIEGO RODRIGO OLIVEIRA</v>
      </c>
      <c r="L31" s="77" t="s">
        <v>240</v>
      </c>
      <c r="M31" s="866" t="str">
        <f>IF(CAIXA.Modo,BM!X243,DADOS!C51)</f>
        <v>APARECIDO REIS DOS SANTOS</v>
      </c>
      <c r="N31" s="866"/>
      <c r="O31" s="866"/>
    </row>
    <row r="32" spans="4:30" x14ac:dyDescent="0.2">
      <c r="E32" s="77" t="str">
        <f>IF(CAIXA.Modo,"Função:","Cargo:")</f>
        <v>Cargo:</v>
      </c>
      <c r="F32" s="272" t="str">
        <f>IF(CAIXA.Modo,DADOS!C61,DADOS!C29)</f>
        <v>PREFEITO MUNICIPAL</v>
      </c>
      <c r="L32" s="77" t="str">
        <f>IF(CAIXA.Modo,"Matrícula:","Profissão:")</f>
        <v>Profissão:</v>
      </c>
      <c r="M32" s="866" t="str">
        <f>IF(CAIXA.Modo,BM!X244,DADOS!C52)</f>
        <v>ENGENHEIRO CIVIL- GERENTE DE PROJETOS</v>
      </c>
      <c r="N32" s="866"/>
      <c r="O32" s="866"/>
    </row>
    <row r="33" spans="5:15" x14ac:dyDescent="0.2">
      <c r="L33" s="77" t="s">
        <v>243</v>
      </c>
      <c r="M33" s="866" t="str">
        <f>IF(CAIXA.Modo,BM!X245,DADOS!C53)</f>
        <v>248.358/D</v>
      </c>
      <c r="N33" s="866"/>
      <c r="O33" s="866"/>
    </row>
    <row r="34" spans="5:15" x14ac:dyDescent="0.2">
      <c r="L34" s="77" t="str">
        <f>IF(CAIXA.Modo,"","ART/RRT:")</f>
        <v>ART/RRT:</v>
      </c>
      <c r="M34" s="12">
        <f>IF(CAIXA.Modo,"",DADOS!C54)</f>
        <v>0</v>
      </c>
    </row>
    <row r="36" spans="5:15" x14ac:dyDescent="0.2">
      <c r="E36" s="181"/>
      <c r="F36" s="181"/>
      <c r="G36" s="181"/>
      <c r="L36" s="181"/>
      <c r="M36" s="181"/>
      <c r="N36" s="181"/>
      <c r="O36" s="181"/>
    </row>
    <row r="37" spans="5:15" x14ac:dyDescent="0.2">
      <c r="E37" t="str">
        <f>IF(CAIXA.Modo,"Responsável Social CAIXA","Responsável Social")</f>
        <v>Responsável Social</v>
      </c>
      <c r="L37" t="str">
        <f>IF(CAIXA.Modo,"Responsável Operacional CAIXA","Responsável Financeiro")</f>
        <v>Responsável Financeiro</v>
      </c>
    </row>
    <row r="38" spans="5:15" x14ac:dyDescent="0.2">
      <c r="E38" s="77" t="s">
        <v>240</v>
      </c>
      <c r="F38" s="865"/>
      <c r="G38" s="865"/>
      <c r="L38" s="77" t="s">
        <v>240</v>
      </c>
      <c r="M38" s="865"/>
      <c r="N38" s="865"/>
      <c r="O38" s="865"/>
    </row>
    <row r="39" spans="5:15" x14ac:dyDescent="0.2">
      <c r="E39" s="77" t="str">
        <f>IF(CAIXA.Modo,"Função:","Cargo:")</f>
        <v>Cargo:</v>
      </c>
      <c r="F39" s="865"/>
      <c r="G39" s="865"/>
      <c r="L39" s="77" t="str">
        <f>IF(CAIXA.Modo,"Função:","Cargo:")</f>
        <v>Cargo:</v>
      </c>
      <c r="M39" s="865"/>
      <c r="N39" s="865"/>
      <c r="O39" s="865"/>
    </row>
    <row r="40" spans="5:15" x14ac:dyDescent="0.2">
      <c r="E40" s="77" t="str">
        <f>IF(CAIXA.Modo,"Matr:","")</f>
        <v/>
      </c>
      <c r="F40" s="865"/>
      <c r="G40" s="865"/>
      <c r="L40" s="77" t="str">
        <f>IF(CAIXA.Modo,"Matrícula:","")</f>
        <v/>
      </c>
      <c r="M40" s="865"/>
      <c r="N40" s="865"/>
      <c r="O40" s="865"/>
    </row>
  </sheetData>
  <sheetProtection algorithmName="SHA-512" hashValue="F56LTte168WRrUCvTZUSU0fEKnWebpIlpj86sC+LT5To4SDLuB+0yuYkoUzPE/lNkIfscs9e4yJMP3WpC0vNyg==" saltValue="iLtPDWhNyu2KXhaNCZczsg==" spinCount="100000" sheet="1" objects="1" scenarios="1" autoFilter="0"/>
  <autoFilter ref="D13:D21" xr:uid="{00000000-0009-0000-0000-00000C000000}"/>
  <mergeCells count="40">
    <mergeCell ref="M4:O4"/>
    <mergeCell ref="M40:O40"/>
    <mergeCell ref="E22:P24"/>
    <mergeCell ref="L26:O26"/>
    <mergeCell ref="M31:O31"/>
    <mergeCell ref="M32:O32"/>
    <mergeCell ref="M33:O33"/>
    <mergeCell ref="M38:O38"/>
    <mergeCell ref="F40:G40"/>
    <mergeCell ref="E26:G26"/>
    <mergeCell ref="F38:G38"/>
    <mergeCell ref="F39:G39"/>
    <mergeCell ref="J15:K15"/>
    <mergeCell ref="P15:P19"/>
    <mergeCell ref="J16:K16"/>
    <mergeCell ref="J17:K17"/>
    <mergeCell ref="J18:K18"/>
    <mergeCell ref="J19:K19"/>
    <mergeCell ref="O20:P20"/>
    <mergeCell ref="M39:O39"/>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X14:Z14">
    <cfRule type="expression" dxfId="43" priority="380" stopIfTrue="1">
      <formula>OR($C12="Automático",$C12="Branco")</formula>
    </cfRule>
  </conditionalFormatting>
  <conditionalFormatting sqref="F40:G40 M40:O40">
    <cfRule type="expression" dxfId="42" priority="381" stopIfTrue="1">
      <formula>CAIXA.Modo=FALSE</formula>
    </cfRule>
  </conditionalFormatting>
  <conditionalFormatting sqref="M12 M16:M19 O12 O16:O19 M14 O14">
    <cfRule type="cellIs" dxfId="41" priority="382" stopIfTrue="1" operator="notBetween">
      <formula>0</formula>
      <formula>$L12</formula>
    </cfRule>
  </conditionalFormatting>
  <conditionalFormatting sqref="M10:N10">
    <cfRule type="cellIs" dxfId="40" priority="383" stopIfTrue="1" operator="lessThan">
      <formula>0</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17"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17"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18"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18" xr:uid="{00000000-0002-0000-0C00-000003000000}">
      <formula1>0</formula1>
      <formula2>RRE.MaxOUAcum</formula2>
    </dataValidation>
    <dataValidation type="decimal" allowBlank="1" showInputMessage="1" showErrorMessage="1" sqref="Y12:Z12 Y14:Z14"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&amp;LPMv3.12&amp;R&amp;P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99"/>
      <c r="C1" s="899"/>
      <c r="D1" s="49"/>
      <c r="E1" s="49"/>
      <c r="F1" s="49"/>
      <c r="G1" s="52" t="s">
        <v>645</v>
      </c>
    </row>
    <row r="2" spans="2:13" x14ac:dyDescent="0.2">
      <c r="B2" s="899"/>
      <c r="C2" s="899"/>
      <c r="D2" s="49"/>
      <c r="E2" s="49"/>
      <c r="F2" s="49"/>
      <c r="G2" s="11" t="s">
        <v>896</v>
      </c>
    </row>
    <row r="3" spans="2:13" ht="26.1" customHeight="1" x14ac:dyDescent="0.2">
      <c r="B3" s="899"/>
      <c r="C3" s="899"/>
      <c r="D3" s="49"/>
      <c r="E3" s="49"/>
      <c r="F3" s="49"/>
      <c r="G3" s="394"/>
    </row>
    <row r="4" spans="2:13" ht="12.75" customHeight="1" x14ac:dyDescent="0.2">
      <c r="B4" s="899"/>
      <c r="C4" s="899"/>
      <c r="D4" s="49"/>
      <c r="E4" s="49"/>
      <c r="F4" s="49"/>
      <c r="G4" s="49"/>
    </row>
    <row r="5" spans="2:13" x14ac:dyDescent="0.2">
      <c r="C5" s="572" t="str">
        <f>IF(Import.Ofício.Num=0,"Preencher o número do Ofício","")</f>
        <v>Preencher o número do Ofício</v>
      </c>
    </row>
    <row r="6" spans="2:13" x14ac:dyDescent="0.2">
      <c r="B6" s="395" t="s">
        <v>897</v>
      </c>
      <c r="C6" s="896"/>
      <c r="D6" s="896"/>
      <c r="E6" s="395"/>
      <c r="F6" s="395"/>
      <c r="G6" s="49"/>
      <c r="J6" s="9"/>
    </row>
    <row r="7" spans="2:13" x14ac:dyDescent="0.2">
      <c r="B7" s="49"/>
      <c r="C7" s="49"/>
      <c r="D7" s="49"/>
      <c r="E7" s="49"/>
      <c r="F7" s="49"/>
      <c r="G7" s="49"/>
    </row>
    <row r="8" spans="2:13" x14ac:dyDescent="0.2">
      <c r="B8" s="897" t="str">
        <f>CONCATENATE(RRE!$E$26,", ",TEXT(RRE!$L$26,"dd"" de ""mmmm"" de ""aaaa"))</f>
        <v>PASSOS/MG, 00 de janeiro de 1900</v>
      </c>
      <c r="C8" s="897"/>
      <c r="D8" s="897"/>
      <c r="E8" s="897"/>
      <c r="F8" s="897"/>
      <c r="G8" s="897"/>
      <c r="H8" s="396"/>
      <c r="J8" s="396"/>
      <c r="K8" s="396"/>
      <c r="L8" s="396"/>
      <c r="M8" s="396"/>
    </row>
    <row r="9" spans="2:13" x14ac:dyDescent="0.2">
      <c r="B9" s="397" t="s">
        <v>898</v>
      </c>
      <c r="C9" s="49"/>
      <c r="D9" s="49"/>
      <c r="G9" s="49"/>
      <c r="H9" s="396"/>
      <c r="J9" s="396"/>
      <c r="K9" s="396"/>
      <c r="L9" s="396"/>
      <c r="M9" s="396"/>
    </row>
    <row r="10" spans="2:13" x14ac:dyDescent="0.2">
      <c r="B10" s="898" t="s">
        <v>899</v>
      </c>
      <c r="C10" s="898"/>
      <c r="D10" s="898"/>
      <c r="G10" s="49"/>
      <c r="H10" s="396"/>
      <c r="J10" s="396"/>
      <c r="K10" s="396"/>
      <c r="L10" s="396"/>
      <c r="M10" s="396"/>
    </row>
    <row r="11" spans="2:13" x14ac:dyDescent="0.2">
      <c r="B11" s="398" t="s">
        <v>900</v>
      </c>
      <c r="C11" s="865"/>
      <c r="D11" s="865"/>
      <c r="G11" s="49"/>
      <c r="H11" s="396"/>
      <c r="J11" s="396"/>
      <c r="K11" s="396"/>
      <c r="L11" s="396"/>
      <c r="M11" s="396"/>
    </row>
    <row r="12" spans="2:13" x14ac:dyDescent="0.2">
      <c r="B12" s="399"/>
      <c r="C12" s="399"/>
      <c r="D12" s="399"/>
      <c r="E12" s="399"/>
      <c r="F12" s="399"/>
      <c r="G12" s="49"/>
      <c r="H12" s="396"/>
      <c r="J12" s="396"/>
      <c r="K12" s="396"/>
      <c r="L12" s="396"/>
      <c r="M12" s="396"/>
    </row>
    <row r="13" spans="2:13" x14ac:dyDescent="0.2">
      <c r="B13" s="49"/>
      <c r="C13" s="49"/>
      <c r="D13" s="49"/>
      <c r="E13" s="49"/>
      <c r="F13" s="49"/>
      <c r="G13" s="49"/>
    </row>
    <row r="14" spans="2:13" x14ac:dyDescent="0.2">
      <c r="B14" s="397" t="s">
        <v>901</v>
      </c>
      <c r="C14" s="898" t="str">
        <f ca="1">CONCATENATE(RRE.Numero,"ª"," Solicitação de ",IF(import.recurso="OGU","Desbloqueio","Desembolso")," de Recursos.")</f>
        <v>1ª Solicitação de Desembolso de Recursos.</v>
      </c>
      <c r="D14" s="898"/>
      <c r="E14" s="898"/>
      <c r="F14" s="898"/>
      <c r="G14" s="898"/>
    </row>
    <row r="15" spans="2:13" ht="12.75" customHeight="1" x14ac:dyDescent="0.2">
      <c r="B15" s="397" t="s">
        <v>902</v>
      </c>
      <c r="C15" s="904" t="str">
        <f>CONCATENATE("Contrato de ",IF(import.recurso="OGU","Repasse","Financiamento")," - Operação nº ",Import.CR,IF(Import.TransfereGOV="","",CONCATENATE(" - TransfereGOV nº ",Import.TransfereGOV)))</f>
        <v>Contrato de Financiamento - Operação nº 0639.998-99 - TransfereGOV nº 56000003291</v>
      </c>
      <c r="D15" s="904"/>
      <c r="E15" s="904"/>
      <c r="F15" s="904"/>
      <c r="G15" s="904"/>
    </row>
    <row r="16" spans="2:13" x14ac:dyDescent="0.2">
      <c r="B16" s="397"/>
      <c r="C16" s="904"/>
      <c r="D16" s="904"/>
      <c r="E16" s="904"/>
      <c r="F16" s="904"/>
      <c r="G16" s="904"/>
    </row>
    <row r="17" spans="2:7" x14ac:dyDescent="0.2">
      <c r="B17" s="49"/>
      <c r="C17" s="49"/>
      <c r="D17" s="49"/>
      <c r="E17" s="49"/>
      <c r="F17" s="49"/>
      <c r="G17" s="49"/>
    </row>
    <row r="18" spans="2:7" ht="12.75" customHeight="1" x14ac:dyDescent="0.2">
      <c r="B18" s="272" t="s">
        <v>903</v>
      </c>
      <c r="C18" s="900" t="str">
        <f>Import.DescLote</f>
        <v>ELEVATÓRIA DE ESGOTO BRUTO ACLIMAÇÃO, LINHA DE RECALQUE E EMISSÁRIO DE ESGOTO</v>
      </c>
      <c r="D18" s="900"/>
      <c r="E18" s="900"/>
      <c r="F18" s="900"/>
      <c r="G18" s="900"/>
    </row>
    <row r="19" spans="2:7" ht="12.75" customHeight="1" x14ac:dyDescent="0.2">
      <c r="B19" s="902" t="s">
        <v>904</v>
      </c>
      <c r="C19" s="903" t="str">
        <f>Import.Proponente</f>
        <v>PREFEITURA MUNICIPAL DE PASSOS/MG</v>
      </c>
      <c r="D19" s="903"/>
      <c r="E19" s="903"/>
      <c r="F19" s="903"/>
      <c r="G19" s="903"/>
    </row>
    <row r="20" spans="2:7" x14ac:dyDescent="0.2">
      <c r="B20" s="902"/>
      <c r="C20" s="903"/>
      <c r="D20" s="903"/>
      <c r="E20" s="903"/>
      <c r="F20" s="903"/>
      <c r="G20" s="903"/>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900"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900"/>
      <c r="D24" s="900"/>
      <c r="E24" s="900"/>
      <c r="F24" s="900"/>
      <c r="G24" s="900"/>
    </row>
    <row r="25" spans="2:7" x14ac:dyDescent="0.2">
      <c r="B25" s="900"/>
      <c r="C25" s="900"/>
      <c r="D25" s="900"/>
      <c r="E25" s="900"/>
      <c r="F25" s="900"/>
      <c r="G25" s="900"/>
    </row>
    <row r="26" spans="2:7" x14ac:dyDescent="0.2">
      <c r="B26" s="900"/>
      <c r="C26" s="900"/>
      <c r="D26" s="900"/>
      <c r="E26" s="900"/>
      <c r="F26" s="900"/>
      <c r="G26" s="900"/>
    </row>
    <row r="27" spans="2:7" x14ac:dyDescent="0.2">
      <c r="B27" s="49"/>
      <c r="C27" s="49"/>
      <c r="D27" s="49"/>
      <c r="E27" s="49"/>
      <c r="F27" s="49"/>
      <c r="G27" s="49"/>
    </row>
    <row r="28" spans="2:7" ht="12.75" customHeight="1" x14ac:dyDescent="0.2">
      <c r="B28" s="901"/>
      <c r="C28" s="901"/>
      <c r="D28" s="905" t="s">
        <v>905</v>
      </c>
      <c r="E28" s="905" t="str">
        <f ca="1">"Evolução da "&amp;RRE.Numero&amp;"ª Medição"</f>
        <v>Evolução da 1ª Medição</v>
      </c>
      <c r="F28" s="906" t="s">
        <v>906</v>
      </c>
      <c r="G28" s="906"/>
    </row>
    <row r="29" spans="2:7" x14ac:dyDescent="0.2">
      <c r="B29" s="901"/>
      <c r="C29" s="901"/>
      <c r="D29" s="905"/>
      <c r="E29" s="905"/>
      <c r="F29" s="906"/>
      <c r="G29" s="906"/>
    </row>
    <row r="30" spans="2:7" x14ac:dyDescent="0.2">
      <c r="B30" s="907" t="str">
        <f>IF(import.recurso="FGTS","Financiamento:","Repasse:")</f>
        <v>Financiamento:</v>
      </c>
      <c r="C30" s="907"/>
      <c r="D30" s="400">
        <f ca="1">RRE!L16</f>
        <v>0</v>
      </c>
      <c r="E30" s="400" t="e">
        <f ca="1">RRE!N16</f>
        <v>#NAME?</v>
      </c>
      <c r="F30" s="908" t="e">
        <f ca="1">RRE!O16</f>
        <v>#NAME?</v>
      </c>
      <c r="G30" s="908"/>
    </row>
    <row r="31" spans="2:7" x14ac:dyDescent="0.2">
      <c r="B31" s="907" t="s">
        <v>907</v>
      </c>
      <c r="C31" s="907"/>
      <c r="D31" s="400">
        <f ca="1">RRE!L17</f>
        <v>0</v>
      </c>
      <c r="E31" s="400" t="e">
        <f ca="1">RRE!N17</f>
        <v>#NAME?</v>
      </c>
      <c r="F31" s="908" t="e">
        <f ca="1">RRE!O17</f>
        <v>#NAME?</v>
      </c>
      <c r="G31" s="908"/>
    </row>
    <row r="32" spans="2:7" x14ac:dyDescent="0.2">
      <c r="B32" s="907" t="s">
        <v>802</v>
      </c>
      <c r="C32" s="907"/>
      <c r="D32" s="400">
        <f ca="1">RRE!L18</f>
        <v>0</v>
      </c>
      <c r="E32" s="400" t="e">
        <f ca="1">RRE!N18</f>
        <v>#NAME?</v>
      </c>
      <c r="F32" s="908" t="e">
        <f ca="1">RRE!O18</f>
        <v>#NAME?</v>
      </c>
      <c r="G32" s="908"/>
    </row>
    <row r="33" spans="2:7" x14ac:dyDescent="0.2">
      <c r="B33" s="907" t="s">
        <v>803</v>
      </c>
      <c r="C33" s="907"/>
      <c r="D33" s="400">
        <f ca="1">RRE!L19</f>
        <v>0</v>
      </c>
      <c r="E33" s="400" t="e">
        <f ca="1">RRE!N19</f>
        <v>#NAME?</v>
      </c>
      <c r="F33" s="908" t="e">
        <f ca="1">RRE!O19</f>
        <v>#NAME?</v>
      </c>
      <c r="G33" s="908"/>
    </row>
    <row r="34" spans="2:7" x14ac:dyDescent="0.2">
      <c r="B34" s="911" t="s">
        <v>908</v>
      </c>
      <c r="C34" s="911"/>
      <c r="D34" s="401" t="s">
        <v>689</v>
      </c>
      <c r="E34" s="402" t="e">
        <f ca="1">RRE!$N$19/(RRE!$L$19+10^-12)</f>
        <v>#NAME?</v>
      </c>
      <c r="F34" s="912" t="e">
        <f ca="1">RRE!P15</f>
        <v>#NAME?</v>
      </c>
      <c r="G34" s="912"/>
    </row>
    <row r="35" spans="2:7" x14ac:dyDescent="0.2">
      <c r="B35" s="182"/>
      <c r="C35" s="49"/>
      <c r="D35" s="49"/>
      <c r="E35" s="49"/>
      <c r="F35" s="49"/>
      <c r="G35" s="49"/>
    </row>
    <row r="36" spans="2:7" x14ac:dyDescent="0.2">
      <c r="B36" s="182"/>
      <c r="C36" s="182"/>
      <c r="D36" s="182"/>
      <c r="E36" s="182"/>
      <c r="F36" s="182"/>
      <c r="G36" s="49"/>
    </row>
    <row r="37" spans="2:7" x14ac:dyDescent="0.2">
      <c r="B37" s="913" t="str">
        <f ca="1">IF(RRE.Numero&gt;1,"2. Encaminhamos ainda a documentação relativa à prestação de contas da etapa físico-financeira anterior.","")</f>
        <v/>
      </c>
      <c r="C37" s="913"/>
      <c r="D37" s="913"/>
      <c r="E37" s="913"/>
      <c r="F37" s="913"/>
      <c r="G37" s="913"/>
    </row>
    <row r="38" spans="2:7" x14ac:dyDescent="0.2">
      <c r="B38" s="913"/>
      <c r="C38" s="913"/>
      <c r="D38" s="913"/>
      <c r="E38" s="913"/>
      <c r="F38" s="913"/>
      <c r="G38" s="913"/>
    </row>
    <row r="39" spans="2:7" ht="12.75" customHeight="1" x14ac:dyDescent="0.2">
      <c r="B39" s="913" t="str">
        <f ca="1">IF(AND(RRE.Numero&gt;1,NOT(ISBLANK(Import.TransfereGOV))),"3. Na oportunidade, informamos que a execução financeira da parcela anterior está devidamente comprovada no TransfereGOV.","")</f>
        <v/>
      </c>
      <c r="C39" s="913"/>
      <c r="D39" s="913"/>
      <c r="E39" s="913"/>
      <c r="F39" s="913"/>
      <c r="G39" s="913"/>
    </row>
    <row r="40" spans="2:7" x14ac:dyDescent="0.2">
      <c r="B40" s="913"/>
      <c r="C40" s="913"/>
      <c r="D40" s="913"/>
      <c r="E40" s="913"/>
      <c r="F40" s="913"/>
      <c r="G40" s="913"/>
    </row>
    <row r="41" spans="2:7" x14ac:dyDescent="0.2">
      <c r="B41" s="403"/>
      <c r="C41" s="398"/>
      <c r="D41" s="398"/>
      <c r="E41" s="398"/>
      <c r="F41" s="398"/>
      <c r="G41" s="398"/>
    </row>
    <row r="42" spans="2:7" ht="12.75" customHeight="1" x14ac:dyDescent="0.2">
      <c r="B42" s="913"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913"/>
      <c r="D42" s="913"/>
      <c r="E42" s="913"/>
      <c r="F42" s="913"/>
      <c r="G42" s="913"/>
    </row>
    <row r="43" spans="2:7" x14ac:dyDescent="0.2">
      <c r="B43" s="913"/>
      <c r="C43" s="913"/>
      <c r="D43" s="913"/>
      <c r="E43" s="913"/>
      <c r="F43" s="913"/>
      <c r="G43" s="913"/>
    </row>
    <row r="44" spans="2:7" x14ac:dyDescent="0.2">
      <c r="B44" s="913"/>
      <c r="C44" s="913"/>
      <c r="D44" s="913"/>
      <c r="E44" s="913"/>
      <c r="F44" s="913"/>
      <c r="G44" s="913"/>
    </row>
    <row r="45" spans="2:7" x14ac:dyDescent="0.2">
      <c r="B45" s="913"/>
      <c r="C45" s="913"/>
      <c r="D45" s="913"/>
      <c r="E45" s="913"/>
      <c r="F45" s="913"/>
      <c r="G45" s="913"/>
    </row>
    <row r="46" spans="2:7" x14ac:dyDescent="0.2">
      <c r="B46" s="913"/>
      <c r="C46" s="913"/>
      <c r="D46" s="913"/>
      <c r="E46" s="913"/>
      <c r="F46" s="913"/>
      <c r="G46" s="913"/>
    </row>
    <row r="47" spans="2:7" x14ac:dyDescent="0.2">
      <c r="G47" s="278"/>
    </row>
    <row r="48" spans="2:7" x14ac:dyDescent="0.2">
      <c r="G48" s="278"/>
    </row>
    <row r="49" spans="2:7" x14ac:dyDescent="0.2">
      <c r="B49" s="49" t="s">
        <v>909</v>
      </c>
      <c r="G49" s="278"/>
    </row>
    <row r="50" spans="2:7" x14ac:dyDescent="0.2">
      <c r="B50" s="278"/>
      <c r="C50" s="278"/>
      <c r="D50" s="278"/>
      <c r="E50" s="278"/>
      <c r="F50" s="278"/>
      <c r="G50" s="278"/>
    </row>
    <row r="51" spans="2:7" x14ac:dyDescent="0.2">
      <c r="B51" s="49"/>
      <c r="C51" s="49"/>
      <c r="D51" s="49"/>
      <c r="E51" s="49"/>
      <c r="F51" s="49"/>
      <c r="G51" s="49"/>
    </row>
    <row r="52" spans="2:7" x14ac:dyDescent="0.2">
      <c r="B52" s="49"/>
      <c r="C52" s="49"/>
      <c r="D52" s="49"/>
      <c r="E52" s="49"/>
      <c r="F52" s="49"/>
      <c r="G52" s="49"/>
    </row>
    <row r="53" spans="2:7" x14ac:dyDescent="0.2">
      <c r="B53" s="404"/>
      <c r="C53" s="404"/>
      <c r="D53" s="404"/>
      <c r="E53" s="49"/>
      <c r="F53" s="49"/>
      <c r="G53" s="49"/>
    </row>
    <row r="54" spans="2:7" x14ac:dyDescent="0.2">
      <c r="B54" s="909" t="str">
        <f>DADOS!$C$28</f>
        <v>DIEGO RODRIGO OLIVEIRA</v>
      </c>
      <c r="C54" s="909"/>
      <c r="D54" s="909"/>
      <c r="E54" s="909"/>
      <c r="F54" s="909"/>
      <c r="G54" s="909"/>
    </row>
    <row r="55" spans="2:7" x14ac:dyDescent="0.2">
      <c r="B55" s="909" t="str">
        <f>DADOS!$C$29</f>
        <v>PREFEITO MUNICIPAL</v>
      </c>
      <c r="C55" s="909"/>
      <c r="D55" s="909"/>
      <c r="E55" s="909"/>
      <c r="F55" s="909"/>
      <c r="G55" s="909"/>
    </row>
    <row r="56" spans="2:7" x14ac:dyDescent="0.2">
      <c r="B56" s="910"/>
      <c r="C56" s="910"/>
      <c r="D56" s="910"/>
      <c r="E56" s="910"/>
      <c r="F56" s="910"/>
      <c r="G56" s="910"/>
    </row>
  </sheetData>
  <sheetProtection algorithmName="SHA-512" hashValue="qYTMXGpjlyHx5R1H6wQADicW871dTRK33ozJsDM/OWyLjh2BNXGctT7gSnCWrdUHOox/s5iF8oBOVBdGwbEyuQ==" saltValue="CpmG8LqQvEzTb5jL5rkQVQ=="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&amp;LPMv3.12&amp;R&amp;P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7" customWidth="1"/>
    <col min="2" max="2" width="25" style="517" customWidth="1"/>
    <col min="3" max="3" width="12" style="517" customWidth="1"/>
    <col min="4" max="4" width="15.5703125" style="519" customWidth="1"/>
    <col min="5" max="5" width="70" style="517" customWidth="1"/>
    <col min="6" max="6" width="20" style="517" customWidth="1"/>
    <col min="7" max="7" width="10" style="517" customWidth="1"/>
    <col min="8" max="8" width="25" style="517" customWidth="1"/>
    <col min="9" max="9" width="15" style="517" customWidth="1"/>
    <col min="10" max="10" width="13" style="517" customWidth="1"/>
    <col min="11" max="12" width="35" style="517" customWidth="1"/>
    <col min="13" max="13" width="20" style="517" customWidth="1"/>
    <col min="14" max="14" width="15" style="517" customWidth="1"/>
    <col min="15" max="15" width="50" style="517" customWidth="1"/>
    <col min="16" max="16" width="20" style="517" customWidth="1"/>
    <col min="17" max="17" width="50" style="517" customWidth="1"/>
    <col min="18" max="18" width="15" style="517" customWidth="1"/>
    <col min="19" max="19" width="17.5703125" style="517" customWidth="1"/>
    <col min="20" max="16384" width="9.140625" style="517"/>
  </cols>
  <sheetData>
    <row r="1" spans="1:19" x14ac:dyDescent="0.25">
      <c r="A1" s="516" t="s">
        <v>910</v>
      </c>
      <c r="B1" s="516" t="s">
        <v>911</v>
      </c>
      <c r="C1" s="516" t="s">
        <v>737</v>
      </c>
      <c r="D1" s="518" t="s">
        <v>738</v>
      </c>
      <c r="E1" s="516" t="s">
        <v>912</v>
      </c>
      <c r="F1" s="516" t="s">
        <v>913</v>
      </c>
      <c r="G1" s="516" t="s">
        <v>914</v>
      </c>
      <c r="H1" s="516" t="s">
        <v>915</v>
      </c>
      <c r="I1" s="516" t="s">
        <v>916</v>
      </c>
      <c r="J1" s="516" t="s">
        <v>23</v>
      </c>
      <c r="K1" s="516" t="s">
        <v>917</v>
      </c>
      <c r="L1" s="516" t="s">
        <v>918</v>
      </c>
      <c r="M1" s="516" t="s">
        <v>919</v>
      </c>
      <c r="N1" s="516" t="s">
        <v>920</v>
      </c>
      <c r="O1" s="516" t="s">
        <v>921</v>
      </c>
      <c r="P1" s="516" t="s">
        <v>922</v>
      </c>
      <c r="Q1" s="516" t="s">
        <v>923</v>
      </c>
      <c r="R1" s="516" t="s">
        <v>924</v>
      </c>
      <c r="S1" s="516" t="s">
        <v>925</v>
      </c>
    </row>
    <row r="2" spans="1:19" ht="45" customHeight="1" x14ac:dyDescent="0.25">
      <c r="A2" s="654"/>
      <c r="B2" s="655"/>
      <c r="C2" s="654"/>
      <c r="D2" s="654"/>
      <c r="E2" s="654"/>
      <c r="F2" s="656"/>
      <c r="G2" s="654"/>
      <c r="H2" s="657"/>
      <c r="I2" s="657"/>
      <c r="J2" s="658"/>
      <c r="K2" s="659"/>
      <c r="L2" s="660"/>
      <c r="M2" s="654"/>
      <c r="N2" s="661"/>
      <c r="O2" s="654"/>
      <c r="P2" s="661"/>
      <c r="Q2" s="654"/>
      <c r="R2" s="662"/>
      <c r="S2" s="659"/>
    </row>
  </sheetData>
  <sheetProtection algorithmName="SHA-512" hashValue="eqFo/ov0/lP2KbDNapLqgRxPGHUXDg+ZvZZQMoMfrfcqb+tO7F371WGXOLt9sxfAzjx/EFG8WVIVSsoaqjCDlA==" saltValue="G21NXo8S2LspBN5u9HAZNw==" spinCount="100000" sheet="1" objects="1" scenarios="1"/>
  <conditionalFormatting sqref="A2:S2">
    <cfRule type="expression" dxfId="38" priority="66">
      <formula>$A2="Macrosserviço"</formula>
    </cfRule>
  </conditionalFormatting>
  <conditionalFormatting sqref="E2">
    <cfRule type="expression" dxfId="37" priority="72">
      <formula>OR(E2="",IF($A2="Macrosserviço",LEN($E2)&gt;100,LEN($E2)&gt;500))</formula>
    </cfRule>
  </conditionalFormatting>
  <conditionalFormatting sqref="M2">
    <cfRule type="expression" dxfId="36" priority="67">
      <formula>IF($A2="Serviço",LEN(M2)&gt;500,M2&lt;&gt;"")</formula>
    </cfRule>
  </conditionalFormatting>
  <conditionalFormatting sqref="A2">
    <cfRule type="expression" dxfId="35" priority="59">
      <formula>AND(A2&lt;&gt;"Macrosserviço",A2&lt;&gt;"Serviço")</formula>
    </cfRule>
  </conditionalFormatting>
  <conditionalFormatting sqref="C2">
    <cfRule type="expression" dxfId="34" priority="58">
      <formula>IF($A2="Serviço",AND(C2&lt;&gt;"Composição",C2&lt;&gt;"Cotação",C2&lt;&gt;"SINAPI",C2&lt;&gt;"Outros"),C2&lt;&gt;"")</formula>
    </cfRule>
  </conditionalFormatting>
  <conditionalFormatting sqref="D2">
    <cfRule type="expression" dxfId="33" priority="57">
      <formula>IF($A2="Serviço",OR(D2="",LEN($D2)&gt;13),D2&lt;&gt;"")</formula>
    </cfRule>
  </conditionalFormatting>
  <conditionalFormatting sqref="H2">
    <cfRule type="expression" dxfId="32" priority="56">
      <formula>IF(A2="Serviço",OR(NOT(ISNUMBER(H2)),H2&lt;&gt;ROUND(H2,2),AND(C2&lt;&gt;"SINAPI",H2=0),H2&lt;0,H2&gt;9999999999.99),H2&lt;&gt;"")</formula>
    </cfRule>
  </conditionalFormatting>
  <conditionalFormatting sqref="I2">
    <cfRule type="expression" dxfId="31" priority="55">
      <formula>IF($A2="Serviço",OR(NOT(ISNUMBER(I2)),I2&lt;&gt;ROUND(I2,2),I2&lt;=0,I2&gt;9999999999.99),I2&lt;&gt;"")</formula>
    </cfRule>
  </conditionalFormatting>
  <conditionalFormatting sqref="J2">
    <cfRule type="expression" dxfId="30" priority="54">
      <formula>IF($A2="Serviço",OR(NOT(ISNUMBER(VALUE(J2))),VALUE(J2)&lt;&gt;ROUND(VALUE(J2),4),VALUE(J2)&lt;=0,VALUE(J2)&gt;100%),J2&lt;&gt;"")</formula>
    </cfRule>
  </conditionalFormatting>
  <conditionalFormatting sqref="N2">
    <cfRule type="expression" dxfId="29" priority="53">
      <formula>IF($A2="Serviço",OR(NOT(ISNUMBER(N2)),N2&lt;&gt;ROUND(N2,0),N2&lt;1,N2&gt;999),N2&lt;&gt;"")</formula>
    </cfRule>
  </conditionalFormatting>
  <conditionalFormatting sqref="O2">
    <cfRule type="expression" dxfId="28" priority="52">
      <formula>IF($A2="Serviço",OR(O2="",LEN(O2)&gt;100),O2&lt;&gt;"")</formula>
    </cfRule>
  </conditionalFormatting>
  <conditionalFormatting sqref="P2">
    <cfRule type="expression" dxfId="27" priority="51">
      <formula>IF($A2="Macrosserviço",P2&lt;&gt;"",OR(NOT(ISNUMBER(P2)),P2&lt;&gt;ROUND(P2,0),P2&lt;1,P2&gt;999))</formula>
    </cfRule>
  </conditionalFormatting>
  <conditionalFormatting sqref="Q2">
    <cfRule type="expression" dxfId="26" priority="50">
      <formula>IF($A2="Macrosserviço",Q2&lt;&gt;"",OR(Q2="",LEN(Q2)&gt;100))</formula>
    </cfRule>
  </conditionalFormatting>
  <conditionalFormatting sqref="B2">
    <cfRule type="cellIs" dxfId="25" priority="49" operator="equal">
      <formula>""</formula>
    </cfRule>
  </conditionalFormatting>
  <conditionalFormatting sqref="R2">
    <cfRule type="expression" dxfId="24" priority="41">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38" id="{25CCDBA9-1706-4691-BF49-13343E4655EF}">
            <xm:f>AND($A2="Serviço",OR($G2="",ISNA(MATCH($G2,DADOS!$AQ$3:$AQ$221,0))))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7" customWidth="1"/>
    <col min="2" max="2" width="50" style="517" customWidth="1"/>
    <col min="3" max="3" width="20" style="517" customWidth="1"/>
    <col min="4" max="4" width="50" style="517" customWidth="1"/>
    <col min="5" max="5" width="35" style="517" customWidth="1"/>
    <col min="6" max="16384" width="9.140625" style="517"/>
  </cols>
  <sheetData>
    <row r="1" spans="1:5" x14ac:dyDescent="0.25">
      <c r="A1" s="516" t="s">
        <v>926</v>
      </c>
      <c r="B1" s="516" t="s">
        <v>762</v>
      </c>
      <c r="C1" s="516" t="s">
        <v>927</v>
      </c>
      <c r="D1" s="516" t="s">
        <v>923</v>
      </c>
      <c r="E1" s="516" t="s">
        <v>928</v>
      </c>
    </row>
    <row r="2" spans="1:5" ht="45" customHeight="1" x14ac:dyDescent="0.25">
      <c r="A2" s="664"/>
      <c r="B2" s="664"/>
      <c r="C2" s="663"/>
      <c r="D2" s="663"/>
      <c r="E2" s="663"/>
    </row>
  </sheetData>
  <sheetProtection algorithmName="SHA-512" hashValue="p0GpaIikg4f4bIirZ5/SMeQmY4cV5KwjD4/DTTsL9gm15aCevloAf30cn0ERpGg70jpWy7+s9nUEkJ51qnpafQ==" saltValue="0KZTnRB43pcFj8MYyPbxu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7" customWidth="1"/>
    <col min="2" max="2" width="25" style="517" customWidth="1"/>
    <col min="3" max="3" width="12" style="517" customWidth="1"/>
    <col min="4" max="4" width="15.5703125" style="519" customWidth="1"/>
    <col min="5" max="5" width="70" style="517" customWidth="1"/>
    <col min="6" max="6" width="20" style="517" customWidth="1"/>
    <col min="7" max="7" width="10" style="517" customWidth="1"/>
    <col min="8" max="8" width="25" style="517" customWidth="1"/>
    <col min="9" max="9" width="15" style="517" customWidth="1"/>
    <col min="10" max="10" width="13" style="517" customWidth="1"/>
    <col min="11" max="12" width="35" style="517" customWidth="1"/>
    <col min="13" max="14" width="20" style="517" customWidth="1"/>
    <col min="15" max="15" width="50" style="517" customWidth="1"/>
    <col min="16" max="16" width="15" style="517" customWidth="1"/>
    <col min="17" max="17" width="17.5703125" style="517" customWidth="1"/>
    <col min="18" max="16384" width="9.140625" style="517"/>
  </cols>
  <sheetData>
    <row r="1" spans="1:17" x14ac:dyDescent="0.25">
      <c r="A1" s="516" t="s">
        <v>910</v>
      </c>
      <c r="B1" s="516" t="s">
        <v>911</v>
      </c>
      <c r="C1" s="516" t="s">
        <v>737</v>
      </c>
      <c r="D1" s="518" t="s">
        <v>738</v>
      </c>
      <c r="E1" s="516" t="s">
        <v>912</v>
      </c>
      <c r="F1" s="516" t="s">
        <v>913</v>
      </c>
      <c r="G1" s="516" t="s">
        <v>914</v>
      </c>
      <c r="H1" s="516" t="s">
        <v>915</v>
      </c>
      <c r="I1" s="516" t="s">
        <v>916</v>
      </c>
      <c r="J1" s="516" t="s">
        <v>23</v>
      </c>
      <c r="K1" s="516" t="s">
        <v>917</v>
      </c>
      <c r="L1" s="516" t="s">
        <v>918</v>
      </c>
      <c r="M1" s="516" t="s">
        <v>919</v>
      </c>
      <c r="N1" s="516" t="s">
        <v>922</v>
      </c>
      <c r="O1" s="516" t="s">
        <v>923</v>
      </c>
      <c r="P1" s="516" t="s">
        <v>924</v>
      </c>
      <c r="Q1" s="516" t="s">
        <v>925</v>
      </c>
    </row>
    <row r="2" spans="1:17" ht="45" customHeight="1" x14ac:dyDescent="0.25">
      <c r="A2" s="589"/>
      <c r="B2" s="590"/>
      <c r="C2" s="589"/>
      <c r="D2" s="589"/>
      <c r="E2" s="589"/>
      <c r="F2" s="591"/>
      <c r="G2" s="589"/>
      <c r="H2" s="592"/>
      <c r="I2" s="592"/>
      <c r="J2" s="593"/>
      <c r="K2" s="594"/>
      <c r="L2" s="594"/>
      <c r="M2" s="589"/>
      <c r="N2" s="595"/>
      <c r="O2" s="589"/>
      <c r="P2" s="596"/>
      <c r="Q2" s="594"/>
    </row>
  </sheetData>
  <sheetProtection algorithmName="SHA-512" hashValue="dQ8df/XHmLmb7cIxtZxe7rpl/Crc8aZyYsAbrtBUgK/B5mC1vpWIMgftwymB87mPe3STL/FSVnjPEbUhbBF1kA==" saltValue="LB0IlpFxTreG7vRduSuf4Q=="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AND($A2="Serviço",OR($G2="",ISNA(MATCH($G2,DADOS!$AQ$3:$AQ$221,0))))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7" customWidth="1"/>
    <col min="2" max="2" width="70" style="517" customWidth="1"/>
    <col min="3" max="3" width="10" style="517" customWidth="1"/>
    <col min="4" max="4" width="20" style="517" customWidth="1"/>
    <col min="5" max="16384" width="9.140625" style="517"/>
  </cols>
  <sheetData>
    <row r="1" spans="1:4" x14ac:dyDescent="0.25">
      <c r="A1" s="516" t="s">
        <v>929</v>
      </c>
      <c r="B1" s="516" t="s">
        <v>930</v>
      </c>
      <c r="C1" s="516" t="s">
        <v>781</v>
      </c>
      <c r="D1" s="516" t="s">
        <v>931</v>
      </c>
    </row>
    <row r="2" spans="1:4" ht="45" customHeight="1" x14ac:dyDescent="0.25">
      <c r="A2" s="599"/>
      <c r="B2" s="599"/>
      <c r="C2" s="651"/>
      <c r="D2" s="597"/>
    </row>
  </sheetData>
  <sheetProtection algorithmName="SHA-512" hashValue="L5qC7ZcSRJhNxTdLWk+2nOzCwXfX+85RlN8Qvc/LnHxagaV7oNy/Dpl+/8vXqmSUDcAu/7NOjEL81bTTvuqI7g==" saltValue="jMy7D0apw59F5g9m/ZTAaQ=="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SAAE Passos</cp:lastModifiedBy>
  <cp:revision>5</cp:revision>
  <cp:lastPrinted>2025-11-07T18:44:28Z</cp:lastPrinted>
  <dcterms:created xsi:type="dcterms:W3CDTF">1997-01-10T22:22:50Z</dcterms:created>
  <dcterms:modified xsi:type="dcterms:W3CDTF">2025-11-24T16:34:25Z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