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https://mtegovbr.sharepoint.com/sites/Dataprev-Novocontrato/Documentos Compartilhados/General/Artefatos/Novos/"/>
    </mc:Choice>
  </mc:AlternateContent>
  <xr:revisionPtr revIDLastSave="207" documentId="8_{258A1C32-37AA-4B78-846E-23876D63D6B1}" xr6:coauthVersionLast="47" xr6:coauthVersionMax="47" xr10:uidLastSave="{0662F83D-1D88-40C5-A794-D4EB993775EE}"/>
  <bookViews>
    <workbookView xWindow="-28920" yWindow="-1185" windowWidth="29040" windowHeight="15720" firstSheet="5" activeTab="6" xr2:uid="{00000000-000D-0000-FFFF-FFFF00000000}"/>
  </bookViews>
  <sheets>
    <sheet name="Planilha1" sheetId="13" r:id="rId1"/>
    <sheet name="Comparativo TCO" sheetId="12" r:id="rId2"/>
    <sheet name="Solução 3 - TCO" sheetId="7" r:id="rId3"/>
    <sheet name="Solução 4 - TCO" sheetId="8" r:id="rId4"/>
    <sheet name="Solução 3 - Cust. Solução" sheetId="6" r:id="rId5"/>
    <sheet name="Solução 4 - Cust. Solução" sheetId="1" r:id="rId6"/>
    <sheet name="Contrato 17-2021" sheetId="2" r:id="rId7"/>
    <sheet name="Produções CT 17-2021" sheetId="3" r:id="rId8"/>
    <sheet name="Contrato 65-2021" sheetId="4" r:id="rId9"/>
    <sheet name="Produções CT 65-2021" sheetId="5" r:id="rId10"/>
    <sheet name="Serv. Informações CT 65-2021" sheetId="9" r:id="rId11"/>
    <sheet name="Serv. Intraestrut CT 65-202" sheetId="10" r:id="rId12"/>
    <sheet name="Outros Serviços CT 65-202" sheetId="11" r:id="rId13"/>
  </sheets>
  <definedNames>
    <definedName name="_xlnm._FilterDatabase" localSheetId="12" hidden="1">'Outros Serviços CT 65-202'!$A$1:$H$1</definedName>
    <definedName name="_xlnm._FilterDatabase" localSheetId="7" hidden="1">'Produções CT 17-2021'!$A$1:$H$37</definedName>
    <definedName name="_xlnm._FilterDatabase" localSheetId="9" hidden="1">'Produções CT 65-2021'!$A$1:$H$112</definedName>
    <definedName name="_xlnm._FilterDatabase" localSheetId="10" hidden="1">'Serv. Informações CT 65-2021'!$A$1:$H$1</definedName>
    <definedName name="_xlnm._FilterDatabase" localSheetId="11" hidden="1">'Serv. Intraestrut CT 65-202'!$A$1:$H$1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2" l="1"/>
  <c r="C7" i="8"/>
  <c r="C4" i="8"/>
  <c r="C4" i="7"/>
  <c r="D10" i="12"/>
  <c r="D9" i="12"/>
  <c r="D2" i="7"/>
  <c r="E2" i="7"/>
  <c r="E5" i="7"/>
  <c r="D5" i="7"/>
  <c r="C7" i="7"/>
  <c r="F2" i="6"/>
  <c r="B70" i="9"/>
  <c r="B69" i="9"/>
  <c r="B66" i="9"/>
  <c r="B98" i="10"/>
  <c r="B65" i="3"/>
  <c r="B59" i="3"/>
  <c r="B58" i="3"/>
  <c r="B57" i="3"/>
  <c r="B45" i="3"/>
  <c r="F3" i="13"/>
  <c r="F8" i="13"/>
  <c r="F3" i="1"/>
  <c r="D5" i="1"/>
  <c r="F5" i="1" s="1"/>
  <c r="D2" i="6"/>
  <c r="F4" i="13"/>
  <c r="F5" i="13"/>
  <c r="F6" i="13"/>
  <c r="F7" i="13"/>
  <c r="D6" i="6"/>
  <c r="D4" i="6"/>
  <c r="D5" i="6" l="1"/>
  <c r="D3" i="6"/>
  <c r="B39" i="11"/>
  <c r="E7" i="4"/>
  <c r="E6" i="6"/>
  <c r="F6" i="6" s="1"/>
  <c r="B31" i="11"/>
  <c r="B30" i="11"/>
  <c r="G27" i="11"/>
  <c r="H27" i="11" s="1"/>
  <c r="F27" i="11"/>
  <c r="G26" i="11"/>
  <c r="H26" i="11" s="1"/>
  <c r="F26" i="11"/>
  <c r="G25" i="11"/>
  <c r="H25" i="11" s="1"/>
  <c r="F25" i="11"/>
  <c r="G24" i="11"/>
  <c r="H24" i="11" s="1"/>
  <c r="F24" i="11"/>
  <c r="G23" i="11"/>
  <c r="H23" i="11" s="1"/>
  <c r="F23" i="11"/>
  <c r="G22" i="11"/>
  <c r="H22" i="11" s="1"/>
  <c r="F22" i="11"/>
  <c r="G21" i="11"/>
  <c r="H21" i="11" s="1"/>
  <c r="F21" i="11"/>
  <c r="G20" i="11"/>
  <c r="H20" i="11" s="1"/>
  <c r="F20" i="11"/>
  <c r="G19" i="11"/>
  <c r="H19" i="11" s="1"/>
  <c r="F19" i="11"/>
  <c r="G18" i="11"/>
  <c r="H18" i="11" s="1"/>
  <c r="F18" i="11"/>
  <c r="G17" i="11"/>
  <c r="H17" i="11" s="1"/>
  <c r="F17" i="11"/>
  <c r="G16" i="11"/>
  <c r="H16" i="11" s="1"/>
  <c r="F16" i="11"/>
  <c r="G15" i="11"/>
  <c r="H15" i="11" s="1"/>
  <c r="F15" i="11"/>
  <c r="G14" i="11"/>
  <c r="H14" i="11" s="1"/>
  <c r="F14" i="11"/>
  <c r="G13" i="11"/>
  <c r="H13" i="11" s="1"/>
  <c r="F13" i="11"/>
  <c r="G12" i="11"/>
  <c r="H12" i="11" s="1"/>
  <c r="F12" i="11"/>
  <c r="G11" i="11"/>
  <c r="H11" i="11" s="1"/>
  <c r="F11" i="11"/>
  <c r="G10" i="11"/>
  <c r="H10" i="11" s="1"/>
  <c r="F10" i="11"/>
  <c r="G9" i="11"/>
  <c r="H9" i="11" s="1"/>
  <c r="F9" i="11"/>
  <c r="G8" i="11"/>
  <c r="H8" i="11" s="1"/>
  <c r="F8" i="11"/>
  <c r="G7" i="11"/>
  <c r="H7" i="11" s="1"/>
  <c r="F7" i="11"/>
  <c r="G6" i="11"/>
  <c r="H6" i="11" s="1"/>
  <c r="F6" i="11"/>
  <c r="G5" i="11"/>
  <c r="H5" i="11" s="1"/>
  <c r="F5" i="11"/>
  <c r="G4" i="11"/>
  <c r="H4" i="11" s="1"/>
  <c r="F4" i="11"/>
  <c r="H3" i="11"/>
  <c r="F3" i="11"/>
  <c r="F2" i="11"/>
  <c r="H2" i="11" s="1"/>
  <c r="B99" i="10"/>
  <c r="B106" i="10"/>
  <c r="E4" i="6" s="1"/>
  <c r="F4" i="6" s="1"/>
  <c r="B93" i="10"/>
  <c r="B92" i="10"/>
  <c r="B73" i="9"/>
  <c r="G90" i="10"/>
  <c r="H90" i="10" s="1"/>
  <c r="F90" i="10"/>
  <c r="G89" i="10"/>
  <c r="H89" i="10" s="1"/>
  <c r="F89" i="10"/>
  <c r="G88" i="10"/>
  <c r="H88" i="10" s="1"/>
  <c r="F88" i="10"/>
  <c r="H87" i="10"/>
  <c r="F87" i="10"/>
  <c r="H86" i="10"/>
  <c r="F86" i="10"/>
  <c r="H85" i="10"/>
  <c r="E85" i="10"/>
  <c r="F85" i="10" s="1"/>
  <c r="H84" i="10"/>
  <c r="F84" i="10"/>
  <c r="H83" i="10"/>
  <c r="F83" i="10"/>
  <c r="E83" i="10"/>
  <c r="H82" i="10"/>
  <c r="F82" i="10"/>
  <c r="H81" i="10"/>
  <c r="F81" i="10"/>
  <c r="H80" i="10"/>
  <c r="F80" i="10"/>
  <c r="H79" i="10"/>
  <c r="F79" i="10"/>
  <c r="H78" i="10"/>
  <c r="F78" i="10"/>
  <c r="H77" i="10"/>
  <c r="F77" i="10"/>
  <c r="H76" i="10"/>
  <c r="F76" i="10"/>
  <c r="H75" i="10"/>
  <c r="F75" i="10"/>
  <c r="H74" i="10"/>
  <c r="F74" i="10"/>
  <c r="H73" i="10"/>
  <c r="F73" i="10"/>
  <c r="H72" i="10"/>
  <c r="F72" i="10"/>
  <c r="H71" i="10"/>
  <c r="F71" i="10"/>
  <c r="H70" i="10"/>
  <c r="F70" i="10"/>
  <c r="H69" i="10"/>
  <c r="F69" i="10"/>
  <c r="G68" i="10"/>
  <c r="H68" i="10" s="1"/>
  <c r="F68" i="10"/>
  <c r="H67" i="10"/>
  <c r="F67" i="10"/>
  <c r="H66" i="10"/>
  <c r="F66" i="10"/>
  <c r="H65" i="10"/>
  <c r="F65" i="10"/>
  <c r="H64" i="10"/>
  <c r="F64" i="10"/>
  <c r="G63" i="10"/>
  <c r="H63" i="10" s="1"/>
  <c r="F63" i="10"/>
  <c r="G62" i="10"/>
  <c r="H62" i="10" s="1"/>
  <c r="F62" i="10"/>
  <c r="H61" i="10"/>
  <c r="F61" i="10"/>
  <c r="H60" i="10"/>
  <c r="F60" i="10"/>
  <c r="H59" i="10"/>
  <c r="F59" i="10"/>
  <c r="H58" i="10"/>
  <c r="F58" i="10"/>
  <c r="H57" i="10"/>
  <c r="F57" i="10"/>
  <c r="F56" i="10"/>
  <c r="H56" i="10" s="1"/>
  <c r="H55" i="10"/>
  <c r="F55" i="10"/>
  <c r="H54" i="10"/>
  <c r="F54" i="10"/>
  <c r="H53" i="10"/>
  <c r="F53" i="10"/>
  <c r="H52" i="10"/>
  <c r="F52" i="10"/>
  <c r="H51" i="10"/>
  <c r="F51" i="10"/>
  <c r="H50" i="10"/>
  <c r="F50" i="10"/>
  <c r="H49" i="10"/>
  <c r="F49" i="10"/>
  <c r="H48" i="10"/>
  <c r="F48" i="10"/>
  <c r="H47" i="10"/>
  <c r="F47" i="10"/>
  <c r="H46" i="10"/>
  <c r="F46" i="10"/>
  <c r="H45" i="10"/>
  <c r="F45" i="10"/>
  <c r="H44" i="10"/>
  <c r="F44" i="10"/>
  <c r="H43" i="10"/>
  <c r="F43" i="10"/>
  <c r="H42" i="10"/>
  <c r="F42" i="10"/>
  <c r="H41" i="10"/>
  <c r="F41" i="10"/>
  <c r="H40" i="10"/>
  <c r="F40" i="10"/>
  <c r="H39" i="10"/>
  <c r="F39" i="10"/>
  <c r="H38" i="10"/>
  <c r="F38" i="10"/>
  <c r="H37" i="10"/>
  <c r="F37" i="10"/>
  <c r="H36" i="10"/>
  <c r="F36" i="10"/>
  <c r="H35" i="10"/>
  <c r="F35" i="10"/>
  <c r="H34" i="10"/>
  <c r="F34" i="10"/>
  <c r="H33" i="10"/>
  <c r="F33" i="10"/>
  <c r="H32" i="10"/>
  <c r="F32" i="10"/>
  <c r="H31" i="10"/>
  <c r="F31" i="10"/>
  <c r="H30" i="10"/>
  <c r="F30" i="10"/>
  <c r="H29" i="10"/>
  <c r="F29" i="10"/>
  <c r="H28" i="10"/>
  <c r="F28" i="10"/>
  <c r="H27" i="10"/>
  <c r="F27" i="10"/>
  <c r="H26" i="10"/>
  <c r="F26" i="10"/>
  <c r="H25" i="10"/>
  <c r="F25" i="10"/>
  <c r="H24" i="10"/>
  <c r="F24" i="10"/>
  <c r="H23" i="10"/>
  <c r="F23" i="10"/>
  <c r="H22" i="10"/>
  <c r="F22" i="10"/>
  <c r="H21" i="10"/>
  <c r="F21" i="10"/>
  <c r="H20" i="10"/>
  <c r="F20" i="10"/>
  <c r="H19" i="10"/>
  <c r="F19" i="10"/>
  <c r="H18" i="10"/>
  <c r="F18" i="10"/>
  <c r="H17" i="10"/>
  <c r="F17" i="10"/>
  <c r="H16" i="10"/>
  <c r="F16" i="10"/>
  <c r="H15" i="10"/>
  <c r="F15" i="10"/>
  <c r="H14" i="10"/>
  <c r="F14" i="10"/>
  <c r="H13" i="10"/>
  <c r="F13" i="10"/>
  <c r="H12" i="10"/>
  <c r="F12" i="10"/>
  <c r="H11" i="10"/>
  <c r="F11" i="10"/>
  <c r="H10" i="10"/>
  <c r="F10" i="10"/>
  <c r="G9" i="10"/>
  <c r="H9" i="10" s="1"/>
  <c r="F9" i="10"/>
  <c r="G8" i="10"/>
  <c r="H8" i="10" s="1"/>
  <c r="F8" i="10"/>
  <c r="H7" i="10"/>
  <c r="F7" i="10"/>
  <c r="H6" i="10"/>
  <c r="F6" i="10"/>
  <c r="H5" i="10"/>
  <c r="F5" i="10"/>
  <c r="G4" i="10"/>
  <c r="H4" i="10" s="1"/>
  <c r="F4" i="10"/>
  <c r="F3" i="10"/>
  <c r="H3" i="10" s="1"/>
  <c r="H2" i="10"/>
  <c r="F2" i="10"/>
  <c r="F46" i="9"/>
  <c r="H46" i="9" s="1"/>
  <c r="F45" i="9"/>
  <c r="H45" i="9" s="1"/>
  <c r="F44" i="9"/>
  <c r="H44" i="9" s="1"/>
  <c r="F43" i="9"/>
  <c r="H43" i="9" s="1"/>
  <c r="F42" i="9"/>
  <c r="H42" i="9" s="1"/>
  <c r="F41" i="9"/>
  <c r="H41" i="9" s="1"/>
  <c r="F40" i="9"/>
  <c r="F39" i="9"/>
  <c r="H39" i="9" s="1"/>
  <c r="F38" i="9"/>
  <c r="H38" i="9" s="1"/>
  <c r="F37" i="9"/>
  <c r="H37" i="9" s="1"/>
  <c r="F36" i="9"/>
  <c r="H36" i="9" s="1"/>
  <c r="F35" i="9"/>
  <c r="H35" i="9" s="1"/>
  <c r="F34" i="9"/>
  <c r="H33" i="9"/>
  <c r="F33" i="9"/>
  <c r="H32" i="9"/>
  <c r="F32" i="9"/>
  <c r="H31" i="9"/>
  <c r="F31" i="9"/>
  <c r="H30" i="9"/>
  <c r="F30" i="9"/>
  <c r="H29" i="9"/>
  <c r="F29" i="9"/>
  <c r="H28" i="9"/>
  <c r="F28" i="9"/>
  <c r="F27" i="9"/>
  <c r="H26" i="9"/>
  <c r="F26" i="9"/>
  <c r="H25" i="9"/>
  <c r="F25" i="9"/>
  <c r="H24" i="9"/>
  <c r="F24" i="9"/>
  <c r="F23" i="9"/>
  <c r="F22" i="9"/>
  <c r="H22" i="9" s="1"/>
  <c r="G21" i="9"/>
  <c r="H21" i="9" s="1"/>
  <c r="F21" i="9"/>
  <c r="D20" i="9"/>
  <c r="H20" i="9" s="1"/>
  <c r="G19" i="9"/>
  <c r="H19" i="9" s="1"/>
  <c r="F19" i="9"/>
  <c r="H18" i="9"/>
  <c r="F18" i="9"/>
  <c r="H17" i="9"/>
  <c r="F17" i="9"/>
  <c r="H16" i="9"/>
  <c r="F16" i="9"/>
  <c r="F15" i="9"/>
  <c r="H15" i="9" s="1"/>
  <c r="F14" i="9"/>
  <c r="H14" i="9" s="1"/>
  <c r="F13" i="9"/>
  <c r="H13" i="9" s="1"/>
  <c r="F12" i="9"/>
  <c r="H12" i="9" s="1"/>
  <c r="F11" i="9"/>
  <c r="H11" i="9" s="1"/>
  <c r="F10" i="9"/>
  <c r="H10" i="9" s="1"/>
  <c r="F9" i="9"/>
  <c r="H9" i="9" s="1"/>
  <c r="F8" i="9"/>
  <c r="H8" i="9" s="1"/>
  <c r="F7" i="9"/>
  <c r="H7" i="9" s="1"/>
  <c r="F6" i="9"/>
  <c r="H6" i="9" s="1"/>
  <c r="D5" i="9"/>
  <c r="F5" i="9" s="1"/>
  <c r="H5" i="9" s="1"/>
  <c r="D4" i="9"/>
  <c r="F4" i="9" s="1"/>
  <c r="F3" i="9"/>
  <c r="H3" i="9" s="1"/>
  <c r="F2" i="9"/>
  <c r="H2" i="9" s="1"/>
  <c r="B34" i="11" l="1"/>
  <c r="B33" i="11"/>
  <c r="B32" i="11"/>
  <c r="B95" i="10"/>
  <c r="B48" i="9"/>
  <c r="B49" i="9"/>
  <c r="B52" i="9" s="1"/>
  <c r="B54" i="9"/>
  <c r="B58" i="9" s="1"/>
  <c r="B55" i="9"/>
  <c r="B57" i="9" s="1"/>
  <c r="B60" i="9"/>
  <c r="B61" i="9"/>
  <c r="B62" i="9" s="1"/>
  <c r="B67" i="9"/>
  <c r="B68" i="9" s="1"/>
  <c r="F20" i="9"/>
  <c r="H40" i="9"/>
  <c r="H23" i="9"/>
  <c r="H27" i="9"/>
  <c r="H34" i="9"/>
  <c r="H4" i="9"/>
  <c r="B96" i="10" l="1"/>
  <c r="B100" i="10"/>
  <c r="B94" i="10"/>
  <c r="B64" i="9"/>
  <c r="B63" i="9"/>
  <c r="B56" i="9"/>
  <c r="B50" i="9"/>
  <c r="B51" i="9"/>
  <c r="D4" i="8" l="1"/>
  <c r="E4" i="8" s="1"/>
  <c r="D4" i="7"/>
  <c r="E5" i="6"/>
  <c r="F5" i="6" s="1"/>
  <c r="E2" i="6"/>
  <c r="E5" i="4"/>
  <c r="E4" i="4"/>
  <c r="E6" i="4"/>
  <c r="E3" i="4"/>
  <c r="E3" i="6" s="1"/>
  <c r="F3" i="6" s="1"/>
  <c r="E4" i="7" l="1"/>
  <c r="D7" i="7"/>
  <c r="F7" i="6"/>
  <c r="C2" i="7" s="1" a="1"/>
  <c r="C2" i="7" s="1"/>
  <c r="B64" i="3"/>
  <c r="B55" i="3"/>
  <c r="B54" i="3"/>
  <c r="B52" i="3"/>
  <c r="B51" i="3"/>
  <c r="B46" i="3"/>
  <c r="B42" i="3"/>
  <c r="B40" i="3"/>
  <c r="B39" i="3"/>
  <c r="B134" i="5"/>
  <c r="B121" i="5"/>
  <c r="B127" i="5"/>
  <c r="B128" i="5"/>
  <c r="B122" i="5"/>
  <c r="B116" i="5"/>
  <c r="B119" i="5" s="1"/>
  <c r="B115" i="5"/>
  <c r="B138" i="5"/>
  <c r="B137" i="5"/>
  <c r="B136" i="5"/>
  <c r="B135" i="5"/>
  <c r="H112" i="5"/>
  <c r="F112" i="5"/>
  <c r="H111" i="5"/>
  <c r="F111" i="5"/>
  <c r="H110" i="5"/>
  <c r="F110" i="5"/>
  <c r="H109" i="5"/>
  <c r="F109" i="5"/>
  <c r="H108" i="5"/>
  <c r="F108" i="5"/>
  <c r="H107" i="5"/>
  <c r="F107" i="5"/>
  <c r="H106" i="5"/>
  <c r="F106" i="5"/>
  <c r="H105" i="5"/>
  <c r="F105" i="5"/>
  <c r="H104" i="5"/>
  <c r="F104" i="5"/>
  <c r="H103" i="5"/>
  <c r="F103" i="5"/>
  <c r="H102" i="5"/>
  <c r="F102" i="5"/>
  <c r="H101" i="5"/>
  <c r="F101" i="5"/>
  <c r="H100" i="5"/>
  <c r="F100" i="5"/>
  <c r="H99" i="5"/>
  <c r="F99" i="5"/>
  <c r="H98" i="5"/>
  <c r="F98" i="5"/>
  <c r="H97" i="5"/>
  <c r="F97" i="5"/>
  <c r="H96" i="5"/>
  <c r="F96" i="5"/>
  <c r="F95" i="5"/>
  <c r="H95" i="5" s="1"/>
  <c r="F94" i="5"/>
  <c r="H94" i="5" s="1"/>
  <c r="F93" i="5"/>
  <c r="H93" i="5" s="1"/>
  <c r="F92" i="5"/>
  <c r="H92" i="5" s="1"/>
  <c r="F91" i="5"/>
  <c r="H91" i="5" s="1"/>
  <c r="F90" i="5"/>
  <c r="H90" i="5" s="1"/>
  <c r="F89" i="5"/>
  <c r="F88" i="5"/>
  <c r="F87" i="5"/>
  <c r="H87" i="5" s="1"/>
  <c r="F86" i="5"/>
  <c r="F85" i="5"/>
  <c r="H85" i="5" s="1"/>
  <c r="F84" i="5"/>
  <c r="F83" i="5"/>
  <c r="H83" i="5" s="1"/>
  <c r="F82" i="5"/>
  <c r="F81" i="5"/>
  <c r="F80" i="5"/>
  <c r="F79" i="5"/>
  <c r="H79" i="5" s="1"/>
  <c r="F78" i="5"/>
  <c r="F77" i="5"/>
  <c r="H77" i="5" s="1"/>
  <c r="F76" i="5"/>
  <c r="F75" i="5"/>
  <c r="H75" i="5" s="1"/>
  <c r="F74" i="5"/>
  <c r="F73" i="5"/>
  <c r="F72" i="5"/>
  <c r="F71" i="5"/>
  <c r="H71" i="5" s="1"/>
  <c r="F70" i="5"/>
  <c r="F69" i="5"/>
  <c r="H69" i="5" s="1"/>
  <c r="F68" i="5"/>
  <c r="F67" i="5"/>
  <c r="H67" i="5" s="1"/>
  <c r="F66" i="5"/>
  <c r="F65" i="5"/>
  <c r="H65" i="5" s="1"/>
  <c r="H64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H47" i="5" s="1"/>
  <c r="F46" i="5"/>
  <c r="H46" i="5" s="1"/>
  <c r="F45" i="5"/>
  <c r="H45" i="5" s="1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H7" i="5"/>
  <c r="F7" i="5"/>
  <c r="F6" i="5"/>
  <c r="F5" i="5"/>
  <c r="F4" i="5"/>
  <c r="F3" i="5"/>
  <c r="F2" i="5"/>
  <c r="B53" i="3" l="1"/>
  <c r="B49" i="3"/>
  <c r="B41" i="3"/>
  <c r="B43" i="3"/>
  <c r="B47" i="3"/>
  <c r="B48" i="3"/>
  <c r="B129" i="5"/>
  <c r="B124" i="5"/>
  <c r="B123" i="5"/>
  <c r="B118" i="5"/>
  <c r="B125" i="5"/>
  <c r="B117" i="5"/>
  <c r="H49" i="5"/>
  <c r="H33" i="5"/>
  <c r="H40" i="5"/>
  <c r="H21" i="5"/>
  <c r="H29" i="5"/>
  <c r="H10" i="5"/>
  <c r="H18" i="5"/>
  <c r="H24" i="5"/>
  <c r="H74" i="5"/>
  <c r="H81" i="5"/>
  <c r="H88" i="5"/>
  <c r="H6" i="5"/>
  <c r="H12" i="5"/>
  <c r="H44" i="5"/>
  <c r="H59" i="5"/>
  <c r="H9" i="5"/>
  <c r="H5" i="5"/>
  <c r="H28" i="5"/>
  <c r="H66" i="5"/>
  <c r="H73" i="5"/>
  <c r="H61" i="5"/>
  <c r="H80" i="5"/>
  <c r="H86" i="5"/>
  <c r="H14" i="5"/>
  <c r="H2" i="5"/>
  <c r="H20" i="5"/>
  <c r="H72" i="5"/>
  <c r="H89" i="5"/>
  <c r="H16" i="5"/>
  <c r="H25" i="5"/>
  <c r="H36" i="5"/>
  <c r="H41" i="5"/>
  <c r="H52" i="5"/>
  <c r="H4" i="5"/>
  <c r="H8" i="5"/>
  <c r="H17" i="5"/>
  <c r="H32" i="5"/>
  <c r="H37" i="5"/>
  <c r="H48" i="5"/>
  <c r="H53" i="5"/>
  <c r="H78" i="5"/>
  <c r="H13" i="5"/>
  <c r="H22" i="5"/>
  <c r="H70" i="5"/>
  <c r="H82" i="5"/>
  <c r="H15" i="5"/>
  <c r="H39" i="5"/>
  <c r="H58" i="5"/>
  <c r="H62" i="5"/>
  <c r="H11" i="5"/>
  <c r="H35" i="5"/>
  <c r="H55" i="5"/>
  <c r="H76" i="5"/>
  <c r="H23" i="5"/>
  <c r="H43" i="5"/>
  <c r="H56" i="5"/>
  <c r="H63" i="5"/>
  <c r="H27" i="5"/>
  <c r="H19" i="5"/>
  <c r="H68" i="5"/>
  <c r="H57" i="5"/>
  <c r="H60" i="5"/>
  <c r="H3" i="5"/>
  <c r="H31" i="5"/>
  <c r="H51" i="5"/>
  <c r="H84" i="5"/>
  <c r="H26" i="5"/>
  <c r="H30" i="5"/>
  <c r="H34" i="5"/>
  <c r="H38" i="5"/>
  <c r="H42" i="5"/>
  <c r="H50" i="5"/>
  <c r="H54" i="5"/>
  <c r="F8" i="4" l="1"/>
  <c r="E4" i="1"/>
  <c r="F4" i="1" s="1"/>
  <c r="E6" i="1"/>
  <c r="F6" i="1" s="1"/>
  <c r="E2" i="1"/>
  <c r="F2" i="1" s="1"/>
  <c r="F7" i="1" s="1"/>
  <c r="C2" i="8" s="1"/>
  <c r="B68" i="3"/>
  <c r="B67" i="3"/>
  <c r="B66" i="3"/>
  <c r="F8" i="2"/>
  <c r="D2" i="8" l="1"/>
  <c r="D5" i="8" s="1"/>
  <c r="E2" i="8" l="1"/>
  <c r="E5" i="8" s="1"/>
  <c r="B4" i="12" l="1"/>
  <c r="B7" i="12" s="1"/>
  <c r="B3" i="12"/>
  <c r="E7" i="8"/>
  <c r="D4" i="12" s="1"/>
  <c r="D7" i="12" s="1"/>
  <c r="D7" i="8"/>
  <c r="C4" i="12" s="1"/>
  <c r="C7" i="12" s="1"/>
  <c r="E4" i="12" l="1"/>
  <c r="C8" i="8"/>
  <c r="C3" i="12"/>
  <c r="E7" i="7"/>
  <c r="D3" i="12" l="1"/>
  <c r="C8" i="7"/>
  <c r="E3" i="12"/>
  <c r="F3" i="12" s="1"/>
  <c r="F4" i="1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<sst xmlns="http://schemas.openxmlformats.org/spreadsheetml/2006/main" count="1205" uniqueCount="413">
  <si>
    <t>Item </t>
  </si>
  <si>
    <t>Descrição do Bem ou Serviço </t>
  </si>
  <si>
    <t>Métrica </t>
  </si>
  <si>
    <t>Quantidade </t>
  </si>
  <si>
    <t>Custo Unitário</t>
  </si>
  <si>
    <t>Custo Total </t>
  </si>
  <si>
    <t>Serviço de Produção de Soluções</t>
  </si>
  <si>
    <t>Mensal</t>
  </si>
  <si>
    <t>Serviços de Desenvolvimento, Manutenção de Software e de Extração de Dados</t>
  </si>
  <si>
    <t>Ponto de Função</t>
  </si>
  <si>
    <t>Serviços de Informação</t>
  </si>
  <si>
    <t>Unidade</t>
  </si>
  <si>
    <t>Serviços de Infraestrutura</t>
  </si>
  <si>
    <t>Serviços de Consultoria</t>
  </si>
  <si>
    <t>Horas</t>
  </si>
  <si>
    <t>Outros Serviços</t>
  </si>
  <si>
    <t>PTA</t>
  </si>
  <si>
    <t>Cenário</t>
  </si>
  <si>
    <t>Estimativa de TCO ao longo dos anos</t>
  </si>
  <si>
    <t>Total</t>
  </si>
  <si>
    <t>Percentual</t>
  </si>
  <si>
    <t>Solução 3</t>
  </si>
  <si>
    <t>Solução 4</t>
  </si>
  <si>
    <t>ELEMENTO DE CUSTO</t>
  </si>
  <si>
    <t>DESCRIÇÃO</t>
  </si>
  <si>
    <t xml:space="preserve">ANO 1 </t>
  </si>
  <si>
    <t>ANO 2</t>
  </si>
  <si>
    <t>ANO 3</t>
  </si>
  <si>
    <t>CUSTOS DA SOLUÇÃO</t>
  </si>
  <si>
    <t>-</t>
  </si>
  <si>
    <t>CUSTOS ADMINISTRATIVOS</t>
  </si>
  <si>
    <t>PCTI</t>
  </si>
  <si>
    <t>GCTI</t>
  </si>
  <si>
    <t>ICTI</t>
  </si>
  <si>
    <t>RECURSOS MATERIAIS</t>
  </si>
  <si>
    <t>SUBTOTAL</t>
  </si>
  <si>
    <t>TOTAL</t>
  </si>
  <si>
    <t>Item</t>
  </si>
  <si>
    <t>Descrição do Bem ou Serviço</t>
  </si>
  <si>
    <t>Quantidade</t>
  </si>
  <si>
    <t>Custo Total</t>
  </si>
  <si>
    <t>Quantidade Total</t>
  </si>
  <si>
    <t xml:space="preserve">Processo 12804.100229/2020-29  </t>
  </si>
  <si>
    <t>Descrição dos Serviços</t>
  </si>
  <si>
    <t>Tipo de Serviço</t>
  </si>
  <si>
    <t>Métrica</t>
  </si>
  <si>
    <t>Valor Unitário</t>
  </si>
  <si>
    <t>Quantidade Mensal</t>
  </si>
  <si>
    <t>Valor Mensal</t>
  </si>
  <si>
    <t>Valor Total</t>
  </si>
  <si>
    <t>SD - Seguro Desemprego – Transacional</t>
  </si>
  <si>
    <t>Mensalidade</t>
  </si>
  <si>
    <t> Franquia de Parcelas Emitidas</t>
  </si>
  <si>
    <t>ASPP  - Sistema de Abono Salarial - Transacional</t>
  </si>
  <si>
    <t>Disponibilidade Mensal</t>
  </si>
  <si>
    <t>IMO  – Transacional</t>
  </si>
  <si>
    <t>CAGED – Transacional</t>
  </si>
  <si>
    <t> Franquia de Registros Processados</t>
  </si>
  <si>
    <t>BGeTrab – Base de Gestão do eSocial - Trabalho</t>
  </si>
  <si>
    <t>SD - Seguro Desemprego – Base de Gestão</t>
  </si>
  <si>
    <t>Plataforma BEM - Transacional (franquia)</t>
  </si>
  <si>
    <t>Franquia</t>
  </si>
  <si>
    <t>Plataforma BEM - Transacional (sob demanda)</t>
  </si>
  <si>
    <t>Sob Demanda</t>
  </si>
  <si>
    <t>Transações</t>
  </si>
  <si>
    <t>Portal Emprega Brasil</t>
  </si>
  <si>
    <t>CADPREV</t>
  </si>
  <si>
    <t>Carteira de Trabalho</t>
  </si>
  <si>
    <t>PROGER – Base de Gestão</t>
  </si>
  <si>
    <t>MAIPREV</t>
  </si>
  <si>
    <t>SIGOC – SGC-CTER </t>
  </si>
  <si>
    <t>FAPREV</t>
  </si>
  <si>
    <t>IMO  – Base de Gestão</t>
  </si>
  <si>
    <t>AEPS INFOLOGO</t>
  </si>
  <si>
    <t>ASPP - Sistema de Abono Salarial - Base de Gestão</t>
  </si>
  <si>
    <t>PROGER – Transacional</t>
  </si>
  <si>
    <t>CBO – Transacional</t>
  </si>
  <si>
    <t>GESCON</t>
  </si>
  <si>
    <t>BEM - Plataforma Gestão</t>
  </si>
  <si>
    <t>SIG RPPS</t>
  </si>
  <si>
    <t>Painel de Monitoramento do Trabalho</t>
  </si>
  <si>
    <t>SINPAT</t>
  </si>
  <si>
    <t>AEAT INFOLOGO</t>
  </si>
  <si>
    <t>SICAP WEB</t>
  </si>
  <si>
    <t>Base de Gestão da Carteira de Trabalho - BGCTPS</t>
  </si>
  <si>
    <t>CNIS-RPPS</t>
  </si>
  <si>
    <t>Portal de Consulta Integrada</t>
  </si>
  <si>
    <t>Sistema de Gestão do Programa Nacional de Microcrédito Produtivo Orientado - PNMPO</t>
  </si>
  <si>
    <t>WEB SERVICE COAF</t>
  </si>
  <si>
    <t>SIGOC - Portal FAT</t>
  </si>
  <si>
    <t>Portal da Transparência do Seguro-Desemprego</t>
  </si>
  <si>
    <t>Serviços Especiais da Plataforma Trabalho</t>
  </si>
  <si>
    <t>Serviços Especiais da Plataforma Previdência</t>
  </si>
  <si>
    <t>Média</t>
  </si>
  <si>
    <t>Desvio Padrão</t>
  </si>
  <si>
    <t>Coeficiente de Variação</t>
  </si>
  <si>
    <t>Coeficiente maior que 25%, amostra heterogênea</t>
  </si>
  <si>
    <t>Limite Superior</t>
  </si>
  <si>
    <t>Limite Inferior</t>
  </si>
  <si>
    <t>Média após o primeiro saneamento</t>
  </si>
  <si>
    <t>Média após o segundo saneamento</t>
  </si>
  <si>
    <t>Média após o terceiro saneamento</t>
  </si>
  <si>
    <t>Coeficiente menor que 25%, amostra homogênea</t>
  </si>
  <si>
    <t>Custo Unitário Média</t>
  </si>
  <si>
    <t>Franquia de parcelas emitidas</t>
  </si>
  <si>
    <t>Franquia de Registros Processados</t>
  </si>
  <si>
    <t>Processo 12804.100432/2021-86</t>
  </si>
  <si>
    <t>Descrição</t>
  </si>
  <si>
    <t>Periodicidade</t>
  </si>
  <si>
    <t>Unidade de Medida</t>
  </si>
  <si>
    <t>Quantidade Mensal Estimada</t>
  </si>
  <si>
    <t>Quantidade Total Estimada</t>
  </si>
  <si>
    <t>Sítio do CONFAZ</t>
  </si>
  <si>
    <t>Fixo</t>
  </si>
  <si>
    <t>Sistema de Controle de Promoções Comerciais - SCPC</t>
  </si>
  <si>
    <t>Sistema Integrado de Gabinete - SIGABWEB</t>
  </si>
  <si>
    <t>Sistema de Gestão de Documentos - COMPROTDOCWEB</t>
  </si>
  <si>
    <t>Sistema de Ouvidoria da Secretaria Especial da Fazenda - SISOUVIDOR</t>
  </si>
  <si>
    <t>Sítio CARF Internet</t>
  </si>
  <si>
    <t>Base de Processos CARF - SINCON</t>
  </si>
  <si>
    <t>Sistema Integrado de Bibliotecas - PERGAMUM</t>
  </si>
  <si>
    <t>Sistema de Elaboração, Execução e Monitoramento de Projetos - SEEMP</t>
  </si>
  <si>
    <t>Sistema de Gestão de Servidores Cedidos e Requisitados - SIREQ</t>
  </si>
  <si>
    <t>Sistema Resenha Eletrônica - RESENHA</t>
  </si>
  <si>
    <t>Sistema de Comunicação e Protocolo - COMPROT</t>
  </si>
  <si>
    <t>CARF - Sítio CARF Intranet</t>
  </si>
  <si>
    <t>CARF - VER Acórdãos</t>
  </si>
  <si>
    <t>Agenda</t>
  </si>
  <si>
    <t>SIMBA</t>
  </si>
  <si>
    <t>CARF - CRIO</t>
  </si>
  <si>
    <t>b-Cadastros - Ambiente Peer MGI</t>
  </si>
  <si>
    <t>Drawback Suspensão</t>
  </si>
  <si>
    <t>Drawback Integrado</t>
  </si>
  <si>
    <t>Módulo Anuência LI</t>
  </si>
  <si>
    <t>Anuentes Web - SISCOMEX Importação Anuente</t>
  </si>
  <si>
    <t>Tratamento Administrativo</t>
  </si>
  <si>
    <t>Drawback Isenção (DBI)</t>
  </si>
  <si>
    <t>NOVOEX - MDIC - Siscomex Exportação Web Módulo Comercial</t>
  </si>
  <si>
    <t>CA-SECEX - Inspeção Física dos Anuentes</t>
  </si>
  <si>
    <t>GR-SECEX - Gerenciamento de Risco dos Anuentes</t>
  </si>
  <si>
    <t>VICOMEX - Visão Integrada de Comércio Exterior</t>
  </si>
  <si>
    <t>E-DOCEX - Anexação Eletrônica de Documentos</t>
  </si>
  <si>
    <t>Webservice - Anexação Eletrônica Órgãos Anuentes</t>
  </si>
  <si>
    <t>Catálogo de Produtos</t>
  </si>
  <si>
    <t>DUIMP - Declaração Única de Importação</t>
  </si>
  <si>
    <t>Plataforma do Portal Único do Comércio Exterior</t>
  </si>
  <si>
    <t>DUEX - Declaração Única de Exportação</t>
  </si>
  <si>
    <t>Cadastro de Atributos de Comércio Exterior</t>
  </si>
  <si>
    <t>TA-LPCO - Tratamento Administrativo, Licenças, Permissões, Certificados e Outros</t>
  </si>
  <si>
    <t>Portal Único de Comércio Exterior - Validação Empresas</t>
  </si>
  <si>
    <t>DW ICOMEX</t>
  </si>
  <si>
    <t>Balança Comercial - Arquivos Diários Qware</t>
  </si>
  <si>
    <t>MegaBytes Processados</t>
  </si>
  <si>
    <t>Balança Comercial - Arquivos Mensais Qware</t>
  </si>
  <si>
    <t>Tabelas Comex - TABX</t>
  </si>
  <si>
    <t>Drawback do Portal Único de Comércio Exterior</t>
  </si>
  <si>
    <t>SFITWEB</t>
  </si>
  <si>
    <t>Solução Pentaho</t>
  </si>
  <si>
    <t>Unidade Disponibilizada</t>
  </si>
  <si>
    <t>eSocial - Ambiente Web</t>
  </si>
  <si>
    <t>eSocial - Ambiente Web Service</t>
  </si>
  <si>
    <t>eSocial - Portal IDG</t>
  </si>
  <si>
    <t>eSocial - Download</t>
  </si>
  <si>
    <t>eSocial - Produção Restrita</t>
  </si>
  <si>
    <t>b-Cadastros - Ambiente Peer MTE</t>
  </si>
  <si>
    <t>Sistema Domicílio Eletronico Trabalhista - DET</t>
  </si>
  <si>
    <t>RAIS Recepção de Declaração</t>
  </si>
  <si>
    <t>RAIS Anteriores - Disponibilização Base de Dados Batch</t>
  </si>
  <si>
    <t>RAIS Online - Disponibilização Base de Dados Online</t>
  </si>
  <si>
    <t>COMPRASGOV</t>
  </si>
  <si>
    <t>SIASGNET</t>
  </si>
  <si>
    <t>SCDP</t>
  </si>
  <si>
    <t>PLATAFORMA MAIS BRASIL</t>
  </si>
  <si>
    <t>SIORG</t>
  </si>
  <si>
    <t>SIASG</t>
  </si>
  <si>
    <t>SIADS / REUSE - Estruturante</t>
  </si>
  <si>
    <t>Órgãos Usuários</t>
  </si>
  <si>
    <t>DW SIASG</t>
  </si>
  <si>
    <t>CIPI</t>
  </si>
  <si>
    <t>CIPI - Desenvolvimento Externo</t>
  </si>
  <si>
    <t>Comprasgov - Contratos</t>
  </si>
  <si>
    <t>Comprasgov - Fase Interna</t>
  </si>
  <si>
    <t>PNCP - Portal Nacional de Contratações Públicas</t>
  </si>
  <si>
    <t>Comprasgov - Catálogo</t>
  </si>
  <si>
    <t>Comprasgov - SICAF</t>
  </si>
  <si>
    <t>SIGAC</t>
  </si>
  <si>
    <t>WEBSERVICE SIAPE</t>
  </si>
  <si>
    <t>SIGEPE</t>
  </si>
  <si>
    <t>SIAPENET</t>
  </si>
  <si>
    <t>SIAPE SAÚDE - SIASS</t>
  </si>
  <si>
    <t>SIAPE</t>
  </si>
  <si>
    <t>SIAPE CADASTRO</t>
  </si>
  <si>
    <t>SICAJ</t>
  </si>
  <si>
    <t>DW SIAPE</t>
  </si>
  <si>
    <t>SIAPE – Qualificação de Dados</t>
  </si>
  <si>
    <t>SIGEPE - Prova de vida</t>
  </si>
  <si>
    <t>SISREF - Geolocalização</t>
  </si>
  <si>
    <t>Integrador E-Social</t>
  </si>
  <si>
    <t>SIASS - Solução Analítica</t>
  </si>
  <si>
    <t>SouGOV</t>
  </si>
  <si>
    <t>Autoriza</t>
  </si>
  <si>
    <t>Portal GovBR</t>
  </si>
  <si>
    <t>GOV.BR-API de Serviços</t>
  </si>
  <si>
    <t>GOV.BR-Plataforma de Avaliação</t>
  </si>
  <si>
    <t>GOV.BR-Motor de Recomendação GovBR</t>
  </si>
  <si>
    <t>SIAPA</t>
  </si>
  <si>
    <t>SPIUNET</t>
  </si>
  <si>
    <t>CIF</t>
  </si>
  <si>
    <t>DW SSD</t>
  </si>
  <si>
    <t>CIDI</t>
  </si>
  <si>
    <t>SARP</t>
  </si>
  <si>
    <t>SISREI</t>
  </si>
  <si>
    <t>SPUNet</t>
  </si>
  <si>
    <t>SPU+Geo</t>
  </si>
  <si>
    <t>SPU App</t>
  </si>
  <si>
    <t>PAI - Proposta de Aquisição de Imóveis</t>
  </si>
  <si>
    <t>Portal de Venda de Imóveis</t>
  </si>
  <si>
    <t>SPUnet - Desenvolvimento Externo</t>
  </si>
  <si>
    <t>Extração Diária de dados CPF - MTB</t>
  </si>
  <si>
    <t>Diária</t>
  </si>
  <si>
    <t>Extração Diária de dados CNPJ - MTB</t>
  </si>
  <si>
    <t>Extração Full de dados CPF - MPOG</t>
  </si>
  <si>
    <t>Por Demanda</t>
  </si>
  <si>
    <t>Extração Full de dados CNPJ - MPOG</t>
  </si>
  <si>
    <t>Extração e transporte de Dados Mensal - SFITWEB</t>
  </si>
  <si>
    <t>Informações de Veículos Novos Emplacados (DENATRAN)</t>
  </si>
  <si>
    <t>INFOCONV - Entes Públicos - 1.999 consultas CPF-CNPJ-CND</t>
  </si>
  <si>
    <t>Nº de Consultas</t>
  </si>
  <si>
    <t>INFOCONV - Entes Públicos - faixa da 2.000 a 49.999 consulta CPF- CNPJ-CND</t>
  </si>
  <si>
    <t>INFOCONV - Entes Públicos - faixa da 50.000 a 99.999 consulta CPF- CNPJ-CND</t>
  </si>
  <si>
    <t>INFOCONV - Entes Públicos - faixa da 100.000 a 499.999 consulta CPF- CNPJ-CND</t>
  </si>
  <si>
    <t>INFOCONV - Entes Públicos - faixa da 500.000 a 4.999.999 consulta CPF- CNPJ-CND</t>
  </si>
  <si>
    <t>INFOCONV - Entes Públicos - faixa da 5.000.000 a 9.999.999 consulta CPF- CNPJ-CND</t>
  </si>
  <si>
    <t>INFOCONV - Entes Públicos - A partir da 10.000.000 consulta CPF- CNPJ-CND</t>
  </si>
  <si>
    <t>INFOCONV - Emissão de CND</t>
  </si>
  <si>
    <t>Certificado Emitido</t>
  </si>
  <si>
    <t>Integração de Base de Dados - Demais Convênios</t>
  </si>
  <si>
    <t>UI</t>
  </si>
  <si>
    <t>Integração de Base de Dados - eSocial</t>
  </si>
  <si>
    <t>Unidade de Plataforma de Soluções Analíticas</t>
  </si>
  <si>
    <t>UPSA</t>
  </si>
  <si>
    <t>Ingestão dos dados do SFITWEB - Ingestão Diária</t>
  </si>
  <si>
    <t>Diário</t>
  </si>
  <si>
    <t>Gigabyte</t>
  </si>
  <si>
    <t>Ingestão dos dados do SFITWEB - Ingestão Full</t>
  </si>
  <si>
    <t>Por demanda</t>
  </si>
  <si>
    <t xml:space="preserve">Ingestão dos dados do DET - Ingestão Diária </t>
  </si>
  <si>
    <t>Processamento/hospedagem - Ambiente Data Lake (UPSA)</t>
  </si>
  <si>
    <t>Ambiente para soluções analíticas</t>
  </si>
  <si>
    <t>Cruzamento e análise de informações (básica) – Mercado Público</t>
  </si>
  <si>
    <t>Painel – Visualizador – Faixa 5 – acima de 100 usuários – Mercado Público</t>
  </si>
  <si>
    <t>Usuários</t>
  </si>
  <si>
    <t>Painel – Desenvolvedor – Faixa 1 –de 0 a 10 usuários – Mercado Público</t>
  </si>
  <si>
    <t>Usuários Habilitados em Sistemas - Assinatura Básica</t>
  </si>
  <si>
    <t>Assinatura/Mês</t>
  </si>
  <si>
    <t>Usuários Habilitados em Sistemas - Usuários Adicionais</t>
  </si>
  <si>
    <t>Usuários Adicionais/Mês</t>
  </si>
  <si>
    <t>De 50.000 milheiros</t>
  </si>
  <si>
    <t>De 150.000 milheiros</t>
  </si>
  <si>
    <t>De 500.000 milheiros</t>
  </si>
  <si>
    <t>De 2.000.000 milheiros (volume solicitado 3450.000)</t>
  </si>
  <si>
    <t>Milheros excedente</t>
  </si>
  <si>
    <t>Milheros Excedentes</t>
  </si>
  <si>
    <t>De 500.000 milheiros (volume solicitado 650.000)</t>
  </si>
  <si>
    <t>De 2.000.000 milheiros</t>
  </si>
  <si>
    <t>LEXML – Integração do CARF com a base LEXML</t>
  </si>
  <si>
    <t>Painel - Comércio Exterior</t>
  </si>
  <si>
    <t>Assinatura - CPF - Cadastro Compartilhado da Receita Federal</t>
  </si>
  <si>
    <t>Assinatura - CNPJ - Cadastro Compartilhado da Receita Federal</t>
  </si>
  <si>
    <t>Assinatura - CAEPF - Cadastro Compartilhado da Receita Federal</t>
  </si>
  <si>
    <t>Assinatura - CNO - Cadastro Compartilhado da Receita Federal</t>
  </si>
  <si>
    <t>Assinatura – DAU – Divida Ativa da União</t>
  </si>
  <si>
    <t>Implantação - Cadastro Compartilhado da Receita Federal - Por Peer contratado</t>
  </si>
  <si>
    <t>Acesso Remoto - VPN</t>
  </si>
  <si>
    <t>Gerenciamento de Redes de Longa Distância – BackBone</t>
  </si>
  <si>
    <t>BackBone</t>
  </si>
  <si>
    <t>Serviço de interconexão dos pontos de acesso</t>
  </si>
  <si>
    <t>Ponto de Acesso</t>
  </si>
  <si>
    <t>Gerenciamento de Redes de Longa Distância – BackBone (DF)</t>
  </si>
  <si>
    <t>Serviço de Atendimento Presencial a ambientes Lan (DF)</t>
  </si>
  <si>
    <t>UAT</t>
  </si>
  <si>
    <t>Serviço de Atendimento Remoto a Ambientes de Rede Local (DF)</t>
  </si>
  <si>
    <t>Ponto de Rede</t>
  </si>
  <si>
    <t>Administração de Serviços de Rede Local</t>
  </si>
  <si>
    <t>Usuário de Rede</t>
  </si>
  <si>
    <t>Administração de Serviços de Rede Local (DF)</t>
  </si>
  <si>
    <t>Serviço de Atendimento Presencial a ambientes Lan</t>
  </si>
  <si>
    <t>Servidor de Rede Local - Ministério da Economia</t>
  </si>
  <si>
    <t>Servidor de Rede Local - CARF</t>
  </si>
  <si>
    <t>Certificado Digital - Equipamento A1 (1 ano)*</t>
  </si>
  <si>
    <t>Certificado Digital - Equipamento A1 Multidomínio (1 ano)*</t>
  </si>
  <si>
    <t>Certificado Digital - PF A3 (3 anos)*</t>
  </si>
  <si>
    <t>Certificado Digital - PF A3 (3 anos) com token</t>
  </si>
  <si>
    <t>Certificado Digital - PF A3 (3 anos) - Renovação</t>
  </si>
  <si>
    <t>Certificado Digital - PJ A1 (1 ano)*</t>
  </si>
  <si>
    <t>Certificado Digital - PJ A3 (3 anos)*</t>
  </si>
  <si>
    <t>Certificado Digital - PJ A3 (3 anos) com token</t>
  </si>
  <si>
    <t>Certificação Digital - SIGEPE PF A3 (3 anos)*</t>
  </si>
  <si>
    <t>Certificado A3 – Pessoa Física 3 anos (emissão SIGEPE sem mídia - NEOID)*</t>
  </si>
  <si>
    <t>Certificado A3 – Pessoa Física 3 anos (emissão SERPRO sem mídia - NEOID)*</t>
  </si>
  <si>
    <t>Certificado A3 – Pessoa Jurídica 3 anos (emissão SERPRO sem mídia - NEOID)</t>
  </si>
  <si>
    <t>INFOVIA Brasília - Conexão Tipo 1</t>
  </si>
  <si>
    <t>Conexão Básica</t>
  </si>
  <si>
    <t>INFOVIA Brasília - Conexão Tipo 1 (10GB)</t>
  </si>
  <si>
    <t>INFOVIA Brasília - Conexão Tipo 2</t>
  </si>
  <si>
    <t>INFOVIA Brasília - Conexão Tipo 3</t>
  </si>
  <si>
    <t>INFOVIA Brasília - Conexão Tipo 3 (10GB)</t>
  </si>
  <si>
    <t>INFOVIA Brasília - Conexão Tipo 6</t>
  </si>
  <si>
    <t>INFOVIA - VLAN Adicional</t>
  </si>
  <si>
    <t>Ponto de Rede/Mês</t>
  </si>
  <si>
    <t>INFOVIA - Porta Adicional</t>
  </si>
  <si>
    <t>INFOVIA - Adaptação Ótica</t>
  </si>
  <si>
    <t>INFOVIA - Alocação Adicional de Endereçamento IP</t>
  </si>
  <si>
    <t>Valor/Mês</t>
  </si>
  <si>
    <t>INFOVIA - Serviço de Videoconferência multiponto</t>
  </si>
  <si>
    <t>INFOVIA - Serviço adicional de Conexão à Internet - Pacote de 1000 Mbps</t>
  </si>
  <si>
    <t>Mbps/mês</t>
  </si>
  <si>
    <t>INFOVIA - Serviço adicional de Conexão à Internet - Pacote de 100 Mbps</t>
  </si>
  <si>
    <t>INFOVIA - Serviço adicional de Conexão à Internet - Pacote de 200 Mbps</t>
  </si>
  <si>
    <t>INFOVIA - Serviço adicional de Conexão à Internet - Pacote de 300 Mbps</t>
  </si>
  <si>
    <t>INFOVIA - Serviço adicional de Conexão à Internet - Pacote de 400 Mbps</t>
  </si>
  <si>
    <t>INFOVIA - Serviço adicional de Conexão à Internet - Pacote de 500 Mbps</t>
  </si>
  <si>
    <t>INFOVIA - Serviço adicional de Conexão à Internet - Pacote de 600 Mbps</t>
  </si>
  <si>
    <t>INFOVIA - Serviço adicional de Conexão à Internet - Pacote de 700 Mbps</t>
  </si>
  <si>
    <t>INFOVIA - Serviço adicional de Conexão à Internet - Pacote de 800 Mbps</t>
  </si>
  <si>
    <t>INFOVIA - Serviço adicional de Conexão à Internet - Pacote de 900 Mbps</t>
  </si>
  <si>
    <t>INFOVIA - Serviço adicional de Conexão à Internet - Excedente de Pacote de 1000 Mbps</t>
  </si>
  <si>
    <t>INFOVIA - Serviço adicional de Conexão à Internet - Excedente de Pacote de 100 Mbps</t>
  </si>
  <si>
    <t>INFOVIA - Serviço adicional de Conexão à Internet - Excedente de Pacote de 200 Mbps</t>
  </si>
  <si>
    <t>INFOVIA - Serviço adicional de Conexão à Internet - Excedente de Pacote de 300 Mbps</t>
  </si>
  <si>
    <t>INFOVIA - Serviço adicional de Conexão à Internet - Excedente de Pacote de 400 Mbps</t>
  </si>
  <si>
    <t>INFOVIA - Serviço adicional de Conexão à Internet - Excedente de Pacote de 500 Mbps</t>
  </si>
  <si>
    <t>INFOVIA - Serviço adicional de Conexão à Internet - Excedente de Pacote de 600 Mbps</t>
  </si>
  <si>
    <t>INFOVIA - Serviço adicional de Conexão à Internet - Excedente de Pacote de 700 Mbps</t>
  </si>
  <si>
    <t>INFOVIA - Serviço adicional de Conexão à Internet - Excedente de Pacote de 800 Mbps</t>
  </si>
  <si>
    <t>INFOVIA - Serviço adicional de Conexão à Internet - Excedente de Pacote de 900 Mbps</t>
  </si>
  <si>
    <t>Rede Metropolitana de Porto Alegre</t>
  </si>
  <si>
    <t>Firewall - Proteção Exclusiva</t>
  </si>
  <si>
    <t>IPS - Proteção Exclusiva</t>
  </si>
  <si>
    <t>AntiDDoS - Proteção URL</t>
  </si>
  <si>
    <t>AntiDDoS - URL Adicional</t>
  </si>
  <si>
    <t>Filtro de Conteúdo - Proteção Exclusiva</t>
  </si>
  <si>
    <t>Usuário</t>
  </si>
  <si>
    <t>CSB</t>
  </si>
  <si>
    <t>Hora de Consultoria</t>
  </si>
  <si>
    <t>Serpro MultiCloud - CSM - Básico - Projeto gerenciado</t>
  </si>
  <si>
    <t>Serpro MultiCloud - CSM - Básico - Esforço de Gerenciamento 
- a partir de 30.000  (vol CSM)</t>
  </si>
  <si>
    <t>SCM</t>
  </si>
  <si>
    <t>Serpro MultiCloud - CSM - Intermediário - Projeto Gerenciado</t>
  </si>
  <si>
    <t>Serpro MultiCloud - CSM - Intermediário - Esforço de Gerenciamento
 - de 30.000 até 200.000 (vol CSM)</t>
  </si>
  <si>
    <t>Serpro MultiCloud - CSM - Intermediário - Esforço de Gerenciamento - de 200.001 até 500.000 (vol CSM)</t>
  </si>
  <si>
    <t>Serpro MultiCloud - CSM - Intermediário - Esforço de Gerenciamento
 - de 500.001 até 1.000.000 (vol CSM)</t>
  </si>
  <si>
    <t>Serpro MultiCloud - CSM - Intermediário - Esforço de Gerenciamento
 – a partir de 1.000.001 (vol CSM)</t>
  </si>
  <si>
    <t>Serpro MultiCloud - CSM - Avançado - Projeto Gerenciado</t>
  </si>
  <si>
    <t>Serpro MultiCloud - CSM - Avançado - Esforço de Gerenciamento 
- de 40.000 até 500.000 (vol CSM)</t>
  </si>
  <si>
    <t>Serpro MultiCloud - CSM - Avançado - Esforço de Gerenciamento
 - de 500.001 até 1.000.000 (vol CSM)</t>
  </si>
  <si>
    <t>Serpro MultiCloud - CSM - Avançado - Esforço de Gerenciamento
 - de 1.000.001 até 2.000.000 (vol CSM)</t>
  </si>
  <si>
    <t>Serpro MultiCloud - CSM - Avançado - Esforço de Gerenciamento
 - de 2.000.001 até 3.000.000  (vol CSM)</t>
  </si>
  <si>
    <t>Serpro MultiCloud - CSM - Avançado - Esforço de Gerenciamento 
- de 3.000.001 até 4.000.000  (vol CSM)</t>
  </si>
  <si>
    <t>Serpro MultiCloud - CSM - Avançado - Esforço de Gerenciamento
 – a partir de 4.000.001 (vol CSM)</t>
  </si>
  <si>
    <t>Processamento de Dados/SERPRO Drive (1GB)</t>
  </si>
  <si>
    <t>Conta Usuário</t>
  </si>
  <si>
    <t>Processamento de Dados/Armazenamento Adicional</t>
  </si>
  <si>
    <t>GigaByte</t>
  </si>
  <si>
    <t>Videoconferência</t>
  </si>
  <si>
    <t>Ponto/Hora</t>
  </si>
  <si>
    <t>SERPROMail - Administração Delegada</t>
  </si>
  <si>
    <t>Por Caixa</t>
  </si>
  <si>
    <t>SERPROMail - Caixa Básica (1 GB)</t>
  </si>
  <si>
    <t>SERPROMail - Caixa Intermediária (2 GB)</t>
  </si>
  <si>
    <t>SERPROMail - Caixa Avançada (5 GB)</t>
  </si>
  <si>
    <t>SERPROMail - Armazenamento Adicional</t>
  </si>
  <si>
    <t>SERPROMail - Guarda por Tempo</t>
  </si>
  <si>
    <t>SERPROMail - Talk</t>
  </si>
  <si>
    <t>Wan+ Assinatura Básica</t>
  </si>
  <si>
    <t>Assinatura Básica até 200 pontos</t>
  </si>
  <si>
    <t>Wan+ Conexão Avançada</t>
  </si>
  <si>
    <t>Circuito de Última Milha Banda Larga</t>
  </si>
  <si>
    <t>Serviços Especiais</t>
  </si>
  <si>
    <t>Fixo (PTA)</t>
  </si>
  <si>
    <t>Atendimento - Sistema Rais - 1 Nível – Acionamento</t>
  </si>
  <si>
    <t>Acionamentos/Mês</t>
  </si>
  <si>
    <t>Impressão Eletrônica SIAPA</t>
  </si>
  <si>
    <t>Milheros de Folhas</t>
  </si>
  <si>
    <t>Franquia Mensal ( de 0 a 999)</t>
  </si>
  <si>
    <t>De 1.000 a 9.999 Consultas</t>
  </si>
  <si>
    <t xml:space="preserve">De 10.000 a 49.999 Consultas </t>
  </si>
  <si>
    <t>De 50.000 a 99.999 Consultas</t>
  </si>
  <si>
    <t>De 100.000 a 499.999 Consultas</t>
  </si>
  <si>
    <t xml:space="preserve">De 500.000 a 1.499.999 Consultas </t>
  </si>
  <si>
    <t>De 1.500.000 a 4.499.999 Consultas</t>
  </si>
  <si>
    <t>De 4.500.000 a 13.499.999 Consultas</t>
  </si>
  <si>
    <t>Acima de 13.500.000</t>
  </si>
  <si>
    <t>PCDP – Processada (Franquia - De 0 a 10.000)</t>
  </si>
  <si>
    <t>De 10.001 a 20.000</t>
  </si>
  <si>
    <t>De 20.001 a 30.000</t>
  </si>
  <si>
    <t>De 30.001 a 40.000</t>
  </si>
  <si>
    <t>Acima de 40.001</t>
  </si>
  <si>
    <t>SerproBot Franquia até 5000 conversas</t>
  </si>
  <si>
    <t>Faixa 1 (5.001 a 15.000)</t>
  </si>
  <si>
    <t>Faixa 2 (15.001 a 50.000)</t>
  </si>
  <si>
    <t>Faixa 3 (50.001 a 150.000)</t>
  </si>
  <si>
    <t>Faixa 4 (150.001 a 500.000)</t>
  </si>
  <si>
    <t>Faixa 5 (500.001 a 1.000.000)</t>
  </si>
  <si>
    <t>Faixa 6 (acima de 1.000.0001)</t>
  </si>
  <si>
    <t>Conversas via Whatsapp iniciadas pelo usuário</t>
  </si>
  <si>
    <t>Conversas via Whatsapp iniciadas pelo órgão</t>
  </si>
  <si>
    <t>Limite superior e inferior inexistentes</t>
  </si>
  <si>
    <t>Como a média saneada não foi possível obter, pela amostra, foi usada a média simples do total contratado pelo quantitativo de serviços (26 no caso)</t>
  </si>
  <si>
    <t>Ano 1</t>
  </si>
  <si>
    <t>Ano 2</t>
  </si>
  <si>
    <t>Ano 3</t>
  </si>
  <si>
    <t>Ano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</si>
</sst>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0.0%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  <charset val="1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9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8"/>
      <color rgb="FF000000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44" fontId="10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82">
    <xf numFmtId="0" fontId="0" fillId="0" borderId="0" xfId="0"/>
    <xf numFmtId="8" fontId="0" fillId="0" borderId="0" xfId="0" applyNumberFormat="1"/>
    <xf numFmtId="0" fontId="0" fillId="0" borderId="9" xfId="0" applyBorder="1"/>
    <xf numFmtId="0" fontId="1" fillId="3" borderId="9" xfId="0" applyFont="1" applyFill="1" applyBorder="1"/>
    <xf numFmtId="2" fontId="0" fillId="0" borderId="9" xfId="0" applyNumberFormat="1" applyBorder="1"/>
    <xf numFmtId="164" fontId="0" fillId="0" borderId="9" xfId="0" applyNumberFormat="1" applyBorder="1"/>
    <xf numFmtId="0" fontId="1" fillId="0" borderId="9" xfId="0" applyFont="1" applyBorder="1"/>
    <xf numFmtId="164" fontId="0" fillId="0" borderId="0" xfId="0" applyNumberFormat="1"/>
    <xf numFmtId="10" fontId="0" fillId="0" borderId="9" xfId="0" applyNumberFormat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10" fontId="4" fillId="0" borderId="4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8" fontId="4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center" vertical="center" wrapText="1"/>
    </xf>
    <xf numFmtId="8" fontId="5" fillId="0" borderId="2" xfId="0" applyNumberFormat="1" applyFont="1" applyBorder="1"/>
    <xf numFmtId="8" fontId="4" fillId="0" borderId="6" xfId="0" applyNumberFormat="1" applyFont="1" applyBorder="1" applyAlignment="1">
      <alignment horizontal="center" vertical="center" wrapText="1"/>
    </xf>
    <xf numFmtId="0" fontId="1" fillId="6" borderId="14" xfId="0" applyFont="1" applyFill="1" applyBorder="1"/>
    <xf numFmtId="0" fontId="0" fillId="6" borderId="0" xfId="0" applyFill="1"/>
    <xf numFmtId="0" fontId="6" fillId="7" borderId="4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8" fontId="7" fillId="0" borderId="4" xfId="0" applyNumberFormat="1" applyFont="1" applyBorder="1" applyAlignment="1">
      <alignment horizontal="right" vertical="center" wrapText="1"/>
    </xf>
    <xf numFmtId="8" fontId="8" fillId="0" borderId="4" xfId="0" applyNumberFormat="1" applyFont="1" applyBorder="1" applyAlignment="1">
      <alignment horizontal="right" vertical="center" wrapText="1"/>
    </xf>
    <xf numFmtId="0" fontId="8" fillId="8" borderId="3" xfId="0" applyFont="1" applyFill="1" applyBorder="1" applyAlignment="1">
      <alignment horizontal="center" vertical="center" wrapText="1"/>
    </xf>
    <xf numFmtId="8" fontId="7" fillId="8" borderId="4" xfId="0" applyNumberFormat="1" applyFont="1" applyFill="1" applyBorder="1" applyAlignment="1">
      <alignment horizontal="right" vertical="center" wrapText="1"/>
    </xf>
    <xf numFmtId="8" fontId="8" fillId="8" borderId="4" xfId="0" applyNumberFormat="1" applyFont="1" applyFill="1" applyBorder="1" applyAlignment="1">
      <alignment horizontal="right" vertical="center" wrapText="1"/>
    </xf>
    <xf numFmtId="8" fontId="9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8" fontId="3" fillId="0" borderId="2" xfId="0" applyNumberFormat="1" applyFont="1" applyBorder="1" applyAlignment="1">
      <alignment horizontal="center" vertical="center"/>
    </xf>
    <xf numFmtId="8" fontId="0" fillId="0" borderId="0" xfId="0" applyNumberFormat="1" applyAlignment="1">
      <alignment horizontal="center"/>
    </xf>
    <xf numFmtId="164" fontId="4" fillId="0" borderId="6" xfId="0" applyNumberFormat="1" applyFont="1" applyBorder="1" applyAlignment="1">
      <alignment horizontal="center" vertical="center" wrapText="1"/>
    </xf>
    <xf numFmtId="10" fontId="8" fillId="0" borderId="4" xfId="0" applyNumberFormat="1" applyFont="1" applyBorder="1" applyAlignment="1">
      <alignment horizontal="center" vertical="center" wrapText="1"/>
    </xf>
    <xf numFmtId="9" fontId="0" fillId="0" borderId="0" xfId="0" applyNumberFormat="1"/>
    <xf numFmtId="165" fontId="0" fillId="0" borderId="0" xfId="0" applyNumberFormat="1"/>
    <xf numFmtId="10" fontId="0" fillId="0" borderId="0" xfId="0" applyNumberFormat="1"/>
    <xf numFmtId="44" fontId="0" fillId="0" borderId="0" xfId="2" applyFont="1"/>
    <xf numFmtId="0" fontId="6" fillId="7" borderId="12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4" fontId="3" fillId="0" borderId="18" xfId="0" applyNumberFormat="1" applyFont="1" applyBorder="1" applyAlignment="1">
      <alignment horizontal="center" vertical="center" wrapText="1"/>
    </xf>
    <xf numFmtId="164" fontId="3" fillId="0" borderId="19" xfId="0" applyNumberFormat="1" applyFont="1" applyBorder="1" applyAlignment="1">
      <alignment horizontal="center" vertical="center" wrapText="1"/>
    </xf>
    <xf numFmtId="164" fontId="3" fillId="0" borderId="20" xfId="0" applyNumberFormat="1" applyFont="1" applyBorder="1" applyAlignment="1">
      <alignment horizontal="center" vertical="center" wrapText="1"/>
    </xf>
    <xf numFmtId="164" fontId="3" fillId="0" borderId="15" xfId="0" applyNumberFormat="1" applyFont="1" applyBorder="1" applyAlignment="1">
      <alignment horizontal="center" vertical="center" wrapText="1"/>
    </xf>
    <xf numFmtId="164" fontId="3" fillId="0" borderId="16" xfId="0" applyNumberFormat="1" applyFont="1" applyBorder="1" applyAlignment="1">
      <alignment horizontal="center" vertical="center" wrapText="1"/>
    </xf>
    <xf numFmtId="164" fontId="3" fillId="0" borderId="17" xfId="0" applyNumberFormat="1" applyFont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43" fontId="0" fillId="0" borderId="0" xfId="3" applyFont="1"/>
  </cellXfs>
  <cellStyles count="4">
    <cellStyle name="Moeda" xfId="2" builtinId="4"/>
    <cellStyle name="Normal" xfId="0" builtinId="0"/>
    <cellStyle name="Normal 3" xfId="1" xr:uid="{C1FC7203-369C-49EE-B74B-1EEADDB8CC00}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BA012-CB55-4844-B745-41D39A241659}">
  <dimension ref="A1:F8"/>
  <sheetViews>
    <sheetView workbookViewId="0">
      <selection activeCell="F8" sqref="F8"/>
    </sheetView>
  </sheetViews>
  <sheetFormatPr defaultColWidth="22.88671875" defaultRowHeight="14.4" x14ac:dyDescent="0.3"/>
  <cols>
    <col min="1" max="1" width="4.109375" bestFit="1" customWidth="1"/>
    <col min="3" max="3" width="12.5546875" bestFit="1" customWidth="1"/>
    <col min="4" max="4" width="9.33203125" bestFit="1" customWidth="1"/>
    <col min="5" max="5" width="12.33203125" bestFit="1" customWidth="1"/>
  </cols>
  <sheetData>
    <row r="1" spans="1:6" ht="15" thickBot="1" x14ac:dyDescent="0.35">
      <c r="A1" s="42" t="s">
        <v>0</v>
      </c>
      <c r="B1" s="41" t="s">
        <v>1</v>
      </c>
      <c r="C1" s="40" t="s">
        <v>2</v>
      </c>
      <c r="D1" s="40" t="s">
        <v>3</v>
      </c>
      <c r="E1" s="40" t="s">
        <v>4</v>
      </c>
      <c r="F1" s="40" t="s">
        <v>5</v>
      </c>
    </row>
    <row r="2" spans="1:6" ht="15" thickBot="1" x14ac:dyDescent="0.35">
      <c r="A2" s="38">
        <v>1</v>
      </c>
      <c r="B2" s="37" t="s">
        <v>6</v>
      </c>
      <c r="C2" s="36" t="s">
        <v>7</v>
      </c>
      <c r="D2" s="36">
        <v>54</v>
      </c>
      <c r="E2" s="35">
        <v>973493.05</v>
      </c>
      <c r="F2" s="35">
        <v>52568624.700000003</v>
      </c>
    </row>
    <row r="3" spans="1:6" ht="31.2" thickBot="1" x14ac:dyDescent="0.35">
      <c r="A3" s="38">
        <v>2</v>
      </c>
      <c r="B3" s="37" t="s">
        <v>8</v>
      </c>
      <c r="C3" s="36" t="s">
        <v>9</v>
      </c>
      <c r="D3" s="39">
        <v>48000</v>
      </c>
      <c r="E3" s="35">
        <v>2084.54</v>
      </c>
      <c r="F3" s="35">
        <f>D3*E3</f>
        <v>100057920</v>
      </c>
    </row>
    <row r="4" spans="1:6" ht="15" thickBot="1" x14ac:dyDescent="0.35">
      <c r="A4" s="38">
        <v>3</v>
      </c>
      <c r="B4" s="37" t="s">
        <v>10</v>
      </c>
      <c r="C4" s="36" t="s">
        <v>11</v>
      </c>
      <c r="D4" s="36">
        <v>54</v>
      </c>
      <c r="E4" s="35">
        <v>47147.17</v>
      </c>
      <c r="F4" s="35">
        <f>D4*E4</f>
        <v>2545947.1799999997</v>
      </c>
    </row>
    <row r="5" spans="1:6" ht="15" thickBot="1" x14ac:dyDescent="0.35">
      <c r="A5" s="38">
        <v>5</v>
      </c>
      <c r="B5" s="37" t="s">
        <v>12</v>
      </c>
      <c r="C5" s="36" t="s">
        <v>7</v>
      </c>
      <c r="D5" s="36">
        <v>54</v>
      </c>
      <c r="E5" s="35">
        <v>23808.66</v>
      </c>
      <c r="F5" s="35">
        <f>D5*E5</f>
        <v>1285667.6399999999</v>
      </c>
    </row>
    <row r="6" spans="1:6" ht="15" thickBot="1" x14ac:dyDescent="0.35">
      <c r="A6" s="38">
        <v>6</v>
      </c>
      <c r="B6" s="37" t="s">
        <v>13</v>
      </c>
      <c r="C6" s="36" t="s">
        <v>14</v>
      </c>
      <c r="D6" s="39">
        <v>9000</v>
      </c>
      <c r="E6" s="35">
        <v>433.97</v>
      </c>
      <c r="F6" s="35">
        <f>D6*E6</f>
        <v>3905730.0000000005</v>
      </c>
    </row>
    <row r="7" spans="1:6" ht="15" thickBot="1" x14ac:dyDescent="0.35">
      <c r="A7" s="38">
        <v>7</v>
      </c>
      <c r="B7" s="37" t="s">
        <v>15</v>
      </c>
      <c r="C7" s="36" t="s">
        <v>16</v>
      </c>
      <c r="D7" s="36">
        <v>54</v>
      </c>
      <c r="E7" s="35">
        <v>1302704.8799999999</v>
      </c>
      <c r="F7" s="35">
        <f>D7*E7</f>
        <v>70346063.519999996</v>
      </c>
    </row>
    <row r="8" spans="1:6" x14ac:dyDescent="0.3">
      <c r="F8" s="44">
        <f>SUM(F2:F7)</f>
        <v>230709953.03999996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2F593-9BF0-4515-9892-762C42CC6E81}">
  <dimension ref="A1:F11"/>
  <sheetViews>
    <sheetView workbookViewId="0">
      <selection activeCell="F4" sqref="F4"/>
    </sheetView>
  </sheetViews>
  <sheetFormatPr defaultRowHeight="14.4" x14ac:dyDescent="0.3"/>
  <cols>
    <col min="2" max="4" width="17.6640625" bestFit="1" customWidth="1"/>
    <col min="5" max="5" width="17.44140625" bestFit="1" customWidth="1"/>
    <col min="6" max="6" width="15.33203125" customWidth="1"/>
  </cols>
  <sheetData>
    <row r="1" spans="1:6" ht="30" customHeight="1" thickBot="1" x14ac:dyDescent="0.35">
      <c r="A1" s="51" t="s">
        <v>17</v>
      </c>
      <c r="B1" s="53" t="s">
        <v>18</v>
      </c>
      <c r="C1" s="54"/>
      <c r="D1" s="54"/>
      <c r="E1" s="51" t="s">
        <v>19</v>
      </c>
      <c r="F1" s="51" t="s">
        <v>20</v>
      </c>
    </row>
    <row r="2" spans="1:6" ht="15" thickBot="1" x14ac:dyDescent="0.35">
      <c r="A2" s="52"/>
      <c r="B2" s="28">
        <v>1</v>
      </c>
      <c r="C2" s="28">
        <v>2</v>
      </c>
      <c r="D2" s="28">
        <v>3</v>
      </c>
      <c r="E2" s="52"/>
      <c r="F2" s="52"/>
    </row>
    <row r="3" spans="1:6" ht="15" thickBot="1" x14ac:dyDescent="0.35">
      <c r="A3" s="29" t="s">
        <v>21</v>
      </c>
      <c r="B3" s="30">
        <f>'Solução 3 - TCO'!C7</f>
        <v>514238917.62923086</v>
      </c>
      <c r="C3" s="30">
        <f>'Solução 3 - TCO'!D7</f>
        <v>522767089.38355011</v>
      </c>
      <c r="D3" s="30">
        <f>'Solução 3 - TCO'!E7</f>
        <v>531443262.65723705</v>
      </c>
      <c r="E3" s="31">
        <f>SUM(B3:D3)</f>
        <v>1568449269.670018</v>
      </c>
      <c r="F3" s="46">
        <f>E4/E3</f>
        <v>0.5655700603008299</v>
      </c>
    </row>
    <row r="4" spans="1:6" ht="15" thickBot="1" x14ac:dyDescent="0.35">
      <c r="A4" s="32" t="s">
        <v>22</v>
      </c>
      <c r="B4" s="33">
        <f>'Solução 4 - TCO'!C7</f>
        <v>290840740.03000003</v>
      </c>
      <c r="C4" s="33">
        <f>'Solução 4 - TCO'!D7</f>
        <v>295660502.03617203</v>
      </c>
      <c r="D4" s="33">
        <f>'Solução 4 - TCO'!E7</f>
        <v>300566705.95989251</v>
      </c>
      <c r="E4" s="34">
        <f>SUM(B4:D4)</f>
        <v>887067948.02606463</v>
      </c>
      <c r="F4" s="46">
        <f>E5/E4</f>
        <v>0</v>
      </c>
    </row>
    <row r="7" spans="1:6" x14ac:dyDescent="0.3">
      <c r="B7" s="1">
        <f>B4/2</f>
        <v>145420370.01500002</v>
      </c>
      <c r="C7" s="1">
        <f>C4/2</f>
        <v>147830251.01808602</v>
      </c>
      <c r="D7" s="1">
        <f>D4/2</f>
        <v>150283352.97994626</v>
      </c>
    </row>
    <row r="8" spans="1:6" x14ac:dyDescent="0.3">
      <c r="A8" t="s">
        <v>409</v>
      </c>
      <c r="B8" s="1"/>
      <c r="C8" s="1"/>
      <c r="D8" s="1"/>
    </row>
    <row r="9" spans="1:6" x14ac:dyDescent="0.3">
      <c r="A9" t="s">
        <v>410</v>
      </c>
      <c r="B9" s="50">
        <v>145438044.815</v>
      </c>
      <c r="C9" s="50">
        <v>147847925.818086</v>
      </c>
      <c r="D9" s="50">
        <f>B9+C9</f>
        <v>293285970.63308597</v>
      </c>
    </row>
    <row r="10" spans="1:6" x14ac:dyDescent="0.3">
      <c r="A10" t="s">
        <v>411</v>
      </c>
      <c r="B10" s="50">
        <v>147847925.818086</v>
      </c>
      <c r="C10" s="50">
        <v>150301027.77994624</v>
      </c>
      <c r="D10" s="50">
        <f>B10+C10</f>
        <v>298148953.59803224</v>
      </c>
    </row>
    <row r="11" spans="1:6" x14ac:dyDescent="0.3">
      <c r="A11" t="s">
        <v>412</v>
      </c>
    </row>
  </sheetData>
  <mergeCells count="4">
    <mergeCell ref="A1:A2"/>
    <mergeCell ref="E1:E2"/>
    <mergeCell ref="B1:D1"/>
    <mergeCell ref="F1:F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58B31-C9B0-4236-9118-D29700DD9467}">
  <dimension ref="A1:E11"/>
  <sheetViews>
    <sheetView workbookViewId="0">
      <selection activeCell="C17" sqref="C17"/>
    </sheetView>
  </sheetViews>
  <sheetFormatPr defaultRowHeight="14.4" x14ac:dyDescent="0.3"/>
  <cols>
    <col min="1" max="1" width="23.88671875" bestFit="1" customWidth="1"/>
    <col min="2" max="2" width="16.88671875" customWidth="1"/>
    <col min="3" max="5" width="18.109375" bestFit="1" customWidth="1"/>
  </cols>
  <sheetData>
    <row r="1" spans="1:5" ht="17.25" customHeight="1" thickBot="1" x14ac:dyDescent="0.35">
      <c r="A1" s="11" t="s">
        <v>23</v>
      </c>
      <c r="B1" s="12" t="s">
        <v>24</v>
      </c>
      <c r="C1" s="12" t="s">
        <v>25</v>
      </c>
      <c r="D1" s="12" t="s">
        <v>26</v>
      </c>
      <c r="E1" s="12" t="s">
        <v>27</v>
      </c>
    </row>
    <row r="2" spans="1:5" ht="15" thickBot="1" x14ac:dyDescent="0.35">
      <c r="A2" s="13" t="s">
        <v>28</v>
      </c>
      <c r="B2" s="14" t="s">
        <v>29</v>
      </c>
      <c r="C2" s="15" cm="1">
        <f t="array" ref="C2">'Solução 3 - Cust. Solução'!F7:F7/3</f>
        <v>514126540.01923084</v>
      </c>
      <c r="D2" s="15">
        <f>C2+C5</f>
        <v>514126540.01923084</v>
      </c>
      <c r="E2" s="15">
        <f>D2+D5</f>
        <v>522661040.5835501</v>
      </c>
    </row>
    <row r="3" spans="1:5" ht="15.6" customHeight="1" thickBot="1" x14ac:dyDescent="0.35">
      <c r="A3" s="55" t="s">
        <v>30</v>
      </c>
      <c r="B3" s="14" t="s">
        <v>31</v>
      </c>
      <c r="C3" s="15">
        <v>6328.81</v>
      </c>
      <c r="D3" s="15">
        <v>0</v>
      </c>
      <c r="E3" s="15">
        <v>0</v>
      </c>
    </row>
    <row r="4" spans="1:5" ht="15" thickBot="1" x14ac:dyDescent="0.35">
      <c r="A4" s="56"/>
      <c r="B4" s="14" t="s">
        <v>32</v>
      </c>
      <c r="C4" s="15">
        <f>35349.6*3</f>
        <v>106048.79999999999</v>
      </c>
      <c r="D4" s="15">
        <f>C4</f>
        <v>106048.79999999999</v>
      </c>
      <c r="E4" s="15">
        <f t="shared" ref="E4" si="0">D4</f>
        <v>106048.79999999999</v>
      </c>
    </row>
    <row r="5" spans="1:5" ht="15" thickBot="1" x14ac:dyDescent="0.35">
      <c r="A5" s="13" t="s">
        <v>33</v>
      </c>
      <c r="B5" s="16">
        <v>1.66E-2</v>
      </c>
      <c r="C5" s="15">
        <v>0</v>
      </c>
      <c r="D5" s="15">
        <f>$B$5*D2</f>
        <v>8534500.5643192325</v>
      </c>
      <c r="E5" s="15">
        <f>$B$5*E2</f>
        <v>8676173.2736869324</v>
      </c>
    </row>
    <row r="6" spans="1:5" ht="15.6" customHeight="1" thickBot="1" x14ac:dyDescent="0.35">
      <c r="A6" s="13" t="s">
        <v>34</v>
      </c>
      <c r="B6" s="14" t="s">
        <v>29</v>
      </c>
      <c r="C6" s="15">
        <v>0</v>
      </c>
      <c r="D6" s="15">
        <v>0</v>
      </c>
      <c r="E6" s="15">
        <v>0</v>
      </c>
    </row>
    <row r="7" spans="1:5" ht="15" thickBot="1" x14ac:dyDescent="0.35">
      <c r="A7" s="57" t="s">
        <v>35</v>
      </c>
      <c r="B7" s="58"/>
      <c r="C7" s="45">
        <f>SUM(C2:C6)</f>
        <v>514238917.62923086</v>
      </c>
      <c r="D7" s="45">
        <f>SUM(D2:D6)</f>
        <v>522767089.38355011</v>
      </c>
      <c r="E7" s="45">
        <f t="shared" ref="E7" si="1">SUM(E2:E6)</f>
        <v>531443262.65723705</v>
      </c>
    </row>
    <row r="8" spans="1:5" ht="15" thickBot="1" x14ac:dyDescent="0.35">
      <c r="A8" s="57" t="s">
        <v>36</v>
      </c>
      <c r="B8" s="59"/>
      <c r="C8" s="60">
        <f>SUM(C7:E7)</f>
        <v>1568449269.670018</v>
      </c>
      <c r="D8" s="61"/>
      <c r="E8" s="62"/>
    </row>
    <row r="10" spans="1:5" x14ac:dyDescent="0.3">
      <c r="C10" s="1"/>
      <c r="D10" s="7"/>
    </row>
    <row r="11" spans="1:5" x14ac:dyDescent="0.3">
      <c r="D11" s="7"/>
    </row>
  </sheetData>
  <mergeCells count="4">
    <mergeCell ref="A3:A4"/>
    <mergeCell ref="A7:B7"/>
    <mergeCell ref="A8:B8"/>
    <mergeCell ref="C8:E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B015A-C9C0-4EF1-B96F-D401A412F88D}">
  <dimension ref="A1:E8"/>
  <sheetViews>
    <sheetView workbookViewId="0">
      <selection activeCell="B22" sqref="B22"/>
    </sheetView>
  </sheetViews>
  <sheetFormatPr defaultRowHeight="14.4" x14ac:dyDescent="0.3"/>
  <cols>
    <col min="1" max="1" width="23.88671875" bestFit="1" customWidth="1"/>
    <col min="2" max="2" width="11.33203125" bestFit="1" customWidth="1"/>
    <col min="3" max="5" width="16.44140625" bestFit="1" customWidth="1"/>
  </cols>
  <sheetData>
    <row r="1" spans="1:5" ht="15" thickBot="1" x14ac:dyDescent="0.35">
      <c r="A1" s="11" t="s">
        <v>23</v>
      </c>
      <c r="B1" s="12" t="s">
        <v>24</v>
      </c>
      <c r="C1" s="12" t="s">
        <v>25</v>
      </c>
      <c r="D1" s="12" t="s">
        <v>26</v>
      </c>
      <c r="E1" s="12" t="s">
        <v>27</v>
      </c>
    </row>
    <row r="2" spans="1:5" ht="15" thickBot="1" x14ac:dyDescent="0.35">
      <c r="A2" s="13" t="s">
        <v>28</v>
      </c>
      <c r="B2" s="14" t="s">
        <v>29</v>
      </c>
      <c r="C2" s="15">
        <f>'Solução 4 - Cust. Solução'!F7/3</f>
        <v>290728362.42000002</v>
      </c>
      <c r="D2" s="15">
        <f>C2+C5</f>
        <v>290728362.42000002</v>
      </c>
      <c r="E2" s="15">
        <f t="shared" ref="E2" si="0">D2+D5</f>
        <v>295554453.23617202</v>
      </c>
    </row>
    <row r="3" spans="1:5" ht="15.6" customHeight="1" thickBot="1" x14ac:dyDescent="0.35">
      <c r="A3" s="55" t="s">
        <v>30</v>
      </c>
      <c r="B3" s="14" t="s">
        <v>31</v>
      </c>
      <c r="C3" s="15">
        <v>6328.81</v>
      </c>
      <c r="D3" s="15">
        <v>0</v>
      </c>
      <c r="E3" s="15">
        <v>0</v>
      </c>
    </row>
    <row r="4" spans="1:5" ht="15" thickBot="1" x14ac:dyDescent="0.35">
      <c r="A4" s="56"/>
      <c r="B4" s="14" t="s">
        <v>32</v>
      </c>
      <c r="C4" s="15">
        <f>35349.6*3</f>
        <v>106048.79999999999</v>
      </c>
      <c r="D4" s="15">
        <f>C4</f>
        <v>106048.79999999999</v>
      </c>
      <c r="E4" s="15">
        <f t="shared" ref="E4" si="1">D4</f>
        <v>106048.79999999999</v>
      </c>
    </row>
    <row r="5" spans="1:5" ht="15" thickBot="1" x14ac:dyDescent="0.35">
      <c r="A5" s="13" t="s">
        <v>33</v>
      </c>
      <c r="B5" s="16">
        <v>1.66E-2</v>
      </c>
      <c r="C5" s="15">
        <v>0</v>
      </c>
      <c r="D5" s="15">
        <f>$B$5*D2</f>
        <v>4826090.816172</v>
      </c>
      <c r="E5" s="15">
        <f t="shared" ref="E5" si="2">$B$5*E2</f>
        <v>4906203.9237204557</v>
      </c>
    </row>
    <row r="6" spans="1:5" ht="15.6" customHeight="1" thickBot="1" x14ac:dyDescent="0.35">
      <c r="A6" s="13" t="s">
        <v>34</v>
      </c>
      <c r="B6" s="14" t="s">
        <v>29</v>
      </c>
      <c r="C6" s="15">
        <v>0</v>
      </c>
      <c r="D6" s="15">
        <v>0</v>
      </c>
      <c r="E6" s="15">
        <v>0</v>
      </c>
    </row>
    <row r="7" spans="1:5" ht="15" thickBot="1" x14ac:dyDescent="0.35">
      <c r="A7" s="57" t="s">
        <v>35</v>
      </c>
      <c r="B7" s="58"/>
      <c r="C7" s="45">
        <f>SUM(C2:C6)</f>
        <v>290840740.03000003</v>
      </c>
      <c r="D7" s="45">
        <f>SUM(D2:D6)</f>
        <v>295660502.03617203</v>
      </c>
      <c r="E7" s="45">
        <f t="shared" ref="E7" si="3">SUM(E2:E6)</f>
        <v>300566705.95989251</v>
      </c>
    </row>
    <row r="8" spans="1:5" ht="15" thickBot="1" x14ac:dyDescent="0.35">
      <c r="A8" s="57" t="s">
        <v>36</v>
      </c>
      <c r="B8" s="59"/>
      <c r="C8" s="63">
        <f>SUM(C7:E7)</f>
        <v>887067948.02606463</v>
      </c>
      <c r="D8" s="64"/>
      <c r="E8" s="65"/>
    </row>
  </sheetData>
  <mergeCells count="4">
    <mergeCell ref="A3:A4"/>
    <mergeCell ref="A7:B7"/>
    <mergeCell ref="A8:B8"/>
    <mergeCell ref="C8:E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8DB18-51C5-49CF-9455-7869ECBC741F}">
  <dimension ref="A1:F10"/>
  <sheetViews>
    <sheetView workbookViewId="0">
      <selection activeCell="F3" sqref="F3"/>
    </sheetView>
  </sheetViews>
  <sheetFormatPr defaultRowHeight="14.4" x14ac:dyDescent="0.3"/>
  <cols>
    <col min="1" max="1" width="9.33203125" bestFit="1" customWidth="1"/>
    <col min="2" max="2" width="27.5546875" bestFit="1" customWidth="1"/>
    <col min="3" max="3" width="14.5546875" bestFit="1" customWidth="1"/>
    <col min="4" max="4" width="11.109375" bestFit="1" customWidth="1"/>
    <col min="5" max="5" width="14.44140625" bestFit="1" customWidth="1"/>
    <col min="6" max="6" width="18.109375" bestFit="1" customWidth="1"/>
  </cols>
  <sheetData>
    <row r="1" spans="1:6" ht="15" thickBot="1" x14ac:dyDescent="0.35">
      <c r="A1" s="11" t="s">
        <v>37</v>
      </c>
      <c r="B1" s="17" t="s">
        <v>38</v>
      </c>
      <c r="C1" s="12" t="s">
        <v>2</v>
      </c>
      <c r="D1" s="12" t="s">
        <v>39</v>
      </c>
      <c r="E1" s="12" t="s">
        <v>4</v>
      </c>
      <c r="F1" s="12" t="s">
        <v>40</v>
      </c>
    </row>
    <row r="2" spans="1:6" ht="15" thickBot="1" x14ac:dyDescent="0.35">
      <c r="A2" s="13">
        <v>1</v>
      </c>
      <c r="B2" s="18" t="s">
        <v>6</v>
      </c>
      <c r="C2" s="14" t="s">
        <v>7</v>
      </c>
      <c r="D2" s="14">
        <f>'Solução 4 - Cust. Solução'!D2</f>
        <v>54</v>
      </c>
      <c r="E2" s="19">
        <f>'Produções CT 65-2021'!B134</f>
        <v>973493.04749999999</v>
      </c>
      <c r="F2" s="19">
        <f>D2*26*E2</f>
        <v>1366784238.6900001</v>
      </c>
    </row>
    <row r="3" spans="1:6" ht="34.799999999999997" thickBot="1" x14ac:dyDescent="0.35">
      <c r="A3" s="13">
        <v>2</v>
      </c>
      <c r="B3" s="18" t="s">
        <v>8</v>
      </c>
      <c r="C3" s="14" t="s">
        <v>9</v>
      </c>
      <c r="D3" s="20">
        <f>'Solução 4 - Cust. Solução'!D3</f>
        <v>48000</v>
      </c>
      <c r="E3" s="19">
        <f>'Contrato 65-2021'!E3</f>
        <v>2084.54</v>
      </c>
      <c r="F3" s="19">
        <f t="shared" ref="F3:F6" si="0">D3*E3</f>
        <v>100057920</v>
      </c>
    </row>
    <row r="4" spans="1:6" ht="15" thickBot="1" x14ac:dyDescent="0.35">
      <c r="A4" s="13">
        <v>5</v>
      </c>
      <c r="B4" s="18" t="s">
        <v>12</v>
      </c>
      <c r="C4" s="14" t="s">
        <v>7</v>
      </c>
      <c r="D4" s="14">
        <f>'Solução 4 - Cust. Solução'!D4</f>
        <v>54</v>
      </c>
      <c r="E4" s="19">
        <f>'Serv. Intraestrut CT 65-202'!B106</f>
        <v>23808.66</v>
      </c>
      <c r="F4" s="19">
        <f t="shared" si="0"/>
        <v>1285667.6399999999</v>
      </c>
    </row>
    <row r="5" spans="1:6" ht="15.6" customHeight="1" thickBot="1" x14ac:dyDescent="0.35">
      <c r="A5" s="13">
        <v>6</v>
      </c>
      <c r="B5" s="18" t="s">
        <v>13</v>
      </c>
      <c r="C5" s="14" t="s">
        <v>14</v>
      </c>
      <c r="D5" s="20">
        <f>'Solução 4 - Cust. Solução'!D5</f>
        <v>9000</v>
      </c>
      <c r="E5" s="19">
        <f>'Contrato 65-2021'!E6</f>
        <v>433.96999999999997</v>
      </c>
      <c r="F5" s="19">
        <f t="shared" si="0"/>
        <v>3905729.9999999995</v>
      </c>
    </row>
    <row r="6" spans="1:6" ht="15" thickBot="1" x14ac:dyDescent="0.35">
      <c r="A6" s="21">
        <v>7</v>
      </c>
      <c r="B6" s="22" t="s">
        <v>15</v>
      </c>
      <c r="C6" s="23" t="s">
        <v>11</v>
      </c>
      <c r="D6" s="23">
        <f>'Solução 4 - Cust. Solução'!D6</f>
        <v>54</v>
      </c>
      <c r="E6" s="19">
        <f>'Outros Serviços CT 65-202'!B39</f>
        <v>1302704.883846154</v>
      </c>
      <c r="F6" s="19">
        <f t="shared" si="0"/>
        <v>70346063.727692321</v>
      </c>
    </row>
    <row r="7" spans="1:6" ht="15" thickBot="1" x14ac:dyDescent="0.35">
      <c r="A7" s="57" t="s">
        <v>36</v>
      </c>
      <c r="B7" s="59"/>
      <c r="C7" s="59"/>
      <c r="D7" s="59"/>
      <c r="E7" s="58"/>
      <c r="F7" s="24">
        <f>SUM(F2:F6)</f>
        <v>1542379620.0576925</v>
      </c>
    </row>
    <row r="10" spans="1:6" x14ac:dyDescent="0.3">
      <c r="F10" s="1"/>
    </row>
  </sheetData>
  <mergeCells count="1">
    <mergeCell ref="A7:E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workbookViewId="0">
      <selection activeCell="E11" sqref="E11"/>
    </sheetView>
  </sheetViews>
  <sheetFormatPr defaultRowHeight="14.4" x14ac:dyDescent="0.3"/>
  <cols>
    <col min="1" max="1" width="9.33203125" bestFit="1" customWidth="1"/>
    <col min="2" max="2" width="27.5546875" bestFit="1" customWidth="1"/>
    <col min="3" max="3" width="14.5546875" bestFit="1" customWidth="1"/>
    <col min="4" max="4" width="16.33203125" bestFit="1" customWidth="1"/>
    <col min="5" max="5" width="16.21875" bestFit="1" customWidth="1"/>
    <col min="6" max="6" width="18.5546875" bestFit="1" customWidth="1"/>
  </cols>
  <sheetData>
    <row r="1" spans="1:7" ht="15" thickBot="1" x14ac:dyDescent="0.35">
      <c r="A1" s="11" t="s">
        <v>37</v>
      </c>
      <c r="B1" s="17" t="s">
        <v>38</v>
      </c>
      <c r="C1" s="12" t="s">
        <v>2</v>
      </c>
      <c r="D1" s="12" t="s">
        <v>41</v>
      </c>
      <c r="E1" s="12" t="s">
        <v>4</v>
      </c>
      <c r="F1" s="12" t="s">
        <v>40</v>
      </c>
    </row>
    <row r="2" spans="1:7" ht="15" thickBot="1" x14ac:dyDescent="0.35">
      <c r="A2" s="13">
        <v>1</v>
      </c>
      <c r="B2" s="18" t="s">
        <v>6</v>
      </c>
      <c r="C2" s="14" t="s">
        <v>11</v>
      </c>
      <c r="D2" s="14">
        <v>54</v>
      </c>
      <c r="E2" s="19">
        <f>'Produções CT 17-2021'!B64</f>
        <v>537821.5</v>
      </c>
      <c r="F2" s="19">
        <f>D2*26*E2</f>
        <v>755101386</v>
      </c>
    </row>
    <row r="3" spans="1:7" ht="34.799999999999997" thickBot="1" x14ac:dyDescent="0.35">
      <c r="A3" s="13">
        <v>2</v>
      </c>
      <c r="B3" s="18" t="s">
        <v>8</v>
      </c>
      <c r="C3" s="14" t="s">
        <v>9</v>
      </c>
      <c r="D3" s="20">
        <v>48000</v>
      </c>
      <c r="E3" s="19">
        <v>1994.19</v>
      </c>
      <c r="F3" s="19">
        <f t="shared" ref="F3:F6" si="0">D3*E3</f>
        <v>95721120</v>
      </c>
    </row>
    <row r="4" spans="1:7" ht="15" thickBot="1" x14ac:dyDescent="0.35">
      <c r="A4" s="13">
        <v>4</v>
      </c>
      <c r="B4" s="18" t="s">
        <v>12</v>
      </c>
      <c r="C4" s="14" t="s">
        <v>11</v>
      </c>
      <c r="D4" s="14">
        <v>54</v>
      </c>
      <c r="E4" s="19">
        <f>'Contrato 17-2021'!E5</f>
        <v>49351.69</v>
      </c>
      <c r="F4" s="19">
        <f>D4*E4</f>
        <v>2664991.2600000002</v>
      </c>
    </row>
    <row r="5" spans="1:7" ht="15.6" customHeight="1" thickBot="1" x14ac:dyDescent="0.35">
      <c r="A5" s="13">
        <v>5</v>
      </c>
      <c r="B5" s="18" t="s">
        <v>13</v>
      </c>
      <c r="C5" s="14" t="s">
        <v>14</v>
      </c>
      <c r="D5" s="20">
        <f>9000</f>
        <v>9000</v>
      </c>
      <c r="E5" s="19">
        <v>577.51</v>
      </c>
      <c r="F5" s="19">
        <f t="shared" si="0"/>
        <v>5197590</v>
      </c>
    </row>
    <row r="6" spans="1:7" x14ac:dyDescent="0.3">
      <c r="A6" s="21">
        <v>6</v>
      </c>
      <c r="B6" s="22" t="s">
        <v>15</v>
      </c>
      <c r="C6" s="23" t="s">
        <v>11</v>
      </c>
      <c r="D6" s="23">
        <v>54</v>
      </c>
      <c r="E6" s="19">
        <f>'Contrato 17-2021'!E7</f>
        <v>250000</v>
      </c>
      <c r="F6" s="19">
        <f t="shared" si="0"/>
        <v>13500000</v>
      </c>
    </row>
    <row r="7" spans="1:7" ht="15" thickBot="1" x14ac:dyDescent="0.35">
      <c r="A7" s="57" t="s">
        <v>36</v>
      </c>
      <c r="B7" s="59"/>
      <c r="C7" s="59"/>
      <c r="D7" s="59"/>
      <c r="E7" s="58"/>
      <c r="F7" s="43">
        <f>SUM(F2:F6)</f>
        <v>872185087.25999999</v>
      </c>
    </row>
    <row r="9" spans="1:7" x14ac:dyDescent="0.3">
      <c r="E9" s="1"/>
      <c r="F9" s="1"/>
    </row>
    <row r="10" spans="1:7" x14ac:dyDescent="0.3">
      <c r="E10" s="1"/>
      <c r="F10" s="1"/>
      <c r="G10" s="47"/>
    </row>
    <row r="11" spans="1:7" x14ac:dyDescent="0.3">
      <c r="F11" s="1"/>
      <c r="G11" s="47"/>
    </row>
    <row r="12" spans="1:7" x14ac:dyDescent="0.3">
      <c r="F12" s="1"/>
      <c r="G12" s="49"/>
    </row>
    <row r="13" spans="1:7" x14ac:dyDescent="0.3">
      <c r="F13" s="1"/>
      <c r="G13" s="49"/>
    </row>
    <row r="14" spans="1:7" x14ac:dyDescent="0.3">
      <c r="F14" s="1"/>
      <c r="G14" s="48"/>
    </row>
    <row r="15" spans="1:7" x14ac:dyDescent="0.3">
      <c r="G15" s="47"/>
    </row>
  </sheetData>
  <mergeCells count="1">
    <mergeCell ref="A7:E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CE92E-1C81-4E88-9876-EFF4395CD8A6}">
  <dimension ref="A1:G15"/>
  <sheetViews>
    <sheetView tabSelected="1" workbookViewId="0">
      <selection activeCell="F11" sqref="F11"/>
    </sheetView>
  </sheetViews>
  <sheetFormatPr defaultRowHeight="14.4" x14ac:dyDescent="0.3"/>
  <cols>
    <col min="1" max="1" width="5.109375" bestFit="1" customWidth="1"/>
    <col min="2" max="2" width="27.5546875" bestFit="1" customWidth="1"/>
    <col min="4" max="4" width="11.109375" bestFit="1" customWidth="1"/>
    <col min="5" max="6" width="18.88671875" bestFit="1" customWidth="1"/>
    <col min="7" max="7" width="11.44140625" bestFit="1" customWidth="1"/>
  </cols>
  <sheetData>
    <row r="1" spans="1:7" ht="15" thickBot="1" x14ac:dyDescent="0.35">
      <c r="A1" s="11" t="s">
        <v>37</v>
      </c>
      <c r="B1" s="17" t="s">
        <v>38</v>
      </c>
      <c r="C1" s="12" t="s">
        <v>2</v>
      </c>
      <c r="D1" s="12" t="s">
        <v>39</v>
      </c>
      <c r="E1" s="12" t="s">
        <v>4</v>
      </c>
      <c r="F1" s="12" t="s">
        <v>40</v>
      </c>
    </row>
    <row r="2" spans="1:7" ht="15" thickBot="1" x14ac:dyDescent="0.35">
      <c r="A2" s="13">
        <v>1</v>
      </c>
      <c r="B2" s="18" t="s">
        <v>6</v>
      </c>
      <c r="C2" s="14" t="s">
        <v>7</v>
      </c>
      <c r="D2" s="14">
        <v>24</v>
      </c>
      <c r="E2" s="19">
        <v>21099503.960000001</v>
      </c>
      <c r="F2" s="19">
        <v>480810674.60000002</v>
      </c>
    </row>
    <row r="3" spans="1:7" ht="34.799999999999997" thickBot="1" x14ac:dyDescent="0.35">
      <c r="A3" s="13">
        <v>2</v>
      </c>
      <c r="B3" s="18" t="s">
        <v>8</v>
      </c>
      <c r="C3" s="14" t="s">
        <v>9</v>
      </c>
      <c r="D3" s="20">
        <v>31000</v>
      </c>
      <c r="E3" s="19">
        <v>1335.91</v>
      </c>
      <c r="F3" s="19">
        <v>41413210</v>
      </c>
    </row>
    <row r="4" spans="1:7" ht="15" thickBot="1" x14ac:dyDescent="0.35">
      <c r="A4" s="13">
        <v>3</v>
      </c>
      <c r="B4" s="18" t="s">
        <v>10</v>
      </c>
      <c r="C4" s="14" t="s">
        <v>11</v>
      </c>
      <c r="D4" s="14">
        <v>4</v>
      </c>
      <c r="E4" s="19">
        <v>6524.99</v>
      </c>
      <c r="F4" s="19">
        <v>26099.94</v>
      </c>
      <c r="G4" s="1"/>
    </row>
    <row r="5" spans="1:7" ht="15" thickBot="1" x14ac:dyDescent="0.35">
      <c r="A5" s="13">
        <v>5</v>
      </c>
      <c r="B5" s="18" t="s">
        <v>12</v>
      </c>
      <c r="C5" s="14" t="s">
        <v>7</v>
      </c>
      <c r="D5" s="14">
        <v>24</v>
      </c>
      <c r="E5" s="19">
        <v>49351.69</v>
      </c>
      <c r="F5" s="19">
        <v>1184440.56</v>
      </c>
    </row>
    <row r="6" spans="1:7" ht="15" thickBot="1" x14ac:dyDescent="0.35">
      <c r="A6" s="13">
        <v>6</v>
      </c>
      <c r="B6" s="18" t="s">
        <v>13</v>
      </c>
      <c r="C6" s="14" t="s">
        <v>14</v>
      </c>
      <c r="D6" s="20">
        <v>1500</v>
      </c>
      <c r="E6" s="19">
        <v>367.01</v>
      </c>
      <c r="F6" s="19">
        <v>550515</v>
      </c>
    </row>
    <row r="7" spans="1:7" ht="15" thickBot="1" x14ac:dyDescent="0.35">
      <c r="A7" s="21">
        <v>7</v>
      </c>
      <c r="B7" s="22" t="s">
        <v>15</v>
      </c>
      <c r="C7" s="23" t="s">
        <v>16</v>
      </c>
      <c r="D7" s="23">
        <v>24</v>
      </c>
      <c r="E7" s="19">
        <v>250000</v>
      </c>
      <c r="F7" s="25">
        <v>6000000</v>
      </c>
    </row>
    <row r="8" spans="1:7" ht="15" thickBot="1" x14ac:dyDescent="0.35">
      <c r="A8" s="57" t="s">
        <v>36</v>
      </c>
      <c r="B8" s="59"/>
      <c r="C8" s="59"/>
      <c r="D8" s="59"/>
      <c r="E8" s="58"/>
      <c r="F8" s="24">
        <f>SUM(F2:F7)</f>
        <v>529984940.10000002</v>
      </c>
    </row>
    <row r="10" spans="1:7" x14ac:dyDescent="0.3">
      <c r="F10" s="1">
        <f>E2*D2</f>
        <v>506388095.04000002</v>
      </c>
    </row>
    <row r="11" spans="1:7" x14ac:dyDescent="0.3">
      <c r="A11" s="66" t="s">
        <v>42</v>
      </c>
      <c r="B11" s="67"/>
    </row>
    <row r="12" spans="1:7" x14ac:dyDescent="0.3">
      <c r="E12" s="1"/>
      <c r="F12" s="1"/>
    </row>
    <row r="15" spans="1:7" x14ac:dyDescent="0.3">
      <c r="F15" s="81"/>
    </row>
  </sheetData>
  <mergeCells count="2">
    <mergeCell ref="A8:E8"/>
    <mergeCell ref="A11:B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22C64-9407-4005-846F-052A74F9CF74}">
  <dimension ref="A1:H68"/>
  <sheetViews>
    <sheetView workbookViewId="0">
      <selection activeCell="D22" sqref="D22"/>
    </sheetView>
  </sheetViews>
  <sheetFormatPr defaultRowHeight="14.4" x14ac:dyDescent="0.3"/>
  <cols>
    <col min="1" max="1" width="75.44140625" bestFit="1" customWidth="1"/>
    <col min="2" max="2" width="20.44140625" bestFit="1" customWidth="1"/>
    <col min="3" max="3" width="30.44140625" bestFit="1" customWidth="1"/>
    <col min="4" max="4" width="16.6640625" bestFit="1" customWidth="1"/>
    <col min="5" max="5" width="17.44140625" bestFit="1" customWidth="1"/>
    <col min="6" max="6" width="17.33203125" bestFit="1" customWidth="1"/>
    <col min="7" max="7" width="15.44140625" bestFit="1" customWidth="1"/>
    <col min="8" max="8" width="16.88671875" bestFit="1" customWidth="1"/>
  </cols>
  <sheetData>
    <row r="1" spans="1:8" x14ac:dyDescent="0.3">
      <c r="A1" s="3" t="s">
        <v>43</v>
      </c>
      <c r="B1" s="3" t="s">
        <v>44</v>
      </c>
      <c r="C1" s="3" t="s">
        <v>45</v>
      </c>
      <c r="D1" s="3" t="s">
        <v>46</v>
      </c>
      <c r="E1" s="3" t="s">
        <v>47</v>
      </c>
      <c r="F1" s="3" t="s">
        <v>48</v>
      </c>
      <c r="G1" s="3" t="s">
        <v>41</v>
      </c>
      <c r="H1" s="3" t="s">
        <v>49</v>
      </c>
    </row>
    <row r="2" spans="1:8" x14ac:dyDescent="0.3">
      <c r="A2" s="2" t="s">
        <v>50</v>
      </c>
      <c r="B2" s="2" t="s">
        <v>51</v>
      </c>
      <c r="C2" s="2" t="s">
        <v>52</v>
      </c>
      <c r="D2" s="5">
        <v>0.83</v>
      </c>
      <c r="E2" s="4">
        <v>3500000</v>
      </c>
      <c r="F2" s="5">
        <v>2905000</v>
      </c>
      <c r="G2" s="4">
        <v>84000000</v>
      </c>
      <c r="H2" s="5">
        <v>69720000</v>
      </c>
    </row>
    <row r="3" spans="1:8" x14ac:dyDescent="0.3">
      <c r="A3" s="2" t="s">
        <v>53</v>
      </c>
      <c r="B3" s="2" t="s">
        <v>54</v>
      </c>
      <c r="C3" s="2" t="s">
        <v>51</v>
      </c>
      <c r="D3" s="5">
        <v>1844788.15</v>
      </c>
      <c r="E3" s="4">
        <v>1</v>
      </c>
      <c r="F3" s="5">
        <v>1844788.15</v>
      </c>
      <c r="G3" s="4">
        <v>24</v>
      </c>
      <c r="H3" s="5">
        <v>44274915.600000001</v>
      </c>
    </row>
    <row r="4" spans="1:8" x14ac:dyDescent="0.3">
      <c r="A4" s="2" t="s">
        <v>55</v>
      </c>
      <c r="B4" s="2" t="s">
        <v>54</v>
      </c>
      <c r="C4" s="2" t="s">
        <v>51</v>
      </c>
      <c r="D4" s="5">
        <v>1649045.19</v>
      </c>
      <c r="E4" s="4">
        <v>1</v>
      </c>
      <c r="F4" s="5">
        <v>1649045.19</v>
      </c>
      <c r="G4" s="4">
        <v>24</v>
      </c>
      <c r="H4" s="5">
        <v>39577084.560000002</v>
      </c>
    </row>
    <row r="5" spans="1:8" x14ac:dyDescent="0.3">
      <c r="A5" s="2" t="s">
        <v>56</v>
      </c>
      <c r="B5" s="2" t="s">
        <v>51</v>
      </c>
      <c r="C5" s="2" t="s">
        <v>57</v>
      </c>
      <c r="D5" s="5">
        <v>0.15</v>
      </c>
      <c r="E5" s="4">
        <v>4000000</v>
      </c>
      <c r="F5" s="5">
        <v>600000</v>
      </c>
      <c r="G5" s="4">
        <v>96000000</v>
      </c>
      <c r="H5" s="5">
        <v>14400000</v>
      </c>
    </row>
    <row r="6" spans="1:8" x14ac:dyDescent="0.3">
      <c r="A6" s="2" t="s">
        <v>58</v>
      </c>
      <c r="B6" s="2" t="s">
        <v>54</v>
      </c>
      <c r="C6" s="2" t="s">
        <v>51</v>
      </c>
      <c r="D6" s="5">
        <v>640813.35</v>
      </c>
      <c r="E6" s="4">
        <v>1</v>
      </c>
      <c r="F6" s="5">
        <v>640813.35</v>
      </c>
      <c r="G6" s="4">
        <v>24</v>
      </c>
      <c r="H6" s="5">
        <v>15379520.4</v>
      </c>
    </row>
    <row r="7" spans="1:8" x14ac:dyDescent="0.3">
      <c r="A7" s="2" t="s">
        <v>59</v>
      </c>
      <c r="B7" s="2" t="s">
        <v>54</v>
      </c>
      <c r="C7" s="2" t="s">
        <v>51</v>
      </c>
      <c r="D7" s="5">
        <v>563290.73</v>
      </c>
      <c r="E7" s="4">
        <v>1</v>
      </c>
      <c r="F7" s="5">
        <v>563290.73</v>
      </c>
      <c r="G7" s="4">
        <v>24</v>
      </c>
      <c r="H7" s="5">
        <v>13518977.52</v>
      </c>
    </row>
    <row r="8" spans="1:8" x14ac:dyDescent="0.3">
      <c r="A8" s="2" t="s">
        <v>60</v>
      </c>
      <c r="B8" s="2" t="s">
        <v>51</v>
      </c>
      <c r="C8" s="2" t="s">
        <v>61</v>
      </c>
      <c r="D8" s="5">
        <v>1143383.25</v>
      </c>
      <c r="E8" s="4">
        <v>1200000</v>
      </c>
      <c r="F8" s="5">
        <v>1143383.25</v>
      </c>
      <c r="G8" s="4">
        <v>14400000</v>
      </c>
      <c r="H8" s="5">
        <v>13720599</v>
      </c>
    </row>
    <row r="9" spans="1:8" x14ac:dyDescent="0.3">
      <c r="A9" s="2" t="s">
        <v>62</v>
      </c>
      <c r="B9" s="2" t="s">
        <v>63</v>
      </c>
      <c r="C9" s="2" t="s">
        <v>64</v>
      </c>
      <c r="D9" s="5">
        <v>0.74</v>
      </c>
      <c r="E9" s="4">
        <v>6800000</v>
      </c>
      <c r="F9" s="5">
        <v>5032000</v>
      </c>
      <c r="G9" s="4">
        <v>27200000</v>
      </c>
      <c r="H9" s="5">
        <v>20128000</v>
      </c>
    </row>
    <row r="10" spans="1:8" x14ac:dyDescent="0.3">
      <c r="A10" s="2" t="s">
        <v>65</v>
      </c>
      <c r="B10" s="2" t="s">
        <v>54</v>
      </c>
      <c r="C10" s="2" t="s">
        <v>51</v>
      </c>
      <c r="D10" s="5">
        <v>903124.94</v>
      </c>
      <c r="E10" s="4">
        <v>1</v>
      </c>
      <c r="F10" s="5">
        <v>903124.94</v>
      </c>
      <c r="G10" s="4">
        <v>24</v>
      </c>
      <c r="H10" s="5">
        <v>21674998.559999999</v>
      </c>
    </row>
    <row r="11" spans="1:8" x14ac:dyDescent="0.3">
      <c r="A11" s="2" t="s">
        <v>66</v>
      </c>
      <c r="B11" s="2" t="s">
        <v>54</v>
      </c>
      <c r="C11" s="2" t="s">
        <v>51</v>
      </c>
      <c r="D11" s="5">
        <v>49256.54</v>
      </c>
      <c r="E11" s="4">
        <v>1</v>
      </c>
      <c r="F11" s="5">
        <v>49256.54</v>
      </c>
      <c r="G11" s="4">
        <v>24</v>
      </c>
      <c r="H11" s="5">
        <v>1182156.96</v>
      </c>
    </row>
    <row r="12" spans="1:8" x14ac:dyDescent="0.3">
      <c r="A12" s="2" t="s">
        <v>67</v>
      </c>
      <c r="B12" s="2" t="s">
        <v>54</v>
      </c>
      <c r="C12" s="2" t="s">
        <v>51</v>
      </c>
      <c r="D12" s="5">
        <v>465927.72</v>
      </c>
      <c r="E12" s="4">
        <v>1</v>
      </c>
      <c r="F12" s="5">
        <v>465927.72</v>
      </c>
      <c r="G12" s="4">
        <v>24</v>
      </c>
      <c r="H12" s="5">
        <v>11182265.279999999</v>
      </c>
    </row>
    <row r="13" spans="1:8" x14ac:dyDescent="0.3">
      <c r="A13" s="2" t="s">
        <v>68</v>
      </c>
      <c r="B13" s="2" t="s">
        <v>54</v>
      </c>
      <c r="C13" s="2" t="s">
        <v>51</v>
      </c>
      <c r="D13" s="5">
        <v>513791.23</v>
      </c>
      <c r="E13" s="4">
        <v>1</v>
      </c>
      <c r="F13" s="5">
        <v>513791.23</v>
      </c>
      <c r="G13" s="4">
        <v>24</v>
      </c>
      <c r="H13" s="5">
        <v>12330989.52</v>
      </c>
    </row>
    <row r="14" spans="1:8" x14ac:dyDescent="0.3">
      <c r="A14" s="2" t="s">
        <v>69</v>
      </c>
      <c r="B14" s="2" t="s">
        <v>54</v>
      </c>
      <c r="C14" s="2" t="s">
        <v>51</v>
      </c>
      <c r="D14" s="5">
        <v>118720.42</v>
      </c>
      <c r="E14" s="4">
        <v>1</v>
      </c>
      <c r="F14" s="5">
        <v>118720.42</v>
      </c>
      <c r="G14" s="4">
        <v>24</v>
      </c>
      <c r="H14" s="5">
        <v>2849290.08</v>
      </c>
    </row>
    <row r="15" spans="1:8" x14ac:dyDescent="0.3">
      <c r="A15" s="2" t="s">
        <v>70</v>
      </c>
      <c r="B15" s="2" t="s">
        <v>54</v>
      </c>
      <c r="C15" s="2" t="s">
        <v>51</v>
      </c>
      <c r="D15" s="5">
        <v>298208.15000000002</v>
      </c>
      <c r="E15" s="4">
        <v>1</v>
      </c>
      <c r="F15" s="5">
        <v>298208.15000000002</v>
      </c>
      <c r="G15" s="4">
        <v>20</v>
      </c>
      <c r="H15" s="5">
        <v>5964163</v>
      </c>
    </row>
    <row r="16" spans="1:8" x14ac:dyDescent="0.3">
      <c r="A16" s="2" t="s">
        <v>71</v>
      </c>
      <c r="B16" s="2" t="s">
        <v>54</v>
      </c>
      <c r="C16" s="2" t="s">
        <v>51</v>
      </c>
      <c r="D16" s="5">
        <v>95756.67</v>
      </c>
      <c r="E16" s="4">
        <v>1</v>
      </c>
      <c r="F16" s="5">
        <v>95756.67</v>
      </c>
      <c r="G16" s="4">
        <v>24</v>
      </c>
      <c r="H16" s="5">
        <v>2298160.08</v>
      </c>
    </row>
    <row r="17" spans="1:8" x14ac:dyDescent="0.3">
      <c r="A17" s="2" t="s">
        <v>72</v>
      </c>
      <c r="B17" s="2" t="s">
        <v>54</v>
      </c>
      <c r="C17" s="2" t="s">
        <v>51</v>
      </c>
      <c r="D17" s="5">
        <v>521441.9</v>
      </c>
      <c r="E17" s="4">
        <v>1</v>
      </c>
      <c r="F17" s="5">
        <v>521441.9</v>
      </c>
      <c r="G17" s="4">
        <v>24</v>
      </c>
      <c r="H17" s="5">
        <v>12514605.6</v>
      </c>
    </row>
    <row r="18" spans="1:8" x14ac:dyDescent="0.3">
      <c r="A18" s="2" t="s">
        <v>73</v>
      </c>
      <c r="B18" s="2" t="s">
        <v>54</v>
      </c>
      <c r="C18" s="2" t="s">
        <v>51</v>
      </c>
      <c r="D18" s="5">
        <v>39742.230000000003</v>
      </c>
      <c r="E18" s="4">
        <v>1</v>
      </c>
      <c r="F18" s="5">
        <v>39742.230000000003</v>
      </c>
      <c r="G18" s="4">
        <v>24</v>
      </c>
      <c r="H18" s="5">
        <v>953813.52</v>
      </c>
    </row>
    <row r="19" spans="1:8" x14ac:dyDescent="0.3">
      <c r="A19" s="2" t="s">
        <v>74</v>
      </c>
      <c r="B19" s="2" t="s">
        <v>54</v>
      </c>
      <c r="C19" s="2" t="s">
        <v>51</v>
      </c>
      <c r="D19" s="5">
        <v>513712.9</v>
      </c>
      <c r="E19" s="4">
        <v>1</v>
      </c>
      <c r="F19" s="5">
        <v>513712.9</v>
      </c>
      <c r="G19" s="4">
        <v>16</v>
      </c>
      <c r="H19" s="5">
        <v>8219406.4000000004</v>
      </c>
    </row>
    <row r="20" spans="1:8" x14ac:dyDescent="0.3">
      <c r="A20" s="2" t="s">
        <v>75</v>
      </c>
      <c r="B20" s="2" t="s">
        <v>54</v>
      </c>
      <c r="C20" s="2" t="s">
        <v>51</v>
      </c>
      <c r="D20" s="5">
        <v>547261.36</v>
      </c>
      <c r="E20" s="4">
        <v>1</v>
      </c>
      <c r="F20" s="5">
        <v>547261.36</v>
      </c>
      <c r="G20" s="4">
        <v>24</v>
      </c>
      <c r="H20" s="5">
        <v>13134272.640000001</v>
      </c>
    </row>
    <row r="21" spans="1:8" x14ac:dyDescent="0.3">
      <c r="A21" s="2" t="s">
        <v>76</v>
      </c>
      <c r="B21" s="2" t="s">
        <v>54</v>
      </c>
      <c r="C21" s="2" t="s">
        <v>51</v>
      </c>
      <c r="D21" s="5">
        <v>396165.5</v>
      </c>
      <c r="E21" s="4">
        <v>1</v>
      </c>
      <c r="F21" s="5">
        <v>396165.5</v>
      </c>
      <c r="G21" s="4">
        <v>24</v>
      </c>
      <c r="H21" s="5">
        <v>9507972</v>
      </c>
    </row>
    <row r="22" spans="1:8" x14ac:dyDescent="0.3">
      <c r="A22" s="2" t="s">
        <v>77</v>
      </c>
      <c r="B22" s="2" t="s">
        <v>54</v>
      </c>
      <c r="C22" s="2" t="s">
        <v>51</v>
      </c>
      <c r="D22" s="5">
        <v>15859.75</v>
      </c>
      <c r="E22" s="4">
        <v>1</v>
      </c>
      <c r="F22" s="5">
        <v>15859.75</v>
      </c>
      <c r="G22" s="4">
        <v>24</v>
      </c>
      <c r="H22" s="5">
        <v>380634</v>
      </c>
    </row>
    <row r="23" spans="1:8" x14ac:dyDescent="0.3">
      <c r="A23" s="2" t="s">
        <v>78</v>
      </c>
      <c r="B23" s="2" t="s">
        <v>54</v>
      </c>
      <c r="C23" s="2" t="s">
        <v>51</v>
      </c>
      <c r="D23" s="5">
        <v>519953.21</v>
      </c>
      <c r="E23" s="4">
        <v>1</v>
      </c>
      <c r="F23" s="5">
        <v>519953.21</v>
      </c>
      <c r="G23" s="4">
        <v>12</v>
      </c>
      <c r="H23" s="5">
        <v>6239438.5199999996</v>
      </c>
    </row>
    <row r="24" spans="1:8" x14ac:dyDescent="0.3">
      <c r="A24" s="2" t="s">
        <v>79</v>
      </c>
      <c r="B24" s="2" t="s">
        <v>54</v>
      </c>
      <c r="C24" s="2" t="s">
        <v>51</v>
      </c>
      <c r="D24" s="5">
        <v>44325.25</v>
      </c>
      <c r="E24" s="4">
        <v>1</v>
      </c>
      <c r="F24" s="5">
        <v>44325.25</v>
      </c>
      <c r="G24" s="4">
        <v>24</v>
      </c>
      <c r="H24" s="5">
        <v>1063806</v>
      </c>
    </row>
    <row r="25" spans="1:8" x14ac:dyDescent="0.3">
      <c r="A25" s="2" t="s">
        <v>80</v>
      </c>
      <c r="B25" s="2" t="s">
        <v>54</v>
      </c>
      <c r="C25" s="2" t="s">
        <v>51</v>
      </c>
      <c r="D25" s="5">
        <v>44994.58</v>
      </c>
      <c r="E25" s="4">
        <v>1</v>
      </c>
      <c r="F25" s="5">
        <v>44994.58</v>
      </c>
      <c r="G25" s="4">
        <v>24</v>
      </c>
      <c r="H25" s="5">
        <v>1079869.92</v>
      </c>
    </row>
    <row r="26" spans="1:8" x14ac:dyDescent="0.3">
      <c r="A26" s="2" t="s">
        <v>81</v>
      </c>
      <c r="B26" s="2" t="s">
        <v>54</v>
      </c>
      <c r="C26" s="2" t="s">
        <v>51</v>
      </c>
      <c r="D26" s="5">
        <v>30780.87</v>
      </c>
      <c r="E26" s="4">
        <v>1</v>
      </c>
      <c r="F26" s="5">
        <v>30780.87</v>
      </c>
      <c r="G26" s="4">
        <v>24</v>
      </c>
      <c r="H26" s="5">
        <v>738740.88</v>
      </c>
    </row>
    <row r="27" spans="1:8" x14ac:dyDescent="0.3">
      <c r="A27" s="2" t="s">
        <v>82</v>
      </c>
      <c r="B27" s="2" t="s">
        <v>54</v>
      </c>
      <c r="C27" s="2" t="s">
        <v>51</v>
      </c>
      <c r="D27" s="5">
        <v>39742.230000000003</v>
      </c>
      <c r="E27" s="4">
        <v>1</v>
      </c>
      <c r="F27" s="5">
        <v>39742.230000000003</v>
      </c>
      <c r="G27" s="4">
        <v>24</v>
      </c>
      <c r="H27" s="5">
        <v>953813.52</v>
      </c>
    </row>
    <row r="28" spans="1:8" x14ac:dyDescent="0.3">
      <c r="A28" s="2" t="s">
        <v>83</v>
      </c>
      <c r="B28" s="2" t="s">
        <v>54</v>
      </c>
      <c r="C28" s="2" t="s">
        <v>51</v>
      </c>
      <c r="D28" s="5">
        <v>176764.59</v>
      </c>
      <c r="E28" s="4">
        <v>1</v>
      </c>
      <c r="F28" s="5">
        <v>176764.59</v>
      </c>
      <c r="G28" s="4">
        <v>24</v>
      </c>
      <c r="H28" s="5">
        <v>4242350.16</v>
      </c>
    </row>
    <row r="29" spans="1:8" x14ac:dyDescent="0.3">
      <c r="A29" s="2" t="s">
        <v>84</v>
      </c>
      <c r="B29" s="2" t="s">
        <v>54</v>
      </c>
      <c r="C29" s="2" t="s">
        <v>51</v>
      </c>
      <c r="D29" s="5">
        <v>165040.25</v>
      </c>
      <c r="E29" s="4">
        <v>1</v>
      </c>
      <c r="F29" s="5">
        <v>165040.25</v>
      </c>
      <c r="G29" s="4">
        <v>24</v>
      </c>
      <c r="H29" s="5">
        <v>3960966</v>
      </c>
    </row>
    <row r="30" spans="1:8" x14ac:dyDescent="0.3">
      <c r="A30" s="2" t="s">
        <v>85</v>
      </c>
      <c r="B30" s="2" t="s">
        <v>54</v>
      </c>
      <c r="C30" s="2" t="s">
        <v>51</v>
      </c>
      <c r="D30" s="5">
        <v>76058.320000000007</v>
      </c>
      <c r="E30" s="4">
        <v>1</v>
      </c>
      <c r="F30" s="5">
        <v>76058.320000000007</v>
      </c>
      <c r="G30" s="4">
        <v>24</v>
      </c>
      <c r="H30" s="5">
        <v>1825399.68</v>
      </c>
    </row>
    <row r="31" spans="1:8" x14ac:dyDescent="0.3">
      <c r="A31" s="2" t="s">
        <v>86</v>
      </c>
      <c r="B31" s="2" t="s">
        <v>54</v>
      </c>
      <c r="C31" s="2" t="s">
        <v>51</v>
      </c>
      <c r="D31" s="5">
        <v>157423.51999999999</v>
      </c>
      <c r="E31" s="4">
        <v>1</v>
      </c>
      <c r="F31" s="5">
        <v>157423.51999999999</v>
      </c>
      <c r="G31" s="4">
        <v>22</v>
      </c>
      <c r="H31" s="5">
        <v>3463317.44</v>
      </c>
    </row>
    <row r="32" spans="1:8" x14ac:dyDescent="0.3">
      <c r="A32" s="2" t="s">
        <v>87</v>
      </c>
      <c r="B32" s="2" t="s">
        <v>54</v>
      </c>
      <c r="C32" s="2" t="s">
        <v>51</v>
      </c>
      <c r="D32" s="5">
        <v>127686</v>
      </c>
      <c r="E32" s="4">
        <v>1</v>
      </c>
      <c r="F32" s="5">
        <v>127686</v>
      </c>
      <c r="G32" s="4">
        <v>24</v>
      </c>
      <c r="H32" s="5">
        <v>3064464</v>
      </c>
    </row>
    <row r="33" spans="1:8" x14ac:dyDescent="0.3">
      <c r="A33" s="2" t="s">
        <v>88</v>
      </c>
      <c r="B33" s="2" t="s">
        <v>54</v>
      </c>
      <c r="C33" s="2" t="s">
        <v>51</v>
      </c>
      <c r="D33" s="5">
        <v>29330.46</v>
      </c>
      <c r="E33" s="4">
        <v>1</v>
      </c>
      <c r="F33" s="5">
        <v>29330.46</v>
      </c>
      <c r="G33" s="4">
        <v>24</v>
      </c>
      <c r="H33" s="5">
        <v>703931.04</v>
      </c>
    </row>
    <row r="34" spans="1:8" x14ac:dyDescent="0.3">
      <c r="A34" s="2" t="s">
        <v>89</v>
      </c>
      <c r="B34" s="2" t="s">
        <v>54</v>
      </c>
      <c r="C34" s="2" t="s">
        <v>51</v>
      </c>
      <c r="D34" s="5">
        <v>39942.17</v>
      </c>
      <c r="E34" s="4">
        <v>1</v>
      </c>
      <c r="F34" s="5">
        <v>39942.17</v>
      </c>
      <c r="G34" s="4">
        <v>24</v>
      </c>
      <c r="H34" s="5">
        <v>958612.08</v>
      </c>
    </row>
    <row r="35" spans="1:8" x14ac:dyDescent="0.3">
      <c r="A35" s="2" t="s">
        <v>90</v>
      </c>
      <c r="B35" s="2" t="s">
        <v>54</v>
      </c>
      <c r="C35" s="2" t="s">
        <v>51</v>
      </c>
      <c r="D35" s="5">
        <v>31247.77</v>
      </c>
      <c r="E35" s="4">
        <v>1</v>
      </c>
      <c r="F35" s="5">
        <v>31247.77</v>
      </c>
      <c r="G35" s="4">
        <v>24</v>
      </c>
      <c r="H35" s="5">
        <v>749946.48</v>
      </c>
    </row>
    <row r="36" spans="1:8" x14ac:dyDescent="0.3">
      <c r="A36" s="2" t="s">
        <v>91</v>
      </c>
      <c r="B36" s="2" t="s">
        <v>54</v>
      </c>
      <c r="C36" s="2" t="s">
        <v>51</v>
      </c>
      <c r="D36" s="5">
        <v>2410472.4900000002</v>
      </c>
      <c r="E36" s="4">
        <v>1</v>
      </c>
      <c r="F36" s="5">
        <v>2410472.4900000002</v>
      </c>
      <c r="G36" s="4">
        <v>24</v>
      </c>
      <c r="H36" s="5">
        <v>57851339.759999998</v>
      </c>
    </row>
    <row r="37" spans="1:8" x14ac:dyDescent="0.3">
      <c r="A37" s="2" t="s">
        <v>92</v>
      </c>
      <c r="B37" s="2" t="s">
        <v>54</v>
      </c>
      <c r="C37" s="2" t="s">
        <v>51</v>
      </c>
      <c r="D37" s="5">
        <v>2541785.6</v>
      </c>
      <c r="E37" s="4">
        <v>1</v>
      </c>
      <c r="F37" s="5">
        <v>2541785.6</v>
      </c>
      <c r="G37" s="4">
        <v>24</v>
      </c>
      <c r="H37" s="5">
        <v>61002854.399999999</v>
      </c>
    </row>
    <row r="39" spans="1:8" x14ac:dyDescent="0.3">
      <c r="A39" s="6" t="s">
        <v>93</v>
      </c>
      <c r="B39" s="5">
        <f>AVERAGE(D3,D4,D6,D7,D10,D11,D12,D13,D14,D15,D16,D17,D18,D19,D20,D21,D22,D23,D24,D25,D26,D27,D28,D29,D30,D31,D32,D33,D34,D35,D36,D37)</f>
        <v>487889.18875000003</v>
      </c>
      <c r="D39" s="7"/>
    </row>
    <row r="40" spans="1:8" x14ac:dyDescent="0.3">
      <c r="A40" s="6" t="s">
        <v>94</v>
      </c>
      <c r="B40" s="5">
        <f>_xlfn.STDEV.S(D3,D4,D6,D7,D10,D11,D12,D13,D14,D15,D16,D17,D18,D19,D20,D21,D22,D23,D24,D25,D26,D27,D28,D29,D30,D31,D32,D33,D34,D35,D36,D37)</f>
        <v>679076.42639169458</v>
      </c>
    </row>
    <row r="41" spans="1:8" x14ac:dyDescent="0.3">
      <c r="A41" s="6" t="s">
        <v>95</v>
      </c>
      <c r="B41" s="8">
        <f>(B40/B39)</f>
        <v>1.3918661082274177</v>
      </c>
      <c r="C41" s="68" t="s">
        <v>96</v>
      </c>
      <c r="D41" s="68"/>
      <c r="E41" s="68"/>
    </row>
    <row r="42" spans="1:8" x14ac:dyDescent="0.3">
      <c r="A42" s="6" t="s">
        <v>97</v>
      </c>
      <c r="B42" s="5">
        <f>B39+B40</f>
        <v>1166965.6151416947</v>
      </c>
    </row>
    <row r="43" spans="1:8" x14ac:dyDescent="0.3">
      <c r="A43" s="6" t="s">
        <v>98</v>
      </c>
      <c r="B43" s="5">
        <f>B40-B39</f>
        <v>191187.23764169455</v>
      </c>
    </row>
    <row r="44" spans="1:8" x14ac:dyDescent="0.3">
      <c r="A44" s="69"/>
      <c r="B44" s="70"/>
    </row>
    <row r="45" spans="1:8" x14ac:dyDescent="0.3">
      <c r="A45" s="6" t="s">
        <v>99</v>
      </c>
      <c r="B45" s="5">
        <f>AVERAGE(D4,D6,D7,D8,D10,D11,D12,D13,D15,D17,D19,D20,D21,D23)</f>
        <v>623241.14071428578</v>
      </c>
    </row>
    <row r="46" spans="1:8" x14ac:dyDescent="0.3">
      <c r="A46" s="6" t="s">
        <v>94</v>
      </c>
      <c r="B46" s="5">
        <f>_xlfn.STDEV.S(D4,D6,D7,D8,D10,D11,D12,D13,D15,D17,D19,D20,D21,D23)</f>
        <v>389008.13618247991</v>
      </c>
    </row>
    <row r="47" spans="1:8" x14ac:dyDescent="0.3">
      <c r="A47" s="6" t="s">
        <v>95</v>
      </c>
      <c r="B47" s="8">
        <f>(B46/B45)</f>
        <v>0.62416954011836334</v>
      </c>
      <c r="C47" s="68" t="s">
        <v>96</v>
      </c>
      <c r="D47" s="68"/>
      <c r="E47" s="68"/>
    </row>
    <row r="48" spans="1:8" x14ac:dyDescent="0.3">
      <c r="A48" s="6" t="s">
        <v>97</v>
      </c>
      <c r="B48" s="5">
        <f>B45+B46</f>
        <v>1012249.2768967657</v>
      </c>
    </row>
    <row r="49" spans="1:5" x14ac:dyDescent="0.3">
      <c r="A49" s="6" t="s">
        <v>98</v>
      </c>
      <c r="B49" s="5">
        <f>B45-B46</f>
        <v>234233.00453180587</v>
      </c>
    </row>
    <row r="51" spans="1:5" x14ac:dyDescent="0.3">
      <c r="A51" s="6" t="s">
        <v>100</v>
      </c>
      <c r="B51" s="5">
        <f>AVERAGE(D6,D7,D10,D12,D13,D15,D17,D19,D20,D23)</f>
        <v>548752.549</v>
      </c>
    </row>
    <row r="52" spans="1:5" x14ac:dyDescent="0.3">
      <c r="A52" s="6" t="s">
        <v>94</v>
      </c>
      <c r="B52" s="5">
        <f>_xlfn.STDEV.S(D6,D7,D10,D12,D13,D15,D17,D19,D20,D23)</f>
        <v>151996.47562006605</v>
      </c>
    </row>
    <row r="53" spans="1:5" x14ac:dyDescent="0.3">
      <c r="A53" s="6" t="s">
        <v>95</v>
      </c>
      <c r="B53" s="8">
        <f>(B52/B51)</f>
        <v>0.27698545710093103</v>
      </c>
      <c r="C53" s="68" t="s">
        <v>96</v>
      </c>
      <c r="D53" s="68"/>
      <c r="E53" s="68"/>
    </row>
    <row r="54" spans="1:5" x14ac:dyDescent="0.3">
      <c r="A54" s="6" t="s">
        <v>97</v>
      </c>
      <c r="B54" s="5">
        <f>B51+B52</f>
        <v>700749.02462006605</v>
      </c>
    </row>
    <row r="55" spans="1:5" x14ac:dyDescent="0.3">
      <c r="A55" s="6" t="s">
        <v>98</v>
      </c>
      <c r="B55" s="5">
        <f>B51-B52</f>
        <v>396756.07337993395</v>
      </c>
    </row>
    <row r="57" spans="1:5" x14ac:dyDescent="0.3">
      <c r="A57" s="6" t="s">
        <v>101</v>
      </c>
      <c r="B57" s="5">
        <f>AVERAGE(D6,D7,D12,D13,D19,D20,D23)</f>
        <v>537821.5</v>
      </c>
    </row>
    <row r="58" spans="1:5" x14ac:dyDescent="0.3">
      <c r="A58" s="6" t="s">
        <v>94</v>
      </c>
      <c r="B58" s="5">
        <f>_xlfn.STDEV.S(D6,D7,D12,D13,D19,D20,D23)</f>
        <v>54759.75356116995</v>
      </c>
    </row>
    <row r="59" spans="1:5" x14ac:dyDescent="0.3">
      <c r="A59" s="6" t="s">
        <v>95</v>
      </c>
      <c r="B59" s="8">
        <f>(B58/B57)</f>
        <v>0.10181771007884577</v>
      </c>
      <c r="C59" s="71" t="s">
        <v>102</v>
      </c>
      <c r="D59" s="71"/>
      <c r="E59" s="71"/>
    </row>
    <row r="60" spans="1:5" x14ac:dyDescent="0.3">
      <c r="A60" s="6" t="s">
        <v>97</v>
      </c>
      <c r="B60" s="5" t="s">
        <v>29</v>
      </c>
    </row>
    <row r="61" spans="1:5" x14ac:dyDescent="0.3">
      <c r="A61" s="6" t="s">
        <v>98</v>
      </c>
      <c r="B61" s="5" t="s">
        <v>29</v>
      </c>
    </row>
    <row r="63" spans="1:5" x14ac:dyDescent="0.3">
      <c r="A63" s="3" t="s">
        <v>45</v>
      </c>
      <c r="B63" s="3" t="s">
        <v>103</v>
      </c>
    </row>
    <row r="64" spans="1:5" x14ac:dyDescent="0.3">
      <c r="A64" s="2" t="s">
        <v>51</v>
      </c>
      <c r="B64" s="5">
        <f>B57</f>
        <v>537821.5</v>
      </c>
    </row>
    <row r="65" spans="1:2" x14ac:dyDescent="0.3">
      <c r="A65" s="2" t="s">
        <v>104</v>
      </c>
      <c r="B65" s="5">
        <f>D2</f>
        <v>0.83</v>
      </c>
    </row>
    <row r="66" spans="1:2" x14ac:dyDescent="0.3">
      <c r="A66" s="2" t="s">
        <v>105</v>
      </c>
      <c r="B66" s="5">
        <f>D5</f>
        <v>0.15</v>
      </c>
    </row>
    <row r="67" spans="1:2" x14ac:dyDescent="0.3">
      <c r="A67" s="2" t="s">
        <v>61</v>
      </c>
      <c r="B67" s="5">
        <f>D8</f>
        <v>1143383.25</v>
      </c>
    </row>
    <row r="68" spans="1:2" x14ac:dyDescent="0.3">
      <c r="A68" s="2" t="s">
        <v>64</v>
      </c>
      <c r="B68" s="5">
        <f>D9</f>
        <v>0.74</v>
      </c>
    </row>
  </sheetData>
  <autoFilter ref="A1:H37" xr:uid="{C8522C64-9407-4005-846F-052A74F9CF74}"/>
  <mergeCells count="5">
    <mergeCell ref="C41:E41"/>
    <mergeCell ref="A44:B44"/>
    <mergeCell ref="C47:E47"/>
    <mergeCell ref="C53:E53"/>
    <mergeCell ref="C59:E59"/>
  </mergeCells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557B2-B29A-41A5-BFD1-D5FA721C928E}">
  <dimension ref="A1:G16"/>
  <sheetViews>
    <sheetView workbookViewId="0">
      <selection activeCell="G12" sqref="G12"/>
    </sheetView>
  </sheetViews>
  <sheetFormatPr defaultRowHeight="14.4" x14ac:dyDescent="0.3"/>
  <cols>
    <col min="1" max="1" width="9.33203125" bestFit="1" customWidth="1"/>
    <col min="2" max="2" width="27.5546875" bestFit="1" customWidth="1"/>
    <col min="4" max="4" width="18.44140625" customWidth="1"/>
    <col min="5" max="5" width="15.44140625" customWidth="1"/>
    <col min="6" max="6" width="16.44140625" bestFit="1" customWidth="1"/>
    <col min="7" max="7" width="19.44140625" customWidth="1"/>
  </cols>
  <sheetData>
    <row r="1" spans="1:7" ht="15" thickBot="1" x14ac:dyDescent="0.35">
      <c r="A1" s="11" t="s">
        <v>37</v>
      </c>
      <c r="B1" s="17" t="s">
        <v>38</v>
      </c>
      <c r="C1" s="12" t="s">
        <v>2</v>
      </c>
      <c r="D1" s="12" t="s">
        <v>39</v>
      </c>
      <c r="E1" s="12" t="s">
        <v>4</v>
      </c>
      <c r="F1" s="12" t="s">
        <v>40</v>
      </c>
    </row>
    <row r="2" spans="1:7" ht="15" thickBot="1" x14ac:dyDescent="0.35">
      <c r="A2" s="13">
        <v>1</v>
      </c>
      <c r="B2" s="18" t="s">
        <v>6</v>
      </c>
      <c r="C2" s="14" t="s">
        <v>7</v>
      </c>
      <c r="D2" s="14">
        <v>24</v>
      </c>
      <c r="E2" s="19">
        <v>21099503.960000001</v>
      </c>
      <c r="F2" s="19">
        <v>879248712.55999982</v>
      </c>
      <c r="G2" s="1"/>
    </row>
    <row r="3" spans="1:7" ht="34.799999999999997" thickBot="1" x14ac:dyDescent="0.35">
      <c r="A3" s="13">
        <v>2</v>
      </c>
      <c r="B3" s="18" t="s">
        <v>8</v>
      </c>
      <c r="C3" s="14" t="s">
        <v>9</v>
      </c>
      <c r="D3" s="20">
        <v>104640</v>
      </c>
      <c r="E3" s="19">
        <f>F3/D3</f>
        <v>2084.54</v>
      </c>
      <c r="F3" s="19">
        <v>218126265.59999999</v>
      </c>
      <c r="G3" s="1"/>
    </row>
    <row r="4" spans="1:7" ht="15" thickBot="1" x14ac:dyDescent="0.35">
      <c r="A4" s="13">
        <v>3</v>
      </c>
      <c r="B4" s="18" t="s">
        <v>10</v>
      </c>
      <c r="C4" s="14" t="s">
        <v>11</v>
      </c>
      <c r="D4" s="14">
        <v>45</v>
      </c>
      <c r="E4" s="19">
        <f>F4/D4</f>
        <v>1289559.863697778</v>
      </c>
      <c r="F4" s="19">
        <v>58030193.866400003</v>
      </c>
      <c r="G4" s="1"/>
    </row>
    <row r="5" spans="1:7" ht="15" thickBot="1" x14ac:dyDescent="0.35">
      <c r="A5" s="13">
        <v>5</v>
      </c>
      <c r="B5" s="18" t="s">
        <v>12</v>
      </c>
      <c r="C5" s="14" t="s">
        <v>7</v>
      </c>
      <c r="D5" s="14">
        <v>24</v>
      </c>
      <c r="E5" s="19">
        <f>F5/D5</f>
        <v>2165129.62</v>
      </c>
      <c r="F5" s="19">
        <v>51963110.880000003</v>
      </c>
      <c r="G5" s="1"/>
    </row>
    <row r="6" spans="1:7" ht="15" thickBot="1" x14ac:dyDescent="0.35">
      <c r="A6" s="13">
        <v>6</v>
      </c>
      <c r="B6" s="18" t="s">
        <v>13</v>
      </c>
      <c r="C6" s="14" t="s">
        <v>14</v>
      </c>
      <c r="D6" s="20">
        <v>13968</v>
      </c>
      <c r="E6" s="19">
        <f>F6/D6</f>
        <v>433.96999999999997</v>
      </c>
      <c r="F6" s="19">
        <v>6061692.96</v>
      </c>
      <c r="G6" s="1"/>
    </row>
    <row r="7" spans="1:7" ht="15" thickBot="1" x14ac:dyDescent="0.35">
      <c r="A7" s="21">
        <v>7</v>
      </c>
      <c r="B7" s="22" t="s">
        <v>15</v>
      </c>
      <c r="C7" s="23" t="s">
        <v>16</v>
      </c>
      <c r="D7" s="23">
        <v>26</v>
      </c>
      <c r="E7" s="19">
        <f>F7/D7</f>
        <v>1302704.883846154</v>
      </c>
      <c r="F7" s="25">
        <v>33870326.980000004</v>
      </c>
      <c r="G7" s="1"/>
    </row>
    <row r="8" spans="1:7" ht="15" thickBot="1" x14ac:dyDescent="0.35">
      <c r="A8" s="57" t="s">
        <v>36</v>
      </c>
      <c r="B8" s="59"/>
      <c r="C8" s="59"/>
      <c r="D8" s="59"/>
      <c r="E8" s="58"/>
      <c r="F8" s="24">
        <f>SUM(F2:F7)</f>
        <v>1247300302.8464</v>
      </c>
      <c r="G8" s="1"/>
    </row>
    <row r="11" spans="1:7" x14ac:dyDescent="0.3">
      <c r="A11" s="66" t="s">
        <v>106</v>
      </c>
      <c r="B11" s="67"/>
    </row>
    <row r="16" spans="1:7" x14ac:dyDescent="0.3">
      <c r="F16" s="1"/>
    </row>
  </sheetData>
  <mergeCells count="2">
    <mergeCell ref="A8:E8"/>
    <mergeCell ref="A11:B1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779FD-D3D3-41EB-BEF9-F4BE12DC339E}">
  <sheetPr filterMode="1"/>
  <dimension ref="A1:H138"/>
  <sheetViews>
    <sheetView topLeftCell="A104" workbookViewId="0">
      <selection activeCell="H142" sqref="H142"/>
    </sheetView>
  </sheetViews>
  <sheetFormatPr defaultRowHeight="14.4" x14ac:dyDescent="0.3"/>
  <cols>
    <col min="1" max="1" width="55.109375" customWidth="1"/>
    <col min="2" max="2" width="18.88671875" bestFit="1" customWidth="1"/>
    <col min="3" max="3" width="21.109375" bestFit="1" customWidth="1"/>
    <col min="4" max="4" width="17.44140625" bestFit="1" customWidth="1"/>
    <col min="5" max="5" width="15.44140625" bestFit="1" customWidth="1"/>
    <col min="6" max="6" width="16.88671875" bestFit="1" customWidth="1"/>
    <col min="7" max="7" width="23.88671875" bestFit="1" customWidth="1"/>
    <col min="8" max="8" width="17.6640625" bestFit="1" customWidth="1"/>
  </cols>
  <sheetData>
    <row r="1" spans="1:8" x14ac:dyDescent="0.3">
      <c r="A1" s="3" t="s">
        <v>107</v>
      </c>
      <c r="B1" s="3" t="s">
        <v>108</v>
      </c>
      <c r="C1" s="3" t="s">
        <v>109</v>
      </c>
      <c r="D1" s="3" t="s">
        <v>46</v>
      </c>
      <c r="E1" s="3" t="s">
        <v>110</v>
      </c>
      <c r="F1" s="3" t="s">
        <v>48</v>
      </c>
      <c r="G1" s="3" t="s">
        <v>111</v>
      </c>
      <c r="H1" s="3" t="s">
        <v>49</v>
      </c>
    </row>
    <row r="2" spans="1:8" x14ac:dyDescent="0.3">
      <c r="A2" s="2" t="s">
        <v>112</v>
      </c>
      <c r="B2" s="2" t="s">
        <v>7</v>
      </c>
      <c r="C2" s="2" t="s">
        <v>113</v>
      </c>
      <c r="D2" s="5">
        <v>6195.79</v>
      </c>
      <c r="E2" s="2">
        <v>1</v>
      </c>
      <c r="F2" s="5">
        <f t="shared" ref="F2:F17" si="0">E2*D2</f>
        <v>6195.79</v>
      </c>
      <c r="G2" s="2">
        <v>24</v>
      </c>
      <c r="H2" s="5">
        <f>G2*F2</f>
        <v>148698.96</v>
      </c>
    </row>
    <row r="3" spans="1:8" x14ac:dyDescent="0.3">
      <c r="A3" s="2" t="s">
        <v>114</v>
      </c>
      <c r="B3" s="2" t="s">
        <v>7</v>
      </c>
      <c r="C3" s="2" t="s">
        <v>113</v>
      </c>
      <c r="D3" s="5">
        <v>38270.160000000003</v>
      </c>
      <c r="E3" s="2">
        <v>1</v>
      </c>
      <c r="F3" s="5">
        <f t="shared" si="0"/>
        <v>38270.160000000003</v>
      </c>
      <c r="G3" s="2">
        <v>24</v>
      </c>
      <c r="H3" s="5">
        <f>ROUND((G3*F3),2)</f>
        <v>918483.84</v>
      </c>
    </row>
    <row r="4" spans="1:8" x14ac:dyDescent="0.3">
      <c r="A4" s="2" t="s">
        <v>115</v>
      </c>
      <c r="B4" s="2" t="s">
        <v>7</v>
      </c>
      <c r="C4" s="2" t="s">
        <v>113</v>
      </c>
      <c r="D4" s="5">
        <v>7831.53</v>
      </c>
      <c r="E4" s="2">
        <v>1</v>
      </c>
      <c r="F4" s="5">
        <f t="shared" si="0"/>
        <v>7831.53</v>
      </c>
      <c r="G4" s="2">
        <v>24</v>
      </c>
      <c r="H4" s="5">
        <f>ROUND((G4*F4),2)</f>
        <v>187956.72</v>
      </c>
    </row>
    <row r="5" spans="1:8" x14ac:dyDescent="0.3">
      <c r="A5" s="2" t="s">
        <v>116</v>
      </c>
      <c r="B5" s="2" t="s">
        <v>7</v>
      </c>
      <c r="C5" s="2" t="s">
        <v>113</v>
      </c>
      <c r="D5" s="5">
        <v>70878.36</v>
      </c>
      <c r="E5" s="2">
        <v>1</v>
      </c>
      <c r="F5" s="5">
        <f t="shared" si="0"/>
        <v>70878.36</v>
      </c>
      <c r="G5" s="2">
        <v>24</v>
      </c>
      <c r="H5" s="5">
        <f>ROUND((G5*F5),2)</f>
        <v>1701080.64</v>
      </c>
    </row>
    <row r="6" spans="1:8" x14ac:dyDescent="0.3">
      <c r="A6" s="2" t="s">
        <v>117</v>
      </c>
      <c r="B6" s="2" t="s">
        <v>7</v>
      </c>
      <c r="C6" s="2" t="s">
        <v>113</v>
      </c>
      <c r="D6" s="5">
        <v>64333.96</v>
      </c>
      <c r="E6" s="2">
        <v>1</v>
      </c>
      <c r="F6" s="5">
        <f t="shared" si="0"/>
        <v>64333.96</v>
      </c>
      <c r="G6" s="2">
        <v>24</v>
      </c>
      <c r="H6" s="5">
        <f>ROUND((G6*F6),2)</f>
        <v>1544015.04</v>
      </c>
    </row>
    <row r="7" spans="1:8" x14ac:dyDescent="0.3">
      <c r="A7" s="2" t="s">
        <v>118</v>
      </c>
      <c r="B7" s="2" t="s">
        <v>7</v>
      </c>
      <c r="C7" s="2" t="s">
        <v>113</v>
      </c>
      <c r="D7" s="5">
        <v>3579.5</v>
      </c>
      <c r="E7" s="2">
        <v>1</v>
      </c>
      <c r="F7" s="5">
        <f t="shared" si="0"/>
        <v>3579.5</v>
      </c>
      <c r="G7" s="2">
        <v>24</v>
      </c>
      <c r="H7" s="5">
        <f>ROUND((G7*D7),2)</f>
        <v>85908</v>
      </c>
    </row>
    <row r="8" spans="1:8" x14ac:dyDescent="0.3">
      <c r="A8" s="2" t="s">
        <v>119</v>
      </c>
      <c r="B8" s="2" t="s">
        <v>7</v>
      </c>
      <c r="C8" s="2" t="s">
        <v>113</v>
      </c>
      <c r="D8" s="5">
        <v>291761.43</v>
      </c>
      <c r="E8" s="2">
        <v>1</v>
      </c>
      <c r="F8" s="5">
        <f t="shared" si="0"/>
        <v>291761.43</v>
      </c>
      <c r="G8" s="2">
        <v>24</v>
      </c>
      <c r="H8" s="5">
        <f>ROUND((G8*F8),2)</f>
        <v>7002274.3200000003</v>
      </c>
    </row>
    <row r="9" spans="1:8" x14ac:dyDescent="0.3">
      <c r="A9" s="2" t="s">
        <v>120</v>
      </c>
      <c r="B9" s="2" t="s">
        <v>7</v>
      </c>
      <c r="C9" s="2" t="s">
        <v>113</v>
      </c>
      <c r="D9" s="5">
        <v>9500.94</v>
      </c>
      <c r="E9" s="2">
        <v>1</v>
      </c>
      <c r="F9" s="5">
        <f t="shared" si="0"/>
        <v>9500.94</v>
      </c>
      <c r="G9" s="2">
        <v>24</v>
      </c>
      <c r="H9" s="5">
        <f>ROUND((G9*F9),2)</f>
        <v>228022.56</v>
      </c>
    </row>
    <row r="10" spans="1:8" x14ac:dyDescent="0.3">
      <c r="A10" s="2" t="s">
        <v>121</v>
      </c>
      <c r="B10" s="2" t="s">
        <v>7</v>
      </c>
      <c r="C10" s="2" t="s">
        <v>113</v>
      </c>
      <c r="D10" s="5">
        <v>62667.81</v>
      </c>
      <c r="E10" s="2">
        <v>1</v>
      </c>
      <c r="F10" s="5">
        <f t="shared" si="0"/>
        <v>62667.81</v>
      </c>
      <c r="G10" s="2">
        <v>24</v>
      </c>
      <c r="H10" s="5">
        <f>ROUND((G10*F10),2)</f>
        <v>1504027.44</v>
      </c>
    </row>
    <row r="11" spans="1:8" x14ac:dyDescent="0.3">
      <c r="A11" s="2" t="s">
        <v>122</v>
      </c>
      <c r="B11" s="2" t="s">
        <v>7</v>
      </c>
      <c r="C11" s="2" t="s">
        <v>113</v>
      </c>
      <c r="D11" s="5">
        <v>11916.34</v>
      </c>
      <c r="E11" s="2">
        <v>1</v>
      </c>
      <c r="F11" s="5">
        <f t="shared" si="0"/>
        <v>11916.34</v>
      </c>
      <c r="G11" s="2">
        <v>12</v>
      </c>
      <c r="H11" s="5">
        <f>G11*F11</f>
        <v>142996.08000000002</v>
      </c>
    </row>
    <row r="12" spans="1:8" x14ac:dyDescent="0.3">
      <c r="A12" s="2" t="s">
        <v>123</v>
      </c>
      <c r="B12" s="2" t="s">
        <v>7</v>
      </c>
      <c r="C12" s="2" t="s">
        <v>113</v>
      </c>
      <c r="D12" s="5">
        <v>10368</v>
      </c>
      <c r="E12" s="2">
        <v>1</v>
      </c>
      <c r="F12" s="5">
        <f t="shared" si="0"/>
        <v>10368</v>
      </c>
      <c r="G12" s="2">
        <v>24</v>
      </c>
      <c r="H12" s="5">
        <f t="shared" ref="H12:H46" si="1">ROUND((G12*F12),2)</f>
        <v>248832</v>
      </c>
    </row>
    <row r="13" spans="1:8" x14ac:dyDescent="0.3">
      <c r="A13" s="2" t="s">
        <v>124</v>
      </c>
      <c r="B13" s="2" t="s">
        <v>7</v>
      </c>
      <c r="C13" s="2" t="s">
        <v>113</v>
      </c>
      <c r="D13" s="5">
        <v>111560.74</v>
      </c>
      <c r="E13" s="2">
        <v>1</v>
      </c>
      <c r="F13" s="5">
        <f t="shared" si="0"/>
        <v>111560.74</v>
      </c>
      <c r="G13" s="2">
        <v>24</v>
      </c>
      <c r="H13" s="5">
        <f t="shared" si="1"/>
        <v>2677457.7599999998</v>
      </c>
    </row>
    <row r="14" spans="1:8" x14ac:dyDescent="0.3">
      <c r="A14" s="2" t="s">
        <v>125</v>
      </c>
      <c r="B14" s="2" t="s">
        <v>7</v>
      </c>
      <c r="C14" s="2" t="s">
        <v>113</v>
      </c>
      <c r="D14" s="5">
        <v>49008.81</v>
      </c>
      <c r="E14" s="2">
        <v>1</v>
      </c>
      <c r="F14" s="5">
        <f t="shared" si="0"/>
        <v>49008.81</v>
      </c>
      <c r="G14" s="2">
        <v>24</v>
      </c>
      <c r="H14" s="5">
        <f t="shared" si="1"/>
        <v>1176211.44</v>
      </c>
    </row>
    <row r="15" spans="1:8" x14ac:dyDescent="0.3">
      <c r="A15" s="2" t="s">
        <v>126</v>
      </c>
      <c r="B15" s="2" t="s">
        <v>7</v>
      </c>
      <c r="C15" s="2" t="s">
        <v>113</v>
      </c>
      <c r="D15" s="5">
        <v>43108.12</v>
      </c>
      <c r="E15" s="2">
        <v>1</v>
      </c>
      <c r="F15" s="5">
        <f t="shared" si="0"/>
        <v>43108.12</v>
      </c>
      <c r="G15" s="2">
        <v>24</v>
      </c>
      <c r="H15" s="5">
        <f t="shared" si="1"/>
        <v>1034594.88</v>
      </c>
    </row>
    <row r="16" spans="1:8" x14ac:dyDescent="0.3">
      <c r="A16" s="2" t="s">
        <v>127</v>
      </c>
      <c r="B16" s="2" t="s">
        <v>7</v>
      </c>
      <c r="C16" s="2" t="s">
        <v>113</v>
      </c>
      <c r="D16" s="5">
        <v>37038.400000000001</v>
      </c>
      <c r="E16" s="2">
        <v>1</v>
      </c>
      <c r="F16" s="5">
        <f t="shared" si="0"/>
        <v>37038.400000000001</v>
      </c>
      <c r="G16" s="2">
        <v>12</v>
      </c>
      <c r="H16" s="5">
        <f t="shared" si="1"/>
        <v>444460.79999999999</v>
      </c>
    </row>
    <row r="17" spans="1:8" x14ac:dyDescent="0.3">
      <c r="A17" s="2" t="s">
        <v>128</v>
      </c>
      <c r="B17" s="2" t="s">
        <v>7</v>
      </c>
      <c r="C17" s="2" t="s">
        <v>113</v>
      </c>
      <c r="D17" s="5">
        <v>51093.09</v>
      </c>
      <c r="E17" s="2">
        <v>1</v>
      </c>
      <c r="F17" s="5">
        <f t="shared" si="0"/>
        <v>51093.09</v>
      </c>
      <c r="G17" s="2">
        <v>12</v>
      </c>
      <c r="H17" s="5">
        <f t="shared" si="1"/>
        <v>613117.07999999996</v>
      </c>
    </row>
    <row r="18" spans="1:8" x14ac:dyDescent="0.3">
      <c r="A18" s="2" t="s">
        <v>129</v>
      </c>
      <c r="B18" s="2" t="s">
        <v>7</v>
      </c>
      <c r="C18" s="2" t="s">
        <v>113</v>
      </c>
      <c r="D18" s="5">
        <v>119936.37</v>
      </c>
      <c r="E18" s="2">
        <v>1</v>
      </c>
      <c r="F18" s="5">
        <f t="shared" ref="F18:F57" si="2">D18*E18</f>
        <v>119936.37</v>
      </c>
      <c r="G18" s="2">
        <v>12</v>
      </c>
      <c r="H18" s="5">
        <f t="shared" si="1"/>
        <v>1439236.44</v>
      </c>
    </row>
    <row r="19" spans="1:8" x14ac:dyDescent="0.3">
      <c r="A19" s="2" t="s">
        <v>130</v>
      </c>
      <c r="B19" s="2" t="s">
        <v>7</v>
      </c>
      <c r="C19" s="2" t="s">
        <v>113</v>
      </c>
      <c r="D19" s="5">
        <v>62249.120000000003</v>
      </c>
      <c r="E19" s="2">
        <v>1</v>
      </c>
      <c r="F19" s="5">
        <f t="shared" si="2"/>
        <v>62249.120000000003</v>
      </c>
      <c r="G19" s="2">
        <v>12</v>
      </c>
      <c r="H19" s="5">
        <f t="shared" si="1"/>
        <v>746989.44</v>
      </c>
    </row>
    <row r="20" spans="1:8" x14ac:dyDescent="0.3">
      <c r="A20" s="2" t="s">
        <v>131</v>
      </c>
      <c r="B20" s="2" t="s">
        <v>7</v>
      </c>
      <c r="C20" s="2" t="s">
        <v>113</v>
      </c>
      <c r="D20" s="5">
        <v>38459.71</v>
      </c>
      <c r="E20" s="2">
        <v>1</v>
      </c>
      <c r="F20" s="5">
        <f t="shared" si="2"/>
        <v>38459.71</v>
      </c>
      <c r="G20" s="2">
        <v>24</v>
      </c>
      <c r="H20" s="5">
        <f t="shared" si="1"/>
        <v>923033.04</v>
      </c>
    </row>
    <row r="21" spans="1:8" x14ac:dyDescent="0.3">
      <c r="A21" s="2" t="s">
        <v>132</v>
      </c>
      <c r="B21" s="2" t="s">
        <v>7</v>
      </c>
      <c r="C21" s="2" t="s">
        <v>113</v>
      </c>
      <c r="D21" s="5">
        <v>843975.33</v>
      </c>
      <c r="E21" s="2">
        <v>1</v>
      </c>
      <c r="F21" s="5">
        <f t="shared" si="2"/>
        <v>843975.33</v>
      </c>
      <c r="G21" s="2">
        <v>24</v>
      </c>
      <c r="H21" s="5">
        <f t="shared" si="1"/>
        <v>20255407.920000002</v>
      </c>
    </row>
    <row r="22" spans="1:8" ht="14.1" customHeight="1" x14ac:dyDescent="0.3">
      <c r="A22" s="2" t="s">
        <v>133</v>
      </c>
      <c r="B22" s="2" t="s">
        <v>7</v>
      </c>
      <c r="C22" s="2" t="s">
        <v>113</v>
      </c>
      <c r="D22" s="5">
        <v>2773.35</v>
      </c>
      <c r="E22" s="2">
        <v>1</v>
      </c>
      <c r="F22" s="5">
        <f t="shared" si="2"/>
        <v>2773.35</v>
      </c>
      <c r="G22" s="2">
        <v>24</v>
      </c>
      <c r="H22" s="5">
        <f t="shared" si="1"/>
        <v>66560.399999999994</v>
      </c>
    </row>
    <row r="23" spans="1:8" x14ac:dyDescent="0.3">
      <c r="A23" s="2" t="s">
        <v>134</v>
      </c>
      <c r="B23" s="2" t="s">
        <v>7</v>
      </c>
      <c r="C23" s="2" t="s">
        <v>113</v>
      </c>
      <c r="D23" s="5">
        <v>946116.29</v>
      </c>
      <c r="E23" s="2">
        <v>1</v>
      </c>
      <c r="F23" s="5">
        <f t="shared" si="2"/>
        <v>946116.29</v>
      </c>
      <c r="G23" s="2">
        <v>24</v>
      </c>
      <c r="H23" s="5">
        <f t="shared" si="1"/>
        <v>22706790.960000001</v>
      </c>
    </row>
    <row r="24" spans="1:8" x14ac:dyDescent="0.3">
      <c r="A24" s="2" t="s">
        <v>135</v>
      </c>
      <c r="B24" s="2" t="s">
        <v>7</v>
      </c>
      <c r="C24" s="2" t="s">
        <v>113</v>
      </c>
      <c r="D24" s="5">
        <v>313631.15999999997</v>
      </c>
      <c r="E24" s="2">
        <v>1</v>
      </c>
      <c r="F24" s="5">
        <f t="shared" si="2"/>
        <v>313631.15999999997</v>
      </c>
      <c r="G24" s="2">
        <v>24</v>
      </c>
      <c r="H24" s="5">
        <f t="shared" si="1"/>
        <v>7527147.8399999999</v>
      </c>
    </row>
    <row r="25" spans="1:8" x14ac:dyDescent="0.3">
      <c r="A25" s="2" t="s">
        <v>136</v>
      </c>
      <c r="B25" s="2" t="s">
        <v>7</v>
      </c>
      <c r="C25" s="2" t="s">
        <v>113</v>
      </c>
      <c r="D25" s="5">
        <v>1379716.62</v>
      </c>
      <c r="E25" s="2">
        <v>1</v>
      </c>
      <c r="F25" s="5">
        <f t="shared" si="2"/>
        <v>1379716.62</v>
      </c>
      <c r="G25" s="2">
        <v>24</v>
      </c>
      <c r="H25" s="5">
        <f t="shared" si="1"/>
        <v>33113198.879999999</v>
      </c>
    </row>
    <row r="26" spans="1:8" x14ac:dyDescent="0.3">
      <c r="A26" s="2" t="s">
        <v>137</v>
      </c>
      <c r="B26" s="2" t="s">
        <v>7</v>
      </c>
      <c r="C26" s="2" t="s">
        <v>113</v>
      </c>
      <c r="D26" s="5">
        <v>470042.57</v>
      </c>
      <c r="E26" s="2">
        <v>1</v>
      </c>
      <c r="F26" s="5">
        <f t="shared" si="2"/>
        <v>470042.57</v>
      </c>
      <c r="G26" s="2">
        <v>24</v>
      </c>
      <c r="H26" s="5">
        <f t="shared" si="1"/>
        <v>11281021.68</v>
      </c>
    </row>
    <row r="27" spans="1:8" x14ac:dyDescent="0.3">
      <c r="A27" s="2" t="s">
        <v>138</v>
      </c>
      <c r="B27" s="2" t="s">
        <v>7</v>
      </c>
      <c r="C27" s="2" t="s">
        <v>113</v>
      </c>
      <c r="D27" s="5">
        <v>68424.850000000006</v>
      </c>
      <c r="E27" s="2">
        <v>1</v>
      </c>
      <c r="F27" s="5">
        <f t="shared" si="2"/>
        <v>68424.850000000006</v>
      </c>
      <c r="G27" s="2">
        <v>14</v>
      </c>
      <c r="H27" s="5">
        <f t="shared" si="1"/>
        <v>957947.9</v>
      </c>
    </row>
    <row r="28" spans="1:8" x14ac:dyDescent="0.3">
      <c r="A28" s="2" t="s">
        <v>139</v>
      </c>
      <c r="B28" s="2" t="s">
        <v>7</v>
      </c>
      <c r="C28" s="2" t="s">
        <v>113</v>
      </c>
      <c r="D28" s="5">
        <v>45993.09</v>
      </c>
      <c r="E28" s="2">
        <v>1</v>
      </c>
      <c r="F28" s="5">
        <f t="shared" si="2"/>
        <v>45993.09</v>
      </c>
      <c r="G28" s="2">
        <v>14</v>
      </c>
      <c r="H28" s="5">
        <f t="shared" si="1"/>
        <v>643903.26</v>
      </c>
    </row>
    <row r="29" spans="1:8" x14ac:dyDescent="0.3">
      <c r="A29" s="2" t="s">
        <v>140</v>
      </c>
      <c r="B29" s="2" t="s">
        <v>7</v>
      </c>
      <c r="C29" s="2" t="s">
        <v>113</v>
      </c>
      <c r="D29" s="5">
        <v>152749.17000000001</v>
      </c>
      <c r="E29" s="2">
        <v>1</v>
      </c>
      <c r="F29" s="5">
        <f t="shared" si="2"/>
        <v>152749.17000000001</v>
      </c>
      <c r="G29" s="2">
        <v>12</v>
      </c>
      <c r="H29" s="5">
        <f t="shared" si="1"/>
        <v>1832990.04</v>
      </c>
    </row>
    <row r="30" spans="1:8" x14ac:dyDescent="0.3">
      <c r="A30" s="2" t="s">
        <v>141</v>
      </c>
      <c r="B30" s="2" t="s">
        <v>7</v>
      </c>
      <c r="C30" s="2" t="s">
        <v>113</v>
      </c>
      <c r="D30" s="5">
        <v>162311.71</v>
      </c>
      <c r="E30" s="2">
        <v>1</v>
      </c>
      <c r="F30" s="5">
        <f t="shared" si="2"/>
        <v>162311.71</v>
      </c>
      <c r="G30" s="2">
        <v>12</v>
      </c>
      <c r="H30" s="5">
        <f t="shared" si="1"/>
        <v>1947740.52</v>
      </c>
    </row>
    <row r="31" spans="1:8" x14ac:dyDescent="0.3">
      <c r="A31" s="2" t="s">
        <v>142</v>
      </c>
      <c r="B31" s="2" t="s">
        <v>7</v>
      </c>
      <c r="C31" s="2" t="s">
        <v>113</v>
      </c>
      <c r="D31" s="5">
        <v>26685.72</v>
      </c>
      <c r="E31" s="2">
        <v>1</v>
      </c>
      <c r="F31" s="5">
        <f t="shared" si="2"/>
        <v>26685.72</v>
      </c>
      <c r="G31" s="2">
        <v>12</v>
      </c>
      <c r="H31" s="5">
        <f t="shared" si="1"/>
        <v>320228.64</v>
      </c>
    </row>
    <row r="32" spans="1:8" x14ac:dyDescent="0.3">
      <c r="A32" s="2" t="s">
        <v>143</v>
      </c>
      <c r="B32" s="2" t="s">
        <v>7</v>
      </c>
      <c r="C32" s="2" t="s">
        <v>113</v>
      </c>
      <c r="D32" s="5">
        <v>46267.46</v>
      </c>
      <c r="E32" s="2">
        <v>1</v>
      </c>
      <c r="F32" s="5">
        <f t="shared" si="2"/>
        <v>46267.46</v>
      </c>
      <c r="G32" s="2">
        <v>12</v>
      </c>
      <c r="H32" s="5">
        <f t="shared" si="1"/>
        <v>555209.52</v>
      </c>
    </row>
    <row r="33" spans="1:8" x14ac:dyDescent="0.3">
      <c r="A33" s="2" t="s">
        <v>144</v>
      </c>
      <c r="B33" s="2" t="s">
        <v>7</v>
      </c>
      <c r="C33" s="2" t="s">
        <v>113</v>
      </c>
      <c r="D33" s="5">
        <v>75244.41</v>
      </c>
      <c r="E33" s="2">
        <v>1</v>
      </c>
      <c r="F33" s="5">
        <f t="shared" si="2"/>
        <v>75244.41</v>
      </c>
      <c r="G33" s="2">
        <v>12</v>
      </c>
      <c r="H33" s="5">
        <f t="shared" si="1"/>
        <v>902932.92</v>
      </c>
    </row>
    <row r="34" spans="1:8" x14ac:dyDescent="0.3">
      <c r="A34" s="2" t="s">
        <v>145</v>
      </c>
      <c r="B34" s="2" t="s">
        <v>7</v>
      </c>
      <c r="C34" s="2" t="s">
        <v>113</v>
      </c>
      <c r="D34" s="5">
        <v>775103.54</v>
      </c>
      <c r="E34" s="2">
        <v>1</v>
      </c>
      <c r="F34" s="5">
        <f t="shared" si="2"/>
        <v>775103.54</v>
      </c>
      <c r="G34" s="2">
        <v>12</v>
      </c>
      <c r="H34" s="5">
        <f t="shared" si="1"/>
        <v>9301242.4800000004</v>
      </c>
    </row>
    <row r="35" spans="1:8" x14ac:dyDescent="0.3">
      <c r="A35" s="2" t="s">
        <v>146</v>
      </c>
      <c r="B35" s="2" t="s">
        <v>7</v>
      </c>
      <c r="C35" s="2" t="s">
        <v>113</v>
      </c>
      <c r="D35" s="5">
        <v>987141.73</v>
      </c>
      <c r="E35" s="2">
        <v>1</v>
      </c>
      <c r="F35" s="5">
        <f t="shared" si="2"/>
        <v>987141.73</v>
      </c>
      <c r="G35" s="2">
        <v>12</v>
      </c>
      <c r="H35" s="5">
        <f t="shared" si="1"/>
        <v>11845700.76</v>
      </c>
    </row>
    <row r="36" spans="1:8" x14ac:dyDescent="0.3">
      <c r="A36" s="2" t="s">
        <v>147</v>
      </c>
      <c r="B36" s="2" t="s">
        <v>7</v>
      </c>
      <c r="C36" s="2" t="s">
        <v>113</v>
      </c>
      <c r="D36" s="5">
        <v>67672.990000000005</v>
      </c>
      <c r="E36" s="2">
        <v>1</v>
      </c>
      <c r="F36" s="5">
        <f t="shared" si="2"/>
        <v>67672.990000000005</v>
      </c>
      <c r="G36" s="2">
        <v>12</v>
      </c>
      <c r="H36" s="5">
        <f t="shared" si="1"/>
        <v>812075.88</v>
      </c>
    </row>
    <row r="37" spans="1:8" x14ac:dyDescent="0.3">
      <c r="A37" s="2" t="s">
        <v>148</v>
      </c>
      <c r="B37" s="2" t="s">
        <v>7</v>
      </c>
      <c r="C37" s="2" t="s">
        <v>113</v>
      </c>
      <c r="D37" s="5">
        <v>40585.47</v>
      </c>
      <c r="E37" s="2">
        <v>1</v>
      </c>
      <c r="F37" s="5">
        <f t="shared" si="2"/>
        <v>40585.47</v>
      </c>
      <c r="G37" s="2">
        <v>24</v>
      </c>
      <c r="H37" s="5">
        <f t="shared" si="1"/>
        <v>974051.28</v>
      </c>
    </row>
    <row r="38" spans="1:8" x14ac:dyDescent="0.3">
      <c r="A38" s="2" t="s">
        <v>149</v>
      </c>
      <c r="B38" s="2" t="s">
        <v>7</v>
      </c>
      <c r="C38" s="2" t="s">
        <v>113</v>
      </c>
      <c r="D38" s="5">
        <v>110136.3</v>
      </c>
      <c r="E38" s="2">
        <v>1</v>
      </c>
      <c r="F38" s="5">
        <f t="shared" si="2"/>
        <v>110136.3</v>
      </c>
      <c r="G38" s="2">
        <v>12</v>
      </c>
      <c r="H38" s="5">
        <f t="shared" si="1"/>
        <v>1321635.6000000001</v>
      </c>
    </row>
    <row r="39" spans="1:8" x14ac:dyDescent="0.3">
      <c r="A39" s="2" t="s">
        <v>150</v>
      </c>
      <c r="B39" s="2" t="s">
        <v>7</v>
      </c>
      <c r="C39" s="2" t="s">
        <v>113</v>
      </c>
      <c r="D39" s="5">
        <v>273768.52</v>
      </c>
      <c r="E39" s="2">
        <v>1</v>
      </c>
      <c r="F39" s="5">
        <f t="shared" si="2"/>
        <v>273768.52</v>
      </c>
      <c r="G39" s="2">
        <v>24</v>
      </c>
      <c r="H39" s="5">
        <f t="shared" si="1"/>
        <v>6570444.4800000004</v>
      </c>
    </row>
    <row r="40" spans="1:8" hidden="1" x14ac:dyDescent="0.3">
      <c r="A40" s="2" t="s">
        <v>151</v>
      </c>
      <c r="B40" s="2" t="s">
        <v>7</v>
      </c>
      <c r="C40" s="2" t="s">
        <v>152</v>
      </c>
      <c r="D40" s="5">
        <v>0.04</v>
      </c>
      <c r="E40" s="2">
        <v>5120</v>
      </c>
      <c r="F40" s="5">
        <f t="shared" si="2"/>
        <v>204.8</v>
      </c>
      <c r="G40" s="2">
        <v>24</v>
      </c>
      <c r="H40" s="5">
        <f t="shared" si="1"/>
        <v>4915.2</v>
      </c>
    </row>
    <row r="41" spans="1:8" hidden="1" x14ac:dyDescent="0.3">
      <c r="A41" s="2" t="s">
        <v>153</v>
      </c>
      <c r="B41" s="2" t="s">
        <v>7</v>
      </c>
      <c r="C41" s="2" t="s">
        <v>152</v>
      </c>
      <c r="D41" s="5">
        <v>1.49</v>
      </c>
      <c r="E41" s="2">
        <v>76800</v>
      </c>
      <c r="F41" s="5">
        <f t="shared" si="2"/>
        <v>114432</v>
      </c>
      <c r="G41" s="2">
        <v>24</v>
      </c>
      <c r="H41" s="5">
        <f t="shared" si="1"/>
        <v>2746368</v>
      </c>
    </row>
    <row r="42" spans="1:8" hidden="1" x14ac:dyDescent="0.3">
      <c r="A42" s="2" t="s">
        <v>154</v>
      </c>
      <c r="B42" s="2" t="s">
        <v>7</v>
      </c>
      <c r="C42" s="2" t="s">
        <v>152</v>
      </c>
      <c r="D42" s="5">
        <v>22152.89</v>
      </c>
      <c r="E42" s="2">
        <v>1</v>
      </c>
      <c r="F42" s="5">
        <f t="shared" si="2"/>
        <v>22152.89</v>
      </c>
      <c r="G42" s="2">
        <v>12</v>
      </c>
      <c r="H42" s="5">
        <f t="shared" si="1"/>
        <v>265834.68</v>
      </c>
    </row>
    <row r="43" spans="1:8" x14ac:dyDescent="0.3">
      <c r="A43" s="2" t="s">
        <v>155</v>
      </c>
      <c r="B43" s="2" t="s">
        <v>7</v>
      </c>
      <c r="C43" s="2" t="s">
        <v>113</v>
      </c>
      <c r="D43" s="5">
        <v>83542.600000000006</v>
      </c>
      <c r="E43" s="2">
        <v>1</v>
      </c>
      <c r="F43" s="5">
        <f t="shared" si="2"/>
        <v>83542.600000000006</v>
      </c>
      <c r="G43" s="2">
        <v>24</v>
      </c>
      <c r="H43" s="5">
        <f t="shared" si="1"/>
        <v>2005022.4</v>
      </c>
    </row>
    <row r="44" spans="1:8" x14ac:dyDescent="0.3">
      <c r="A44" s="2" t="s">
        <v>156</v>
      </c>
      <c r="B44" s="2" t="s">
        <v>7</v>
      </c>
      <c r="C44" s="2" t="s">
        <v>113</v>
      </c>
      <c r="D44" s="5">
        <v>125919.43</v>
      </c>
      <c r="E44" s="2">
        <v>1</v>
      </c>
      <c r="F44" s="5">
        <f t="shared" si="2"/>
        <v>125919.43</v>
      </c>
      <c r="G44" s="2">
        <v>24</v>
      </c>
      <c r="H44" s="5">
        <f t="shared" si="1"/>
        <v>3022066.32</v>
      </c>
    </row>
    <row r="45" spans="1:8" x14ac:dyDescent="0.3">
      <c r="A45" s="2" t="s">
        <v>157</v>
      </c>
      <c r="B45" s="2" t="s">
        <v>7</v>
      </c>
      <c r="C45" s="2" t="s">
        <v>113</v>
      </c>
      <c r="D45" s="5">
        <v>107224.89</v>
      </c>
      <c r="E45" s="2">
        <v>1</v>
      </c>
      <c r="F45" s="5">
        <f t="shared" si="2"/>
        <v>107224.89</v>
      </c>
      <c r="G45" s="2">
        <v>24</v>
      </c>
      <c r="H45" s="5">
        <f t="shared" si="1"/>
        <v>2573397.36</v>
      </c>
    </row>
    <row r="46" spans="1:8" x14ac:dyDescent="0.3">
      <c r="A46" s="2" t="s">
        <v>157</v>
      </c>
      <c r="B46" s="2" t="s">
        <v>7</v>
      </c>
      <c r="C46" s="2" t="s">
        <v>113</v>
      </c>
      <c r="D46" s="5">
        <v>11805.95</v>
      </c>
      <c r="E46" s="2">
        <v>1</v>
      </c>
      <c r="F46" s="5">
        <f t="shared" si="2"/>
        <v>11805.95</v>
      </c>
      <c r="G46" s="2">
        <v>24</v>
      </c>
      <c r="H46" s="5">
        <f t="shared" si="1"/>
        <v>283342.8</v>
      </c>
    </row>
    <row r="47" spans="1:8" hidden="1" x14ac:dyDescent="0.3">
      <c r="A47" s="2" t="s">
        <v>157</v>
      </c>
      <c r="B47" s="2" t="s">
        <v>7</v>
      </c>
      <c r="C47" s="2" t="s">
        <v>158</v>
      </c>
      <c r="D47" s="5">
        <v>10775.88</v>
      </c>
      <c r="E47" s="2">
        <v>7</v>
      </c>
      <c r="F47" s="5">
        <f t="shared" si="2"/>
        <v>75431.159999999989</v>
      </c>
      <c r="G47" s="2">
        <v>24</v>
      </c>
      <c r="H47" s="5">
        <f>ROUND((F47*G47),2)</f>
        <v>1810347.84</v>
      </c>
    </row>
    <row r="48" spans="1:8" ht="12.9" customHeight="1" x14ac:dyDescent="0.3">
      <c r="A48" s="2" t="s">
        <v>159</v>
      </c>
      <c r="B48" s="2" t="s">
        <v>7</v>
      </c>
      <c r="C48" s="2" t="s">
        <v>113</v>
      </c>
      <c r="D48" s="5">
        <v>8349718.5300000003</v>
      </c>
      <c r="E48" s="2">
        <v>1</v>
      </c>
      <c r="F48" s="5">
        <f t="shared" si="2"/>
        <v>8349718.5300000003</v>
      </c>
      <c r="G48" s="2">
        <v>24</v>
      </c>
      <c r="H48" s="5">
        <f t="shared" ref="H48:H63" si="3">ROUND((G48*F48),2)</f>
        <v>200393244.72</v>
      </c>
    </row>
    <row r="49" spans="1:8" x14ac:dyDescent="0.3">
      <c r="A49" s="2" t="s">
        <v>160</v>
      </c>
      <c r="B49" s="2" t="s">
        <v>7</v>
      </c>
      <c r="C49" s="2" t="s">
        <v>113</v>
      </c>
      <c r="D49" s="5">
        <v>2457827.5099999998</v>
      </c>
      <c r="E49" s="2">
        <v>1</v>
      </c>
      <c r="F49" s="5">
        <f t="shared" si="2"/>
        <v>2457827.5099999998</v>
      </c>
      <c r="G49" s="2">
        <v>24</v>
      </c>
      <c r="H49" s="5">
        <f t="shared" si="3"/>
        <v>58987860.240000002</v>
      </c>
    </row>
    <row r="50" spans="1:8" x14ac:dyDescent="0.3">
      <c r="A50" s="2" t="s">
        <v>161</v>
      </c>
      <c r="B50" s="2" t="s">
        <v>7</v>
      </c>
      <c r="C50" s="2" t="s">
        <v>113</v>
      </c>
      <c r="D50" s="5">
        <v>110361.99</v>
      </c>
      <c r="E50" s="2">
        <v>1</v>
      </c>
      <c r="F50" s="5">
        <f t="shared" si="2"/>
        <v>110361.99</v>
      </c>
      <c r="G50" s="2">
        <v>16</v>
      </c>
      <c r="H50" s="5">
        <f t="shared" si="3"/>
        <v>1765791.84</v>
      </c>
    </row>
    <row r="51" spans="1:8" x14ac:dyDescent="0.3">
      <c r="A51" s="2" t="s">
        <v>162</v>
      </c>
      <c r="B51" s="2" t="s">
        <v>7</v>
      </c>
      <c r="C51" s="2" t="s">
        <v>113</v>
      </c>
      <c r="D51" s="5">
        <v>1092931.46</v>
      </c>
      <c r="E51" s="2">
        <v>1</v>
      </c>
      <c r="F51" s="5">
        <f t="shared" si="2"/>
        <v>1092931.46</v>
      </c>
      <c r="G51" s="2">
        <v>24</v>
      </c>
      <c r="H51" s="5">
        <f t="shared" si="3"/>
        <v>26230355.039999999</v>
      </c>
    </row>
    <row r="52" spans="1:8" x14ac:dyDescent="0.3">
      <c r="A52" s="2" t="s">
        <v>163</v>
      </c>
      <c r="B52" s="2" t="s">
        <v>7</v>
      </c>
      <c r="C52" s="2" t="s">
        <v>113</v>
      </c>
      <c r="D52" s="5">
        <v>1334163.1100000001</v>
      </c>
      <c r="E52" s="2">
        <v>1</v>
      </c>
      <c r="F52" s="5">
        <f t="shared" si="2"/>
        <v>1334163.1100000001</v>
      </c>
      <c r="G52" s="2">
        <v>24</v>
      </c>
      <c r="H52" s="5">
        <f t="shared" si="3"/>
        <v>32019914.640000001</v>
      </c>
    </row>
    <row r="53" spans="1:8" x14ac:dyDescent="0.3">
      <c r="A53" s="2" t="s">
        <v>164</v>
      </c>
      <c r="B53" s="2" t="s">
        <v>7</v>
      </c>
      <c r="C53" s="2" t="s">
        <v>113</v>
      </c>
      <c r="D53" s="5">
        <v>42353.93</v>
      </c>
      <c r="E53" s="2">
        <v>1</v>
      </c>
      <c r="F53" s="5">
        <f t="shared" si="2"/>
        <v>42353.93</v>
      </c>
      <c r="G53" s="2">
        <v>12</v>
      </c>
      <c r="H53" s="5">
        <f t="shared" si="3"/>
        <v>508247.16</v>
      </c>
    </row>
    <row r="54" spans="1:8" x14ac:dyDescent="0.3">
      <c r="A54" s="2" t="s">
        <v>165</v>
      </c>
      <c r="B54" s="2" t="s">
        <v>7</v>
      </c>
      <c r="C54" s="2" t="s">
        <v>113</v>
      </c>
      <c r="D54" s="5">
        <v>168878.26</v>
      </c>
      <c r="E54" s="2">
        <v>1</v>
      </c>
      <c r="F54" s="5">
        <f t="shared" si="2"/>
        <v>168878.26</v>
      </c>
      <c r="G54" s="2">
        <v>12</v>
      </c>
      <c r="H54" s="5">
        <f t="shared" si="3"/>
        <v>2026539.12</v>
      </c>
    </row>
    <row r="55" spans="1:8" x14ac:dyDescent="0.3">
      <c r="A55" s="2" t="s">
        <v>166</v>
      </c>
      <c r="B55" s="2" t="s">
        <v>7</v>
      </c>
      <c r="C55" s="2" t="s">
        <v>113</v>
      </c>
      <c r="D55" s="5">
        <v>459045.46</v>
      </c>
      <c r="E55" s="2">
        <v>1</v>
      </c>
      <c r="F55" s="5">
        <f t="shared" si="2"/>
        <v>459045.46</v>
      </c>
      <c r="G55" s="2">
        <v>24</v>
      </c>
      <c r="H55" s="5">
        <f t="shared" si="3"/>
        <v>11017091.039999999</v>
      </c>
    </row>
    <row r="56" spans="1:8" x14ac:dyDescent="0.3">
      <c r="A56" s="2" t="s">
        <v>167</v>
      </c>
      <c r="B56" s="2" t="s">
        <v>7</v>
      </c>
      <c r="C56" s="2" t="s">
        <v>113</v>
      </c>
      <c r="D56" s="5">
        <v>33361.68</v>
      </c>
      <c r="E56" s="2">
        <v>1</v>
      </c>
      <c r="F56" s="5">
        <f t="shared" si="2"/>
        <v>33361.68</v>
      </c>
      <c r="G56" s="2">
        <v>24</v>
      </c>
      <c r="H56" s="5">
        <f t="shared" si="3"/>
        <v>800680.32</v>
      </c>
    </row>
    <row r="57" spans="1:8" x14ac:dyDescent="0.3">
      <c r="A57" s="2" t="s">
        <v>168</v>
      </c>
      <c r="B57" s="2" t="s">
        <v>7</v>
      </c>
      <c r="C57" s="2" t="s">
        <v>113</v>
      </c>
      <c r="D57" s="5">
        <v>26620.26</v>
      </c>
      <c r="E57" s="2">
        <v>1</v>
      </c>
      <c r="F57" s="5">
        <f t="shared" si="2"/>
        <v>26620.26</v>
      </c>
      <c r="G57" s="2">
        <v>24</v>
      </c>
      <c r="H57" s="5">
        <f t="shared" si="3"/>
        <v>638886.24</v>
      </c>
    </row>
    <row r="58" spans="1:8" x14ac:dyDescent="0.3">
      <c r="A58" s="2" t="s">
        <v>169</v>
      </c>
      <c r="B58" s="2" t="s">
        <v>7</v>
      </c>
      <c r="C58" s="2" t="s">
        <v>113</v>
      </c>
      <c r="D58" s="5">
        <v>1125446.32</v>
      </c>
      <c r="E58" s="2">
        <v>1</v>
      </c>
      <c r="F58" s="5">
        <f>E58*D58</f>
        <v>1125446.32</v>
      </c>
      <c r="G58" s="2">
        <v>24</v>
      </c>
      <c r="H58" s="5">
        <f t="shared" si="3"/>
        <v>27010711.68</v>
      </c>
    </row>
    <row r="59" spans="1:8" x14ac:dyDescent="0.3">
      <c r="A59" s="2" t="s">
        <v>170</v>
      </c>
      <c r="B59" s="2" t="s">
        <v>7</v>
      </c>
      <c r="C59" s="2" t="s">
        <v>113</v>
      </c>
      <c r="D59" s="5">
        <v>402252.07</v>
      </c>
      <c r="E59" s="2">
        <v>1</v>
      </c>
      <c r="F59" s="5">
        <f t="shared" ref="F59:F89" si="4">D59*E59</f>
        <v>402252.07</v>
      </c>
      <c r="G59" s="2">
        <v>24</v>
      </c>
      <c r="H59" s="5">
        <f t="shared" si="3"/>
        <v>9654049.6799999997</v>
      </c>
    </row>
    <row r="60" spans="1:8" x14ac:dyDescent="0.3">
      <c r="A60" s="2" t="s">
        <v>171</v>
      </c>
      <c r="B60" s="2" t="s">
        <v>7</v>
      </c>
      <c r="C60" s="2" t="s">
        <v>113</v>
      </c>
      <c r="D60" s="5">
        <v>329985.21999999997</v>
      </c>
      <c r="E60" s="2">
        <v>1</v>
      </c>
      <c r="F60" s="5">
        <f t="shared" si="4"/>
        <v>329985.21999999997</v>
      </c>
      <c r="G60" s="2">
        <v>24</v>
      </c>
      <c r="H60" s="5">
        <f t="shared" si="3"/>
        <v>7919645.2800000003</v>
      </c>
    </row>
    <row r="61" spans="1:8" x14ac:dyDescent="0.3">
      <c r="A61" s="2" t="s">
        <v>172</v>
      </c>
      <c r="B61" s="2" t="s">
        <v>7</v>
      </c>
      <c r="C61" s="2" t="s">
        <v>113</v>
      </c>
      <c r="D61" s="5">
        <v>1042056.92</v>
      </c>
      <c r="E61" s="2">
        <v>1</v>
      </c>
      <c r="F61" s="5">
        <f t="shared" si="4"/>
        <v>1042056.92</v>
      </c>
      <c r="G61" s="2">
        <v>24</v>
      </c>
      <c r="H61" s="5">
        <f t="shared" si="3"/>
        <v>25009366.079999998</v>
      </c>
    </row>
    <row r="62" spans="1:8" x14ac:dyDescent="0.3">
      <c r="A62" s="2" t="s">
        <v>173</v>
      </c>
      <c r="B62" s="2" t="s">
        <v>7</v>
      </c>
      <c r="C62" s="2" t="s">
        <v>113</v>
      </c>
      <c r="D62" s="5">
        <v>78881.399999999994</v>
      </c>
      <c r="E62" s="2">
        <v>1</v>
      </c>
      <c r="F62" s="5">
        <f t="shared" si="4"/>
        <v>78881.399999999994</v>
      </c>
      <c r="G62" s="2">
        <v>24</v>
      </c>
      <c r="H62" s="5">
        <f t="shared" si="3"/>
        <v>1893153.6</v>
      </c>
    </row>
    <row r="63" spans="1:8" x14ac:dyDescent="0.3">
      <c r="A63" s="2" t="s">
        <v>174</v>
      </c>
      <c r="B63" s="2" t="s">
        <v>7</v>
      </c>
      <c r="C63" s="2" t="s">
        <v>113</v>
      </c>
      <c r="D63" s="5">
        <v>67939.8</v>
      </c>
      <c r="E63" s="2">
        <v>1</v>
      </c>
      <c r="F63" s="5">
        <f t="shared" si="4"/>
        <v>67939.8</v>
      </c>
      <c r="G63" s="2">
        <v>24</v>
      </c>
      <c r="H63" s="5">
        <f t="shared" si="3"/>
        <v>1630555.2</v>
      </c>
    </row>
    <row r="64" spans="1:8" x14ac:dyDescent="0.3">
      <c r="A64" s="2" t="s">
        <v>175</v>
      </c>
      <c r="B64" s="2" t="s">
        <v>7</v>
      </c>
      <c r="C64" s="2" t="s">
        <v>113</v>
      </c>
      <c r="D64" s="5">
        <v>350347.31</v>
      </c>
      <c r="E64" s="2">
        <v>1</v>
      </c>
      <c r="F64" s="5">
        <f t="shared" si="4"/>
        <v>350347.31</v>
      </c>
      <c r="G64" s="2">
        <v>24</v>
      </c>
      <c r="H64" s="5">
        <f>ROUND((G64*D64),2)</f>
        <v>8408335.4399999995</v>
      </c>
    </row>
    <row r="65" spans="1:8" hidden="1" x14ac:dyDescent="0.3">
      <c r="A65" s="2" t="s">
        <v>175</v>
      </c>
      <c r="B65" s="2" t="s">
        <v>7</v>
      </c>
      <c r="C65" s="2" t="s">
        <v>176</v>
      </c>
      <c r="D65" s="5">
        <v>2306.7800000000002</v>
      </c>
      <c r="E65" s="2">
        <v>38</v>
      </c>
      <c r="F65" s="5">
        <f t="shared" si="4"/>
        <v>87657.640000000014</v>
      </c>
      <c r="G65" s="2">
        <v>24</v>
      </c>
      <c r="H65" s="5">
        <f t="shared" ref="H65:H73" si="5">ROUND((G65*F65),2)</f>
        <v>2103783.36</v>
      </c>
    </row>
    <row r="66" spans="1:8" x14ac:dyDescent="0.3">
      <c r="A66" s="2" t="s">
        <v>177</v>
      </c>
      <c r="B66" s="2" t="s">
        <v>7</v>
      </c>
      <c r="C66" s="2" t="s">
        <v>113</v>
      </c>
      <c r="D66" s="5">
        <v>806454.8</v>
      </c>
      <c r="E66" s="2">
        <v>1</v>
      </c>
      <c r="F66" s="5">
        <f t="shared" si="4"/>
        <v>806454.8</v>
      </c>
      <c r="G66" s="2">
        <v>24</v>
      </c>
      <c r="H66" s="5">
        <f t="shared" si="5"/>
        <v>19354915.199999999</v>
      </c>
    </row>
    <row r="67" spans="1:8" x14ac:dyDescent="0.3">
      <c r="A67" s="2" t="s">
        <v>178</v>
      </c>
      <c r="B67" s="2" t="s">
        <v>7</v>
      </c>
      <c r="C67" s="2" t="s">
        <v>113</v>
      </c>
      <c r="D67" s="5">
        <v>43521.25</v>
      </c>
      <c r="E67" s="2">
        <v>1</v>
      </c>
      <c r="F67" s="5">
        <f t="shared" si="4"/>
        <v>43521.25</v>
      </c>
      <c r="G67" s="2">
        <v>24</v>
      </c>
      <c r="H67" s="5">
        <f t="shared" si="5"/>
        <v>1044510</v>
      </c>
    </row>
    <row r="68" spans="1:8" x14ac:dyDescent="0.3">
      <c r="A68" s="2" t="s">
        <v>179</v>
      </c>
      <c r="B68" s="2" t="s">
        <v>7</v>
      </c>
      <c r="C68" s="2" t="s">
        <v>113</v>
      </c>
      <c r="D68" s="5">
        <v>56967.29</v>
      </c>
      <c r="E68" s="2">
        <v>1</v>
      </c>
      <c r="F68" s="5">
        <f t="shared" si="4"/>
        <v>56967.29</v>
      </c>
      <c r="G68" s="2">
        <v>24</v>
      </c>
      <c r="H68" s="5">
        <f t="shared" si="5"/>
        <v>1367214.96</v>
      </c>
    </row>
    <row r="69" spans="1:8" x14ac:dyDescent="0.3">
      <c r="A69" s="2" t="s">
        <v>180</v>
      </c>
      <c r="B69" s="2" t="s">
        <v>7</v>
      </c>
      <c r="C69" s="2" t="s">
        <v>113</v>
      </c>
      <c r="D69" s="5">
        <v>148076.04999999999</v>
      </c>
      <c r="E69" s="2">
        <v>1</v>
      </c>
      <c r="F69" s="5">
        <f t="shared" si="4"/>
        <v>148076.04999999999</v>
      </c>
      <c r="G69" s="2">
        <v>24</v>
      </c>
      <c r="H69" s="5">
        <f t="shared" si="5"/>
        <v>3553825.2</v>
      </c>
    </row>
    <row r="70" spans="1:8" x14ac:dyDescent="0.3">
      <c r="A70" s="2" t="s">
        <v>181</v>
      </c>
      <c r="B70" s="2" t="s">
        <v>7</v>
      </c>
      <c r="C70" s="2" t="s">
        <v>113</v>
      </c>
      <c r="D70" s="5">
        <v>55724.07</v>
      </c>
      <c r="E70" s="2">
        <v>1</v>
      </c>
      <c r="F70" s="5">
        <f t="shared" si="4"/>
        <v>55724.07</v>
      </c>
      <c r="G70" s="2">
        <v>24</v>
      </c>
      <c r="H70" s="5">
        <f t="shared" si="5"/>
        <v>1337377.68</v>
      </c>
    </row>
    <row r="71" spans="1:8" ht="15" customHeight="1" x14ac:dyDescent="0.3">
      <c r="A71" s="2" t="s">
        <v>182</v>
      </c>
      <c r="B71" s="2" t="s">
        <v>7</v>
      </c>
      <c r="C71" s="2" t="s">
        <v>113</v>
      </c>
      <c r="D71" s="5">
        <v>301277.38</v>
      </c>
      <c r="E71" s="2">
        <v>1</v>
      </c>
      <c r="F71" s="5">
        <f t="shared" si="4"/>
        <v>301277.38</v>
      </c>
      <c r="G71" s="2">
        <v>24</v>
      </c>
      <c r="H71" s="5">
        <f t="shared" si="5"/>
        <v>7230657.1200000001</v>
      </c>
    </row>
    <row r="72" spans="1:8" x14ac:dyDescent="0.3">
      <c r="A72" s="2" t="s">
        <v>183</v>
      </c>
      <c r="B72" s="2" t="s">
        <v>7</v>
      </c>
      <c r="C72" s="2" t="s">
        <v>113</v>
      </c>
      <c r="D72" s="5">
        <v>39001.83</v>
      </c>
      <c r="E72" s="2">
        <v>1</v>
      </c>
      <c r="F72" s="5">
        <f t="shared" si="4"/>
        <v>39001.83</v>
      </c>
      <c r="G72" s="2">
        <v>24</v>
      </c>
      <c r="H72" s="5">
        <f t="shared" si="5"/>
        <v>936043.92</v>
      </c>
    </row>
    <row r="73" spans="1:8" x14ac:dyDescent="0.3">
      <c r="A73" s="2" t="s">
        <v>184</v>
      </c>
      <c r="B73" s="2" t="s">
        <v>7</v>
      </c>
      <c r="C73" s="2" t="s">
        <v>113</v>
      </c>
      <c r="D73" s="5">
        <v>270771.20000000001</v>
      </c>
      <c r="E73" s="2">
        <v>1</v>
      </c>
      <c r="F73" s="5">
        <f t="shared" si="4"/>
        <v>270771.20000000001</v>
      </c>
      <c r="G73" s="2">
        <v>24</v>
      </c>
      <c r="H73" s="5">
        <f t="shared" si="5"/>
        <v>6498508.7999999998</v>
      </c>
    </row>
    <row r="74" spans="1:8" x14ac:dyDescent="0.3">
      <c r="A74" s="2" t="s">
        <v>185</v>
      </c>
      <c r="B74" s="2" t="s">
        <v>7</v>
      </c>
      <c r="C74" s="2" t="s">
        <v>113</v>
      </c>
      <c r="D74" s="5">
        <v>387909.54</v>
      </c>
      <c r="E74" s="2">
        <v>1</v>
      </c>
      <c r="F74" s="5">
        <f t="shared" si="4"/>
        <v>387909.54</v>
      </c>
      <c r="G74" s="2">
        <v>24</v>
      </c>
      <c r="H74" s="5">
        <f>ROUND(G74*F74,2)</f>
        <v>9309828.9600000009</v>
      </c>
    </row>
    <row r="75" spans="1:8" x14ac:dyDescent="0.3">
      <c r="A75" s="2" t="s">
        <v>186</v>
      </c>
      <c r="B75" s="2" t="s">
        <v>7</v>
      </c>
      <c r="C75" s="2" t="s">
        <v>113</v>
      </c>
      <c r="D75" s="5">
        <v>2216.35</v>
      </c>
      <c r="E75" s="2">
        <v>1</v>
      </c>
      <c r="F75" s="5">
        <f t="shared" si="4"/>
        <v>2216.35</v>
      </c>
      <c r="G75" s="2">
        <v>24</v>
      </c>
      <c r="H75" s="5">
        <f t="shared" ref="H75:H89" si="6">ROUND((G75*F75),2)</f>
        <v>53192.4</v>
      </c>
    </row>
    <row r="76" spans="1:8" x14ac:dyDescent="0.3">
      <c r="A76" s="2" t="s">
        <v>187</v>
      </c>
      <c r="B76" s="2" t="s">
        <v>7</v>
      </c>
      <c r="C76" s="2" t="s">
        <v>113</v>
      </c>
      <c r="D76" s="5">
        <v>2443698.42</v>
      </c>
      <c r="E76" s="2">
        <v>1</v>
      </c>
      <c r="F76" s="5">
        <f t="shared" si="4"/>
        <v>2443698.42</v>
      </c>
      <c r="G76" s="2">
        <v>24</v>
      </c>
      <c r="H76" s="5">
        <f t="shared" si="6"/>
        <v>58648762.079999998</v>
      </c>
    </row>
    <row r="77" spans="1:8" x14ac:dyDescent="0.3">
      <c r="A77" s="2" t="s">
        <v>188</v>
      </c>
      <c r="B77" s="2" t="s">
        <v>7</v>
      </c>
      <c r="C77" s="2" t="s">
        <v>113</v>
      </c>
      <c r="D77" s="5">
        <v>787362.48</v>
      </c>
      <c r="E77" s="2">
        <v>1</v>
      </c>
      <c r="F77" s="5">
        <f t="shared" si="4"/>
        <v>787362.48</v>
      </c>
      <c r="G77" s="2">
        <v>24</v>
      </c>
      <c r="H77" s="5">
        <f t="shared" si="6"/>
        <v>18896699.52</v>
      </c>
    </row>
    <row r="78" spans="1:8" x14ac:dyDescent="0.3">
      <c r="A78" s="2" t="s">
        <v>189</v>
      </c>
      <c r="B78" s="2" t="s">
        <v>7</v>
      </c>
      <c r="C78" s="2" t="s">
        <v>113</v>
      </c>
      <c r="D78" s="5">
        <v>114754.21</v>
      </c>
      <c r="E78" s="2">
        <v>1</v>
      </c>
      <c r="F78" s="5">
        <f t="shared" si="4"/>
        <v>114754.21</v>
      </c>
      <c r="G78" s="2">
        <v>24</v>
      </c>
      <c r="H78" s="5">
        <f t="shared" si="6"/>
        <v>2754101.04</v>
      </c>
    </row>
    <row r="79" spans="1:8" x14ac:dyDescent="0.3">
      <c r="A79" s="2" t="s">
        <v>190</v>
      </c>
      <c r="B79" s="2" t="s">
        <v>7</v>
      </c>
      <c r="C79" s="2" t="s">
        <v>113</v>
      </c>
      <c r="D79" s="5">
        <v>1640930.7</v>
      </c>
      <c r="E79" s="2">
        <v>1</v>
      </c>
      <c r="F79" s="5">
        <f t="shared" si="4"/>
        <v>1640930.7</v>
      </c>
      <c r="G79" s="2">
        <v>24</v>
      </c>
      <c r="H79" s="5">
        <f t="shared" si="6"/>
        <v>39382336.799999997</v>
      </c>
    </row>
    <row r="80" spans="1:8" x14ac:dyDescent="0.3">
      <c r="A80" s="2" t="s">
        <v>191</v>
      </c>
      <c r="B80" s="2" t="s">
        <v>7</v>
      </c>
      <c r="C80" s="2" t="s">
        <v>113</v>
      </c>
      <c r="D80" s="5">
        <v>1114834.28</v>
      </c>
      <c r="E80" s="2">
        <v>1</v>
      </c>
      <c r="F80" s="5">
        <f t="shared" si="4"/>
        <v>1114834.28</v>
      </c>
      <c r="G80" s="2">
        <v>24</v>
      </c>
      <c r="H80" s="5">
        <f t="shared" si="6"/>
        <v>26756022.719999999</v>
      </c>
    </row>
    <row r="81" spans="1:8" x14ac:dyDescent="0.3">
      <c r="A81" s="2" t="s">
        <v>192</v>
      </c>
      <c r="B81" s="2" t="s">
        <v>7</v>
      </c>
      <c r="C81" s="2" t="s">
        <v>113</v>
      </c>
      <c r="D81" s="5">
        <v>604.16</v>
      </c>
      <c r="E81" s="2">
        <v>1</v>
      </c>
      <c r="F81" s="5">
        <f t="shared" si="4"/>
        <v>604.16</v>
      </c>
      <c r="G81" s="2">
        <v>24</v>
      </c>
      <c r="H81" s="5">
        <f t="shared" si="6"/>
        <v>14499.84</v>
      </c>
    </row>
    <row r="82" spans="1:8" x14ac:dyDescent="0.3">
      <c r="A82" s="2" t="s">
        <v>193</v>
      </c>
      <c r="B82" s="2" t="s">
        <v>7</v>
      </c>
      <c r="C82" s="2" t="s">
        <v>113</v>
      </c>
      <c r="D82" s="5">
        <v>408491.16</v>
      </c>
      <c r="E82" s="2">
        <v>1</v>
      </c>
      <c r="F82" s="5">
        <f t="shared" si="4"/>
        <v>408491.16</v>
      </c>
      <c r="G82" s="2">
        <v>24</v>
      </c>
      <c r="H82" s="5">
        <f t="shared" si="6"/>
        <v>9803787.8399999999</v>
      </c>
    </row>
    <row r="83" spans="1:8" x14ac:dyDescent="0.3">
      <c r="A83" s="2" t="s">
        <v>194</v>
      </c>
      <c r="B83" s="2" t="s">
        <v>7</v>
      </c>
      <c r="C83" s="2" t="s">
        <v>113</v>
      </c>
      <c r="D83" s="5">
        <v>57105.25</v>
      </c>
      <c r="E83" s="2">
        <v>1</v>
      </c>
      <c r="F83" s="5">
        <f t="shared" si="4"/>
        <v>57105.25</v>
      </c>
      <c r="G83" s="2">
        <v>24</v>
      </c>
      <c r="H83" s="5">
        <f t="shared" si="6"/>
        <v>1370526</v>
      </c>
    </row>
    <row r="84" spans="1:8" x14ac:dyDescent="0.3">
      <c r="A84" s="2" t="s">
        <v>195</v>
      </c>
      <c r="B84" s="2" t="s">
        <v>7</v>
      </c>
      <c r="C84" s="2" t="s">
        <v>113</v>
      </c>
      <c r="D84" s="5">
        <v>18906.740000000002</v>
      </c>
      <c r="E84" s="2">
        <v>1</v>
      </c>
      <c r="F84" s="5">
        <f t="shared" si="4"/>
        <v>18906.740000000002</v>
      </c>
      <c r="G84" s="2">
        <v>24</v>
      </c>
      <c r="H84" s="5">
        <f t="shared" si="6"/>
        <v>453761.76</v>
      </c>
    </row>
    <row r="85" spans="1:8" x14ac:dyDescent="0.3">
      <c r="A85" s="2" t="s">
        <v>196</v>
      </c>
      <c r="B85" s="2" t="s">
        <v>7</v>
      </c>
      <c r="C85" s="2" t="s">
        <v>113</v>
      </c>
      <c r="D85" s="5">
        <v>11302.22</v>
      </c>
      <c r="E85" s="2">
        <v>1</v>
      </c>
      <c r="F85" s="5">
        <f t="shared" si="4"/>
        <v>11302.22</v>
      </c>
      <c r="G85" s="2">
        <v>24</v>
      </c>
      <c r="H85" s="5">
        <f t="shared" si="6"/>
        <v>271253.28000000003</v>
      </c>
    </row>
    <row r="86" spans="1:8" x14ac:dyDescent="0.3">
      <c r="A86" s="2" t="s">
        <v>197</v>
      </c>
      <c r="B86" s="2" t="s">
        <v>7</v>
      </c>
      <c r="C86" s="2" t="s">
        <v>113</v>
      </c>
      <c r="D86" s="5">
        <v>38266.57</v>
      </c>
      <c r="E86" s="2">
        <v>1</v>
      </c>
      <c r="F86" s="5">
        <f t="shared" si="4"/>
        <v>38266.57</v>
      </c>
      <c r="G86" s="2">
        <v>24</v>
      </c>
      <c r="H86" s="5">
        <f t="shared" si="6"/>
        <v>918397.68</v>
      </c>
    </row>
    <row r="87" spans="1:8" x14ac:dyDescent="0.3">
      <c r="A87" s="2" t="s">
        <v>198</v>
      </c>
      <c r="B87" s="2" t="s">
        <v>7</v>
      </c>
      <c r="C87" s="2" t="s">
        <v>113</v>
      </c>
      <c r="D87" s="5">
        <v>94241.44</v>
      </c>
      <c r="E87" s="2">
        <v>1</v>
      </c>
      <c r="F87" s="5">
        <f t="shared" si="4"/>
        <v>94241.44</v>
      </c>
      <c r="G87" s="2">
        <v>24</v>
      </c>
      <c r="H87" s="5">
        <f t="shared" si="6"/>
        <v>2261794.56</v>
      </c>
    </row>
    <row r="88" spans="1:8" x14ac:dyDescent="0.3">
      <c r="A88" s="2" t="s">
        <v>199</v>
      </c>
      <c r="B88" s="2" t="s">
        <v>7</v>
      </c>
      <c r="C88" s="2" t="s">
        <v>113</v>
      </c>
      <c r="D88" s="5">
        <v>260196.6</v>
      </c>
      <c r="E88" s="2">
        <v>1</v>
      </c>
      <c r="F88" s="5">
        <f t="shared" si="4"/>
        <v>260196.6</v>
      </c>
      <c r="G88" s="2">
        <v>24</v>
      </c>
      <c r="H88" s="5">
        <f t="shared" si="6"/>
        <v>6244718.4000000004</v>
      </c>
    </row>
    <row r="89" spans="1:8" x14ac:dyDescent="0.3">
      <c r="A89" s="2" t="s">
        <v>200</v>
      </c>
      <c r="B89" s="2" t="s">
        <v>7</v>
      </c>
      <c r="C89" s="2" t="s">
        <v>113</v>
      </c>
      <c r="D89" s="5">
        <v>32562.38</v>
      </c>
      <c r="E89" s="2">
        <v>1</v>
      </c>
      <c r="F89" s="5">
        <f t="shared" si="4"/>
        <v>32562.38</v>
      </c>
      <c r="G89" s="2">
        <v>24</v>
      </c>
      <c r="H89" s="5">
        <f t="shared" si="6"/>
        <v>781497.12</v>
      </c>
    </row>
    <row r="90" spans="1:8" x14ac:dyDescent="0.3">
      <c r="A90" s="2" t="s">
        <v>201</v>
      </c>
      <c r="B90" s="2" t="s">
        <v>7</v>
      </c>
      <c r="C90" s="2" t="s">
        <v>113</v>
      </c>
      <c r="D90" s="5">
        <v>583623.27</v>
      </c>
      <c r="E90" s="2">
        <v>1</v>
      </c>
      <c r="F90" s="5">
        <f>E90*D90</f>
        <v>583623.27</v>
      </c>
      <c r="G90" s="2">
        <v>24</v>
      </c>
      <c r="H90" s="5">
        <f t="shared" ref="H90:H95" si="7">ROUND((G90*F90),2)</f>
        <v>14006958.48</v>
      </c>
    </row>
    <row r="91" spans="1:8" hidden="1" x14ac:dyDescent="0.3">
      <c r="A91" s="2" t="s">
        <v>201</v>
      </c>
      <c r="B91" s="2" t="s">
        <v>7</v>
      </c>
      <c r="C91" s="2" t="s">
        <v>11</v>
      </c>
      <c r="D91" s="5">
        <v>9792.73</v>
      </c>
      <c r="E91" s="2">
        <v>17</v>
      </c>
      <c r="F91" s="5">
        <f t="shared" ref="F91:F112" si="8">D91*E91</f>
        <v>166476.41</v>
      </c>
      <c r="G91" s="2">
        <v>24</v>
      </c>
      <c r="H91" s="5">
        <f t="shared" si="7"/>
        <v>3995433.84</v>
      </c>
    </row>
    <row r="92" spans="1:8" hidden="1" x14ac:dyDescent="0.3">
      <c r="A92" s="2" t="s">
        <v>201</v>
      </c>
      <c r="B92" s="2" t="s">
        <v>7</v>
      </c>
      <c r="C92" s="2" t="s">
        <v>11</v>
      </c>
      <c r="D92" s="5">
        <v>23059.63</v>
      </c>
      <c r="E92" s="2">
        <v>35</v>
      </c>
      <c r="F92" s="5">
        <f t="shared" si="8"/>
        <v>807087.05</v>
      </c>
      <c r="G92" s="2">
        <v>24</v>
      </c>
      <c r="H92" s="5">
        <f t="shared" si="7"/>
        <v>19370089.199999999</v>
      </c>
    </row>
    <row r="93" spans="1:8" hidden="1" x14ac:dyDescent="0.3">
      <c r="A93" s="2" t="s">
        <v>201</v>
      </c>
      <c r="B93" s="2" t="s">
        <v>7</v>
      </c>
      <c r="C93" s="2" t="s">
        <v>11</v>
      </c>
      <c r="D93" s="5">
        <v>26674.87</v>
      </c>
      <c r="E93" s="2">
        <v>12</v>
      </c>
      <c r="F93" s="5">
        <f t="shared" si="8"/>
        <v>320098.44</v>
      </c>
      <c r="G93" s="2">
        <v>24</v>
      </c>
      <c r="H93" s="5">
        <f t="shared" si="7"/>
        <v>7682362.5599999996</v>
      </c>
    </row>
    <row r="94" spans="1:8" hidden="1" x14ac:dyDescent="0.3">
      <c r="A94" s="2" t="s">
        <v>201</v>
      </c>
      <c r="B94" s="2" t="s">
        <v>7</v>
      </c>
      <c r="C94" s="2" t="s">
        <v>11</v>
      </c>
      <c r="D94" s="5">
        <v>60863.56</v>
      </c>
      <c r="E94" s="2">
        <v>1</v>
      </c>
      <c r="F94" s="5">
        <f t="shared" si="8"/>
        <v>60863.56</v>
      </c>
      <c r="G94" s="2">
        <v>24</v>
      </c>
      <c r="H94" s="5">
        <f t="shared" si="7"/>
        <v>1460725.44</v>
      </c>
    </row>
    <row r="95" spans="1:8" hidden="1" x14ac:dyDescent="0.3">
      <c r="A95" s="2" t="s">
        <v>201</v>
      </c>
      <c r="B95" s="2" t="s">
        <v>7</v>
      </c>
      <c r="C95" s="2" t="s">
        <v>11</v>
      </c>
      <c r="D95" s="5">
        <v>95906.8</v>
      </c>
      <c r="E95" s="2">
        <v>1</v>
      </c>
      <c r="F95" s="5">
        <f t="shared" si="8"/>
        <v>95906.8</v>
      </c>
      <c r="G95" s="2">
        <v>24</v>
      </c>
      <c r="H95" s="5">
        <f t="shared" si="7"/>
        <v>2301763.2000000002</v>
      </c>
    </row>
    <row r="96" spans="1:8" x14ac:dyDescent="0.3">
      <c r="A96" s="2" t="s">
        <v>202</v>
      </c>
      <c r="B96" s="2" t="s">
        <v>7</v>
      </c>
      <c r="C96" s="2" t="s">
        <v>113</v>
      </c>
      <c r="D96" s="5">
        <v>29969.54</v>
      </c>
      <c r="E96" s="2">
        <v>1</v>
      </c>
      <c r="F96" s="5">
        <f t="shared" si="8"/>
        <v>29969.54</v>
      </c>
      <c r="G96" s="2">
        <v>24</v>
      </c>
      <c r="H96" s="5">
        <f t="shared" ref="H96:H112" si="9">ROUND((G96*D96),2)</f>
        <v>719268.96</v>
      </c>
    </row>
    <row r="97" spans="1:8" x14ac:dyDescent="0.3">
      <c r="A97" s="2" t="s">
        <v>203</v>
      </c>
      <c r="B97" s="2" t="s">
        <v>7</v>
      </c>
      <c r="C97" s="2" t="s">
        <v>113</v>
      </c>
      <c r="D97" s="5">
        <v>34369.949999999997</v>
      </c>
      <c r="E97" s="2">
        <v>1</v>
      </c>
      <c r="F97" s="5">
        <f t="shared" si="8"/>
        <v>34369.949999999997</v>
      </c>
      <c r="G97" s="2">
        <v>24</v>
      </c>
      <c r="H97" s="5">
        <f t="shared" si="9"/>
        <v>824878.8</v>
      </c>
    </row>
    <row r="98" spans="1:8" x14ac:dyDescent="0.3">
      <c r="A98" s="2" t="s">
        <v>204</v>
      </c>
      <c r="B98" s="2" t="s">
        <v>7</v>
      </c>
      <c r="C98" s="2" t="s">
        <v>113</v>
      </c>
      <c r="D98" s="5">
        <v>118885.97</v>
      </c>
      <c r="E98" s="2">
        <v>1</v>
      </c>
      <c r="F98" s="5">
        <f t="shared" si="8"/>
        <v>118885.97</v>
      </c>
      <c r="G98" s="2">
        <v>24</v>
      </c>
      <c r="H98" s="5">
        <f t="shared" si="9"/>
        <v>2853263.28</v>
      </c>
    </row>
    <row r="99" spans="1:8" x14ac:dyDescent="0.3">
      <c r="A99" s="2" t="s">
        <v>205</v>
      </c>
      <c r="B99" s="2" t="s">
        <v>7</v>
      </c>
      <c r="C99" s="2" t="s">
        <v>113</v>
      </c>
      <c r="D99" s="5">
        <v>123539.27</v>
      </c>
      <c r="E99" s="2">
        <v>1</v>
      </c>
      <c r="F99" s="5">
        <f t="shared" si="8"/>
        <v>123539.27</v>
      </c>
      <c r="G99" s="2">
        <v>24</v>
      </c>
      <c r="H99" s="5">
        <f t="shared" si="9"/>
        <v>2964942.48</v>
      </c>
    </row>
    <row r="100" spans="1:8" x14ac:dyDescent="0.3">
      <c r="A100" s="2" t="s">
        <v>206</v>
      </c>
      <c r="B100" s="2" t="s">
        <v>7</v>
      </c>
      <c r="C100" s="2" t="s">
        <v>113</v>
      </c>
      <c r="D100" s="5">
        <v>29027.02</v>
      </c>
      <c r="E100" s="2">
        <v>1</v>
      </c>
      <c r="F100" s="5">
        <f t="shared" si="8"/>
        <v>29027.02</v>
      </c>
      <c r="G100" s="2">
        <v>24</v>
      </c>
      <c r="H100" s="5">
        <f t="shared" si="9"/>
        <v>696648.48</v>
      </c>
    </row>
    <row r="101" spans="1:8" x14ac:dyDescent="0.3">
      <c r="A101" s="2" t="s">
        <v>207</v>
      </c>
      <c r="B101" s="2" t="s">
        <v>7</v>
      </c>
      <c r="C101" s="2" t="s">
        <v>113</v>
      </c>
      <c r="D101" s="5">
        <v>10604.72</v>
      </c>
      <c r="E101" s="2">
        <v>1</v>
      </c>
      <c r="F101" s="5">
        <f t="shared" si="8"/>
        <v>10604.72</v>
      </c>
      <c r="G101" s="2">
        <v>24</v>
      </c>
      <c r="H101" s="5">
        <f t="shared" si="9"/>
        <v>254513.28</v>
      </c>
    </row>
    <row r="102" spans="1:8" x14ac:dyDescent="0.3">
      <c r="A102" s="2" t="s">
        <v>208</v>
      </c>
      <c r="B102" s="2" t="s">
        <v>7</v>
      </c>
      <c r="C102" s="2" t="s">
        <v>113</v>
      </c>
      <c r="D102" s="5">
        <v>318795.21000000002</v>
      </c>
      <c r="E102" s="2">
        <v>1</v>
      </c>
      <c r="F102" s="5">
        <f t="shared" si="8"/>
        <v>318795.21000000002</v>
      </c>
      <c r="G102" s="2">
        <v>24</v>
      </c>
      <c r="H102" s="5">
        <f t="shared" si="9"/>
        <v>7651085.04</v>
      </c>
    </row>
    <row r="103" spans="1:8" x14ac:dyDescent="0.3">
      <c r="A103" s="2" t="s">
        <v>209</v>
      </c>
      <c r="B103" s="2" t="s">
        <v>7</v>
      </c>
      <c r="C103" s="2" t="s">
        <v>113</v>
      </c>
      <c r="D103" s="5">
        <v>10432.969999999999</v>
      </c>
      <c r="E103" s="2">
        <v>1</v>
      </c>
      <c r="F103" s="5">
        <f t="shared" si="8"/>
        <v>10432.969999999999</v>
      </c>
      <c r="G103" s="2">
        <v>24</v>
      </c>
      <c r="H103" s="5">
        <f t="shared" si="9"/>
        <v>250391.28</v>
      </c>
    </row>
    <row r="104" spans="1:8" x14ac:dyDescent="0.3">
      <c r="A104" s="2" t="s">
        <v>210</v>
      </c>
      <c r="B104" s="2" t="s">
        <v>7</v>
      </c>
      <c r="C104" s="2" t="s">
        <v>113</v>
      </c>
      <c r="D104" s="5">
        <v>10109.23</v>
      </c>
      <c r="E104" s="2">
        <v>1</v>
      </c>
      <c r="F104" s="5">
        <f t="shared" si="8"/>
        <v>10109.23</v>
      </c>
      <c r="G104" s="2">
        <v>24</v>
      </c>
      <c r="H104" s="5">
        <f t="shared" si="9"/>
        <v>242621.52</v>
      </c>
    </row>
    <row r="105" spans="1:8" x14ac:dyDescent="0.3">
      <c r="A105" s="2" t="s">
        <v>211</v>
      </c>
      <c r="B105" s="2" t="s">
        <v>7</v>
      </c>
      <c r="C105" s="2" t="s">
        <v>113</v>
      </c>
      <c r="D105" s="5">
        <v>10665.2</v>
      </c>
      <c r="E105" s="2">
        <v>1</v>
      </c>
      <c r="F105" s="5">
        <f t="shared" si="8"/>
        <v>10665.2</v>
      </c>
      <c r="G105" s="2">
        <v>24</v>
      </c>
      <c r="H105" s="5">
        <f t="shared" si="9"/>
        <v>255964.79999999999</v>
      </c>
    </row>
    <row r="106" spans="1:8" x14ac:dyDescent="0.3">
      <c r="A106" s="2" t="s">
        <v>212</v>
      </c>
      <c r="B106" s="2" t="s">
        <v>7</v>
      </c>
      <c r="C106" s="2" t="s">
        <v>113</v>
      </c>
      <c r="D106" s="5">
        <v>142036.57</v>
      </c>
      <c r="E106" s="2">
        <v>1</v>
      </c>
      <c r="F106" s="5">
        <f t="shared" si="8"/>
        <v>142036.57</v>
      </c>
      <c r="G106" s="2">
        <v>24</v>
      </c>
      <c r="H106" s="5">
        <f t="shared" si="9"/>
        <v>3408877.68</v>
      </c>
    </row>
    <row r="107" spans="1:8" x14ac:dyDescent="0.3">
      <c r="A107" s="2" t="s">
        <v>213</v>
      </c>
      <c r="B107" s="2" t="s">
        <v>7</v>
      </c>
      <c r="C107" s="2" t="s">
        <v>113</v>
      </c>
      <c r="D107" s="5">
        <v>36444.019999999997</v>
      </c>
      <c r="E107" s="2">
        <v>1</v>
      </c>
      <c r="F107" s="5">
        <f t="shared" si="8"/>
        <v>36444.019999999997</v>
      </c>
      <c r="G107" s="2">
        <v>24</v>
      </c>
      <c r="H107" s="5">
        <f t="shared" si="9"/>
        <v>874656.48</v>
      </c>
    </row>
    <row r="108" spans="1:8" x14ac:dyDescent="0.3">
      <c r="A108" s="2" t="s">
        <v>214</v>
      </c>
      <c r="B108" s="2" t="s">
        <v>7</v>
      </c>
      <c r="C108" s="2" t="s">
        <v>113</v>
      </c>
      <c r="D108" s="5">
        <v>39325.51</v>
      </c>
      <c r="E108" s="2">
        <v>1</v>
      </c>
      <c r="F108" s="5">
        <f t="shared" si="8"/>
        <v>39325.51</v>
      </c>
      <c r="G108" s="2">
        <v>24</v>
      </c>
      <c r="H108" s="5">
        <f t="shared" si="9"/>
        <v>943812.24</v>
      </c>
    </row>
    <row r="109" spans="1:8" x14ac:dyDescent="0.3">
      <c r="A109" s="2" t="s">
        <v>215</v>
      </c>
      <c r="B109" s="2" t="s">
        <v>7</v>
      </c>
      <c r="C109" s="2" t="s">
        <v>113</v>
      </c>
      <c r="D109" s="5">
        <v>37599.81</v>
      </c>
      <c r="E109" s="2">
        <v>1</v>
      </c>
      <c r="F109" s="5">
        <f t="shared" si="8"/>
        <v>37599.81</v>
      </c>
      <c r="G109" s="2">
        <v>24</v>
      </c>
      <c r="H109" s="5">
        <f t="shared" si="9"/>
        <v>902395.44</v>
      </c>
    </row>
    <row r="110" spans="1:8" x14ac:dyDescent="0.3">
      <c r="A110" s="2" t="s">
        <v>216</v>
      </c>
      <c r="B110" s="2" t="s">
        <v>7</v>
      </c>
      <c r="C110" s="2" t="s">
        <v>113</v>
      </c>
      <c r="D110" s="5">
        <v>35970.89</v>
      </c>
      <c r="E110" s="2">
        <v>1</v>
      </c>
      <c r="F110" s="5">
        <f t="shared" si="8"/>
        <v>35970.89</v>
      </c>
      <c r="G110" s="2">
        <v>24</v>
      </c>
      <c r="H110" s="5">
        <f t="shared" si="9"/>
        <v>863301.36</v>
      </c>
    </row>
    <row r="111" spans="1:8" x14ac:dyDescent="0.3">
      <c r="A111" s="2" t="s">
        <v>217</v>
      </c>
      <c r="B111" s="2" t="s">
        <v>7</v>
      </c>
      <c r="C111" s="2" t="s">
        <v>113</v>
      </c>
      <c r="D111" s="5">
        <v>28624.75</v>
      </c>
      <c r="E111" s="2">
        <v>1</v>
      </c>
      <c r="F111" s="5">
        <f t="shared" si="8"/>
        <v>28624.75</v>
      </c>
      <c r="G111" s="2">
        <v>12</v>
      </c>
      <c r="H111" s="5">
        <f t="shared" si="9"/>
        <v>343497</v>
      </c>
    </row>
    <row r="112" spans="1:8" x14ac:dyDescent="0.3">
      <c r="A112" s="2" t="s">
        <v>217</v>
      </c>
      <c r="B112" s="2" t="s">
        <v>7</v>
      </c>
      <c r="C112" s="2" t="s">
        <v>113</v>
      </c>
      <c r="D112" s="5">
        <v>58658.01</v>
      </c>
      <c r="E112" s="2">
        <v>1</v>
      </c>
      <c r="F112" s="5">
        <f t="shared" si="8"/>
        <v>58658.01</v>
      </c>
      <c r="G112" s="2">
        <v>12</v>
      </c>
      <c r="H112" s="5">
        <f t="shared" si="9"/>
        <v>703896.12</v>
      </c>
    </row>
    <row r="115" spans="1:5" x14ac:dyDescent="0.3">
      <c r="A115" s="6" t="s">
        <v>93</v>
      </c>
      <c r="B115" s="5">
        <f>AVERAGE(D2,D3,D4,D5,D6,D7,D8,D9,D10,D11,D12,D13,D14,D15,D16,D17,D18,D19,D20,D21,D22,D23,D24,D25,D26,D27,D28,D29,D30,D31,D32,D33,D34,D35,D36,D37,D38,D39,D43,D44,D45,D46,D48,D49,D50,D51,D52,D53,D54,D55,D56,D57,D58,D59,D60,D61,D62,D63,D64,D66,D67,D68,D69,D70,D71,D72,D73,D74,D75,D76,D77,D78,D79,D80,D81,D82,D83,D84,D85,D86,D87,D88,D89,D90,D96,D97,D98,D99,D100,D101,D102,D103,D104,D105,D106,D107,D108,D109,D110,D111,D112)</f>
        <v>361115.05782178219</v>
      </c>
      <c r="D115" s="7"/>
    </row>
    <row r="116" spans="1:5" x14ac:dyDescent="0.3">
      <c r="A116" s="6" t="s">
        <v>94</v>
      </c>
      <c r="B116" s="5">
        <f>_xlfn.STDEV.S(D2,D3,D4,D5,D6,D7,D8,D9,D10,D11,D12,D13,D14,D15,D16,D17,D18,D19,D20,D21,D22,D23,D24,D25,D26,D27,D28,D29,D30,D31,D32,D33,D34,D35,D36,D37,D38,D39,D43,D44,D45,D46,D48,D49,D50,D51,D52,D53,D54,D55,D56,D57,D58,D59,D60,D61,D62,D63,D64,D66,D67,D68,D69,D70,D71,D72,D73,D74,D75,D76,D77,D78,D79,D80,D81,D82,D83,D84,D85,D86,D87,D88,D89,D90,D96,D97,D98,D99,D100,D101,D102,D103,D104,D105,D106,D107,D108,D109,D110,D111,D112)</f>
        <v>930616.91902810778</v>
      </c>
    </row>
    <row r="117" spans="1:5" x14ac:dyDescent="0.3">
      <c r="A117" s="6" t="s">
        <v>95</v>
      </c>
      <c r="B117" s="8">
        <f>(B116/B115)</f>
        <v>2.5770648408889851</v>
      </c>
      <c r="C117" s="68" t="s">
        <v>96</v>
      </c>
      <c r="D117" s="68"/>
      <c r="E117" s="68"/>
    </row>
    <row r="118" spans="1:5" x14ac:dyDescent="0.3">
      <c r="A118" s="6" t="s">
        <v>97</v>
      </c>
      <c r="B118" s="5">
        <f>B115+B116</f>
        <v>1291731.9768498898</v>
      </c>
    </row>
    <row r="119" spans="1:5" x14ac:dyDescent="0.3">
      <c r="A119" s="6" t="s">
        <v>98</v>
      </c>
      <c r="B119" s="5">
        <f>B116-B115</f>
        <v>569501.86120632559</v>
      </c>
    </row>
    <row r="120" spans="1:5" x14ac:dyDescent="0.3">
      <c r="A120" s="69"/>
      <c r="B120" s="70"/>
    </row>
    <row r="121" spans="1:5" x14ac:dyDescent="0.3">
      <c r="A121" s="6" t="s">
        <v>99</v>
      </c>
      <c r="B121" s="5">
        <f>AVERAGE(D21,D23,D35,D51,D58,D61,D66,D80,D90,D79,D34)</f>
        <v>996237.69454545458</v>
      </c>
    </row>
    <row r="122" spans="1:5" x14ac:dyDescent="0.3">
      <c r="A122" s="6" t="s">
        <v>94</v>
      </c>
      <c r="B122" s="5">
        <f>_xlfn.STDEV.S(D21,D23,D35,D51,D58,D61,D66,D80,D90,D79)</f>
        <v>275881.43072107137</v>
      </c>
    </row>
    <row r="123" spans="1:5" x14ac:dyDescent="0.3">
      <c r="A123" s="6" t="s">
        <v>95</v>
      </c>
      <c r="B123" s="8">
        <f>(B122/B121)</f>
        <v>0.27692330076603416</v>
      </c>
      <c r="C123" s="68" t="s">
        <v>96</v>
      </c>
      <c r="D123" s="68"/>
      <c r="E123" s="68"/>
    </row>
    <row r="124" spans="1:5" x14ac:dyDescent="0.3">
      <c r="A124" s="6" t="s">
        <v>97</v>
      </c>
      <c r="B124" s="5">
        <f>B121+B122</f>
        <v>1272119.1252665259</v>
      </c>
    </row>
    <row r="125" spans="1:5" x14ac:dyDescent="0.3">
      <c r="A125" s="6" t="s">
        <v>98</v>
      </c>
      <c r="B125" s="5">
        <f>B121-B122</f>
        <v>720356.26382438326</v>
      </c>
    </row>
    <row r="127" spans="1:5" x14ac:dyDescent="0.3">
      <c r="A127" s="6" t="s">
        <v>100</v>
      </c>
      <c r="B127" s="5">
        <f>AVERAGE(D21,D35,D34,D51,D58,D61,D66,D80)</f>
        <v>973493.04749999999</v>
      </c>
    </row>
    <row r="128" spans="1:5" x14ac:dyDescent="0.3">
      <c r="A128" s="6" t="s">
        <v>94</v>
      </c>
      <c r="B128" s="5">
        <f>_xlfn.STDEV.S(D27,D29,D41,D57,D64,D67,D72,D86,D96,D85)</f>
        <v>105187.95033955782</v>
      </c>
    </row>
    <row r="129" spans="1:5" x14ac:dyDescent="0.3">
      <c r="A129" s="6" t="s">
        <v>95</v>
      </c>
      <c r="B129" s="8">
        <f>(B128/B127)</f>
        <v>0.10805208173770529</v>
      </c>
      <c r="C129" s="71" t="s">
        <v>102</v>
      </c>
      <c r="D129" s="71"/>
      <c r="E129" s="71"/>
    </row>
    <row r="130" spans="1:5" x14ac:dyDescent="0.3">
      <c r="A130" s="6" t="s">
        <v>97</v>
      </c>
      <c r="B130" s="5" t="s">
        <v>29</v>
      </c>
    </row>
    <row r="131" spans="1:5" x14ac:dyDescent="0.3">
      <c r="A131" s="6" t="s">
        <v>98</v>
      </c>
      <c r="B131" s="5" t="s">
        <v>29</v>
      </c>
    </row>
    <row r="133" spans="1:5" x14ac:dyDescent="0.3">
      <c r="A133" s="3" t="s">
        <v>45</v>
      </c>
      <c r="B133" s="3" t="s">
        <v>103</v>
      </c>
    </row>
    <row r="134" spans="1:5" x14ac:dyDescent="0.3">
      <c r="A134" s="2" t="s">
        <v>113</v>
      </c>
      <c r="B134" s="5">
        <f>B127</f>
        <v>973493.04749999999</v>
      </c>
      <c r="C134" s="7"/>
    </row>
    <row r="135" spans="1:5" x14ac:dyDescent="0.3">
      <c r="A135" s="2" t="s">
        <v>152</v>
      </c>
      <c r="B135" s="5">
        <f>AVERAGE(D40,D41,D42)</f>
        <v>7384.8066666666664</v>
      </c>
    </row>
    <row r="136" spans="1:5" x14ac:dyDescent="0.3">
      <c r="A136" s="2" t="s">
        <v>176</v>
      </c>
      <c r="B136" s="5">
        <f>D65</f>
        <v>2306.7800000000002</v>
      </c>
    </row>
    <row r="137" spans="1:5" x14ac:dyDescent="0.3">
      <c r="A137" s="2" t="s">
        <v>11</v>
      </c>
      <c r="B137" s="5">
        <f>AVERAGE(D91,D92,D93,D94,D95)</f>
        <v>43259.517999999996</v>
      </c>
    </row>
    <row r="138" spans="1:5" x14ac:dyDescent="0.3">
      <c r="A138" s="2" t="s">
        <v>158</v>
      </c>
      <c r="B138" s="5">
        <f>D47</f>
        <v>10775.88</v>
      </c>
    </row>
  </sheetData>
  <autoFilter ref="A1:H112" xr:uid="{273779FD-D3D3-41EB-BEF9-F4BE12DC339E}">
    <filterColumn colId="2">
      <filters>
        <filter val="Fixo"/>
      </filters>
    </filterColumn>
  </autoFilter>
  <mergeCells count="4">
    <mergeCell ref="C117:E117"/>
    <mergeCell ref="A120:B120"/>
    <mergeCell ref="C123:E123"/>
    <mergeCell ref="C129:E129"/>
  </mergeCell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FA6EB-6DF8-4A14-8E2A-DBAA4EC82B85}">
  <dimension ref="A1:H73"/>
  <sheetViews>
    <sheetView topLeftCell="A46" workbookViewId="0">
      <selection activeCell="B71" sqref="B71"/>
    </sheetView>
  </sheetViews>
  <sheetFormatPr defaultRowHeight="14.4" x14ac:dyDescent="0.3"/>
  <cols>
    <col min="1" max="1" width="69.5546875" bestFit="1" customWidth="1"/>
    <col min="2" max="2" width="20.109375" bestFit="1" customWidth="1"/>
    <col min="3" max="3" width="21.109375" bestFit="1" customWidth="1"/>
    <col min="4" max="4" width="17.44140625" bestFit="1" customWidth="1"/>
    <col min="5" max="5" width="15.44140625" bestFit="1" customWidth="1"/>
    <col min="6" max="6" width="16.88671875" bestFit="1" customWidth="1"/>
    <col min="7" max="7" width="23.88671875" bestFit="1" customWidth="1"/>
    <col min="8" max="8" width="16" bestFit="1" customWidth="1"/>
    <col min="9" max="9" width="16.33203125" bestFit="1" customWidth="1"/>
  </cols>
  <sheetData>
    <row r="1" spans="1:8" x14ac:dyDescent="0.3">
      <c r="A1" s="3" t="s">
        <v>107</v>
      </c>
      <c r="B1" s="3" t="s">
        <v>108</v>
      </c>
      <c r="C1" s="3" t="s">
        <v>109</v>
      </c>
      <c r="D1" s="3" t="s">
        <v>46</v>
      </c>
      <c r="E1" s="3" t="s">
        <v>110</v>
      </c>
      <c r="F1" s="3" t="s">
        <v>48</v>
      </c>
      <c r="G1" s="3" t="s">
        <v>111</v>
      </c>
      <c r="H1" s="3" t="s">
        <v>49</v>
      </c>
    </row>
    <row r="2" spans="1:8" x14ac:dyDescent="0.3">
      <c r="A2" s="2" t="s">
        <v>218</v>
      </c>
      <c r="B2" s="2" t="s">
        <v>219</v>
      </c>
      <c r="C2" s="2" t="s">
        <v>113</v>
      </c>
      <c r="D2" s="5">
        <v>11806.3</v>
      </c>
      <c r="E2" s="2">
        <v>1</v>
      </c>
      <c r="F2" s="5">
        <f>E2*D2</f>
        <v>11806.3</v>
      </c>
      <c r="G2" s="2">
        <v>18</v>
      </c>
      <c r="H2" s="5">
        <f>G2*F2</f>
        <v>212513.4</v>
      </c>
    </row>
    <row r="3" spans="1:8" x14ac:dyDescent="0.3">
      <c r="A3" s="2" t="s">
        <v>220</v>
      </c>
      <c r="B3" s="2" t="s">
        <v>219</v>
      </c>
      <c r="C3" s="2" t="s">
        <v>113</v>
      </c>
      <c r="D3" s="5">
        <v>4184.53</v>
      </c>
      <c r="E3" s="2">
        <v>1</v>
      </c>
      <c r="F3" s="5">
        <f>E3*D3</f>
        <v>4184.53</v>
      </c>
      <c r="G3" s="2">
        <v>18</v>
      </c>
      <c r="H3" s="5">
        <f>G3*F3</f>
        <v>75321.539999999994</v>
      </c>
    </row>
    <row r="4" spans="1:8" x14ac:dyDescent="0.3">
      <c r="A4" s="2" t="s">
        <v>221</v>
      </c>
      <c r="B4" s="2" t="s">
        <v>222</v>
      </c>
      <c r="C4" s="2" t="s">
        <v>113</v>
      </c>
      <c r="D4" s="5">
        <f>ROUND(55000-(55000*4.2%),2)</f>
        <v>52690</v>
      </c>
      <c r="E4" s="2">
        <v>0</v>
      </c>
      <c r="F4" s="5">
        <f>E4*D4</f>
        <v>0</v>
      </c>
      <c r="G4" s="2">
        <v>0</v>
      </c>
      <c r="H4" s="5">
        <f>G4*F4</f>
        <v>0</v>
      </c>
    </row>
    <row r="5" spans="1:8" x14ac:dyDescent="0.3">
      <c r="A5" s="2" t="s">
        <v>223</v>
      </c>
      <c r="B5" s="2" t="s">
        <v>222</v>
      </c>
      <c r="C5" s="2" t="s">
        <v>113</v>
      </c>
      <c r="D5" s="5">
        <f>ROUND(45000-(45000*4.2%),2)</f>
        <v>43110</v>
      </c>
      <c r="E5" s="2">
        <v>0</v>
      </c>
      <c r="F5" s="5">
        <f>E5*D5</f>
        <v>0</v>
      </c>
      <c r="G5" s="2">
        <v>0</v>
      </c>
      <c r="H5" s="5">
        <f>G5*F5</f>
        <v>0</v>
      </c>
    </row>
    <row r="6" spans="1:8" x14ac:dyDescent="0.3">
      <c r="A6" s="2" t="s">
        <v>224</v>
      </c>
      <c r="B6" s="2" t="s">
        <v>7</v>
      </c>
      <c r="C6" s="2" t="s">
        <v>113</v>
      </c>
      <c r="D6" s="5">
        <v>4685.51</v>
      </c>
      <c r="E6" s="2">
        <v>1</v>
      </c>
      <c r="F6" s="5">
        <f>E6*D6</f>
        <v>4685.51</v>
      </c>
      <c r="G6" s="2">
        <v>12</v>
      </c>
      <c r="H6" s="5">
        <f>G6*F6</f>
        <v>56226.12</v>
      </c>
    </row>
    <row r="7" spans="1:8" x14ac:dyDescent="0.3">
      <c r="A7" s="2" t="s">
        <v>225</v>
      </c>
      <c r="B7" s="2" t="s">
        <v>7</v>
      </c>
      <c r="C7" s="2" t="s">
        <v>113</v>
      </c>
      <c r="D7" s="5">
        <v>208.72</v>
      </c>
      <c r="E7" s="2">
        <v>1</v>
      </c>
      <c r="F7" s="5">
        <f>D7*E7</f>
        <v>208.72</v>
      </c>
      <c r="G7" s="2">
        <v>24</v>
      </c>
      <c r="H7" s="5">
        <f>ROUND((G7*F7),2)</f>
        <v>5009.28</v>
      </c>
    </row>
    <row r="8" spans="1:8" x14ac:dyDescent="0.3">
      <c r="A8" s="2" t="s">
        <v>226</v>
      </c>
      <c r="B8" s="2" t="s">
        <v>7</v>
      </c>
      <c r="C8" s="2" t="s">
        <v>227</v>
      </c>
      <c r="D8" s="5">
        <v>552.61</v>
      </c>
      <c r="E8" s="2">
        <v>1</v>
      </c>
      <c r="F8" s="5">
        <f t="shared" ref="F8:F15" si="0">D8*E8</f>
        <v>552.61</v>
      </c>
      <c r="G8" s="2">
        <v>24</v>
      </c>
      <c r="H8" s="5">
        <f t="shared" ref="H8:H15" si="1">ROUND((G8*F8),2)</f>
        <v>13262.64</v>
      </c>
    </row>
    <row r="9" spans="1:8" x14ac:dyDescent="0.3">
      <c r="A9" s="2" t="s">
        <v>228</v>
      </c>
      <c r="B9" s="2" t="s">
        <v>7</v>
      </c>
      <c r="C9" s="2" t="s">
        <v>227</v>
      </c>
      <c r="D9" s="5">
        <v>0.33</v>
      </c>
      <c r="E9" s="2">
        <v>48000</v>
      </c>
      <c r="F9" s="5">
        <f t="shared" si="0"/>
        <v>15840</v>
      </c>
      <c r="G9" s="2">
        <v>24</v>
      </c>
      <c r="H9" s="5">
        <f t="shared" si="1"/>
        <v>380160</v>
      </c>
    </row>
    <row r="10" spans="1:8" x14ac:dyDescent="0.3">
      <c r="A10" s="2" t="s">
        <v>229</v>
      </c>
      <c r="B10" s="2" t="s">
        <v>7</v>
      </c>
      <c r="C10" s="2" t="s">
        <v>227</v>
      </c>
      <c r="D10" s="5">
        <v>0.22</v>
      </c>
      <c r="E10" s="2">
        <v>50000</v>
      </c>
      <c r="F10" s="5">
        <f t="shared" si="0"/>
        <v>11000</v>
      </c>
      <c r="G10" s="2">
        <v>24</v>
      </c>
      <c r="H10" s="5">
        <f t="shared" si="1"/>
        <v>264000</v>
      </c>
    </row>
    <row r="11" spans="1:8" x14ac:dyDescent="0.3">
      <c r="A11" s="2" t="s">
        <v>230</v>
      </c>
      <c r="B11" s="2" t="s">
        <v>7</v>
      </c>
      <c r="C11" s="2" t="s">
        <v>227</v>
      </c>
      <c r="D11" s="5">
        <v>0.17</v>
      </c>
      <c r="E11" s="2">
        <v>400000</v>
      </c>
      <c r="F11" s="5">
        <f t="shared" si="0"/>
        <v>68000</v>
      </c>
      <c r="G11" s="2">
        <v>24</v>
      </c>
      <c r="H11" s="5">
        <f t="shared" si="1"/>
        <v>1632000</v>
      </c>
    </row>
    <row r="12" spans="1:8" x14ac:dyDescent="0.3">
      <c r="A12" s="2" t="s">
        <v>231</v>
      </c>
      <c r="B12" s="2" t="s">
        <v>7</v>
      </c>
      <c r="C12" s="2" t="s">
        <v>227</v>
      </c>
      <c r="D12" s="5">
        <v>0.11</v>
      </c>
      <c r="E12" s="2">
        <v>1101264</v>
      </c>
      <c r="F12" s="5">
        <f t="shared" si="0"/>
        <v>121139.04</v>
      </c>
      <c r="G12" s="2">
        <v>24</v>
      </c>
      <c r="H12" s="5">
        <f t="shared" si="1"/>
        <v>2907336.96</v>
      </c>
    </row>
    <row r="13" spans="1:8" x14ac:dyDescent="0.3">
      <c r="A13" s="2" t="s">
        <v>232</v>
      </c>
      <c r="B13" s="2" t="s">
        <v>7</v>
      </c>
      <c r="C13" s="2" t="s">
        <v>227</v>
      </c>
      <c r="D13" s="5">
        <v>0.06</v>
      </c>
      <c r="E13" s="2">
        <v>0</v>
      </c>
      <c r="F13" s="5">
        <f t="shared" si="0"/>
        <v>0</v>
      </c>
      <c r="G13" s="2">
        <v>24</v>
      </c>
      <c r="H13" s="5">
        <f t="shared" si="1"/>
        <v>0</v>
      </c>
    </row>
    <row r="14" spans="1:8" x14ac:dyDescent="0.3">
      <c r="A14" s="2" t="s">
        <v>233</v>
      </c>
      <c r="B14" s="2" t="s">
        <v>7</v>
      </c>
      <c r="C14" s="2" t="s">
        <v>227</v>
      </c>
      <c r="D14" s="5">
        <v>0.02</v>
      </c>
      <c r="E14" s="2">
        <v>0</v>
      </c>
      <c r="F14" s="5">
        <f t="shared" si="0"/>
        <v>0</v>
      </c>
      <c r="G14" s="2">
        <v>24</v>
      </c>
      <c r="H14" s="5">
        <f t="shared" si="1"/>
        <v>0</v>
      </c>
    </row>
    <row r="15" spans="1:8" x14ac:dyDescent="0.3">
      <c r="A15" s="2" t="s">
        <v>234</v>
      </c>
      <c r="B15" s="2" t="s">
        <v>7</v>
      </c>
      <c r="C15" s="2" t="s">
        <v>235</v>
      </c>
      <c r="D15" s="5">
        <v>0.56999999999999995</v>
      </c>
      <c r="E15" s="2">
        <v>450</v>
      </c>
      <c r="F15" s="5">
        <f t="shared" si="0"/>
        <v>256.5</v>
      </c>
      <c r="G15" s="2">
        <v>24</v>
      </c>
      <c r="H15" s="5">
        <f t="shared" si="1"/>
        <v>6156</v>
      </c>
    </row>
    <row r="16" spans="1:8" x14ac:dyDescent="0.3">
      <c r="A16" s="2" t="s">
        <v>236</v>
      </c>
      <c r="B16" s="2" t="s">
        <v>7</v>
      </c>
      <c r="C16" s="2" t="s">
        <v>237</v>
      </c>
      <c r="D16" s="5">
        <v>48005.84</v>
      </c>
      <c r="E16" s="2">
        <v>6</v>
      </c>
      <c r="F16" s="5">
        <f t="shared" ref="F16:F21" si="2">D16*E16</f>
        <v>288035.03999999998</v>
      </c>
      <c r="G16" s="2">
        <v>144</v>
      </c>
      <c r="H16" s="5">
        <f t="shared" ref="H16:H21" si="3">D16*G16</f>
        <v>6912840.959999999</v>
      </c>
    </row>
    <row r="17" spans="1:8" x14ac:dyDescent="0.3">
      <c r="A17" s="2" t="s">
        <v>238</v>
      </c>
      <c r="B17" s="2" t="s">
        <v>7</v>
      </c>
      <c r="C17" s="2" t="s">
        <v>237</v>
      </c>
      <c r="D17" s="5">
        <v>53075.91</v>
      </c>
      <c r="E17" s="2">
        <v>5</v>
      </c>
      <c r="F17" s="5">
        <f t="shared" si="2"/>
        <v>265379.55000000005</v>
      </c>
      <c r="G17" s="2">
        <v>120</v>
      </c>
      <c r="H17" s="5">
        <f t="shared" si="3"/>
        <v>6369109.2000000002</v>
      </c>
    </row>
    <row r="18" spans="1:8" x14ac:dyDescent="0.3">
      <c r="A18" s="2" t="s">
        <v>239</v>
      </c>
      <c r="B18" s="2" t="s">
        <v>7</v>
      </c>
      <c r="C18" s="2" t="s">
        <v>240</v>
      </c>
      <c r="D18" s="5">
        <v>197802.67</v>
      </c>
      <c r="E18" s="2">
        <v>1.8</v>
      </c>
      <c r="F18" s="5">
        <f t="shared" si="2"/>
        <v>356044.80600000004</v>
      </c>
      <c r="G18" s="2">
        <v>44</v>
      </c>
      <c r="H18" s="5">
        <f t="shared" si="3"/>
        <v>8703317.4800000004</v>
      </c>
    </row>
    <row r="19" spans="1:8" x14ac:dyDescent="0.3">
      <c r="A19" s="2" t="s">
        <v>241</v>
      </c>
      <c r="B19" s="2" t="s">
        <v>242</v>
      </c>
      <c r="C19" s="2" t="s">
        <v>243</v>
      </c>
      <c r="D19" s="5">
        <v>115.28</v>
      </c>
      <c r="E19" s="2">
        <v>94.5</v>
      </c>
      <c r="F19" s="5">
        <f t="shared" si="2"/>
        <v>10893.960000000001</v>
      </c>
      <c r="G19" s="2">
        <f>24*E19</f>
        <v>2268</v>
      </c>
      <c r="H19" s="5">
        <f t="shared" si="3"/>
        <v>261455.04</v>
      </c>
    </row>
    <row r="20" spans="1:8" x14ac:dyDescent="0.3">
      <c r="A20" s="2" t="s">
        <v>244</v>
      </c>
      <c r="B20" s="2" t="s">
        <v>245</v>
      </c>
      <c r="C20" s="2" t="s">
        <v>243</v>
      </c>
      <c r="D20" s="5">
        <f>ROUND(90.018533333,2)</f>
        <v>90.02</v>
      </c>
      <c r="E20" s="2">
        <v>0</v>
      </c>
      <c r="F20" s="5">
        <f t="shared" si="2"/>
        <v>0</v>
      </c>
      <c r="G20" s="2">
        <v>0</v>
      </c>
      <c r="H20" s="5">
        <f t="shared" si="3"/>
        <v>0</v>
      </c>
    </row>
    <row r="21" spans="1:8" x14ac:dyDescent="0.3">
      <c r="A21" s="2" t="s">
        <v>246</v>
      </c>
      <c r="B21" s="2" t="s">
        <v>242</v>
      </c>
      <c r="C21" s="2" t="s">
        <v>243</v>
      </c>
      <c r="D21" s="5">
        <v>76.540000000000006</v>
      </c>
      <c r="E21" s="2">
        <v>330.18</v>
      </c>
      <c r="F21" s="5">
        <f t="shared" si="2"/>
        <v>25271.977200000001</v>
      </c>
      <c r="G21" s="2">
        <f>12*E21</f>
        <v>3962.16</v>
      </c>
      <c r="H21" s="5">
        <f t="shared" si="3"/>
        <v>303263.72639999999</v>
      </c>
    </row>
    <row r="22" spans="1:8" x14ac:dyDescent="0.3">
      <c r="A22" s="2" t="s">
        <v>247</v>
      </c>
      <c r="B22" s="2" t="s">
        <v>7</v>
      </c>
      <c r="C22" s="2" t="s">
        <v>240</v>
      </c>
      <c r="D22" s="5">
        <v>115418.81</v>
      </c>
      <c r="E22" s="2">
        <v>1</v>
      </c>
      <c r="F22" s="5">
        <f t="shared" ref="F22:F29" si="4">D22*E22</f>
        <v>115418.81</v>
      </c>
      <c r="G22" s="2">
        <v>24</v>
      </c>
      <c r="H22" s="5">
        <f>ROUND((G22*F22),2)</f>
        <v>2770051.44</v>
      </c>
    </row>
    <row r="23" spans="1:8" x14ac:dyDescent="0.3">
      <c r="A23" s="2" t="s">
        <v>248</v>
      </c>
      <c r="B23" s="2" t="s">
        <v>7</v>
      </c>
      <c r="C23" s="2" t="s">
        <v>113</v>
      </c>
      <c r="D23" s="5">
        <v>271213.24</v>
      </c>
      <c r="E23" s="2">
        <v>1</v>
      </c>
      <c r="F23" s="5">
        <f t="shared" si="4"/>
        <v>271213.24</v>
      </c>
      <c r="G23" s="2">
        <v>24</v>
      </c>
      <c r="H23" s="5">
        <f>ROUND((G23*F23),2)</f>
        <v>6509117.7599999998</v>
      </c>
    </row>
    <row r="24" spans="1:8" x14ac:dyDescent="0.3">
      <c r="A24" s="2" t="s">
        <v>249</v>
      </c>
      <c r="B24" s="2" t="s">
        <v>7</v>
      </c>
      <c r="C24" s="2" t="s">
        <v>113</v>
      </c>
      <c r="D24" s="5">
        <v>27240</v>
      </c>
      <c r="E24" s="2">
        <v>1</v>
      </c>
      <c r="F24" s="5">
        <f t="shared" si="4"/>
        <v>27240</v>
      </c>
      <c r="G24" s="2">
        <v>24</v>
      </c>
      <c r="H24" s="5">
        <f>ROUND((G24*D24),2)</f>
        <v>653760</v>
      </c>
    </row>
    <row r="25" spans="1:8" x14ac:dyDescent="0.3">
      <c r="A25" s="2" t="s">
        <v>250</v>
      </c>
      <c r="B25" s="2" t="s">
        <v>7</v>
      </c>
      <c r="C25" s="2" t="s">
        <v>251</v>
      </c>
      <c r="D25" s="5">
        <v>343.85</v>
      </c>
      <c r="E25" s="2">
        <v>120</v>
      </c>
      <c r="F25" s="5">
        <f t="shared" si="4"/>
        <v>41262</v>
      </c>
      <c r="G25" s="2">
        <v>2880</v>
      </c>
      <c r="H25" s="5">
        <f>ROUND((G25*D25),2)</f>
        <v>990288</v>
      </c>
    </row>
    <row r="26" spans="1:8" x14ac:dyDescent="0.3">
      <c r="A26" s="2" t="s">
        <v>252</v>
      </c>
      <c r="B26" s="2" t="s">
        <v>7</v>
      </c>
      <c r="C26" s="2" t="s">
        <v>251</v>
      </c>
      <c r="D26" s="5">
        <v>1362</v>
      </c>
      <c r="E26" s="2">
        <v>5</v>
      </c>
      <c r="F26" s="5">
        <f t="shared" si="4"/>
        <v>6810</v>
      </c>
      <c r="G26" s="2">
        <v>120</v>
      </c>
      <c r="H26" s="5">
        <f>ROUND((G26*D26),2)</f>
        <v>163440</v>
      </c>
    </row>
    <row r="27" spans="1:8" x14ac:dyDescent="0.3">
      <c r="A27" s="2" t="s">
        <v>253</v>
      </c>
      <c r="B27" s="2" t="s">
        <v>7</v>
      </c>
      <c r="C27" s="2" t="s">
        <v>254</v>
      </c>
      <c r="D27" s="5">
        <v>660.12</v>
      </c>
      <c r="E27" s="2">
        <v>1</v>
      </c>
      <c r="F27" s="5">
        <f t="shared" si="4"/>
        <v>660.12</v>
      </c>
      <c r="G27" s="2">
        <v>24</v>
      </c>
      <c r="H27" s="5">
        <f>ROUND((G27*F27),2)</f>
        <v>15842.88</v>
      </c>
    </row>
    <row r="28" spans="1:8" x14ac:dyDescent="0.3">
      <c r="A28" s="2" t="s">
        <v>255</v>
      </c>
      <c r="B28" s="2" t="s">
        <v>7</v>
      </c>
      <c r="C28" s="2" t="s">
        <v>256</v>
      </c>
      <c r="D28" s="5">
        <v>19.38</v>
      </c>
      <c r="E28" s="2">
        <v>350</v>
      </c>
      <c r="F28" s="5">
        <f t="shared" si="4"/>
        <v>6783</v>
      </c>
      <c r="G28" s="2">
        <v>8400</v>
      </c>
      <c r="H28" s="5">
        <f t="shared" ref="H28:H33" si="5">ROUND((G28*D28),2)</f>
        <v>162792</v>
      </c>
    </row>
    <row r="29" spans="1:8" x14ac:dyDescent="0.3">
      <c r="A29" s="2" t="s">
        <v>257</v>
      </c>
      <c r="B29" s="2" t="s">
        <v>7</v>
      </c>
      <c r="C29" s="2" t="s">
        <v>113</v>
      </c>
      <c r="D29" s="5">
        <v>13659.34</v>
      </c>
      <c r="E29" s="2">
        <v>0</v>
      </c>
      <c r="F29" s="5">
        <f t="shared" si="4"/>
        <v>0</v>
      </c>
      <c r="G29" s="2">
        <v>0</v>
      </c>
      <c r="H29" s="5">
        <f t="shared" si="5"/>
        <v>0</v>
      </c>
    </row>
    <row r="30" spans="1:8" x14ac:dyDescent="0.3">
      <c r="A30" s="2" t="s">
        <v>258</v>
      </c>
      <c r="B30" s="2" t="s">
        <v>7</v>
      </c>
      <c r="C30" s="2" t="s">
        <v>113</v>
      </c>
      <c r="D30" s="5">
        <v>32782.800000000003</v>
      </c>
      <c r="E30" s="2">
        <v>0</v>
      </c>
      <c r="F30" s="5">
        <f>ROUND(E30*D30,2)</f>
        <v>0</v>
      </c>
      <c r="G30" s="2">
        <v>0</v>
      </c>
      <c r="H30" s="5">
        <f t="shared" si="5"/>
        <v>0</v>
      </c>
    </row>
    <row r="31" spans="1:8" x14ac:dyDescent="0.3">
      <c r="A31" s="2" t="s">
        <v>259</v>
      </c>
      <c r="B31" s="2" t="s">
        <v>7</v>
      </c>
      <c r="C31" s="2" t="s">
        <v>113</v>
      </c>
      <c r="D31" s="5">
        <v>87421.13</v>
      </c>
      <c r="E31" s="2">
        <v>0</v>
      </c>
      <c r="F31" s="5">
        <f>ROUND(E31*D31,2)</f>
        <v>0</v>
      </c>
      <c r="G31" s="2">
        <v>0</v>
      </c>
      <c r="H31" s="5">
        <f t="shared" si="5"/>
        <v>0</v>
      </c>
    </row>
    <row r="32" spans="1:8" x14ac:dyDescent="0.3">
      <c r="A32" s="2" t="s">
        <v>260</v>
      </c>
      <c r="B32" s="2" t="s">
        <v>7</v>
      </c>
      <c r="C32" s="2" t="s">
        <v>113</v>
      </c>
      <c r="D32" s="5">
        <v>279747.25</v>
      </c>
      <c r="E32" s="2">
        <v>2</v>
      </c>
      <c r="F32" s="5">
        <f>D32*E32</f>
        <v>559494.5</v>
      </c>
      <c r="G32" s="2">
        <v>48</v>
      </c>
      <c r="H32" s="5">
        <f t="shared" si="5"/>
        <v>13427868</v>
      </c>
    </row>
    <row r="33" spans="1:8" x14ac:dyDescent="0.3">
      <c r="A33" s="2" t="s">
        <v>261</v>
      </c>
      <c r="B33" s="2" t="s">
        <v>7</v>
      </c>
      <c r="C33" s="2" t="s">
        <v>262</v>
      </c>
      <c r="D33" s="5">
        <v>0.24</v>
      </c>
      <c r="E33" s="2">
        <v>1</v>
      </c>
      <c r="F33" s="5">
        <f>ROUND(E33*D33,2)</f>
        <v>0.24</v>
      </c>
      <c r="G33" s="2">
        <v>24</v>
      </c>
      <c r="H33" s="5">
        <f t="shared" si="5"/>
        <v>5.76</v>
      </c>
    </row>
    <row r="34" spans="1:8" x14ac:dyDescent="0.3">
      <c r="A34" s="2" t="s">
        <v>257</v>
      </c>
      <c r="B34" s="2" t="s">
        <v>7</v>
      </c>
      <c r="C34" s="2" t="s">
        <v>113</v>
      </c>
      <c r="D34" s="5">
        <v>17074.18</v>
      </c>
      <c r="E34" s="2">
        <v>0</v>
      </c>
      <c r="F34" s="5">
        <f>D34*E34</f>
        <v>0</v>
      </c>
      <c r="G34" s="2">
        <v>0</v>
      </c>
      <c r="H34" s="5">
        <f>ROUND((G34*F34),2)</f>
        <v>0</v>
      </c>
    </row>
    <row r="35" spans="1:8" x14ac:dyDescent="0.3">
      <c r="A35" s="2" t="s">
        <v>258</v>
      </c>
      <c r="B35" s="2" t="s">
        <v>7</v>
      </c>
      <c r="C35" s="2" t="s">
        <v>113</v>
      </c>
      <c r="D35" s="5">
        <v>40978.5</v>
      </c>
      <c r="E35" s="2">
        <v>1</v>
      </c>
      <c r="F35" s="5">
        <f>ROUND(E35*D35,2)</f>
        <v>40978.5</v>
      </c>
      <c r="G35" s="2">
        <v>24</v>
      </c>
      <c r="H35" s="5">
        <f t="shared" ref="H35:H40" si="6">ROUND((G35*F35),2)</f>
        <v>983484</v>
      </c>
    </row>
    <row r="36" spans="1:8" x14ac:dyDescent="0.3">
      <c r="A36" s="2" t="s">
        <v>263</v>
      </c>
      <c r="B36" s="2" t="s">
        <v>7</v>
      </c>
      <c r="C36" s="2" t="s">
        <v>113</v>
      </c>
      <c r="D36" s="5">
        <v>109276.42</v>
      </c>
      <c r="E36" s="2">
        <v>1</v>
      </c>
      <c r="F36" s="5">
        <f>ROUND(E36*D36,2)</f>
        <v>109276.42</v>
      </c>
      <c r="G36" s="2">
        <v>24</v>
      </c>
      <c r="H36" s="5">
        <f t="shared" si="6"/>
        <v>2622634.08</v>
      </c>
    </row>
    <row r="37" spans="1:8" x14ac:dyDescent="0.3">
      <c r="A37" s="2" t="s">
        <v>264</v>
      </c>
      <c r="B37" s="2" t="s">
        <v>7</v>
      </c>
      <c r="C37" s="2" t="s">
        <v>113</v>
      </c>
      <c r="D37" s="5">
        <v>349684.06</v>
      </c>
      <c r="E37" s="2">
        <v>0</v>
      </c>
      <c r="F37" s="5">
        <f>D37*E37</f>
        <v>0</v>
      </c>
      <c r="G37" s="2">
        <v>0</v>
      </c>
      <c r="H37" s="5">
        <f>ROUND((G37*F37),2)</f>
        <v>0</v>
      </c>
    </row>
    <row r="38" spans="1:8" x14ac:dyDescent="0.3">
      <c r="A38" s="2" t="s">
        <v>261</v>
      </c>
      <c r="B38" s="2" t="s">
        <v>7</v>
      </c>
      <c r="C38" s="2" t="s">
        <v>262</v>
      </c>
      <c r="D38" s="5">
        <v>0.28999999999999998</v>
      </c>
      <c r="E38" s="2">
        <v>1</v>
      </c>
      <c r="F38" s="5">
        <f>ROUND(E38*D38,2)</f>
        <v>0.28999999999999998</v>
      </c>
      <c r="G38" s="2">
        <v>24</v>
      </c>
      <c r="H38" s="5">
        <f t="shared" si="6"/>
        <v>6.96</v>
      </c>
    </row>
    <row r="39" spans="1:8" x14ac:dyDescent="0.3">
      <c r="A39" s="2" t="s">
        <v>265</v>
      </c>
      <c r="B39" s="2" t="s">
        <v>7</v>
      </c>
      <c r="C39" s="2" t="s">
        <v>113</v>
      </c>
      <c r="D39" s="5">
        <v>11464.32</v>
      </c>
      <c r="E39" s="2">
        <v>1</v>
      </c>
      <c r="F39" s="5">
        <f>D39*E39</f>
        <v>11464.32</v>
      </c>
      <c r="G39" s="2">
        <v>24</v>
      </c>
      <c r="H39" s="5">
        <f t="shared" si="6"/>
        <v>275143.67999999999</v>
      </c>
    </row>
    <row r="40" spans="1:8" x14ac:dyDescent="0.3">
      <c r="A40" s="2" t="s">
        <v>266</v>
      </c>
      <c r="B40" s="2" t="s">
        <v>7</v>
      </c>
      <c r="C40" s="2" t="s">
        <v>113</v>
      </c>
      <c r="D40" s="5">
        <v>45022.79</v>
      </c>
      <c r="E40" s="2">
        <v>1</v>
      </c>
      <c r="F40" s="5">
        <f>D40*E40</f>
        <v>45022.79</v>
      </c>
      <c r="G40" s="2">
        <v>24</v>
      </c>
      <c r="H40" s="5">
        <f t="shared" si="6"/>
        <v>1080546.96</v>
      </c>
    </row>
    <row r="41" spans="1:8" x14ac:dyDescent="0.3">
      <c r="A41" s="2" t="s">
        <v>267</v>
      </c>
      <c r="B41" s="2" t="s">
        <v>7</v>
      </c>
      <c r="C41" s="2" t="s">
        <v>113</v>
      </c>
      <c r="D41" s="5">
        <v>1430</v>
      </c>
      <c r="E41" s="2">
        <v>3</v>
      </c>
      <c r="F41" s="5">
        <f t="shared" ref="F41:F46" si="7">D41*E41</f>
        <v>4290</v>
      </c>
      <c r="G41" s="2">
        <v>12</v>
      </c>
      <c r="H41" s="5">
        <f>ROUND((G41*F41),2)</f>
        <v>51480</v>
      </c>
    </row>
    <row r="42" spans="1:8" x14ac:dyDescent="0.3">
      <c r="A42" s="2" t="s">
        <v>268</v>
      </c>
      <c r="B42" s="2" t="s">
        <v>7</v>
      </c>
      <c r="C42" s="2" t="s">
        <v>113</v>
      </c>
      <c r="D42" s="5">
        <v>1430</v>
      </c>
      <c r="E42" s="2">
        <v>3</v>
      </c>
      <c r="F42" s="5">
        <f t="shared" si="7"/>
        <v>4290</v>
      </c>
      <c r="G42" s="2">
        <v>12</v>
      </c>
      <c r="H42" s="5">
        <f>ROUND((G42*F42),2)</f>
        <v>51480</v>
      </c>
    </row>
    <row r="43" spans="1:8" x14ac:dyDescent="0.3">
      <c r="A43" s="2" t="s">
        <v>269</v>
      </c>
      <c r="B43" s="2" t="s">
        <v>7</v>
      </c>
      <c r="C43" s="2" t="s">
        <v>113</v>
      </c>
      <c r="D43" s="5">
        <v>1430</v>
      </c>
      <c r="E43" s="2">
        <v>3</v>
      </c>
      <c r="F43" s="5">
        <f t="shared" si="7"/>
        <v>4290</v>
      </c>
      <c r="G43" s="2">
        <v>12</v>
      </c>
      <c r="H43" s="5">
        <f t="shared" ref="H43:H44" si="8">ROUND((G43*F43),2)</f>
        <v>51480</v>
      </c>
    </row>
    <row r="44" spans="1:8" x14ac:dyDescent="0.3">
      <c r="A44" s="2" t="s">
        <v>270</v>
      </c>
      <c r="B44" s="2" t="s">
        <v>7</v>
      </c>
      <c r="C44" s="2" t="s">
        <v>113</v>
      </c>
      <c r="D44" s="5">
        <v>1430</v>
      </c>
      <c r="E44" s="2">
        <v>3</v>
      </c>
      <c r="F44" s="5">
        <f t="shared" si="7"/>
        <v>4290</v>
      </c>
      <c r="G44" s="2">
        <v>12</v>
      </c>
      <c r="H44" s="5">
        <f t="shared" si="8"/>
        <v>51480</v>
      </c>
    </row>
    <row r="45" spans="1:8" x14ac:dyDescent="0.3">
      <c r="A45" s="2" t="s">
        <v>271</v>
      </c>
      <c r="B45" s="2" t="s">
        <v>7</v>
      </c>
      <c r="C45" s="2" t="s">
        <v>113</v>
      </c>
      <c r="D45" s="5">
        <v>1430</v>
      </c>
      <c r="E45" s="2">
        <v>2</v>
      </c>
      <c r="F45" s="5">
        <f t="shared" si="7"/>
        <v>2860</v>
      </c>
      <c r="G45" s="2">
        <v>12</v>
      </c>
      <c r="H45" s="5">
        <f>ROUND((G45*F45),2)</f>
        <v>34320</v>
      </c>
    </row>
    <row r="46" spans="1:8" x14ac:dyDescent="0.3">
      <c r="A46" s="2" t="s">
        <v>272</v>
      </c>
      <c r="B46" s="2" t="s">
        <v>7</v>
      </c>
      <c r="C46" s="2" t="s">
        <v>113</v>
      </c>
      <c r="D46" s="5">
        <v>11000</v>
      </c>
      <c r="E46" s="2">
        <v>1</v>
      </c>
      <c r="F46" s="5">
        <f t="shared" si="7"/>
        <v>11000</v>
      </c>
      <c r="G46" s="2">
        <v>3</v>
      </c>
      <c r="H46" s="5">
        <f>F46*G46</f>
        <v>33000</v>
      </c>
    </row>
    <row r="48" spans="1:8" x14ac:dyDescent="0.3">
      <c r="A48" s="6" t="s">
        <v>93</v>
      </c>
      <c r="B48" s="5">
        <f>AVERAGE(D2:D46)</f>
        <v>40842.758444444444</v>
      </c>
      <c r="D48" s="7"/>
    </row>
    <row r="49" spans="1:5" x14ac:dyDescent="0.3">
      <c r="A49" s="6" t="s">
        <v>94</v>
      </c>
      <c r="B49" s="5">
        <f>_xlfn.STDEV.S(D2:D46)</f>
        <v>80800.13537472015</v>
      </c>
    </row>
    <row r="50" spans="1:5" x14ac:dyDescent="0.3">
      <c r="A50" s="6" t="s">
        <v>95</v>
      </c>
      <c r="B50" s="8">
        <f>(B49/B48)</f>
        <v>1.9783221910593267</v>
      </c>
      <c r="C50" s="72" t="s">
        <v>96</v>
      </c>
      <c r="D50" s="73"/>
      <c r="E50" s="74"/>
    </row>
    <row r="51" spans="1:5" x14ac:dyDescent="0.3">
      <c r="A51" s="6" t="s">
        <v>97</v>
      </c>
      <c r="B51" s="5">
        <f>B48+B49</f>
        <v>121642.8938191646</v>
      </c>
    </row>
    <row r="52" spans="1:5" x14ac:dyDescent="0.3">
      <c r="A52" s="6" t="s">
        <v>98</v>
      </c>
      <c r="B52" s="5">
        <f>B49-B48</f>
        <v>39957.376930275706</v>
      </c>
    </row>
    <row r="53" spans="1:5" x14ac:dyDescent="0.3">
      <c r="A53" s="9"/>
      <c r="B53" s="10"/>
    </row>
    <row r="54" spans="1:5" x14ac:dyDescent="0.3">
      <c r="A54" s="6" t="s">
        <v>99</v>
      </c>
      <c r="B54" s="5">
        <f>AVERAGE(D4,D5,D16,D17,D22,D31,D35,D36,D40)</f>
        <v>66111.044444444444</v>
      </c>
    </row>
    <row r="55" spans="1:5" x14ac:dyDescent="0.3">
      <c r="A55" s="6" t="s">
        <v>94</v>
      </c>
      <c r="B55" s="5">
        <f>_xlfn.STDEV.S(D4,D5,D16,D17,D22,D31,D35,D36,D40)</f>
        <v>29647.6601955353</v>
      </c>
    </row>
    <row r="56" spans="1:5" x14ac:dyDescent="0.3">
      <c r="A56" s="6" t="s">
        <v>95</v>
      </c>
      <c r="B56" s="8">
        <f>(B55/B54)</f>
        <v>0.44845245517864002</v>
      </c>
      <c r="C56" s="72" t="s">
        <v>96</v>
      </c>
      <c r="D56" s="73"/>
      <c r="E56" s="74"/>
    </row>
    <row r="57" spans="1:5" x14ac:dyDescent="0.3">
      <c r="A57" s="6" t="s">
        <v>97</v>
      </c>
      <c r="B57" s="5">
        <f>B54+B55</f>
        <v>95758.70463997974</v>
      </c>
    </row>
    <row r="58" spans="1:5" x14ac:dyDescent="0.3">
      <c r="A58" s="6" t="s">
        <v>98</v>
      </c>
      <c r="B58" s="5">
        <f>B54-B55</f>
        <v>36463.384248909148</v>
      </c>
    </row>
    <row r="60" spans="1:5" x14ac:dyDescent="0.3">
      <c r="A60" s="6" t="s">
        <v>100</v>
      </c>
      <c r="B60" s="5">
        <f>AVERAGE(D5,D16,D17,D31,D35,D4)</f>
        <v>54213.563333333332</v>
      </c>
    </row>
    <row r="61" spans="1:5" x14ac:dyDescent="0.3">
      <c r="A61" s="6" t="s">
        <v>94</v>
      </c>
      <c r="B61" s="5">
        <f>_xlfn.STDEV.S(D5,D16,D17,D31,D35,D4)</f>
        <v>16990.290364655535</v>
      </c>
    </row>
    <row r="62" spans="1:5" x14ac:dyDescent="0.3">
      <c r="A62" s="6" t="s">
        <v>95</v>
      </c>
      <c r="B62" s="8">
        <f>(B61/B60)</f>
        <v>0.31339556598023904</v>
      </c>
      <c r="C62" s="72" t="s">
        <v>96</v>
      </c>
      <c r="D62" s="73"/>
      <c r="E62" s="74"/>
    </row>
    <row r="63" spans="1:5" x14ac:dyDescent="0.3">
      <c r="A63" s="6" t="s">
        <v>97</v>
      </c>
      <c r="B63" s="5">
        <f>B60+B61</f>
        <v>71203.853697988874</v>
      </c>
    </row>
    <row r="64" spans="1:5" x14ac:dyDescent="0.3">
      <c r="A64" s="6" t="s">
        <v>98</v>
      </c>
      <c r="B64" s="5">
        <f>B60-B61</f>
        <v>37223.272968677797</v>
      </c>
    </row>
    <row r="66" spans="1:5" x14ac:dyDescent="0.3">
      <c r="A66" s="6" t="s">
        <v>100</v>
      </c>
      <c r="B66" s="5">
        <f>AVERAGE(D4,D5,D16,D17,D35,D40)</f>
        <v>47147.173333333332</v>
      </c>
    </row>
    <row r="67" spans="1:5" x14ac:dyDescent="0.3">
      <c r="A67" s="6" t="s">
        <v>94</v>
      </c>
      <c r="B67" s="5">
        <f>_xlfn.STDEV.S(D4,D5,D16,D17,D35,D40)</f>
        <v>5009.4801751785253</v>
      </c>
    </row>
    <row r="68" spans="1:5" x14ac:dyDescent="0.3">
      <c r="A68" s="6" t="s">
        <v>95</v>
      </c>
      <c r="B68" s="8">
        <f>(B67/B66)</f>
        <v>0.10625197272721316</v>
      </c>
      <c r="C68" s="75" t="s">
        <v>102</v>
      </c>
      <c r="D68" s="76"/>
      <c r="E68" s="77"/>
    </row>
    <row r="69" spans="1:5" x14ac:dyDescent="0.3">
      <c r="A69" s="6" t="s">
        <v>97</v>
      </c>
      <c r="B69" s="5">
        <f>B66+B67</f>
        <v>52156.653508511859</v>
      </c>
    </row>
    <row r="70" spans="1:5" x14ac:dyDescent="0.3">
      <c r="A70" s="6" t="s">
        <v>98</v>
      </c>
      <c r="B70" s="5">
        <f>B66-B67</f>
        <v>42137.693158154805</v>
      </c>
    </row>
    <row r="72" spans="1:5" x14ac:dyDescent="0.3">
      <c r="A72" s="3" t="s">
        <v>107</v>
      </c>
      <c r="B72" s="3" t="s">
        <v>103</v>
      </c>
    </row>
    <row r="73" spans="1:5" x14ac:dyDescent="0.3">
      <c r="A73" s="2" t="s">
        <v>10</v>
      </c>
      <c r="B73" s="5">
        <f>B66</f>
        <v>47147.173333333332</v>
      </c>
    </row>
  </sheetData>
  <mergeCells count="4">
    <mergeCell ref="C50:E50"/>
    <mergeCell ref="C56:E56"/>
    <mergeCell ref="C62:E62"/>
    <mergeCell ref="C68:E68"/>
  </mergeCells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1968A-13B1-4F7E-A114-1B3E16074D29}">
  <dimension ref="A1:H106"/>
  <sheetViews>
    <sheetView topLeftCell="A82" workbookViewId="0">
      <selection activeCell="B99" sqref="B99"/>
    </sheetView>
  </sheetViews>
  <sheetFormatPr defaultRowHeight="14.4" x14ac:dyDescent="0.3"/>
  <cols>
    <col min="1" max="1" width="69.5546875" bestFit="1" customWidth="1"/>
    <col min="2" max="2" width="20.109375" bestFit="1" customWidth="1"/>
    <col min="3" max="3" width="21.109375" bestFit="1" customWidth="1"/>
    <col min="4" max="4" width="17.44140625" bestFit="1" customWidth="1"/>
    <col min="5" max="5" width="15.44140625" bestFit="1" customWidth="1"/>
    <col min="6" max="6" width="16.88671875" bestFit="1" customWidth="1"/>
    <col min="7" max="7" width="23.88671875" bestFit="1" customWidth="1"/>
    <col min="8" max="8" width="16" bestFit="1" customWidth="1"/>
    <col min="9" max="9" width="16.33203125" bestFit="1" customWidth="1"/>
  </cols>
  <sheetData>
    <row r="1" spans="1:8" x14ac:dyDescent="0.3">
      <c r="A1" s="3" t="s">
        <v>107</v>
      </c>
      <c r="B1" s="3" t="s">
        <v>108</v>
      </c>
      <c r="C1" s="3" t="s">
        <v>109</v>
      </c>
      <c r="D1" s="3" t="s">
        <v>46</v>
      </c>
      <c r="E1" s="3" t="s">
        <v>110</v>
      </c>
      <c r="F1" s="3" t="s">
        <v>48</v>
      </c>
      <c r="G1" s="3" t="s">
        <v>111</v>
      </c>
      <c r="H1" s="3" t="s">
        <v>49</v>
      </c>
    </row>
    <row r="2" spans="1:8" x14ac:dyDescent="0.3">
      <c r="A2" s="2" t="s">
        <v>273</v>
      </c>
      <c r="B2" s="2" t="s">
        <v>7</v>
      </c>
      <c r="C2" s="2" t="s">
        <v>254</v>
      </c>
      <c r="D2" s="5">
        <v>39.85</v>
      </c>
      <c r="E2" s="2">
        <v>505</v>
      </c>
      <c r="F2" s="5">
        <f>D2*E2</f>
        <v>20124.25</v>
      </c>
      <c r="G2" s="2">
        <v>12120</v>
      </c>
      <c r="H2" s="5">
        <f>G2*D2</f>
        <v>482982</v>
      </c>
    </row>
    <row r="3" spans="1:8" x14ac:dyDescent="0.3">
      <c r="A3" s="2" t="s">
        <v>274</v>
      </c>
      <c r="B3" s="2" t="s">
        <v>7</v>
      </c>
      <c r="C3" s="2" t="s">
        <v>275</v>
      </c>
      <c r="D3" s="5">
        <v>186394.9</v>
      </c>
      <c r="E3" s="2">
        <v>1</v>
      </c>
      <c r="F3" s="5">
        <f>E3*D3</f>
        <v>186394.9</v>
      </c>
      <c r="G3" s="2">
        <v>24</v>
      </c>
      <c r="H3" s="5">
        <f>ROUND((G3*F3),2)</f>
        <v>4473477.5999999996</v>
      </c>
    </row>
    <row r="4" spans="1:8" x14ac:dyDescent="0.3">
      <c r="A4" s="2" t="s">
        <v>276</v>
      </c>
      <c r="B4" s="2" t="s">
        <v>7</v>
      </c>
      <c r="C4" s="2" t="s">
        <v>277</v>
      </c>
      <c r="D4" s="5">
        <v>1</v>
      </c>
      <c r="E4" s="2">
        <v>110611.1</v>
      </c>
      <c r="F4" s="5">
        <f>E4*D4</f>
        <v>110611.1</v>
      </c>
      <c r="G4" s="2">
        <f>24*E4</f>
        <v>2654666.4000000004</v>
      </c>
      <c r="H4" s="5">
        <f t="shared" ref="H4:H12" si="0">ROUND((G4*D4),2)</f>
        <v>2654666.4</v>
      </c>
    </row>
    <row r="5" spans="1:8" x14ac:dyDescent="0.3">
      <c r="A5" s="2" t="s">
        <v>278</v>
      </c>
      <c r="B5" s="2" t="s">
        <v>7</v>
      </c>
      <c r="C5" s="2" t="s">
        <v>275</v>
      </c>
      <c r="D5" s="5">
        <v>229.22</v>
      </c>
      <c r="E5" s="2">
        <v>1</v>
      </c>
      <c r="F5" s="5">
        <f t="shared" ref="F5:F10" si="1">D5*E5</f>
        <v>229.22</v>
      </c>
      <c r="G5" s="2">
        <v>24</v>
      </c>
      <c r="H5" s="5">
        <f t="shared" si="0"/>
        <v>5501.28</v>
      </c>
    </row>
    <row r="6" spans="1:8" x14ac:dyDescent="0.3">
      <c r="A6" s="2" t="s">
        <v>279</v>
      </c>
      <c r="B6" s="2" t="s">
        <v>7</v>
      </c>
      <c r="C6" s="2" t="s">
        <v>280</v>
      </c>
      <c r="D6" s="5">
        <v>235.17</v>
      </c>
      <c r="E6" s="2">
        <v>400</v>
      </c>
      <c r="F6" s="5">
        <f t="shared" si="1"/>
        <v>94068</v>
      </c>
      <c r="G6" s="2">
        <v>9600</v>
      </c>
      <c r="H6" s="5">
        <f t="shared" si="0"/>
        <v>2257632</v>
      </c>
    </row>
    <row r="7" spans="1:8" x14ac:dyDescent="0.3">
      <c r="A7" s="2" t="s">
        <v>281</v>
      </c>
      <c r="B7" s="2" t="s">
        <v>7</v>
      </c>
      <c r="C7" s="2" t="s">
        <v>282</v>
      </c>
      <c r="D7" s="5">
        <v>217.92</v>
      </c>
      <c r="E7" s="2">
        <v>600</v>
      </c>
      <c r="F7" s="5">
        <f t="shared" si="1"/>
        <v>130751.99999999999</v>
      </c>
      <c r="G7" s="2">
        <v>14400</v>
      </c>
      <c r="H7" s="5">
        <f t="shared" si="0"/>
        <v>3138048</v>
      </c>
    </row>
    <row r="8" spans="1:8" x14ac:dyDescent="0.3">
      <c r="A8" s="2" t="s">
        <v>283</v>
      </c>
      <c r="B8" s="2" t="s">
        <v>7</v>
      </c>
      <c r="C8" s="2" t="s">
        <v>284</v>
      </c>
      <c r="D8" s="5">
        <v>94.71</v>
      </c>
      <c r="E8" s="2">
        <v>2000</v>
      </c>
      <c r="F8" s="5">
        <f t="shared" si="1"/>
        <v>189420</v>
      </c>
      <c r="G8" s="2">
        <f>24*E8</f>
        <v>48000</v>
      </c>
      <c r="H8" s="5">
        <f t="shared" si="0"/>
        <v>4546080</v>
      </c>
    </row>
    <row r="9" spans="1:8" x14ac:dyDescent="0.3">
      <c r="A9" s="2" t="s">
        <v>285</v>
      </c>
      <c r="B9" s="2" t="s">
        <v>7</v>
      </c>
      <c r="C9" s="2" t="s">
        <v>284</v>
      </c>
      <c r="D9" s="5">
        <v>89.76</v>
      </c>
      <c r="E9" s="2">
        <v>1200</v>
      </c>
      <c r="F9" s="5">
        <f t="shared" si="1"/>
        <v>107712</v>
      </c>
      <c r="G9" s="2">
        <f>24*E9</f>
        <v>28800</v>
      </c>
      <c r="H9" s="5">
        <f t="shared" si="0"/>
        <v>2585088</v>
      </c>
    </row>
    <row r="10" spans="1:8" x14ac:dyDescent="0.3">
      <c r="A10" s="2" t="s">
        <v>286</v>
      </c>
      <c r="B10" s="2" t="s">
        <v>7</v>
      </c>
      <c r="C10" s="2" t="s">
        <v>280</v>
      </c>
      <c r="D10" s="5">
        <v>248.1</v>
      </c>
      <c r="E10" s="2">
        <v>900</v>
      </c>
      <c r="F10" s="5">
        <f t="shared" si="1"/>
        <v>223290</v>
      </c>
      <c r="G10" s="2">
        <v>21600</v>
      </c>
      <c r="H10" s="5">
        <f t="shared" si="0"/>
        <v>5358960</v>
      </c>
    </row>
    <row r="11" spans="1:8" x14ac:dyDescent="0.3">
      <c r="A11" s="2" t="s">
        <v>287</v>
      </c>
      <c r="B11" s="2" t="s">
        <v>7</v>
      </c>
      <c r="C11" s="2" t="s">
        <v>113</v>
      </c>
      <c r="D11" s="5">
        <v>18493.080000000002</v>
      </c>
      <c r="E11" s="2">
        <v>1</v>
      </c>
      <c r="F11" s="5">
        <f>E11*D11</f>
        <v>18493.080000000002</v>
      </c>
      <c r="G11" s="2">
        <v>24</v>
      </c>
      <c r="H11" s="5">
        <f t="shared" si="0"/>
        <v>443833.92</v>
      </c>
    </row>
    <row r="12" spans="1:8" x14ac:dyDescent="0.3">
      <c r="A12" s="2" t="s">
        <v>288</v>
      </c>
      <c r="B12" s="2" t="s">
        <v>7</v>
      </c>
      <c r="C12" s="2" t="s">
        <v>113</v>
      </c>
      <c r="D12" s="5">
        <v>9775.33</v>
      </c>
      <c r="E12" s="2">
        <v>1</v>
      </c>
      <c r="F12" s="5">
        <f>E12*D12</f>
        <v>9775.33</v>
      </c>
      <c r="G12" s="2">
        <v>24</v>
      </c>
      <c r="H12" s="5">
        <f t="shared" si="0"/>
        <v>234607.92</v>
      </c>
    </row>
    <row r="13" spans="1:8" x14ac:dyDescent="0.3">
      <c r="A13" s="2" t="s">
        <v>289</v>
      </c>
      <c r="B13" s="2" t="s">
        <v>7</v>
      </c>
      <c r="C13" s="2" t="s">
        <v>235</v>
      </c>
      <c r="D13" s="5">
        <v>1138.6300000000001</v>
      </c>
      <c r="E13" s="2">
        <v>13</v>
      </c>
      <c r="F13" s="5">
        <f t="shared" ref="F13:F24" si="2">E13*D13</f>
        <v>14802.190000000002</v>
      </c>
      <c r="G13" s="2">
        <v>312</v>
      </c>
      <c r="H13" s="5">
        <f t="shared" ref="H13:H24" si="3">ROUND((G13*D13),2)</f>
        <v>355252.56</v>
      </c>
    </row>
    <row r="14" spans="1:8" x14ac:dyDescent="0.3">
      <c r="A14" s="2" t="s">
        <v>290</v>
      </c>
      <c r="B14" s="2" t="s">
        <v>7</v>
      </c>
      <c r="C14" s="2" t="s">
        <v>235</v>
      </c>
      <c r="D14" s="5">
        <v>2860.2</v>
      </c>
      <c r="E14" s="2">
        <v>1</v>
      </c>
      <c r="F14" s="5">
        <f t="shared" si="2"/>
        <v>2860.2</v>
      </c>
      <c r="G14" s="2">
        <v>24</v>
      </c>
      <c r="H14" s="5">
        <f t="shared" si="3"/>
        <v>68644.800000000003</v>
      </c>
    </row>
    <row r="15" spans="1:8" x14ac:dyDescent="0.3">
      <c r="A15" s="2" t="s">
        <v>291</v>
      </c>
      <c r="B15" s="2" t="s">
        <v>7</v>
      </c>
      <c r="C15" s="2" t="s">
        <v>235</v>
      </c>
      <c r="D15" s="5">
        <v>187.04</v>
      </c>
      <c r="E15" s="2">
        <v>434</v>
      </c>
      <c r="F15" s="5">
        <f t="shared" si="2"/>
        <v>81175.360000000001</v>
      </c>
      <c r="G15" s="2">
        <v>10416</v>
      </c>
      <c r="H15" s="5">
        <f t="shared" si="3"/>
        <v>1948208.64</v>
      </c>
    </row>
    <row r="16" spans="1:8" x14ac:dyDescent="0.3">
      <c r="A16" s="2" t="s">
        <v>292</v>
      </c>
      <c r="B16" s="2" t="s">
        <v>7</v>
      </c>
      <c r="C16" s="2" t="s">
        <v>235</v>
      </c>
      <c r="D16" s="5">
        <v>232.45</v>
      </c>
      <c r="E16" s="2">
        <v>45</v>
      </c>
      <c r="F16" s="5">
        <f t="shared" si="2"/>
        <v>10460.25</v>
      </c>
      <c r="G16" s="2">
        <v>1080</v>
      </c>
      <c r="H16" s="5">
        <f t="shared" si="3"/>
        <v>251046</v>
      </c>
    </row>
    <row r="17" spans="1:8" x14ac:dyDescent="0.3">
      <c r="A17" s="2" t="s">
        <v>293</v>
      </c>
      <c r="B17" s="2" t="s">
        <v>7</v>
      </c>
      <c r="C17" s="2" t="s">
        <v>235</v>
      </c>
      <c r="D17" s="5">
        <v>145.28</v>
      </c>
      <c r="E17" s="2">
        <v>50</v>
      </c>
      <c r="F17" s="5">
        <f t="shared" si="2"/>
        <v>7264</v>
      </c>
      <c r="G17" s="2">
        <v>1200</v>
      </c>
      <c r="H17" s="5">
        <f t="shared" si="3"/>
        <v>174336</v>
      </c>
    </row>
    <row r="18" spans="1:8" x14ac:dyDescent="0.3">
      <c r="A18" s="2" t="s">
        <v>294</v>
      </c>
      <c r="B18" s="2" t="s">
        <v>7</v>
      </c>
      <c r="C18" s="2" t="s">
        <v>235</v>
      </c>
      <c r="D18" s="5">
        <v>197.94</v>
      </c>
      <c r="E18" s="2">
        <v>1</v>
      </c>
      <c r="F18" s="5">
        <f t="shared" si="2"/>
        <v>197.94</v>
      </c>
      <c r="G18" s="2">
        <v>24</v>
      </c>
      <c r="H18" s="5">
        <f t="shared" si="3"/>
        <v>4750.5600000000004</v>
      </c>
    </row>
    <row r="19" spans="1:8" x14ac:dyDescent="0.3">
      <c r="A19" s="2" t="s">
        <v>295</v>
      </c>
      <c r="B19" s="2" t="s">
        <v>7</v>
      </c>
      <c r="C19" s="2" t="s">
        <v>235</v>
      </c>
      <c r="D19" s="5">
        <v>274.22000000000003</v>
      </c>
      <c r="E19" s="2">
        <v>3</v>
      </c>
      <c r="F19" s="5">
        <f t="shared" si="2"/>
        <v>822.66000000000008</v>
      </c>
      <c r="G19" s="2">
        <v>72</v>
      </c>
      <c r="H19" s="5">
        <f t="shared" si="3"/>
        <v>19743.84</v>
      </c>
    </row>
    <row r="20" spans="1:8" x14ac:dyDescent="0.3">
      <c r="A20" s="2" t="s">
        <v>296</v>
      </c>
      <c r="B20" s="2" t="s">
        <v>7</v>
      </c>
      <c r="C20" s="2" t="s">
        <v>235</v>
      </c>
      <c r="D20" s="5">
        <v>319.62</v>
      </c>
      <c r="E20" s="2">
        <v>2</v>
      </c>
      <c r="F20" s="5">
        <f t="shared" si="2"/>
        <v>639.24</v>
      </c>
      <c r="G20" s="2">
        <v>48</v>
      </c>
      <c r="H20" s="5">
        <f t="shared" si="3"/>
        <v>15341.76</v>
      </c>
    </row>
    <row r="21" spans="1:8" x14ac:dyDescent="0.3">
      <c r="A21" s="2" t="s">
        <v>297</v>
      </c>
      <c r="B21" s="2" t="s">
        <v>7</v>
      </c>
      <c r="C21" s="2" t="s">
        <v>235</v>
      </c>
      <c r="D21" s="5">
        <v>33.6</v>
      </c>
      <c r="E21" s="2">
        <v>334</v>
      </c>
      <c r="F21" s="5">
        <f t="shared" si="2"/>
        <v>11222.4</v>
      </c>
      <c r="G21" s="2">
        <v>8016</v>
      </c>
      <c r="H21" s="5">
        <f t="shared" si="3"/>
        <v>269337.59999999998</v>
      </c>
    </row>
    <row r="22" spans="1:8" x14ac:dyDescent="0.3">
      <c r="A22" s="2" t="s">
        <v>298</v>
      </c>
      <c r="B22" s="2" t="s">
        <v>7</v>
      </c>
      <c r="C22" s="2" t="s">
        <v>235</v>
      </c>
      <c r="D22" s="5">
        <v>72.55</v>
      </c>
      <c r="E22" s="2">
        <v>334</v>
      </c>
      <c r="F22" s="5">
        <f t="shared" si="2"/>
        <v>24231.7</v>
      </c>
      <c r="G22" s="2">
        <v>8016</v>
      </c>
      <c r="H22" s="5">
        <f t="shared" si="3"/>
        <v>581560.80000000005</v>
      </c>
    </row>
    <row r="23" spans="1:8" x14ac:dyDescent="0.3">
      <c r="A23" s="2" t="s">
        <v>299</v>
      </c>
      <c r="B23" s="2" t="s">
        <v>7</v>
      </c>
      <c r="C23" s="2" t="s">
        <v>235</v>
      </c>
      <c r="D23" s="5">
        <v>163.35</v>
      </c>
      <c r="E23" s="2">
        <v>19</v>
      </c>
      <c r="F23" s="5">
        <f t="shared" si="2"/>
        <v>3103.65</v>
      </c>
      <c r="G23" s="2">
        <v>456</v>
      </c>
      <c r="H23" s="5">
        <f t="shared" si="3"/>
        <v>74487.600000000006</v>
      </c>
    </row>
    <row r="24" spans="1:8" x14ac:dyDescent="0.3">
      <c r="A24" s="2" t="s">
        <v>300</v>
      </c>
      <c r="B24" s="2" t="s">
        <v>7</v>
      </c>
      <c r="C24" s="2" t="s">
        <v>235</v>
      </c>
      <c r="D24" s="5">
        <v>226.91</v>
      </c>
      <c r="E24" s="2">
        <v>1</v>
      </c>
      <c r="F24" s="5">
        <f t="shared" si="2"/>
        <v>226.91</v>
      </c>
      <c r="G24" s="2">
        <v>24</v>
      </c>
      <c r="H24" s="5">
        <f t="shared" si="3"/>
        <v>5445.84</v>
      </c>
    </row>
    <row r="25" spans="1:8" x14ac:dyDescent="0.3">
      <c r="A25" s="2" t="s">
        <v>301</v>
      </c>
      <c r="B25" s="2" t="s">
        <v>7</v>
      </c>
      <c r="C25" s="2" t="s">
        <v>302</v>
      </c>
      <c r="D25" s="5">
        <v>4903.2</v>
      </c>
      <c r="E25" s="2">
        <v>15</v>
      </c>
      <c r="F25" s="5">
        <f t="shared" ref="F25:F30" si="4">E25*D25</f>
        <v>73548</v>
      </c>
      <c r="G25" s="2">
        <v>360</v>
      </c>
      <c r="H25" s="5">
        <f t="shared" ref="H25:H30" si="5">ROUND((G25*D25),2)</f>
        <v>1765152</v>
      </c>
    </row>
    <row r="26" spans="1:8" x14ac:dyDescent="0.3">
      <c r="A26" s="2" t="s">
        <v>303</v>
      </c>
      <c r="B26" s="2" t="s">
        <v>7</v>
      </c>
      <c r="C26" s="2" t="s">
        <v>302</v>
      </c>
      <c r="D26" s="5">
        <v>9034.6</v>
      </c>
      <c r="E26" s="2">
        <v>2</v>
      </c>
      <c r="F26" s="5">
        <f t="shared" si="4"/>
        <v>18069.2</v>
      </c>
      <c r="G26" s="2">
        <v>48</v>
      </c>
      <c r="H26" s="5">
        <f t="shared" si="5"/>
        <v>433660.8</v>
      </c>
    </row>
    <row r="27" spans="1:8" x14ac:dyDescent="0.3">
      <c r="A27" s="2" t="s">
        <v>304</v>
      </c>
      <c r="B27" s="2" t="s">
        <v>7</v>
      </c>
      <c r="C27" s="2" t="s">
        <v>302</v>
      </c>
      <c r="D27" s="5">
        <v>2905.6</v>
      </c>
      <c r="E27" s="2">
        <v>2</v>
      </c>
      <c r="F27" s="5">
        <f t="shared" si="4"/>
        <v>5811.2</v>
      </c>
      <c r="G27" s="2">
        <v>48</v>
      </c>
      <c r="H27" s="5">
        <f t="shared" si="5"/>
        <v>139468.79999999999</v>
      </c>
    </row>
    <row r="28" spans="1:8" x14ac:dyDescent="0.3">
      <c r="A28" s="2" t="s">
        <v>305</v>
      </c>
      <c r="B28" s="2" t="s">
        <v>7</v>
      </c>
      <c r="C28" s="2" t="s">
        <v>302</v>
      </c>
      <c r="D28" s="5">
        <v>9080</v>
      </c>
      <c r="E28" s="2">
        <v>0</v>
      </c>
      <c r="F28" s="5">
        <f t="shared" si="4"/>
        <v>0</v>
      </c>
      <c r="G28" s="2">
        <v>0</v>
      </c>
      <c r="H28" s="5">
        <f t="shared" si="5"/>
        <v>0</v>
      </c>
    </row>
    <row r="29" spans="1:8" x14ac:dyDescent="0.3">
      <c r="A29" s="2" t="s">
        <v>306</v>
      </c>
      <c r="B29" s="2" t="s">
        <v>7</v>
      </c>
      <c r="C29" s="2" t="s">
        <v>302</v>
      </c>
      <c r="D29" s="5">
        <v>13937.8</v>
      </c>
      <c r="E29" s="2">
        <v>0</v>
      </c>
      <c r="F29" s="5">
        <f t="shared" si="4"/>
        <v>0</v>
      </c>
      <c r="G29" s="2">
        <v>0</v>
      </c>
      <c r="H29" s="5">
        <f t="shared" si="5"/>
        <v>0</v>
      </c>
    </row>
    <row r="30" spans="1:8" x14ac:dyDescent="0.3">
      <c r="A30" s="2" t="s">
        <v>307</v>
      </c>
      <c r="B30" s="2" t="s">
        <v>7</v>
      </c>
      <c r="C30" s="2" t="s">
        <v>302</v>
      </c>
      <c r="D30" s="5">
        <v>1997.6</v>
      </c>
      <c r="E30" s="2">
        <v>0</v>
      </c>
      <c r="F30" s="5">
        <f t="shared" si="4"/>
        <v>0</v>
      </c>
      <c r="G30" s="2">
        <v>0</v>
      </c>
      <c r="H30" s="5">
        <f t="shared" si="5"/>
        <v>0</v>
      </c>
    </row>
    <row r="31" spans="1:8" x14ac:dyDescent="0.3">
      <c r="A31" s="2" t="s">
        <v>308</v>
      </c>
      <c r="B31" s="2" t="s">
        <v>7</v>
      </c>
      <c r="C31" s="2" t="s">
        <v>309</v>
      </c>
      <c r="D31" s="5">
        <v>334.02</v>
      </c>
      <c r="E31" s="2">
        <v>15</v>
      </c>
      <c r="F31" s="5">
        <f>E31*D31</f>
        <v>5010.2999999999993</v>
      </c>
      <c r="G31" s="2">
        <v>360</v>
      </c>
      <c r="H31" s="5">
        <f>ROUND((G31*D31),2)</f>
        <v>120247.2</v>
      </c>
    </row>
    <row r="32" spans="1:8" x14ac:dyDescent="0.3">
      <c r="A32" s="2" t="s">
        <v>310</v>
      </c>
      <c r="B32" s="2" t="s">
        <v>7</v>
      </c>
      <c r="C32" s="2" t="s">
        <v>309</v>
      </c>
      <c r="D32" s="5">
        <v>890.71</v>
      </c>
      <c r="E32" s="2">
        <v>16</v>
      </c>
      <c r="F32" s="5">
        <f>E32*D32</f>
        <v>14251.36</v>
      </c>
      <c r="G32" s="2">
        <v>384</v>
      </c>
      <c r="H32" s="5">
        <f>ROUND((G32*D32),2)</f>
        <v>342032.64000000001</v>
      </c>
    </row>
    <row r="33" spans="1:8" x14ac:dyDescent="0.3">
      <c r="A33" s="2" t="s">
        <v>311</v>
      </c>
      <c r="B33" s="2" t="s">
        <v>7</v>
      </c>
      <c r="C33" s="2" t="s">
        <v>46</v>
      </c>
      <c r="D33" s="5">
        <v>3896.86</v>
      </c>
      <c r="E33" s="2">
        <v>0</v>
      </c>
      <c r="F33" s="5">
        <f>E33*D33</f>
        <v>0</v>
      </c>
      <c r="G33" s="2"/>
      <c r="H33" s="5">
        <f>ROUND((G33*D33),2)</f>
        <v>0</v>
      </c>
    </row>
    <row r="34" spans="1:8" x14ac:dyDescent="0.3">
      <c r="A34" s="2" t="s">
        <v>312</v>
      </c>
      <c r="B34" s="2" t="s">
        <v>7</v>
      </c>
      <c r="C34" s="2" t="s">
        <v>313</v>
      </c>
      <c r="D34" s="5">
        <v>22.26</v>
      </c>
      <c r="E34" s="2">
        <v>100</v>
      </c>
      <c r="F34" s="5">
        <f>E34*D34</f>
        <v>2226</v>
      </c>
      <c r="G34" s="2">
        <v>2400</v>
      </c>
      <c r="H34" s="5">
        <f>ROUND((G34*D34),2)</f>
        <v>53424</v>
      </c>
    </row>
    <row r="35" spans="1:8" x14ac:dyDescent="0.3">
      <c r="A35" s="2" t="s">
        <v>314</v>
      </c>
      <c r="B35" s="2" t="s">
        <v>7</v>
      </c>
      <c r="C35" s="2" t="s">
        <v>313</v>
      </c>
      <c r="D35" s="5">
        <v>1113.3900000000001</v>
      </c>
      <c r="E35" s="2">
        <v>5</v>
      </c>
      <c r="F35" s="5">
        <f>E35*D35</f>
        <v>5566.9500000000007</v>
      </c>
      <c r="G35" s="2">
        <v>120</v>
      </c>
      <c r="H35" s="5">
        <f>ROUND((G35*D35),2)</f>
        <v>133606.79999999999</v>
      </c>
    </row>
    <row r="36" spans="1:8" x14ac:dyDescent="0.3">
      <c r="A36" s="2" t="s">
        <v>315</v>
      </c>
      <c r="B36" s="2" t="s">
        <v>7</v>
      </c>
      <c r="C36" s="2" t="s">
        <v>316</v>
      </c>
      <c r="D36" s="5">
        <v>31780</v>
      </c>
      <c r="E36" s="2">
        <v>1</v>
      </c>
      <c r="F36" s="5">
        <f t="shared" ref="F36:F55" si="6">E36*D36</f>
        <v>31780</v>
      </c>
      <c r="G36" s="2">
        <v>24</v>
      </c>
      <c r="H36" s="5">
        <f t="shared" ref="H36:H55" si="7">ROUND((G36*D36),2)</f>
        <v>762720</v>
      </c>
    </row>
    <row r="37" spans="1:8" x14ac:dyDescent="0.3">
      <c r="A37" s="2" t="s">
        <v>317</v>
      </c>
      <c r="B37" s="2" t="s">
        <v>7</v>
      </c>
      <c r="C37" s="2" t="s">
        <v>316</v>
      </c>
      <c r="D37" s="5">
        <v>6810</v>
      </c>
      <c r="E37" s="2">
        <v>4</v>
      </c>
      <c r="F37" s="5">
        <f t="shared" si="6"/>
        <v>27240</v>
      </c>
      <c r="G37" s="2">
        <v>96</v>
      </c>
      <c r="H37" s="5">
        <f t="shared" si="7"/>
        <v>653760</v>
      </c>
    </row>
    <row r="38" spans="1:8" x14ac:dyDescent="0.3">
      <c r="A38" s="2" t="s">
        <v>318</v>
      </c>
      <c r="B38" s="2" t="s">
        <v>7</v>
      </c>
      <c r="C38" s="2" t="s">
        <v>316</v>
      </c>
      <c r="D38" s="5">
        <v>0</v>
      </c>
      <c r="E38" s="2">
        <v>0</v>
      </c>
      <c r="F38" s="5">
        <f t="shared" si="6"/>
        <v>0</v>
      </c>
      <c r="G38" s="2">
        <v>0</v>
      </c>
      <c r="H38" s="5">
        <f t="shared" si="7"/>
        <v>0</v>
      </c>
    </row>
    <row r="39" spans="1:8" x14ac:dyDescent="0.3">
      <c r="A39" s="2" t="s">
        <v>319</v>
      </c>
      <c r="B39" s="2" t="s">
        <v>7</v>
      </c>
      <c r="C39" s="2" t="s">
        <v>316</v>
      </c>
      <c r="D39" s="5">
        <v>0</v>
      </c>
      <c r="E39" s="2">
        <v>0</v>
      </c>
      <c r="F39" s="5">
        <f t="shared" si="6"/>
        <v>0</v>
      </c>
      <c r="G39" s="2">
        <v>0</v>
      </c>
      <c r="H39" s="5">
        <f t="shared" si="7"/>
        <v>0</v>
      </c>
    </row>
    <row r="40" spans="1:8" x14ac:dyDescent="0.3">
      <c r="A40" s="2" t="s">
        <v>320</v>
      </c>
      <c r="B40" s="2" t="s">
        <v>7</v>
      </c>
      <c r="C40" s="2" t="s">
        <v>316</v>
      </c>
      <c r="D40" s="5">
        <v>0</v>
      </c>
      <c r="E40" s="2">
        <v>0</v>
      </c>
      <c r="F40" s="5">
        <f t="shared" si="6"/>
        <v>0</v>
      </c>
      <c r="G40" s="2">
        <v>0</v>
      </c>
      <c r="H40" s="5">
        <f t="shared" si="7"/>
        <v>0</v>
      </c>
    </row>
    <row r="41" spans="1:8" x14ac:dyDescent="0.3">
      <c r="A41" s="2" t="s">
        <v>321</v>
      </c>
      <c r="B41" s="2" t="s">
        <v>7</v>
      </c>
      <c r="C41" s="2" t="s">
        <v>316</v>
      </c>
      <c r="D41" s="5">
        <v>21792</v>
      </c>
      <c r="E41" s="2">
        <v>1</v>
      </c>
      <c r="F41" s="5">
        <f t="shared" si="6"/>
        <v>21792</v>
      </c>
      <c r="G41" s="2">
        <v>24</v>
      </c>
      <c r="H41" s="5">
        <f t="shared" si="7"/>
        <v>523008</v>
      </c>
    </row>
    <row r="42" spans="1:8" x14ac:dyDescent="0.3">
      <c r="A42" s="2" t="s">
        <v>322</v>
      </c>
      <c r="B42" s="2" t="s">
        <v>7</v>
      </c>
      <c r="C42" s="2" t="s">
        <v>316</v>
      </c>
      <c r="D42" s="5">
        <v>0</v>
      </c>
      <c r="E42" s="2">
        <v>0</v>
      </c>
      <c r="F42" s="5">
        <f t="shared" si="6"/>
        <v>0</v>
      </c>
      <c r="G42" s="2">
        <v>0</v>
      </c>
      <c r="H42" s="5">
        <f t="shared" si="7"/>
        <v>0</v>
      </c>
    </row>
    <row r="43" spans="1:8" x14ac:dyDescent="0.3">
      <c r="A43" s="2" t="s">
        <v>323</v>
      </c>
      <c r="B43" s="2" t="s">
        <v>7</v>
      </c>
      <c r="C43" s="2" t="s">
        <v>316</v>
      </c>
      <c r="D43" s="5">
        <v>0</v>
      </c>
      <c r="E43" s="2">
        <v>0</v>
      </c>
      <c r="F43" s="5">
        <f t="shared" si="6"/>
        <v>0</v>
      </c>
      <c r="G43" s="2">
        <v>0</v>
      </c>
      <c r="H43" s="5">
        <f t="shared" si="7"/>
        <v>0</v>
      </c>
    </row>
    <row r="44" spans="1:8" x14ac:dyDescent="0.3">
      <c r="A44" s="2" t="s">
        <v>324</v>
      </c>
      <c r="B44" s="2" t="s">
        <v>7</v>
      </c>
      <c r="C44" s="2" t="s">
        <v>316</v>
      </c>
      <c r="D44" s="5">
        <v>29056</v>
      </c>
      <c r="E44" s="2">
        <v>1</v>
      </c>
      <c r="F44" s="5">
        <f t="shared" si="6"/>
        <v>29056</v>
      </c>
      <c r="G44" s="2">
        <v>24</v>
      </c>
      <c r="H44" s="5">
        <f t="shared" si="7"/>
        <v>697344</v>
      </c>
    </row>
    <row r="45" spans="1:8" x14ac:dyDescent="0.3">
      <c r="A45" s="2" t="s">
        <v>325</v>
      </c>
      <c r="B45" s="2" t="s">
        <v>7</v>
      </c>
      <c r="C45" s="2" t="s">
        <v>316</v>
      </c>
      <c r="D45" s="5">
        <v>0</v>
      </c>
      <c r="E45" s="2">
        <v>0</v>
      </c>
      <c r="F45" s="5">
        <f t="shared" si="6"/>
        <v>0</v>
      </c>
      <c r="G45" s="2">
        <v>0</v>
      </c>
      <c r="H45" s="5">
        <f t="shared" si="7"/>
        <v>0</v>
      </c>
    </row>
    <row r="46" spans="1:8" x14ac:dyDescent="0.3">
      <c r="A46" s="2" t="s">
        <v>326</v>
      </c>
      <c r="B46" s="2" t="s">
        <v>7</v>
      </c>
      <c r="C46" s="2" t="s">
        <v>316</v>
      </c>
      <c r="D46" s="5">
        <v>0</v>
      </c>
      <c r="E46" s="2">
        <v>0</v>
      </c>
      <c r="F46" s="5">
        <f t="shared" si="6"/>
        <v>0</v>
      </c>
      <c r="G46" s="2">
        <v>0</v>
      </c>
      <c r="H46" s="5">
        <f t="shared" si="7"/>
        <v>0</v>
      </c>
    </row>
    <row r="47" spans="1:8" x14ac:dyDescent="0.3">
      <c r="A47" s="2" t="s">
        <v>327</v>
      </c>
      <c r="B47" s="2" t="s">
        <v>7</v>
      </c>
      <c r="C47" s="2" t="s">
        <v>316</v>
      </c>
      <c r="D47" s="5">
        <v>0</v>
      </c>
      <c r="E47" s="2">
        <v>0</v>
      </c>
      <c r="F47" s="5">
        <f t="shared" si="6"/>
        <v>0</v>
      </c>
      <c r="G47" s="2">
        <v>0</v>
      </c>
      <c r="H47" s="5">
        <f t="shared" si="7"/>
        <v>0</v>
      </c>
    </row>
    <row r="48" spans="1:8" x14ac:dyDescent="0.3">
      <c r="A48" s="2" t="s">
        <v>328</v>
      </c>
      <c r="B48" s="2" t="s">
        <v>7</v>
      </c>
      <c r="C48" s="2" t="s">
        <v>316</v>
      </c>
      <c r="D48" s="5">
        <v>0</v>
      </c>
      <c r="E48" s="2">
        <v>0</v>
      </c>
      <c r="F48" s="5">
        <f t="shared" si="6"/>
        <v>0</v>
      </c>
      <c r="G48" s="2">
        <v>0</v>
      </c>
      <c r="H48" s="5">
        <f t="shared" si="7"/>
        <v>0</v>
      </c>
    </row>
    <row r="49" spans="1:8" x14ac:dyDescent="0.3">
      <c r="A49" s="2" t="s">
        <v>329</v>
      </c>
      <c r="B49" s="2" t="s">
        <v>7</v>
      </c>
      <c r="C49" s="2" t="s">
        <v>316</v>
      </c>
      <c r="D49" s="5">
        <v>0</v>
      </c>
      <c r="E49" s="2">
        <v>0</v>
      </c>
      <c r="F49" s="5">
        <f t="shared" si="6"/>
        <v>0</v>
      </c>
      <c r="G49" s="2">
        <v>0</v>
      </c>
      <c r="H49" s="5">
        <f t="shared" si="7"/>
        <v>0</v>
      </c>
    </row>
    <row r="50" spans="1:8" x14ac:dyDescent="0.3">
      <c r="A50" s="2" t="s">
        <v>330</v>
      </c>
      <c r="B50" s="2" t="s">
        <v>7</v>
      </c>
      <c r="C50" s="2" t="s">
        <v>316</v>
      </c>
      <c r="D50" s="5">
        <v>0</v>
      </c>
      <c r="E50" s="2">
        <v>0</v>
      </c>
      <c r="F50" s="5">
        <f t="shared" si="6"/>
        <v>0</v>
      </c>
      <c r="G50" s="2">
        <v>0</v>
      </c>
      <c r="H50" s="5">
        <f t="shared" si="7"/>
        <v>0</v>
      </c>
    </row>
    <row r="51" spans="1:8" x14ac:dyDescent="0.3">
      <c r="A51" s="2" t="s">
        <v>331</v>
      </c>
      <c r="B51" s="2" t="s">
        <v>7</v>
      </c>
      <c r="C51" s="2" t="s">
        <v>316</v>
      </c>
      <c r="D51" s="5">
        <v>0</v>
      </c>
      <c r="E51" s="2">
        <v>0</v>
      </c>
      <c r="F51" s="5">
        <f t="shared" si="6"/>
        <v>0</v>
      </c>
      <c r="G51" s="2">
        <v>0</v>
      </c>
      <c r="H51" s="5">
        <f t="shared" si="7"/>
        <v>0</v>
      </c>
    </row>
    <row r="52" spans="1:8" x14ac:dyDescent="0.3">
      <c r="A52" s="2" t="s">
        <v>332</v>
      </c>
      <c r="B52" s="2" t="s">
        <v>7</v>
      </c>
      <c r="C52" s="2" t="s">
        <v>316</v>
      </c>
      <c r="D52" s="5">
        <v>0</v>
      </c>
      <c r="E52" s="2">
        <v>0</v>
      </c>
      <c r="F52" s="5">
        <f t="shared" si="6"/>
        <v>0</v>
      </c>
      <c r="G52" s="2">
        <v>0</v>
      </c>
      <c r="H52" s="5">
        <f t="shared" si="7"/>
        <v>0</v>
      </c>
    </row>
    <row r="53" spans="1:8" x14ac:dyDescent="0.3">
      <c r="A53" s="2" t="s">
        <v>333</v>
      </c>
      <c r="B53" s="2" t="s">
        <v>7</v>
      </c>
      <c r="C53" s="2" t="s">
        <v>316</v>
      </c>
      <c r="D53" s="5">
        <v>0</v>
      </c>
      <c r="E53" s="2">
        <v>0</v>
      </c>
      <c r="F53" s="5">
        <f t="shared" si="6"/>
        <v>0</v>
      </c>
      <c r="G53" s="2">
        <v>0</v>
      </c>
      <c r="H53" s="5">
        <f t="shared" si="7"/>
        <v>0</v>
      </c>
    </row>
    <row r="54" spans="1:8" x14ac:dyDescent="0.3">
      <c r="A54" s="2" t="s">
        <v>334</v>
      </c>
      <c r="B54" s="2" t="s">
        <v>7</v>
      </c>
      <c r="C54" s="2" t="s">
        <v>316</v>
      </c>
      <c r="D54" s="5">
        <v>0</v>
      </c>
      <c r="E54" s="2">
        <v>0</v>
      </c>
      <c r="F54" s="5">
        <f t="shared" si="6"/>
        <v>0</v>
      </c>
      <c r="G54" s="2">
        <v>0</v>
      </c>
      <c r="H54" s="5">
        <f t="shared" si="7"/>
        <v>0</v>
      </c>
    </row>
    <row r="55" spans="1:8" x14ac:dyDescent="0.3">
      <c r="A55" s="2" t="s">
        <v>335</v>
      </c>
      <c r="B55" s="2" t="s">
        <v>7</v>
      </c>
      <c r="C55" s="2" t="s">
        <v>316</v>
      </c>
      <c r="D55" s="5">
        <v>0</v>
      </c>
      <c r="E55" s="2">
        <v>0</v>
      </c>
      <c r="F55" s="5">
        <f t="shared" si="6"/>
        <v>0</v>
      </c>
      <c r="G55" s="2">
        <v>0</v>
      </c>
      <c r="H55" s="5">
        <f t="shared" si="7"/>
        <v>0</v>
      </c>
    </row>
    <row r="56" spans="1:8" x14ac:dyDescent="0.3">
      <c r="A56" s="2" t="s">
        <v>336</v>
      </c>
      <c r="B56" s="2" t="s">
        <v>7</v>
      </c>
      <c r="C56" s="2" t="s">
        <v>302</v>
      </c>
      <c r="D56" s="5">
        <v>9669.66</v>
      </c>
      <c r="E56" s="2">
        <v>1</v>
      </c>
      <c r="F56" s="5">
        <f t="shared" ref="F56:F61" si="8">D56*E56</f>
        <v>9669.66</v>
      </c>
      <c r="G56" s="2">
        <v>24</v>
      </c>
      <c r="H56" s="5">
        <f>ROUND((G56*F56),2)</f>
        <v>232071.84</v>
      </c>
    </row>
    <row r="57" spans="1:8" x14ac:dyDescent="0.3">
      <c r="A57" s="2" t="s">
        <v>337</v>
      </c>
      <c r="B57" s="2" t="s">
        <v>7</v>
      </c>
      <c r="C57" s="2" t="s">
        <v>46</v>
      </c>
      <c r="D57" s="5">
        <v>13762.64</v>
      </c>
      <c r="E57" s="2">
        <v>4</v>
      </c>
      <c r="F57" s="5">
        <f t="shared" si="8"/>
        <v>55050.559999999998</v>
      </c>
      <c r="G57" s="2">
        <v>96</v>
      </c>
      <c r="H57" s="5">
        <f>ROUND((G57*D57),2)</f>
        <v>1321213.4399999999</v>
      </c>
    </row>
    <row r="58" spans="1:8" x14ac:dyDescent="0.3">
      <c r="A58" s="2" t="s">
        <v>338</v>
      </c>
      <c r="B58" s="2" t="s">
        <v>7</v>
      </c>
      <c r="C58" s="2" t="s">
        <v>46</v>
      </c>
      <c r="D58" s="5">
        <v>10755.38</v>
      </c>
      <c r="E58" s="2">
        <v>1</v>
      </c>
      <c r="F58" s="5">
        <f t="shared" si="8"/>
        <v>10755.38</v>
      </c>
      <c r="G58" s="2">
        <v>24</v>
      </c>
      <c r="H58" s="5">
        <f>ROUND((G58*D58),2)</f>
        <v>258129.12</v>
      </c>
    </row>
    <row r="59" spans="1:8" x14ac:dyDescent="0.3">
      <c r="A59" s="2" t="s">
        <v>339</v>
      </c>
      <c r="B59" s="2" t="s">
        <v>7</v>
      </c>
      <c r="C59" s="2" t="s">
        <v>46</v>
      </c>
      <c r="D59" s="5">
        <v>15554.22</v>
      </c>
      <c r="E59" s="2">
        <v>1</v>
      </c>
      <c r="F59" s="5">
        <f t="shared" si="8"/>
        <v>15554.22</v>
      </c>
      <c r="G59" s="2">
        <v>24</v>
      </c>
      <c r="H59" s="5">
        <f>ROUND((G59*D59),2)</f>
        <v>373301.28</v>
      </c>
    </row>
    <row r="60" spans="1:8" x14ac:dyDescent="0.3">
      <c r="A60" s="2" t="s">
        <v>340</v>
      </c>
      <c r="B60" s="2" t="s">
        <v>7</v>
      </c>
      <c r="C60" s="2" t="s">
        <v>46</v>
      </c>
      <c r="D60" s="5">
        <v>8088.2</v>
      </c>
      <c r="E60" s="2">
        <v>2</v>
      </c>
      <c r="F60" s="5">
        <f t="shared" si="8"/>
        <v>16176.4</v>
      </c>
      <c r="G60" s="2">
        <v>48</v>
      </c>
      <c r="H60" s="5">
        <f>ROUND((G60*D60),2)</f>
        <v>388233.6</v>
      </c>
    </row>
    <row r="61" spans="1:8" x14ac:dyDescent="0.3">
      <c r="A61" s="2" t="s">
        <v>341</v>
      </c>
      <c r="B61" s="2" t="s">
        <v>7</v>
      </c>
      <c r="C61" s="2" t="s">
        <v>342</v>
      </c>
      <c r="D61" s="5">
        <v>12.29</v>
      </c>
      <c r="E61" s="2">
        <v>9000</v>
      </c>
      <c r="F61" s="5">
        <f t="shared" si="8"/>
        <v>110609.99999999999</v>
      </c>
      <c r="G61" s="2">
        <v>216000</v>
      </c>
      <c r="H61" s="5">
        <f>ROUND((G61*D61),2)</f>
        <v>2654640</v>
      </c>
    </row>
    <row r="62" spans="1:8" x14ac:dyDescent="0.3">
      <c r="A62" s="2"/>
      <c r="B62" s="2" t="s">
        <v>7</v>
      </c>
      <c r="C62" s="2" t="s">
        <v>343</v>
      </c>
      <c r="D62" s="5">
        <v>1.61</v>
      </c>
      <c r="E62" s="2">
        <v>160000</v>
      </c>
      <c r="F62" s="5">
        <f>E62*D62</f>
        <v>257600.00000000003</v>
      </c>
      <c r="G62" s="2">
        <f>E62*24</f>
        <v>3840000</v>
      </c>
      <c r="H62" s="5">
        <f>ROUND(D62*G62,2)</f>
        <v>6182400</v>
      </c>
    </row>
    <row r="63" spans="1:8" x14ac:dyDescent="0.3">
      <c r="A63" s="2"/>
      <c r="B63" s="2" t="s">
        <v>7</v>
      </c>
      <c r="C63" s="2" t="s">
        <v>344</v>
      </c>
      <c r="D63" s="5">
        <v>1177.68</v>
      </c>
      <c r="E63" s="2">
        <v>25</v>
      </c>
      <c r="F63" s="5">
        <f>D63*E63</f>
        <v>29442</v>
      </c>
      <c r="G63" s="2">
        <f>E63*12</f>
        <v>300</v>
      </c>
      <c r="H63" s="5">
        <f>ROUND(D63*G63,2)</f>
        <v>353304</v>
      </c>
    </row>
    <row r="64" spans="1:8" x14ac:dyDescent="0.3">
      <c r="A64" s="2" t="s">
        <v>345</v>
      </c>
      <c r="B64" s="2" t="s">
        <v>7</v>
      </c>
      <c r="C64" s="2" t="s">
        <v>11</v>
      </c>
      <c r="D64" s="5">
        <v>4537.28</v>
      </c>
      <c r="E64" s="2">
        <v>0</v>
      </c>
      <c r="F64" s="5">
        <f t="shared" ref="F64:F77" si="9">D64*E64</f>
        <v>0</v>
      </c>
      <c r="G64" s="2">
        <v>0</v>
      </c>
      <c r="H64" s="5">
        <f t="shared" ref="H64:H77" si="10">ROUND(D64*G64,2)</f>
        <v>0</v>
      </c>
    </row>
    <row r="65" spans="1:8" x14ac:dyDescent="0.3">
      <c r="A65" s="2" t="s">
        <v>346</v>
      </c>
      <c r="B65" s="2" t="s">
        <v>7</v>
      </c>
      <c r="C65" s="2" t="s">
        <v>347</v>
      </c>
      <c r="D65" s="5">
        <v>0.22</v>
      </c>
      <c r="E65" s="2">
        <v>0</v>
      </c>
      <c r="F65" s="5">
        <f t="shared" si="9"/>
        <v>0</v>
      </c>
      <c r="G65" s="2">
        <v>0</v>
      </c>
      <c r="H65" s="5">
        <f t="shared" si="10"/>
        <v>0</v>
      </c>
    </row>
    <row r="66" spans="1:8" x14ac:dyDescent="0.3">
      <c r="A66" s="2" t="s">
        <v>348</v>
      </c>
      <c r="B66" s="2" t="s">
        <v>7</v>
      </c>
      <c r="C66" s="2" t="s">
        <v>11</v>
      </c>
      <c r="D66" s="5">
        <v>9080</v>
      </c>
      <c r="E66" s="2">
        <v>0</v>
      </c>
      <c r="F66" s="5">
        <f t="shared" si="9"/>
        <v>0</v>
      </c>
      <c r="G66" s="2">
        <v>0</v>
      </c>
      <c r="H66" s="5">
        <f t="shared" si="10"/>
        <v>0</v>
      </c>
    </row>
    <row r="67" spans="1:8" x14ac:dyDescent="0.3">
      <c r="A67" s="2" t="s">
        <v>349</v>
      </c>
      <c r="B67" s="2" t="s">
        <v>7</v>
      </c>
      <c r="C67" s="2" t="s">
        <v>347</v>
      </c>
      <c r="D67" s="5">
        <v>0.45</v>
      </c>
      <c r="E67" s="2">
        <v>0</v>
      </c>
      <c r="F67" s="5">
        <f t="shared" si="9"/>
        <v>0</v>
      </c>
      <c r="G67" s="2">
        <v>0</v>
      </c>
      <c r="H67" s="5">
        <f t="shared" si="10"/>
        <v>0</v>
      </c>
    </row>
    <row r="68" spans="1:8" x14ac:dyDescent="0.3">
      <c r="A68" s="2" t="s">
        <v>350</v>
      </c>
      <c r="B68" s="2" t="s">
        <v>7</v>
      </c>
      <c r="C68" s="2" t="s">
        <v>347</v>
      </c>
      <c r="D68" s="5">
        <v>0.41</v>
      </c>
      <c r="E68" s="2">
        <v>225000</v>
      </c>
      <c r="F68" s="5">
        <f t="shared" si="9"/>
        <v>92250</v>
      </c>
      <c r="G68" s="2">
        <f>12*E68</f>
        <v>2700000</v>
      </c>
      <c r="H68" s="5">
        <f t="shared" si="10"/>
        <v>1107000</v>
      </c>
    </row>
    <row r="69" spans="1:8" x14ac:dyDescent="0.3">
      <c r="A69" s="2" t="s">
        <v>351</v>
      </c>
      <c r="B69" s="2" t="s">
        <v>7</v>
      </c>
      <c r="C69" s="2" t="s">
        <v>347</v>
      </c>
      <c r="D69" s="5">
        <v>0.36</v>
      </c>
      <c r="E69" s="2">
        <v>0</v>
      </c>
      <c r="F69" s="5">
        <f t="shared" si="9"/>
        <v>0</v>
      </c>
      <c r="G69" s="2">
        <v>0</v>
      </c>
      <c r="H69" s="5">
        <f t="shared" si="10"/>
        <v>0</v>
      </c>
    </row>
    <row r="70" spans="1:8" x14ac:dyDescent="0.3">
      <c r="A70" s="2" t="s">
        <v>352</v>
      </c>
      <c r="B70" s="2" t="s">
        <v>7</v>
      </c>
      <c r="C70" s="2" t="s">
        <v>347</v>
      </c>
      <c r="D70" s="5">
        <v>0.3</v>
      </c>
      <c r="E70" s="2">
        <v>0</v>
      </c>
      <c r="F70" s="5">
        <f t="shared" si="9"/>
        <v>0</v>
      </c>
      <c r="G70" s="2">
        <v>0</v>
      </c>
      <c r="H70" s="5">
        <f t="shared" si="10"/>
        <v>0</v>
      </c>
    </row>
    <row r="71" spans="1:8" x14ac:dyDescent="0.3">
      <c r="A71" s="2" t="s">
        <v>353</v>
      </c>
      <c r="B71" s="2" t="s">
        <v>7</v>
      </c>
      <c r="C71" s="2" t="s">
        <v>11</v>
      </c>
      <c r="D71" s="5">
        <v>22700</v>
      </c>
      <c r="E71" s="2">
        <v>0</v>
      </c>
      <c r="F71" s="5">
        <f t="shared" si="9"/>
        <v>0</v>
      </c>
      <c r="G71" s="2">
        <v>0</v>
      </c>
      <c r="H71" s="5">
        <f t="shared" si="10"/>
        <v>0</v>
      </c>
    </row>
    <row r="72" spans="1:8" x14ac:dyDescent="0.3">
      <c r="A72" s="2" t="s">
        <v>354</v>
      </c>
      <c r="B72" s="2" t="s">
        <v>7</v>
      </c>
      <c r="C72" s="2" t="s">
        <v>347</v>
      </c>
      <c r="D72" s="5">
        <v>0.63</v>
      </c>
      <c r="E72" s="2">
        <v>0</v>
      </c>
      <c r="F72" s="5">
        <f t="shared" si="9"/>
        <v>0</v>
      </c>
      <c r="G72" s="2">
        <v>0</v>
      </c>
      <c r="H72" s="5">
        <f t="shared" si="10"/>
        <v>0</v>
      </c>
    </row>
    <row r="73" spans="1:8" x14ac:dyDescent="0.3">
      <c r="A73" s="2" t="s">
        <v>355</v>
      </c>
      <c r="B73" s="2" t="s">
        <v>7</v>
      </c>
      <c r="C73" s="2" t="s">
        <v>347</v>
      </c>
      <c r="D73" s="5">
        <v>0.54</v>
      </c>
      <c r="E73" s="2">
        <v>0</v>
      </c>
      <c r="F73" s="5">
        <f t="shared" si="9"/>
        <v>0</v>
      </c>
      <c r="G73" s="2">
        <v>0</v>
      </c>
      <c r="H73" s="5">
        <f t="shared" si="10"/>
        <v>0</v>
      </c>
    </row>
    <row r="74" spans="1:8" x14ac:dyDescent="0.3">
      <c r="A74" s="2" t="s">
        <v>356</v>
      </c>
      <c r="B74" s="2" t="s">
        <v>7</v>
      </c>
      <c r="C74" s="2" t="s">
        <v>347</v>
      </c>
      <c r="D74" s="5">
        <v>0.45</v>
      </c>
      <c r="E74" s="2">
        <v>0</v>
      </c>
      <c r="F74" s="5">
        <f t="shared" si="9"/>
        <v>0</v>
      </c>
      <c r="G74" s="2">
        <v>0</v>
      </c>
      <c r="H74" s="5">
        <f t="shared" si="10"/>
        <v>0</v>
      </c>
    </row>
    <row r="75" spans="1:8" x14ac:dyDescent="0.3">
      <c r="A75" s="2" t="s">
        <v>357</v>
      </c>
      <c r="B75" s="2" t="s">
        <v>7</v>
      </c>
      <c r="C75" s="2" t="s">
        <v>347</v>
      </c>
      <c r="D75" s="5">
        <v>0.36</v>
      </c>
      <c r="E75" s="2">
        <v>0</v>
      </c>
      <c r="F75" s="5">
        <f t="shared" si="9"/>
        <v>0</v>
      </c>
      <c r="G75" s="2">
        <v>0</v>
      </c>
      <c r="H75" s="5">
        <f t="shared" si="10"/>
        <v>0</v>
      </c>
    </row>
    <row r="76" spans="1:8" x14ac:dyDescent="0.3">
      <c r="A76" s="2" t="s">
        <v>358</v>
      </c>
      <c r="B76" s="2" t="s">
        <v>7</v>
      </c>
      <c r="C76" s="2" t="s">
        <v>347</v>
      </c>
      <c r="D76" s="5">
        <v>0.28999999999999998</v>
      </c>
      <c r="E76" s="2">
        <v>0</v>
      </c>
      <c r="F76" s="5">
        <f t="shared" si="9"/>
        <v>0</v>
      </c>
      <c r="G76" s="2">
        <v>0</v>
      </c>
      <c r="H76" s="5">
        <f t="shared" si="10"/>
        <v>0</v>
      </c>
    </row>
    <row r="77" spans="1:8" x14ac:dyDescent="0.3">
      <c r="A77" s="2" t="s">
        <v>359</v>
      </c>
      <c r="B77" s="2" t="s">
        <v>7</v>
      </c>
      <c r="C77" s="2" t="s">
        <v>347</v>
      </c>
      <c r="D77" s="5">
        <v>0.24</v>
      </c>
      <c r="E77" s="2">
        <v>0</v>
      </c>
      <c r="F77" s="5">
        <f t="shared" si="9"/>
        <v>0</v>
      </c>
      <c r="G77" s="2">
        <v>0</v>
      </c>
      <c r="H77" s="5">
        <f t="shared" si="10"/>
        <v>0</v>
      </c>
    </row>
    <row r="78" spans="1:8" x14ac:dyDescent="0.3">
      <c r="A78" s="2" t="s">
        <v>360</v>
      </c>
      <c r="B78" s="2" t="s">
        <v>7</v>
      </c>
      <c r="C78" s="2" t="s">
        <v>361</v>
      </c>
      <c r="D78" s="5">
        <v>3.08</v>
      </c>
      <c r="E78" s="2">
        <v>5000</v>
      </c>
      <c r="F78" s="5">
        <f>D78*E78</f>
        <v>15400</v>
      </c>
      <c r="G78" s="2">
        <v>120000</v>
      </c>
      <c r="H78" s="5">
        <f>ROUND(D78*G78,2)</f>
        <v>369600</v>
      </c>
    </row>
    <row r="79" spans="1:8" x14ac:dyDescent="0.3">
      <c r="A79" s="2" t="s">
        <v>362</v>
      </c>
      <c r="B79" s="2" t="s">
        <v>7</v>
      </c>
      <c r="C79" s="2" t="s">
        <v>363</v>
      </c>
      <c r="D79" s="5">
        <v>2.2599999999999998</v>
      </c>
      <c r="E79" s="2">
        <v>5000</v>
      </c>
      <c r="F79" s="5">
        <f>D79*E79</f>
        <v>11299.999999999998</v>
      </c>
      <c r="G79" s="2">
        <v>120000</v>
      </c>
      <c r="H79" s="5">
        <f>ROUND(D79*G79,2)</f>
        <v>271200</v>
      </c>
    </row>
    <row r="80" spans="1:8" x14ac:dyDescent="0.3">
      <c r="A80" s="2" t="s">
        <v>364</v>
      </c>
      <c r="B80" s="2" t="s">
        <v>7</v>
      </c>
      <c r="C80" s="2" t="s">
        <v>365</v>
      </c>
      <c r="D80" s="5">
        <v>23.17</v>
      </c>
      <c r="E80" s="2">
        <v>350</v>
      </c>
      <c r="F80" s="5">
        <f>D80*E80</f>
        <v>8109.5000000000009</v>
      </c>
      <c r="G80" s="2">
        <v>8400</v>
      </c>
      <c r="H80" s="5">
        <f>ROUND(D80*G80,2)</f>
        <v>194628</v>
      </c>
    </row>
    <row r="81" spans="1:8" x14ac:dyDescent="0.3">
      <c r="A81" s="2" t="s">
        <v>366</v>
      </c>
      <c r="B81" s="2" t="s">
        <v>7</v>
      </c>
      <c r="C81" s="2" t="s">
        <v>367</v>
      </c>
      <c r="D81" s="5">
        <v>0</v>
      </c>
      <c r="E81" s="2">
        <v>0</v>
      </c>
      <c r="F81" s="5">
        <f>ROUND(E81*D81,2)</f>
        <v>0</v>
      </c>
      <c r="G81" s="2">
        <v>0</v>
      </c>
      <c r="H81" s="5">
        <f t="shared" ref="H81:H87" si="11">ROUND(D81*G81,2)</f>
        <v>0</v>
      </c>
    </row>
    <row r="82" spans="1:8" x14ac:dyDescent="0.3">
      <c r="A82" s="2" t="s">
        <v>368</v>
      </c>
      <c r="B82" s="2" t="s">
        <v>7</v>
      </c>
      <c r="C82" s="2" t="s">
        <v>367</v>
      </c>
      <c r="D82" s="5">
        <v>0</v>
      </c>
      <c r="E82" s="2">
        <v>0</v>
      </c>
      <c r="F82" s="5">
        <f>ROUND(E82*D82,2)</f>
        <v>0</v>
      </c>
      <c r="G82" s="2">
        <v>0</v>
      </c>
      <c r="H82" s="5">
        <f t="shared" si="11"/>
        <v>0</v>
      </c>
    </row>
    <row r="83" spans="1:8" x14ac:dyDescent="0.3">
      <c r="A83" s="2" t="s">
        <v>369</v>
      </c>
      <c r="B83" s="2" t="s">
        <v>7</v>
      </c>
      <c r="C83" s="2" t="s">
        <v>367</v>
      </c>
      <c r="D83" s="5">
        <v>8.17</v>
      </c>
      <c r="E83" s="2">
        <f>7200/12</f>
        <v>600</v>
      </c>
      <c r="F83" s="5">
        <f>D83*E83</f>
        <v>4902</v>
      </c>
      <c r="G83" s="2">
        <v>14400</v>
      </c>
      <c r="H83" s="5">
        <f t="shared" si="11"/>
        <v>117648</v>
      </c>
    </row>
    <row r="84" spans="1:8" x14ac:dyDescent="0.3">
      <c r="A84" s="2" t="s">
        <v>370</v>
      </c>
      <c r="B84" s="2" t="s">
        <v>7</v>
      </c>
      <c r="C84" s="2" t="s">
        <v>367</v>
      </c>
      <c r="D84" s="5">
        <v>0</v>
      </c>
      <c r="E84" s="2">
        <v>0</v>
      </c>
      <c r="F84" s="5">
        <f>ROUND(E84*D84,2)</f>
        <v>0</v>
      </c>
      <c r="G84" s="2">
        <v>0</v>
      </c>
      <c r="H84" s="5">
        <f t="shared" si="11"/>
        <v>0</v>
      </c>
    </row>
    <row r="85" spans="1:8" x14ac:dyDescent="0.3">
      <c r="A85" s="2" t="s">
        <v>371</v>
      </c>
      <c r="B85" s="2" t="s">
        <v>7</v>
      </c>
      <c r="C85" s="2" t="s">
        <v>243</v>
      </c>
      <c r="D85" s="5">
        <v>2.17</v>
      </c>
      <c r="E85" s="2">
        <f>25200/12</f>
        <v>2100</v>
      </c>
      <c r="F85" s="5">
        <f>D85*E85</f>
        <v>4557</v>
      </c>
      <c r="G85" s="2">
        <v>50400</v>
      </c>
      <c r="H85" s="5">
        <f t="shared" si="11"/>
        <v>109368</v>
      </c>
    </row>
    <row r="86" spans="1:8" x14ac:dyDescent="0.3">
      <c r="A86" s="2" t="s">
        <v>372</v>
      </c>
      <c r="B86" s="2" t="s">
        <v>7</v>
      </c>
      <c r="C86" s="2" t="s">
        <v>243</v>
      </c>
      <c r="D86" s="5">
        <v>0</v>
      </c>
      <c r="E86" s="2">
        <v>0</v>
      </c>
      <c r="F86" s="5">
        <f>ROUND(E86*D86,2)</f>
        <v>0</v>
      </c>
      <c r="G86" s="2">
        <v>0</v>
      </c>
      <c r="H86" s="5">
        <f t="shared" si="11"/>
        <v>0</v>
      </c>
    </row>
    <row r="87" spans="1:8" x14ac:dyDescent="0.3">
      <c r="A87" s="2" t="s">
        <v>373</v>
      </c>
      <c r="B87" s="2" t="s">
        <v>7</v>
      </c>
      <c r="C87" s="2" t="s">
        <v>367</v>
      </c>
      <c r="D87" s="5">
        <v>0</v>
      </c>
      <c r="E87" s="2">
        <v>0</v>
      </c>
      <c r="F87" s="5">
        <f>ROUND(E87*D87,2)</f>
        <v>0</v>
      </c>
      <c r="G87" s="2">
        <v>0</v>
      </c>
      <c r="H87" s="5">
        <f t="shared" si="11"/>
        <v>0</v>
      </c>
    </row>
    <row r="88" spans="1:8" x14ac:dyDescent="0.3">
      <c r="A88" s="2" t="s">
        <v>374</v>
      </c>
      <c r="B88" s="2" t="s">
        <v>7</v>
      </c>
      <c r="C88" s="2" t="s">
        <v>375</v>
      </c>
      <c r="D88" s="5">
        <v>27002.22</v>
      </c>
      <c r="E88" s="2">
        <v>1</v>
      </c>
      <c r="F88" s="5">
        <f>ROUND(E88*D88,2)</f>
        <v>27002.22</v>
      </c>
      <c r="G88" s="2">
        <f>12*E88</f>
        <v>12</v>
      </c>
      <c r="H88" s="5">
        <f>ROUND(D88*G88,2)</f>
        <v>324026.64</v>
      </c>
    </row>
    <row r="89" spans="1:8" x14ac:dyDescent="0.3">
      <c r="A89" s="2" t="s">
        <v>376</v>
      </c>
      <c r="B89" s="2" t="s">
        <v>7</v>
      </c>
      <c r="C89" s="2" t="s">
        <v>282</v>
      </c>
      <c r="D89" s="5">
        <v>2297.12</v>
      </c>
      <c r="E89" s="2">
        <v>65</v>
      </c>
      <c r="F89" s="5">
        <f>ROUND(E89*D89,2)</f>
        <v>149312.79999999999</v>
      </c>
      <c r="G89" s="2">
        <f>12*E89</f>
        <v>780</v>
      </c>
      <c r="H89" s="5">
        <f>ROUND(D89*G89,2)</f>
        <v>1791753.6</v>
      </c>
    </row>
    <row r="90" spans="1:8" x14ac:dyDescent="0.3">
      <c r="A90" s="2" t="s">
        <v>377</v>
      </c>
      <c r="B90" s="2" t="s">
        <v>7</v>
      </c>
      <c r="C90" s="2" t="s">
        <v>277</v>
      </c>
      <c r="D90" s="5">
        <v>1</v>
      </c>
      <c r="E90" s="2">
        <v>28428</v>
      </c>
      <c r="F90" s="5">
        <f>D90*E90</f>
        <v>28428</v>
      </c>
      <c r="G90" s="2">
        <f>12*E90</f>
        <v>341136</v>
      </c>
      <c r="H90" s="5">
        <f>ROUND(D90*G90,2)</f>
        <v>341136</v>
      </c>
    </row>
    <row r="92" spans="1:8" x14ac:dyDescent="0.3">
      <c r="A92" s="6" t="s">
        <v>93</v>
      </c>
      <c r="B92" s="5">
        <f>AVERAGE(D2:D37,D41,D44,D56:D80,D83,D85,D88:D90)</f>
        <v>7116.28338235294</v>
      </c>
      <c r="D92" s="7"/>
    </row>
    <row r="93" spans="1:8" x14ac:dyDescent="0.3">
      <c r="A93" s="6" t="s">
        <v>94</v>
      </c>
      <c r="B93" s="5">
        <f>_xlfn.STDEV.S(D2:D37,D41,D44,D56:D80,D83,D85,D88:D90)</f>
        <v>23370.726727099311</v>
      </c>
    </row>
    <row r="94" spans="1:8" x14ac:dyDescent="0.3">
      <c r="A94" s="6" t="s">
        <v>95</v>
      </c>
      <c r="B94" s="8">
        <f>(B93/B92)</f>
        <v>3.2841197393929491</v>
      </c>
      <c r="C94" s="72" t="s">
        <v>96</v>
      </c>
      <c r="D94" s="73"/>
      <c r="E94" s="74"/>
    </row>
    <row r="95" spans="1:8" x14ac:dyDescent="0.3">
      <c r="A95" s="6" t="s">
        <v>97</v>
      </c>
      <c r="B95" s="5">
        <f>B92+B93</f>
        <v>30487.010109452251</v>
      </c>
    </row>
    <row r="96" spans="1:8" x14ac:dyDescent="0.3">
      <c r="A96" s="6" t="s">
        <v>98</v>
      </c>
      <c r="B96" s="5">
        <f>B93-B92</f>
        <v>16254.443344746371</v>
      </c>
    </row>
    <row r="97" spans="1:5" x14ac:dyDescent="0.3">
      <c r="A97" s="9"/>
      <c r="B97" s="10"/>
    </row>
    <row r="98" spans="1:5" x14ac:dyDescent="0.3">
      <c r="A98" s="6" t="s">
        <v>99</v>
      </c>
      <c r="B98" s="5">
        <f>AVERAGE(D11,D41,D44,D71,D88)</f>
        <v>23808.66</v>
      </c>
    </row>
    <row r="99" spans="1:5" x14ac:dyDescent="0.3">
      <c r="A99" s="6" t="s">
        <v>94</v>
      </c>
      <c r="B99" s="5">
        <f>_xlfn.STDEV.S(D11,D41,D44,D71,D88)</f>
        <v>4221.5174356148318</v>
      </c>
    </row>
    <row r="100" spans="1:5" x14ac:dyDescent="0.3">
      <c r="A100" s="6" t="s">
        <v>95</v>
      </c>
      <c r="B100" s="8">
        <f>(B99/B98)</f>
        <v>0.17731016510861308</v>
      </c>
      <c r="C100" s="78" t="s">
        <v>96</v>
      </c>
      <c r="D100" s="79"/>
      <c r="E100" s="80"/>
    </row>
    <row r="101" spans="1:5" x14ac:dyDescent="0.3">
      <c r="A101" s="6" t="s">
        <v>97</v>
      </c>
      <c r="B101" s="5" t="s">
        <v>29</v>
      </c>
    </row>
    <row r="102" spans="1:5" x14ac:dyDescent="0.3">
      <c r="A102" s="6" t="s">
        <v>98</v>
      </c>
      <c r="B102" s="5" t="s">
        <v>29</v>
      </c>
    </row>
    <row r="105" spans="1:5" x14ac:dyDescent="0.3">
      <c r="A105" s="3" t="s">
        <v>107</v>
      </c>
      <c r="B105" s="3" t="s">
        <v>103</v>
      </c>
    </row>
    <row r="106" spans="1:5" x14ac:dyDescent="0.3">
      <c r="A106" s="2" t="s">
        <v>12</v>
      </c>
      <c r="B106" s="5">
        <f>B98</f>
        <v>23808.66</v>
      </c>
    </row>
  </sheetData>
  <mergeCells count="2">
    <mergeCell ref="C94:E94"/>
    <mergeCell ref="C100:E100"/>
  </mergeCells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44FD9-DAB6-4A4A-8089-A7B6AD6C6B5B}">
  <dimension ref="A1:H40"/>
  <sheetViews>
    <sheetView topLeftCell="M11" workbookViewId="0">
      <selection activeCell="B40" sqref="B40"/>
    </sheetView>
  </sheetViews>
  <sheetFormatPr defaultRowHeight="14.4" x14ac:dyDescent="0.3"/>
  <cols>
    <col min="1" max="1" width="69.5546875" bestFit="1" customWidth="1"/>
    <col min="2" max="2" width="22.44140625" bestFit="1" customWidth="1"/>
    <col min="3" max="3" width="21.109375" bestFit="1" customWidth="1"/>
    <col min="4" max="4" width="17.44140625" bestFit="1" customWidth="1"/>
    <col min="5" max="5" width="15.44140625" bestFit="1" customWidth="1"/>
    <col min="6" max="6" width="16.88671875" bestFit="1" customWidth="1"/>
    <col min="7" max="7" width="23.88671875" bestFit="1" customWidth="1"/>
    <col min="8" max="8" width="16" bestFit="1" customWidth="1"/>
    <col min="9" max="9" width="16.33203125" bestFit="1" customWidth="1"/>
  </cols>
  <sheetData>
    <row r="1" spans="1:8" x14ac:dyDescent="0.3">
      <c r="A1" s="3" t="s">
        <v>107</v>
      </c>
      <c r="B1" s="3" t="s">
        <v>108</v>
      </c>
      <c r="C1" s="3" t="s">
        <v>109</v>
      </c>
      <c r="D1" s="3" t="s">
        <v>46</v>
      </c>
      <c r="E1" s="3" t="s">
        <v>110</v>
      </c>
      <c r="F1" s="3" t="s">
        <v>48</v>
      </c>
      <c r="G1" s="3" t="s">
        <v>111</v>
      </c>
      <c r="H1" s="3" t="s">
        <v>49</v>
      </c>
    </row>
    <row r="2" spans="1:8" x14ac:dyDescent="0.3">
      <c r="A2" s="2" t="s">
        <v>378</v>
      </c>
      <c r="B2" s="2" t="s">
        <v>7</v>
      </c>
      <c r="C2" s="2" t="s">
        <v>379</v>
      </c>
      <c r="D2" s="5">
        <v>966344.47</v>
      </c>
      <c r="E2" s="2">
        <v>1</v>
      </c>
      <c r="F2" s="5">
        <f>D2*E2</f>
        <v>966344.47</v>
      </c>
      <c r="G2" s="2">
        <v>24</v>
      </c>
      <c r="H2" s="5">
        <f>F2*G2</f>
        <v>23192267.280000001</v>
      </c>
    </row>
    <row r="3" spans="1:8" x14ac:dyDescent="0.3">
      <c r="A3" s="2" t="s">
        <v>380</v>
      </c>
      <c r="B3" s="2" t="s">
        <v>7</v>
      </c>
      <c r="C3" s="2" t="s">
        <v>381</v>
      </c>
      <c r="D3" s="5">
        <v>14.45</v>
      </c>
      <c r="E3" s="2">
        <v>16360</v>
      </c>
      <c r="F3" s="5">
        <f>D3*E3</f>
        <v>236402</v>
      </c>
      <c r="G3" s="2">
        <v>392640</v>
      </c>
      <c r="H3" s="5">
        <f>G3*D3</f>
        <v>5673648</v>
      </c>
    </row>
    <row r="4" spans="1:8" x14ac:dyDescent="0.3">
      <c r="A4" s="2" t="s">
        <v>382</v>
      </c>
      <c r="B4" s="2" t="s">
        <v>7</v>
      </c>
      <c r="C4" s="2" t="s">
        <v>383</v>
      </c>
      <c r="D4" s="5">
        <v>162.47999999999999</v>
      </c>
      <c r="E4" s="2">
        <v>12</v>
      </c>
      <c r="F4" s="5">
        <f>D4*E4</f>
        <v>1949.7599999999998</v>
      </c>
      <c r="G4" s="2">
        <f>24*E4</f>
        <v>288</v>
      </c>
      <c r="H4" s="5">
        <f>G4*D4</f>
        <v>46794.239999999998</v>
      </c>
    </row>
    <row r="5" spans="1:8" x14ac:dyDescent="0.3">
      <c r="A5" s="2" t="s">
        <v>384</v>
      </c>
      <c r="B5" s="2" t="s">
        <v>7</v>
      </c>
      <c r="C5" s="2" t="s">
        <v>113</v>
      </c>
      <c r="D5" s="5">
        <v>697.24</v>
      </c>
      <c r="E5" s="2">
        <v>1</v>
      </c>
      <c r="F5" s="5">
        <f t="shared" ref="F5:F10" si="0">D5*E5</f>
        <v>697.24</v>
      </c>
      <c r="G5" s="2">
        <f t="shared" ref="G5:G13" si="1">E5*24</f>
        <v>24</v>
      </c>
      <c r="H5" s="5">
        <f t="shared" ref="H5:H13" si="2">ROUND((G5*D5),2)</f>
        <v>16733.759999999998</v>
      </c>
    </row>
    <row r="6" spans="1:8" x14ac:dyDescent="0.3">
      <c r="A6" s="2" t="s">
        <v>385</v>
      </c>
      <c r="B6" s="2" t="s">
        <v>7</v>
      </c>
      <c r="C6" s="2" t="s">
        <v>11</v>
      </c>
      <c r="D6" s="5">
        <v>0.72</v>
      </c>
      <c r="E6" s="2">
        <v>9000</v>
      </c>
      <c r="F6" s="5">
        <f t="shared" si="0"/>
        <v>6480</v>
      </c>
      <c r="G6" s="2">
        <f t="shared" si="1"/>
        <v>216000</v>
      </c>
      <c r="H6" s="5">
        <f t="shared" si="2"/>
        <v>155520</v>
      </c>
    </row>
    <row r="7" spans="1:8" x14ac:dyDescent="0.3">
      <c r="A7" s="2" t="s">
        <v>386</v>
      </c>
      <c r="B7" s="2" t="s">
        <v>7</v>
      </c>
      <c r="C7" s="2" t="s">
        <v>11</v>
      </c>
      <c r="D7" s="5">
        <v>0.42</v>
      </c>
      <c r="E7" s="2">
        <v>31899.937999999998</v>
      </c>
      <c r="F7" s="5">
        <f t="shared" si="0"/>
        <v>13397.973959999999</v>
      </c>
      <c r="G7" s="2">
        <f t="shared" si="1"/>
        <v>765598.51199999999</v>
      </c>
      <c r="H7" s="5">
        <f t="shared" si="2"/>
        <v>321551.38</v>
      </c>
    </row>
    <row r="8" spans="1:8" x14ac:dyDescent="0.3">
      <c r="A8" s="2" t="s">
        <v>387</v>
      </c>
      <c r="B8" s="2" t="s">
        <v>7</v>
      </c>
      <c r="C8" s="2" t="s">
        <v>11</v>
      </c>
      <c r="D8" s="5">
        <v>0.27</v>
      </c>
      <c r="E8" s="2">
        <v>0</v>
      </c>
      <c r="F8" s="5">
        <f t="shared" si="0"/>
        <v>0</v>
      </c>
      <c r="G8" s="2">
        <f t="shared" si="1"/>
        <v>0</v>
      </c>
      <c r="H8" s="5">
        <f t="shared" si="2"/>
        <v>0</v>
      </c>
    </row>
    <row r="9" spans="1:8" x14ac:dyDescent="0.3">
      <c r="A9" s="2" t="s">
        <v>388</v>
      </c>
      <c r="B9" s="2" t="s">
        <v>7</v>
      </c>
      <c r="C9" s="2" t="s">
        <v>11</v>
      </c>
      <c r="D9" s="5">
        <v>0.21</v>
      </c>
      <c r="E9" s="2">
        <v>0</v>
      </c>
      <c r="F9" s="5">
        <f t="shared" si="0"/>
        <v>0</v>
      </c>
      <c r="G9" s="2">
        <f t="shared" si="1"/>
        <v>0</v>
      </c>
      <c r="H9" s="5">
        <f t="shared" si="2"/>
        <v>0</v>
      </c>
    </row>
    <row r="10" spans="1:8" x14ac:dyDescent="0.3">
      <c r="A10" s="2" t="s">
        <v>389</v>
      </c>
      <c r="B10" s="2" t="s">
        <v>7</v>
      </c>
      <c r="C10" s="2" t="s">
        <v>11</v>
      </c>
      <c r="D10" s="5">
        <v>0.14000000000000001</v>
      </c>
      <c r="E10" s="2">
        <v>0</v>
      </c>
      <c r="F10" s="5">
        <f t="shared" si="0"/>
        <v>0</v>
      </c>
      <c r="G10" s="2">
        <f t="shared" si="1"/>
        <v>0</v>
      </c>
      <c r="H10" s="5">
        <f t="shared" si="2"/>
        <v>0</v>
      </c>
    </row>
    <row r="11" spans="1:8" x14ac:dyDescent="0.3">
      <c r="A11" s="2" t="s">
        <v>390</v>
      </c>
      <c r="B11" s="2" t="s">
        <v>7</v>
      </c>
      <c r="C11" s="2" t="s">
        <v>11</v>
      </c>
      <c r="D11" s="5">
        <v>0.03</v>
      </c>
      <c r="E11" s="2">
        <v>0</v>
      </c>
      <c r="F11" s="5">
        <f>D11*E12</f>
        <v>0</v>
      </c>
      <c r="G11" s="2">
        <f t="shared" si="1"/>
        <v>0</v>
      </c>
      <c r="H11" s="5">
        <f t="shared" si="2"/>
        <v>0</v>
      </c>
    </row>
    <row r="12" spans="1:8" x14ac:dyDescent="0.3">
      <c r="A12" s="2" t="s">
        <v>391</v>
      </c>
      <c r="B12" s="2" t="s">
        <v>7</v>
      </c>
      <c r="C12" s="2" t="s">
        <v>11</v>
      </c>
      <c r="D12" s="5">
        <v>0.02</v>
      </c>
      <c r="E12" s="2">
        <v>0</v>
      </c>
      <c r="F12" s="5">
        <f t="shared" ref="F12:F21" si="3">D12*E12</f>
        <v>0</v>
      </c>
      <c r="G12" s="2">
        <f t="shared" si="1"/>
        <v>0</v>
      </c>
      <c r="H12" s="5">
        <f t="shared" si="2"/>
        <v>0</v>
      </c>
    </row>
    <row r="13" spans="1:8" x14ac:dyDescent="0.3">
      <c r="A13" s="2" t="s">
        <v>392</v>
      </c>
      <c r="B13" s="2" t="s">
        <v>7</v>
      </c>
      <c r="C13" s="2" t="s">
        <v>11</v>
      </c>
      <c r="D13" s="5">
        <v>0.01</v>
      </c>
      <c r="E13" s="2">
        <v>0</v>
      </c>
      <c r="F13" s="5">
        <f t="shared" si="3"/>
        <v>0</v>
      </c>
      <c r="G13" s="2">
        <f t="shared" si="1"/>
        <v>0</v>
      </c>
      <c r="H13" s="5">
        <f t="shared" si="2"/>
        <v>0</v>
      </c>
    </row>
    <row r="14" spans="1:8" x14ac:dyDescent="0.3">
      <c r="A14" s="2" t="s">
        <v>393</v>
      </c>
      <c r="B14" s="2" t="s">
        <v>7</v>
      </c>
      <c r="C14" s="2" t="s">
        <v>113</v>
      </c>
      <c r="D14" s="5">
        <v>27999.16</v>
      </c>
      <c r="E14" s="2">
        <v>1</v>
      </c>
      <c r="F14" s="5">
        <f t="shared" si="3"/>
        <v>27999.16</v>
      </c>
      <c r="G14" s="2">
        <f>24*E14</f>
        <v>24</v>
      </c>
      <c r="H14" s="5">
        <f>G14*D14</f>
        <v>671979.84</v>
      </c>
    </row>
    <row r="15" spans="1:8" x14ac:dyDescent="0.3">
      <c r="A15" s="2" t="s">
        <v>394</v>
      </c>
      <c r="B15" s="2" t="s">
        <v>7</v>
      </c>
      <c r="C15" s="2" t="s">
        <v>11</v>
      </c>
      <c r="D15" s="5">
        <v>2.94</v>
      </c>
      <c r="E15" s="2">
        <v>9733</v>
      </c>
      <c r="F15" s="5">
        <f t="shared" si="3"/>
        <v>28615.02</v>
      </c>
      <c r="G15" s="2">
        <f>24*E15</f>
        <v>233592</v>
      </c>
      <c r="H15" s="5">
        <f>G15*D15</f>
        <v>686760.48</v>
      </c>
    </row>
    <row r="16" spans="1:8" x14ac:dyDescent="0.3">
      <c r="A16" s="2" t="s">
        <v>395</v>
      </c>
      <c r="B16" s="2" t="s">
        <v>7</v>
      </c>
      <c r="C16" s="2" t="s">
        <v>11</v>
      </c>
      <c r="D16" s="5">
        <v>2.8</v>
      </c>
      <c r="E16" s="2">
        <v>0</v>
      </c>
      <c r="F16" s="5">
        <f t="shared" si="3"/>
        <v>0</v>
      </c>
      <c r="G16" s="2">
        <f>24*E16</f>
        <v>0</v>
      </c>
      <c r="H16" s="5">
        <f>ROUND((G16*D16),2)</f>
        <v>0</v>
      </c>
    </row>
    <row r="17" spans="1:8" x14ac:dyDescent="0.3">
      <c r="A17" s="2" t="s">
        <v>396</v>
      </c>
      <c r="B17" s="2" t="s">
        <v>7</v>
      </c>
      <c r="C17" s="2" t="s">
        <v>11</v>
      </c>
      <c r="D17" s="5">
        <v>2.66</v>
      </c>
      <c r="E17" s="2">
        <v>0</v>
      </c>
      <c r="F17" s="5">
        <f t="shared" si="3"/>
        <v>0</v>
      </c>
      <c r="G17" s="2">
        <f>24*E17</f>
        <v>0</v>
      </c>
      <c r="H17" s="5">
        <f>ROUND((G17*D17),2)</f>
        <v>0</v>
      </c>
    </row>
    <row r="18" spans="1:8" x14ac:dyDescent="0.3">
      <c r="A18" s="2" t="s">
        <v>397</v>
      </c>
      <c r="B18" s="2" t="s">
        <v>7</v>
      </c>
      <c r="C18" s="2" t="s">
        <v>11</v>
      </c>
      <c r="D18" s="5">
        <v>2.5299999999999998</v>
      </c>
      <c r="E18" s="2">
        <v>0</v>
      </c>
      <c r="F18" s="5">
        <f t="shared" si="3"/>
        <v>0</v>
      </c>
      <c r="G18" s="2">
        <f>24*E18</f>
        <v>0</v>
      </c>
      <c r="H18" s="5">
        <f>ROUND((G18*D18),2)</f>
        <v>0</v>
      </c>
    </row>
    <row r="19" spans="1:8" x14ac:dyDescent="0.3">
      <c r="A19" s="2" t="s">
        <v>398</v>
      </c>
      <c r="B19" s="2" t="s">
        <v>7</v>
      </c>
      <c r="C19" s="2" t="s">
        <v>113</v>
      </c>
      <c r="D19" s="5">
        <v>4997</v>
      </c>
      <c r="E19" s="2">
        <v>1</v>
      </c>
      <c r="F19" s="5">
        <f t="shared" si="3"/>
        <v>4997</v>
      </c>
      <c r="G19" s="2">
        <f t="shared" ref="G19:G27" si="4">12*E19</f>
        <v>12</v>
      </c>
      <c r="H19" s="5">
        <f>G19*D19</f>
        <v>59964</v>
      </c>
    </row>
    <row r="20" spans="1:8" x14ac:dyDescent="0.3">
      <c r="A20" s="2" t="s">
        <v>399</v>
      </c>
      <c r="B20" s="2" t="s">
        <v>7</v>
      </c>
      <c r="C20" s="2" t="s">
        <v>11</v>
      </c>
      <c r="D20" s="5">
        <v>0.73939999999999995</v>
      </c>
      <c r="E20" s="2">
        <v>0</v>
      </c>
      <c r="F20" s="5">
        <f t="shared" si="3"/>
        <v>0</v>
      </c>
      <c r="G20" s="2">
        <f t="shared" si="4"/>
        <v>0</v>
      </c>
      <c r="H20" s="5">
        <f>ROUND((G20*D20),2)</f>
        <v>0</v>
      </c>
    </row>
    <row r="21" spans="1:8" x14ac:dyDescent="0.3">
      <c r="A21" s="2" t="s">
        <v>400</v>
      </c>
      <c r="B21" s="2" t="s">
        <v>7</v>
      </c>
      <c r="C21" s="2" t="s">
        <v>11</v>
      </c>
      <c r="D21" s="5">
        <v>0.59930000000000005</v>
      </c>
      <c r="E21" s="2">
        <v>0</v>
      </c>
      <c r="F21" s="5">
        <f t="shared" si="3"/>
        <v>0</v>
      </c>
      <c r="G21" s="2">
        <f t="shared" si="4"/>
        <v>0</v>
      </c>
      <c r="H21" s="5">
        <f>ROUND((G21*D21),2)</f>
        <v>0</v>
      </c>
    </row>
    <row r="22" spans="1:8" x14ac:dyDescent="0.3">
      <c r="A22" s="2" t="s">
        <v>401</v>
      </c>
      <c r="B22" s="2" t="s">
        <v>7</v>
      </c>
      <c r="C22" s="2" t="s">
        <v>11</v>
      </c>
      <c r="D22" s="5">
        <v>0.49</v>
      </c>
      <c r="E22" s="2">
        <v>0</v>
      </c>
      <c r="F22" s="5">
        <f t="shared" ref="F22:F27" si="5">D22*E22</f>
        <v>0</v>
      </c>
      <c r="G22" s="2">
        <f t="shared" si="4"/>
        <v>0</v>
      </c>
      <c r="H22" s="5">
        <f>ROUND((G22*D22),2)</f>
        <v>0</v>
      </c>
    </row>
    <row r="23" spans="1:8" x14ac:dyDescent="0.3">
      <c r="A23" s="2" t="s">
        <v>402</v>
      </c>
      <c r="B23" s="2" t="s">
        <v>7</v>
      </c>
      <c r="C23" s="2" t="s">
        <v>11</v>
      </c>
      <c r="D23" s="5">
        <v>0.39979999999999999</v>
      </c>
      <c r="E23" s="2">
        <v>0</v>
      </c>
      <c r="F23" s="5">
        <f t="shared" si="5"/>
        <v>0</v>
      </c>
      <c r="G23" s="2">
        <f t="shared" si="4"/>
        <v>0</v>
      </c>
      <c r="H23" s="5">
        <f>ROUND((G23*D23),2)</f>
        <v>0</v>
      </c>
    </row>
    <row r="24" spans="1:8" x14ac:dyDescent="0.3">
      <c r="A24" s="2" t="s">
        <v>403</v>
      </c>
      <c r="B24" s="2" t="s">
        <v>7</v>
      </c>
      <c r="C24" s="2" t="s">
        <v>11</v>
      </c>
      <c r="D24" s="5">
        <v>0.255</v>
      </c>
      <c r="E24" s="2">
        <v>664200</v>
      </c>
      <c r="F24" s="5">
        <f t="shared" si="5"/>
        <v>169371</v>
      </c>
      <c r="G24" s="2">
        <f t="shared" si="4"/>
        <v>7970400</v>
      </c>
      <c r="H24" s="5">
        <f>G24*D24</f>
        <v>2032452</v>
      </c>
    </row>
    <row r="25" spans="1:8" x14ac:dyDescent="0.3">
      <c r="A25" s="2" t="s">
        <v>404</v>
      </c>
      <c r="B25" s="2" t="s">
        <v>7</v>
      </c>
      <c r="C25" s="2" t="s">
        <v>11</v>
      </c>
      <c r="D25" s="5">
        <v>0.2</v>
      </c>
      <c r="E25" s="2">
        <v>0</v>
      </c>
      <c r="F25" s="5">
        <f t="shared" si="5"/>
        <v>0</v>
      </c>
      <c r="G25" s="2">
        <f t="shared" si="4"/>
        <v>0</v>
      </c>
      <c r="H25" s="5">
        <f>ROUND((G25*D25),2)</f>
        <v>0</v>
      </c>
    </row>
    <row r="26" spans="1:8" x14ac:dyDescent="0.3">
      <c r="A26" s="2" t="s">
        <v>405</v>
      </c>
      <c r="B26" s="2" t="s">
        <v>7</v>
      </c>
      <c r="C26" s="2" t="s">
        <v>11</v>
      </c>
      <c r="D26" s="5">
        <v>0.34</v>
      </c>
      <c r="E26" s="2">
        <v>248200</v>
      </c>
      <c r="F26" s="5">
        <f t="shared" si="5"/>
        <v>84388</v>
      </c>
      <c r="G26" s="2">
        <f t="shared" si="4"/>
        <v>2978400</v>
      </c>
      <c r="H26" s="5">
        <f>(G26*D26)</f>
        <v>1012656.0000000001</v>
      </c>
    </row>
    <row r="27" spans="1:8" x14ac:dyDescent="0.3">
      <c r="A27" s="2" t="s">
        <v>406</v>
      </c>
      <c r="B27" s="2" t="s">
        <v>7</v>
      </c>
      <c r="C27" s="2" t="s">
        <v>11</v>
      </c>
      <c r="D27" s="5">
        <v>0.54</v>
      </c>
      <c r="E27" s="2">
        <v>0</v>
      </c>
      <c r="F27" s="5">
        <f t="shared" si="5"/>
        <v>0</v>
      </c>
      <c r="G27" s="2">
        <f t="shared" si="4"/>
        <v>0</v>
      </c>
      <c r="H27" s="5">
        <f>ROUND((G27*D27),2)</f>
        <v>0</v>
      </c>
    </row>
    <row r="30" spans="1:8" x14ac:dyDescent="0.3">
      <c r="A30" s="6" t="s">
        <v>93</v>
      </c>
      <c r="B30" s="5">
        <f>AVERAGE(D2:D27)</f>
        <v>38470.427442307693</v>
      </c>
      <c r="D30" s="7"/>
    </row>
    <row r="31" spans="1:8" x14ac:dyDescent="0.3">
      <c r="A31" s="6" t="s">
        <v>94</v>
      </c>
      <c r="B31" s="5">
        <f>STDEVA(D2:D27)</f>
        <v>189330.5841090263</v>
      </c>
    </row>
    <row r="32" spans="1:8" x14ac:dyDescent="0.3">
      <c r="A32" s="6" t="s">
        <v>95</v>
      </c>
      <c r="B32" s="8">
        <f>(B31/B30)</f>
        <v>4.9214577715040093</v>
      </c>
      <c r="C32" s="72" t="s">
        <v>407</v>
      </c>
      <c r="D32" s="73"/>
      <c r="E32" s="74"/>
    </row>
    <row r="33" spans="1:6" x14ac:dyDescent="0.3">
      <c r="A33" s="6" t="s">
        <v>97</v>
      </c>
      <c r="B33" s="5">
        <f>B30+B31</f>
        <v>227801.011551334</v>
      </c>
    </row>
    <row r="34" spans="1:6" x14ac:dyDescent="0.3">
      <c r="A34" s="6" t="s">
        <v>98</v>
      </c>
      <c r="B34" s="5">
        <f>B31-B30</f>
        <v>150860.1566667186</v>
      </c>
    </row>
    <row r="35" spans="1:6" x14ac:dyDescent="0.3">
      <c r="A35" s="9"/>
      <c r="B35" s="10"/>
    </row>
    <row r="38" spans="1:6" x14ac:dyDescent="0.3">
      <c r="A38" s="3" t="s">
        <v>107</v>
      </c>
      <c r="B38" s="3" t="s">
        <v>103</v>
      </c>
    </row>
    <row r="39" spans="1:6" x14ac:dyDescent="0.3">
      <c r="A39" s="2" t="s">
        <v>13</v>
      </c>
      <c r="B39" s="5">
        <f>SUM(H2:H27)/26</f>
        <v>1302704.883846154</v>
      </c>
    </row>
    <row r="40" spans="1:6" x14ac:dyDescent="0.3">
      <c r="A40" s="26" t="s">
        <v>408</v>
      </c>
      <c r="B40" s="26"/>
      <c r="C40" s="27"/>
      <c r="D40" s="27"/>
      <c r="E40" s="27"/>
      <c r="F40" s="27"/>
    </row>
  </sheetData>
  <mergeCells count="1">
    <mergeCell ref="C32:E32"/>
  </mergeCells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B346EDF15A0B4CA7A37EB233AB8BD5" ma:contentTypeVersion="6" ma:contentTypeDescription="Crie um novo documento." ma:contentTypeScope="" ma:versionID="198926e95f3e7b30c6404b5746dcc9e3">
  <xsd:schema xmlns:xsd="http://www.w3.org/2001/XMLSchema" xmlns:xs="http://www.w3.org/2001/XMLSchema" xmlns:p="http://schemas.microsoft.com/office/2006/metadata/properties" xmlns:ns2="c7a38813-e0ed-4f43-9d71-7be7ca3a4fb9" xmlns:ns3="40be423e-7b9d-4ba7-9ea3-ca3ab2127273" targetNamespace="http://schemas.microsoft.com/office/2006/metadata/properties" ma:root="true" ma:fieldsID="812560386042a29654e34570ae31fa1a" ns2:_="" ns3:_="">
    <xsd:import namespace="c7a38813-e0ed-4f43-9d71-7be7ca3a4fb9"/>
    <xsd:import namespace="40be423e-7b9d-4ba7-9ea3-ca3ab21272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a38813-e0ed-4f43-9d71-7be7ca3a4f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be423e-7b9d-4ba7-9ea3-ca3ab2127273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1B555B-5C0D-446F-B875-44B58B3FB5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a38813-e0ed-4f43-9d71-7be7ca3a4fb9"/>
    <ds:schemaRef ds:uri="40be423e-7b9d-4ba7-9ea3-ca3ab21272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3D7F43-91AC-4CB4-B77D-D792D05ECC7A}">
  <ds:schemaRefs>
    <ds:schemaRef ds:uri="http://schemas.microsoft.com/office/2006/documentManagement/types"/>
    <ds:schemaRef ds:uri="40be423e-7b9d-4ba7-9ea3-ca3ab2127273"/>
    <ds:schemaRef ds:uri="http://www.w3.org/XML/1998/namespace"/>
    <ds:schemaRef ds:uri="http://schemas.microsoft.com/office/infopath/2007/PartnerControls"/>
    <ds:schemaRef ds:uri="http://purl.org/dc/elements/1.1/"/>
    <ds:schemaRef ds:uri="http://purl.org/dc/dcmitype/"/>
    <ds:schemaRef ds:uri="http://schemas.openxmlformats.org/package/2006/metadata/core-properties"/>
    <ds:schemaRef ds:uri="c7a38813-e0ed-4f43-9d71-7be7ca3a4fb9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1DACDEC-465A-4560-8961-40AD942093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</vt:i4>
      </vt:variant>
    </vt:vector>
  </HeadingPairs>
  <TitlesOfParts>
    <vt:vector size="13" baseType="lpstr">
      <vt:lpstr>Planilha1</vt:lpstr>
      <vt:lpstr>Comparativo TCO</vt:lpstr>
      <vt:lpstr>Solução 3 - TCO</vt:lpstr>
      <vt:lpstr>Solução 4 - TCO</vt:lpstr>
      <vt:lpstr>Solução 3 - Cust. Solução</vt:lpstr>
      <vt:lpstr>Solução 4 - Cust. Solução</vt:lpstr>
      <vt:lpstr>Contrato 17-2021</vt:lpstr>
      <vt:lpstr>Produções CT 17-2021</vt:lpstr>
      <vt:lpstr>Contrato 65-2021</vt:lpstr>
      <vt:lpstr>Produções CT 65-2021</vt:lpstr>
      <vt:lpstr>Serv. Informações CT 65-2021</vt:lpstr>
      <vt:lpstr>Serv. Intraestrut CT 65-202</vt:lpstr>
      <vt:lpstr>Outros Serviços CT 65-202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CGCAQ</dc:creator>
  <cp:keywords/>
  <dc:description/>
  <cp:lastModifiedBy>Sarah Souza De Oliveira</cp:lastModifiedBy>
  <cp:revision/>
  <dcterms:created xsi:type="dcterms:W3CDTF">2015-06-05T18:19:34Z</dcterms:created>
  <dcterms:modified xsi:type="dcterms:W3CDTF">2024-05-17T12:47:14Z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0x010100D4B346EDF15A0B4CA7A37EB233AB8BD5</vt:lpwstr>
  </property>
</Properties>
</file>