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ervidor\REDE\LICITAÇÕES 2026\PROCESSOS LICITATÓRIOS\PROCESSO 030-CONCORRÊNCIA 005 REFORMA UNIDADE ESCOLAR CANTINHO DO CEU\PROJETOS\"/>
    </mc:Choice>
  </mc:AlternateContent>
  <xr:revisionPtr revIDLastSave="0" documentId="8_{0FE1EC6B-D96F-4755-8EB3-C21D1B510623}" xr6:coauthVersionLast="47" xr6:coauthVersionMax="47" xr10:uidLastSave="{00000000-0000-0000-0000-000000000000}"/>
  <bookViews>
    <workbookView xWindow="-120" yWindow="-120" windowWidth="29040" windowHeight="15840" tabRatio="500" activeTab="4" xr2:uid="{07E4400E-F396-418D-824B-3CAB12670752}"/>
  </bookViews>
  <sheets>
    <sheet name="PLANILHA" sheetId="1" r:id="rId1"/>
    <sheet name="COMPOSIÇÃO DE BDI" sheetId="2" r:id="rId2"/>
    <sheet name="CRONOGRAMA VÁLIDO" sheetId="3" r:id="rId3"/>
    <sheet name="CRONOGRAMA" sheetId="4" r:id="rId4"/>
    <sheet name="PLANILHA AJUSTES 20.02" sheetId="5" r:id="rId5"/>
  </sheets>
  <definedNames>
    <definedName name="_xlnm.Print_Area" localSheetId="1">'COMPOSIÇÃO DE BDI'!$A$1:$T$35</definedName>
    <definedName name="_xlnm.Print_Area" localSheetId="3">CRONOGRAMA!$A$1:$H$28</definedName>
    <definedName name="_xlnm.Print_Area" localSheetId="2">'CRONOGRAMA VÁLIDO'!$A$1:$K$42</definedName>
    <definedName name="_xlnm.Print_Area" localSheetId="0">PLANILHA!$A$1:$I$175</definedName>
    <definedName name="_xlnm.Print_Area" localSheetId="4">'PLANILHA AJUSTES 20.02'!$A$1:$I$175</definedName>
    <definedName name="Excel_BuiltIn_Print_Area" localSheetId="1">'COMPOSIÇÃO DE BDI'!$A$1:$T$35</definedName>
    <definedName name="Excel_BuiltIn_Print_Area" localSheetId="3">CRONOGRAMA!$A$1:$H$28</definedName>
    <definedName name="Excel_BuiltIn_Print_Area" localSheetId="2">'CRONOGRAMA VÁLIDO'!$A$1:$K$42</definedName>
    <definedName name="Excel_BuiltIn_Print_Area" localSheetId="0">PLANILHA!$A$1:$I$175</definedName>
    <definedName name="Excel_BuiltIn_Print_Area" localSheetId="4">'PLANILHA AJUSTES 20.02'!$A$1:$I$175</definedName>
    <definedName name="Excel_BuiltIn_Print_Titles" localSheetId="0">PLANILHA!$1:$8</definedName>
    <definedName name="Excel_BuiltIn_Print_Titles" localSheetId="4">'PLANILHA AJUSTES 20.02'!$1:$8</definedName>
    <definedName name="_xlnm.Print_Titles" localSheetId="0">PLANILHA!$1:$8</definedName>
    <definedName name="_xlnm.Print_Titles" localSheetId="4">'PLANILHA AJUSTES 20.02'!$1:$8</definedName>
  </definedNames>
  <calcPr calcId="181029" fullCalcOnLoad="1"/>
</workbook>
</file>

<file path=xl/calcChain.xml><?xml version="1.0" encoding="utf-8"?>
<calcChain xmlns="http://schemas.openxmlformats.org/spreadsheetml/2006/main">
  <c r="Q9" i="2" l="1"/>
  <c r="A5" i="4"/>
  <c r="A7" i="4"/>
  <c r="A8" i="4"/>
  <c r="A9" i="4"/>
  <c r="H12" i="4"/>
  <c r="K15" i="4"/>
  <c r="L15" i="4"/>
  <c r="M15" i="4"/>
  <c r="N15" i="4"/>
  <c r="C21" i="4"/>
  <c r="D22" i="4" s="1"/>
  <c r="D21" i="4"/>
  <c r="F22" i="4" s="1"/>
  <c r="E21" i="4"/>
  <c r="F21" i="4"/>
  <c r="A4" i="3"/>
  <c r="A5" i="3"/>
  <c r="A6" i="3"/>
  <c r="A7" i="3"/>
  <c r="A8" i="3"/>
  <c r="A9" i="3"/>
  <c r="A11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L2" i="1"/>
  <c r="H14" i="1"/>
  <c r="I14" i="1" s="1"/>
  <c r="I13" i="1" s="1"/>
  <c r="H16" i="1"/>
  <c r="I16" i="1"/>
  <c r="H17" i="1"/>
  <c r="I17" i="1" s="1"/>
  <c r="H18" i="1"/>
  <c r="I18" i="1" s="1"/>
  <c r="H19" i="1"/>
  <c r="I19" i="1" s="1"/>
  <c r="H20" i="1"/>
  <c r="I20" i="1" s="1"/>
  <c r="H21" i="1"/>
  <c r="I21" i="1"/>
  <c r="H22" i="1"/>
  <c r="I22" i="1"/>
  <c r="H23" i="1"/>
  <c r="I23" i="1"/>
  <c r="L24" i="1"/>
  <c r="H25" i="1"/>
  <c r="I25" i="1"/>
  <c r="K25" i="1"/>
  <c r="H26" i="1"/>
  <c r="I26" i="1" s="1"/>
  <c r="H27" i="1"/>
  <c r="I27" i="1"/>
  <c r="H28" i="1"/>
  <c r="I28" i="1" s="1"/>
  <c r="H29" i="1"/>
  <c r="I29" i="1" s="1"/>
  <c r="H30" i="1"/>
  <c r="I30" i="1" s="1"/>
  <c r="H32" i="1"/>
  <c r="I32" i="1"/>
  <c r="H33" i="1"/>
  <c r="I33" i="1" s="1"/>
  <c r="H34" i="1"/>
  <c r="I34" i="1" s="1"/>
  <c r="H35" i="1"/>
  <c r="I35" i="1"/>
  <c r="H36" i="1"/>
  <c r="I36" i="1"/>
  <c r="H37" i="1"/>
  <c r="I37" i="1"/>
  <c r="H38" i="1"/>
  <c r="I38" i="1"/>
  <c r="H39" i="1"/>
  <c r="I39" i="1" s="1"/>
  <c r="H40" i="1"/>
  <c r="I40" i="1" s="1"/>
  <c r="H41" i="1"/>
  <c r="I41" i="1"/>
  <c r="H42" i="1"/>
  <c r="I42" i="1"/>
  <c r="H43" i="1"/>
  <c r="I43" i="1"/>
  <c r="H45" i="1"/>
  <c r="I45" i="1" s="1"/>
  <c r="H46" i="1"/>
  <c r="I46" i="1"/>
  <c r="H47" i="1"/>
  <c r="I47" i="1" s="1"/>
  <c r="H48" i="1"/>
  <c r="I48" i="1" s="1"/>
  <c r="H49" i="1"/>
  <c r="I49" i="1" s="1"/>
  <c r="H50" i="1"/>
  <c r="I50" i="1"/>
  <c r="H51" i="1"/>
  <c r="I51" i="1" s="1"/>
  <c r="H52" i="1"/>
  <c r="I52" i="1"/>
  <c r="H53" i="1"/>
  <c r="I53" i="1" s="1"/>
  <c r="H54" i="1"/>
  <c r="I54" i="1" s="1"/>
  <c r="H55" i="1"/>
  <c r="I55" i="1" s="1"/>
  <c r="H57" i="1"/>
  <c r="I57" i="1"/>
  <c r="H58" i="1"/>
  <c r="I58" i="1" s="1"/>
  <c r="H59" i="1"/>
  <c r="I59" i="1" s="1"/>
  <c r="H60" i="1"/>
  <c r="I60" i="1"/>
  <c r="H61" i="1"/>
  <c r="I61" i="1"/>
  <c r="H62" i="1"/>
  <c r="I62" i="1"/>
  <c r="H63" i="1"/>
  <c r="I63" i="1"/>
  <c r="H65" i="1"/>
  <c r="I65" i="1"/>
  <c r="H66" i="1"/>
  <c r="I66" i="1" s="1"/>
  <c r="H67" i="1"/>
  <c r="I67" i="1" s="1"/>
  <c r="K67" i="1"/>
  <c r="H68" i="1"/>
  <c r="I68" i="1"/>
  <c r="H69" i="1"/>
  <c r="I69" i="1"/>
  <c r="H70" i="1"/>
  <c r="I70" i="1" s="1"/>
  <c r="H71" i="1"/>
  <c r="I71" i="1" s="1"/>
  <c r="H72" i="1"/>
  <c r="I72" i="1"/>
  <c r="H74" i="1"/>
  <c r="I74" i="1" s="1"/>
  <c r="I73" i="1" s="1"/>
  <c r="E21" i="3" s="1"/>
  <c r="H75" i="1"/>
  <c r="I75" i="1"/>
  <c r="H76" i="1"/>
  <c r="I76" i="1" s="1"/>
  <c r="H77" i="1"/>
  <c r="I77" i="1"/>
  <c r="H79" i="1"/>
  <c r="I79" i="1"/>
  <c r="I78" i="1" s="1"/>
  <c r="E22" i="3" s="1"/>
  <c r="H80" i="1"/>
  <c r="I80" i="1"/>
  <c r="H81" i="1"/>
  <c r="I81" i="1"/>
  <c r="H82" i="1"/>
  <c r="I82" i="1"/>
  <c r="H83" i="1"/>
  <c r="I83" i="1" s="1"/>
  <c r="H84" i="1"/>
  <c r="I84" i="1" s="1"/>
  <c r="H85" i="1"/>
  <c r="I85" i="1"/>
  <c r="H86" i="1"/>
  <c r="I86" i="1"/>
  <c r="H87" i="1"/>
  <c r="I87" i="1"/>
  <c r="H88" i="1"/>
  <c r="I88" i="1"/>
  <c r="H89" i="1"/>
  <c r="I89" i="1" s="1"/>
  <c r="H91" i="1"/>
  <c r="I91" i="1" s="1"/>
  <c r="H92" i="1"/>
  <c r="I92" i="1" s="1"/>
  <c r="H93" i="1"/>
  <c r="I93" i="1" s="1"/>
  <c r="H94" i="1"/>
  <c r="I94" i="1"/>
  <c r="H95" i="1"/>
  <c r="I95" i="1" s="1"/>
  <c r="H96" i="1"/>
  <c r="I96" i="1"/>
  <c r="H97" i="1"/>
  <c r="I97" i="1" s="1"/>
  <c r="H98" i="1"/>
  <c r="I98" i="1" s="1"/>
  <c r="H99" i="1"/>
  <c r="I99" i="1" s="1"/>
  <c r="H100" i="1"/>
  <c r="I100" i="1"/>
  <c r="H101" i="1"/>
  <c r="I101" i="1" s="1"/>
  <c r="H102" i="1"/>
  <c r="I102" i="1"/>
  <c r="H103" i="1"/>
  <c r="I103" i="1" s="1"/>
  <c r="H104" i="1"/>
  <c r="I104" i="1" s="1"/>
  <c r="H106" i="1"/>
  <c r="I106" i="1"/>
  <c r="H107" i="1"/>
  <c r="I107" i="1"/>
  <c r="H108" i="1"/>
  <c r="I108" i="1" s="1"/>
  <c r="H109" i="1"/>
  <c r="I109" i="1" s="1"/>
  <c r="H110" i="1"/>
  <c r="I110" i="1"/>
  <c r="H111" i="1"/>
  <c r="I111" i="1"/>
  <c r="H112" i="1"/>
  <c r="I112" i="1"/>
  <c r="H113" i="1"/>
  <c r="I113" i="1"/>
  <c r="H114" i="1"/>
  <c r="I114" i="1" s="1"/>
  <c r="H115" i="1"/>
  <c r="I115" i="1" s="1"/>
  <c r="H116" i="1"/>
  <c r="I116" i="1"/>
  <c r="H117" i="1"/>
  <c r="I117" i="1"/>
  <c r="H119" i="1"/>
  <c r="I119" i="1"/>
  <c r="H120" i="1"/>
  <c r="I120" i="1" s="1"/>
  <c r="H121" i="1"/>
  <c r="I121" i="1"/>
  <c r="H122" i="1"/>
  <c r="I122" i="1" s="1"/>
  <c r="H123" i="1"/>
  <c r="I123" i="1" s="1"/>
  <c r="H124" i="1"/>
  <c r="I124" i="1" s="1"/>
  <c r="H125" i="1"/>
  <c r="I125" i="1"/>
  <c r="H126" i="1"/>
  <c r="I126" i="1" s="1"/>
  <c r="H127" i="1"/>
  <c r="I127" i="1"/>
  <c r="H128" i="1"/>
  <c r="I128" i="1" s="1"/>
  <c r="H130" i="1"/>
  <c r="I130" i="1"/>
  <c r="H131" i="1"/>
  <c r="I131" i="1"/>
  <c r="H132" i="1"/>
  <c r="I132" i="1"/>
  <c r="H133" i="1"/>
  <c r="I133" i="1" s="1"/>
  <c r="H134" i="1"/>
  <c r="I134" i="1" s="1"/>
  <c r="L134" i="1" s="1"/>
  <c r="H135" i="1"/>
  <c r="I135" i="1" s="1"/>
  <c r="H136" i="1"/>
  <c r="I136" i="1"/>
  <c r="H137" i="1"/>
  <c r="I137" i="1"/>
  <c r="H138" i="1"/>
  <c r="I138" i="1"/>
  <c r="H139" i="1"/>
  <c r="I139" i="1" s="1"/>
  <c r="H141" i="1"/>
  <c r="I141" i="1"/>
  <c r="I140" i="1" s="1"/>
  <c r="E27" i="3" s="1"/>
  <c r="H142" i="1"/>
  <c r="I142" i="1"/>
  <c r="H143" i="1"/>
  <c r="I143" i="1"/>
  <c r="H144" i="1"/>
  <c r="I144" i="1" s="1"/>
  <c r="H145" i="1"/>
  <c r="I145" i="1" s="1"/>
  <c r="H146" i="1"/>
  <c r="I146" i="1"/>
  <c r="H147" i="1"/>
  <c r="I147" i="1"/>
  <c r="H149" i="1"/>
  <c r="I149" i="1"/>
  <c r="I148" i="1" s="1"/>
  <c r="E28" i="3" s="1"/>
  <c r="H150" i="1"/>
  <c r="I150" i="1" s="1"/>
  <c r="H151" i="1"/>
  <c r="I151" i="1"/>
  <c r="H152" i="1"/>
  <c r="I152" i="1" s="1"/>
  <c r="H153" i="1"/>
  <c r="I153" i="1" s="1"/>
  <c r="H154" i="1"/>
  <c r="I154" i="1" s="1"/>
  <c r="H155" i="1"/>
  <c r="I155" i="1"/>
  <c r="H156" i="1"/>
  <c r="I156" i="1" s="1"/>
  <c r="H158" i="1"/>
  <c r="I158" i="1" s="1"/>
  <c r="I157" i="1" s="1"/>
  <c r="E29" i="3" s="1"/>
  <c r="H159" i="1"/>
  <c r="I159" i="1"/>
  <c r="H160" i="1"/>
  <c r="I160" i="1"/>
  <c r="H162" i="1"/>
  <c r="I162" i="1"/>
  <c r="I161" i="1" s="1"/>
  <c r="E30" i="3" s="1"/>
  <c r="L162" i="1"/>
  <c r="L165" i="1" s="1"/>
  <c r="H163" i="1"/>
  <c r="I163" i="1" s="1"/>
  <c r="L163" i="1" s="1"/>
  <c r="H164" i="1"/>
  <c r="I164" i="1" s="1"/>
  <c r="L164" i="1" s="1"/>
  <c r="H165" i="1"/>
  <c r="I165" i="1"/>
  <c r="K165" i="1"/>
  <c r="L166" i="1"/>
  <c r="K170" i="1"/>
  <c r="L2" i="5"/>
  <c r="K12" i="5"/>
  <c r="M11" i="5" s="1"/>
  <c r="L12" i="5"/>
  <c r="I14" i="5"/>
  <c r="H16" i="5"/>
  <c r="I16" i="5"/>
  <c r="H17" i="5"/>
  <c r="I17" i="5" s="1"/>
  <c r="H18" i="5"/>
  <c r="I18" i="5"/>
  <c r="H19" i="5"/>
  <c r="I19" i="5"/>
  <c r="H20" i="5"/>
  <c r="I20" i="5"/>
  <c r="L18" i="5" s="1"/>
  <c r="H21" i="5"/>
  <c r="I21" i="5"/>
  <c r="L21" i="5"/>
  <c r="H22" i="5"/>
  <c r="I22" i="5"/>
  <c r="H23" i="5"/>
  <c r="I23" i="5"/>
  <c r="L24" i="5"/>
  <c r="H25" i="5"/>
  <c r="I25" i="5"/>
  <c r="K25" i="5" s="1"/>
  <c r="H26" i="5"/>
  <c r="I26" i="5"/>
  <c r="H27" i="5"/>
  <c r="I27" i="5" s="1"/>
  <c r="H28" i="5"/>
  <c r="I28" i="5"/>
  <c r="H29" i="5"/>
  <c r="I29" i="5"/>
  <c r="H30" i="5"/>
  <c r="I30" i="5" s="1"/>
  <c r="H32" i="5"/>
  <c r="I32" i="5" s="1"/>
  <c r="H33" i="5"/>
  <c r="I33" i="5"/>
  <c r="H34" i="5"/>
  <c r="I34" i="5" s="1"/>
  <c r="H35" i="5"/>
  <c r="I35" i="5"/>
  <c r="H36" i="5"/>
  <c r="I36" i="5"/>
  <c r="H37" i="5"/>
  <c r="I37" i="5" s="1"/>
  <c r="H38" i="5"/>
  <c r="I38" i="5" s="1"/>
  <c r="H39" i="5"/>
  <c r="I39" i="5"/>
  <c r="H40" i="5"/>
  <c r="I40" i="5" s="1"/>
  <c r="H41" i="5"/>
  <c r="I41" i="5"/>
  <c r="H42" i="5"/>
  <c r="I42" i="5"/>
  <c r="H43" i="5"/>
  <c r="I43" i="5" s="1"/>
  <c r="H45" i="5"/>
  <c r="I45" i="5" s="1"/>
  <c r="H46" i="5"/>
  <c r="I46" i="5"/>
  <c r="H47" i="5"/>
  <c r="I47" i="5" s="1"/>
  <c r="H48" i="5"/>
  <c r="I48" i="5"/>
  <c r="H49" i="5"/>
  <c r="I49" i="5"/>
  <c r="H50" i="5"/>
  <c r="I50" i="5" s="1"/>
  <c r="H51" i="5"/>
  <c r="I51" i="5" s="1"/>
  <c r="H52" i="5"/>
  <c r="I52" i="5"/>
  <c r="H53" i="5"/>
  <c r="I53" i="5" s="1"/>
  <c r="H54" i="5"/>
  <c r="I54" i="5"/>
  <c r="H55" i="5"/>
  <c r="I55" i="5"/>
  <c r="H57" i="5"/>
  <c r="I57" i="5" s="1"/>
  <c r="H58" i="5"/>
  <c r="I58" i="5" s="1"/>
  <c r="H59" i="5"/>
  <c r="I59" i="5"/>
  <c r="H60" i="5"/>
  <c r="I60" i="5" s="1"/>
  <c r="H61" i="5"/>
  <c r="I61" i="5"/>
  <c r="H62" i="5"/>
  <c r="I62" i="5"/>
  <c r="H63" i="5"/>
  <c r="I63" i="5" s="1"/>
  <c r="H65" i="5"/>
  <c r="I65" i="5" s="1"/>
  <c r="H66" i="5"/>
  <c r="I66" i="5"/>
  <c r="H67" i="5"/>
  <c r="I67" i="5" s="1"/>
  <c r="K67" i="5"/>
  <c r="H68" i="5"/>
  <c r="I68" i="5" s="1"/>
  <c r="H69" i="5"/>
  <c r="I69" i="5" s="1"/>
  <c r="H70" i="5"/>
  <c r="I70" i="5"/>
  <c r="H71" i="5"/>
  <c r="I71" i="5"/>
  <c r="H72" i="5"/>
  <c r="I72" i="5"/>
  <c r="H74" i="5"/>
  <c r="I74" i="5"/>
  <c r="H75" i="5"/>
  <c r="I75" i="5" s="1"/>
  <c r="H76" i="5"/>
  <c r="I76" i="5" s="1"/>
  <c r="H77" i="5"/>
  <c r="I77" i="5"/>
  <c r="H79" i="5"/>
  <c r="I79" i="5"/>
  <c r="H80" i="5"/>
  <c r="I80" i="5"/>
  <c r="H81" i="5"/>
  <c r="I81" i="5"/>
  <c r="H82" i="5"/>
  <c r="I82" i="5" s="1"/>
  <c r="H83" i="5"/>
  <c r="I83" i="5" s="1"/>
  <c r="H84" i="5"/>
  <c r="I84" i="5"/>
  <c r="H85" i="5"/>
  <c r="I85" i="5"/>
  <c r="H86" i="5"/>
  <c r="I86" i="5"/>
  <c r="H87" i="5"/>
  <c r="I87" i="5"/>
  <c r="H88" i="5"/>
  <c r="I88" i="5" s="1"/>
  <c r="H89" i="5"/>
  <c r="I89" i="5" s="1"/>
  <c r="H91" i="5"/>
  <c r="I91" i="5"/>
  <c r="H92" i="5"/>
  <c r="I92" i="5"/>
  <c r="H93" i="5"/>
  <c r="I93" i="5"/>
  <c r="H94" i="5"/>
  <c r="I94" i="5"/>
  <c r="H95" i="5"/>
  <c r="I95" i="5" s="1"/>
  <c r="H96" i="5"/>
  <c r="I96" i="5" s="1"/>
  <c r="H97" i="5"/>
  <c r="I97" i="5"/>
  <c r="H98" i="5"/>
  <c r="I98" i="5"/>
  <c r="H99" i="5"/>
  <c r="I99" i="5"/>
  <c r="H100" i="5"/>
  <c r="I100" i="5"/>
  <c r="H101" i="5"/>
  <c r="I101" i="5" s="1"/>
  <c r="H102" i="5"/>
  <c r="I102" i="5" s="1"/>
  <c r="H103" i="5"/>
  <c r="I103" i="5"/>
  <c r="H104" i="5"/>
  <c r="I104" i="5"/>
  <c r="H106" i="5"/>
  <c r="I106" i="5"/>
  <c r="H107" i="5"/>
  <c r="I107" i="5"/>
  <c r="H108" i="5"/>
  <c r="I108" i="5" s="1"/>
  <c r="H109" i="5"/>
  <c r="I109" i="5" s="1"/>
  <c r="H110" i="5"/>
  <c r="I110" i="5"/>
  <c r="H111" i="5"/>
  <c r="I111" i="5"/>
  <c r="H112" i="5"/>
  <c r="I112" i="5"/>
  <c r="H113" i="5"/>
  <c r="I113" i="5"/>
  <c r="H114" i="5"/>
  <c r="I114" i="5" s="1"/>
  <c r="H115" i="5"/>
  <c r="I115" i="5" s="1"/>
  <c r="H116" i="5"/>
  <c r="I116" i="5"/>
  <c r="H117" i="5"/>
  <c r="I117" i="5"/>
  <c r="H119" i="5"/>
  <c r="I119" i="5"/>
  <c r="H120" i="5"/>
  <c r="I120" i="5"/>
  <c r="H121" i="5"/>
  <c r="I121" i="5" s="1"/>
  <c r="H122" i="5"/>
  <c r="I122" i="5" s="1"/>
  <c r="H123" i="5"/>
  <c r="I123" i="5"/>
  <c r="H124" i="5"/>
  <c r="I124" i="5"/>
  <c r="H125" i="5"/>
  <c r="I125" i="5"/>
  <c r="H126" i="5"/>
  <c r="I126" i="5"/>
  <c r="H127" i="5"/>
  <c r="I127" i="5" s="1"/>
  <c r="H128" i="5"/>
  <c r="I128" i="5" s="1"/>
  <c r="H130" i="5"/>
  <c r="I130" i="5"/>
  <c r="H131" i="5"/>
  <c r="I131" i="5"/>
  <c r="H132" i="5"/>
  <c r="I132" i="5"/>
  <c r="H133" i="5"/>
  <c r="I133" i="5"/>
  <c r="H134" i="5"/>
  <c r="I134" i="5" s="1"/>
  <c r="L134" i="5" s="1"/>
  <c r="H135" i="5"/>
  <c r="I135" i="5" s="1"/>
  <c r="H136" i="5"/>
  <c r="I136" i="5"/>
  <c r="H137" i="5"/>
  <c r="I137" i="5"/>
  <c r="H138" i="5"/>
  <c r="I138" i="5"/>
  <c r="H139" i="5"/>
  <c r="I139" i="5"/>
  <c r="H141" i="5"/>
  <c r="I141" i="5" s="1"/>
  <c r="H142" i="5"/>
  <c r="I142" i="5" s="1"/>
  <c r="H143" i="5"/>
  <c r="I143" i="5"/>
  <c r="H144" i="5"/>
  <c r="I144" i="5" s="1"/>
  <c r="H145" i="5"/>
  <c r="I145" i="5"/>
  <c r="H146" i="5"/>
  <c r="I146" i="5"/>
  <c r="H147" i="5"/>
  <c r="I147" i="5" s="1"/>
  <c r="H149" i="5"/>
  <c r="I149" i="5" s="1"/>
  <c r="H150" i="5"/>
  <c r="I150" i="5"/>
  <c r="H151" i="5"/>
  <c r="I151" i="5" s="1"/>
  <c r="H152" i="5"/>
  <c r="I152" i="5"/>
  <c r="H153" i="5"/>
  <c r="I153" i="5"/>
  <c r="H154" i="5"/>
  <c r="I154" i="5" s="1"/>
  <c r="H155" i="5"/>
  <c r="I155" i="5" s="1"/>
  <c r="H156" i="5"/>
  <c r="I156" i="5"/>
  <c r="H158" i="5"/>
  <c r="I158" i="5" s="1"/>
  <c r="H159" i="5"/>
  <c r="I159" i="5"/>
  <c r="H160" i="5"/>
  <c r="I160" i="5"/>
  <c r="H162" i="5"/>
  <c r="I162" i="5" s="1"/>
  <c r="L162" i="5" s="1"/>
  <c r="H163" i="5"/>
  <c r="I163" i="5"/>
  <c r="L163" i="5"/>
  <c r="H164" i="5"/>
  <c r="I164" i="5" s="1"/>
  <c r="L164" i="5" s="1"/>
  <c r="H165" i="5"/>
  <c r="I165" i="5" s="1"/>
  <c r="K165" i="5"/>
  <c r="L166" i="5"/>
  <c r="K170" i="5"/>
  <c r="H29" i="3" l="1"/>
  <c r="J29" i="3"/>
  <c r="L29" i="3"/>
  <c r="N29" i="3"/>
  <c r="P29" i="3"/>
  <c r="R29" i="3"/>
  <c r="F29" i="3"/>
  <c r="I105" i="1"/>
  <c r="E24" i="3" s="1"/>
  <c r="L21" i="1"/>
  <c r="L18" i="1"/>
  <c r="L20" i="1"/>
  <c r="L14" i="1" s="1"/>
  <c r="L15" i="1" s="1"/>
  <c r="F22" i="3"/>
  <c r="H22" i="3"/>
  <c r="J22" i="3"/>
  <c r="L22" i="3"/>
  <c r="N22" i="3"/>
  <c r="P22" i="3"/>
  <c r="R22" i="3"/>
  <c r="I44" i="1"/>
  <c r="E18" i="3" s="1"/>
  <c r="I129" i="1"/>
  <c r="E26" i="3" s="1"/>
  <c r="I10" i="5"/>
  <c r="N22" i="5" s="1"/>
  <c r="I24" i="1"/>
  <c r="E16" i="3" s="1"/>
  <c r="I166" i="5"/>
  <c r="I118" i="1"/>
  <c r="E25" i="3" s="1"/>
  <c r="I15" i="1"/>
  <c r="E15" i="3" s="1"/>
  <c r="F28" i="3"/>
  <c r="H28" i="3"/>
  <c r="J28" i="3"/>
  <c r="L28" i="3"/>
  <c r="N28" i="3"/>
  <c r="P28" i="3"/>
  <c r="R28" i="3"/>
  <c r="L30" i="3"/>
  <c r="N30" i="3"/>
  <c r="P30" i="3"/>
  <c r="R30" i="3"/>
  <c r="F30" i="3"/>
  <c r="J30" i="3"/>
  <c r="H30" i="3"/>
  <c r="I31" i="1"/>
  <c r="E17" i="3" s="1"/>
  <c r="E14" i="3"/>
  <c r="L165" i="5"/>
  <c r="L135" i="5" s="1"/>
  <c r="L137" i="5" s="1"/>
  <c r="I90" i="1"/>
  <c r="E23" i="3" s="1"/>
  <c r="F21" i="3"/>
  <c r="H21" i="3"/>
  <c r="J21" i="3"/>
  <c r="L21" i="3"/>
  <c r="N21" i="3"/>
  <c r="P21" i="3"/>
  <c r="R21" i="3"/>
  <c r="I64" i="1"/>
  <c r="E20" i="3" s="1"/>
  <c r="I56" i="1"/>
  <c r="E19" i="3" s="1"/>
  <c r="F27" i="3"/>
  <c r="H27" i="3"/>
  <c r="J27" i="3"/>
  <c r="L27" i="3"/>
  <c r="N27" i="3"/>
  <c r="P27" i="3"/>
  <c r="R27" i="3"/>
  <c r="L20" i="5"/>
  <c r="L14" i="5" s="1"/>
  <c r="L15" i="5" s="1"/>
  <c r="E22" i="4"/>
  <c r="P19" i="3" l="1"/>
  <c r="R19" i="3"/>
  <c r="F19" i="3"/>
  <c r="H19" i="3"/>
  <c r="J19" i="3"/>
  <c r="N19" i="3"/>
  <c r="L19" i="3"/>
  <c r="L24" i="3"/>
  <c r="N24" i="3"/>
  <c r="P24" i="3"/>
  <c r="R24" i="3"/>
  <c r="H24" i="3"/>
  <c r="J24" i="3"/>
  <c r="F24" i="3"/>
  <c r="F20" i="3"/>
  <c r="H20" i="3"/>
  <c r="J20" i="3"/>
  <c r="R20" i="3"/>
  <c r="L20" i="3"/>
  <c r="N20" i="3"/>
  <c r="P20" i="3"/>
  <c r="P14" i="3"/>
  <c r="F14" i="3"/>
  <c r="H14" i="3"/>
  <c r="E32" i="3"/>
  <c r="J14" i="3"/>
  <c r="R14" i="3"/>
  <c r="L14" i="3"/>
  <c r="N14" i="3"/>
  <c r="L18" i="3"/>
  <c r="N18" i="3"/>
  <c r="P18" i="3"/>
  <c r="R18" i="3"/>
  <c r="H18" i="3"/>
  <c r="F18" i="3"/>
  <c r="J18" i="3"/>
  <c r="I10" i="1"/>
  <c r="H17" i="3"/>
  <c r="J17" i="3"/>
  <c r="L17" i="3"/>
  <c r="N17" i="3"/>
  <c r="P17" i="3"/>
  <c r="F17" i="3"/>
  <c r="R17" i="3"/>
  <c r="F15" i="3"/>
  <c r="H15" i="3"/>
  <c r="J15" i="3"/>
  <c r="L15" i="3"/>
  <c r="N15" i="3"/>
  <c r="P15" i="3"/>
  <c r="R15" i="3"/>
  <c r="F16" i="3"/>
  <c r="H16" i="3"/>
  <c r="J16" i="3"/>
  <c r="L16" i="3"/>
  <c r="N16" i="3"/>
  <c r="P16" i="3"/>
  <c r="R16" i="3"/>
  <c r="D16" i="3"/>
  <c r="D26" i="3"/>
  <c r="F26" i="3"/>
  <c r="H26" i="3"/>
  <c r="J26" i="3"/>
  <c r="P26" i="3"/>
  <c r="L26" i="3"/>
  <c r="N26" i="3"/>
  <c r="R26" i="3"/>
  <c r="P25" i="3"/>
  <c r="R25" i="3"/>
  <c r="D25" i="3"/>
  <c r="L25" i="3"/>
  <c r="F25" i="3"/>
  <c r="H25" i="3"/>
  <c r="J25" i="3"/>
  <c r="N25" i="3"/>
  <c r="I166" i="1"/>
  <c r="L135" i="1"/>
  <c r="L137" i="1" s="1"/>
  <c r="H23" i="3"/>
  <c r="J23" i="3"/>
  <c r="L23" i="3"/>
  <c r="N23" i="3"/>
  <c r="P23" i="3"/>
  <c r="F23" i="3"/>
  <c r="R23" i="3"/>
  <c r="D23" i="3"/>
  <c r="L32" i="3" l="1"/>
  <c r="R32" i="3"/>
  <c r="S32" i="3" s="1"/>
  <c r="N22" i="1"/>
  <c r="B12" i="4"/>
  <c r="J32" i="3"/>
  <c r="K32" i="3"/>
  <c r="M32" i="3"/>
  <c r="I32" i="3"/>
  <c r="E33" i="3"/>
  <c r="Q32" i="3"/>
  <c r="G32" i="3"/>
  <c r="D27" i="3"/>
  <c r="D21" i="3"/>
  <c r="D29" i="3"/>
  <c r="D28" i="3"/>
  <c r="D22" i="3"/>
  <c r="D20" i="3"/>
  <c r="H32" i="3"/>
  <c r="N32" i="3"/>
  <c r="O32" i="3" s="1"/>
  <c r="F32" i="3"/>
  <c r="F33" i="3" s="1"/>
  <c r="H33" i="3" s="1"/>
  <c r="J33" i="3" s="1"/>
  <c r="D24" i="3"/>
  <c r="D19" i="3"/>
  <c r="D17" i="3"/>
  <c r="D18" i="3"/>
  <c r="P32" i="3"/>
  <c r="D14" i="3"/>
  <c r="F16" i="4" l="1"/>
  <c r="F19" i="4" s="1"/>
  <c r="C13" i="4"/>
  <c r="C19" i="4" s="1"/>
  <c r="D14" i="4"/>
  <c r="D19" i="4" s="1"/>
  <c r="E15" i="4"/>
  <c r="E19" i="4" s="1"/>
  <c r="S33" i="3"/>
  <c r="I33" i="3"/>
  <c r="K33" i="3"/>
  <c r="M33" i="3"/>
  <c r="O33" i="3"/>
  <c r="Q33" i="3"/>
  <c r="G33" i="3"/>
  <c r="D30" i="3"/>
  <c r="D32" i="3" s="1"/>
  <c r="D15" i="3"/>
  <c r="J35" i="3"/>
  <c r="L33" i="3"/>
  <c r="N33" i="3" s="1"/>
  <c r="P33" i="3" s="1"/>
  <c r="R33" i="3" s="1"/>
  <c r="F20" i="4" l="1"/>
  <c r="D20" i="4"/>
  <c r="H19" i="4"/>
  <c r="J19" i="4"/>
  <c r="C20" i="4"/>
  <c r="E20" i="4"/>
  <c r="R35" i="3"/>
  <c r="V31" i="3"/>
</calcChain>
</file>

<file path=xl/sharedStrings.xml><?xml version="1.0" encoding="utf-8"?>
<sst xmlns="http://schemas.openxmlformats.org/spreadsheetml/2006/main" count="1576" uniqueCount="312">
  <si>
    <t>PREFEITURA MUNICIPAL DE SALINAS - MG</t>
  </si>
  <si>
    <t xml:space="preserve">PLANILHA ORÇAMENTÁRIA </t>
  </si>
  <si>
    <r>
      <rPr>
        <b/>
        <sz val="10"/>
        <rFont val="Arial"/>
        <family val="2"/>
      </rPr>
      <t xml:space="preserve">OBRA: </t>
    </r>
    <r>
      <rPr>
        <sz val="10"/>
        <rFont val="Arial"/>
        <family val="2"/>
      </rPr>
      <t xml:space="preserve">REFORMA DA CRECHE CANTINHO DO CÉU - PARA ENTREGA </t>
    </r>
  </si>
  <si>
    <r>
      <rPr>
        <b/>
        <sz val="10"/>
        <rFont val="Arial"/>
        <family val="2"/>
      </rPr>
      <t xml:space="preserve">MUNICÍPIO: </t>
    </r>
    <r>
      <rPr>
        <sz val="10"/>
        <rFont val="Arial"/>
        <family val="2"/>
      </rPr>
      <t>SALINAS/MG</t>
    </r>
  </si>
  <si>
    <r>
      <rPr>
        <b/>
        <sz val="10"/>
        <rFont val="Arial"/>
        <family val="2"/>
      </rPr>
      <t>LOCAL:</t>
    </r>
    <r>
      <rPr>
        <sz val="10"/>
        <rFont val="Arial"/>
        <family val="2"/>
      </rPr>
      <t xml:space="preserve">  RUA OURO PRETO, 495, BAIRRO PANORAMA, SALINAS/MG</t>
    </r>
  </si>
  <si>
    <r>
      <rPr>
        <b/>
        <sz val="10"/>
        <rFont val="Arial"/>
        <family val="2"/>
      </rPr>
      <t xml:space="preserve">SETOR: </t>
    </r>
    <r>
      <rPr>
        <sz val="10"/>
        <rFont val="Arial"/>
        <family val="2"/>
      </rPr>
      <t>SECRETARIA MUNICIPAL DE EDUCAÇÃO</t>
    </r>
  </si>
  <si>
    <r>
      <rPr>
        <b/>
        <sz val="10"/>
        <rFont val="Arial"/>
        <family val="2"/>
      </rPr>
      <t xml:space="preserve">RECURSO: </t>
    </r>
    <r>
      <rPr>
        <sz val="10"/>
        <rFont val="Arial"/>
        <family val="2"/>
      </rPr>
      <t>FUNDEB 30% e EDUCAÇÃO 25%.</t>
    </r>
  </si>
  <si>
    <r>
      <rPr>
        <b/>
        <sz val="10"/>
        <rFont val="Arial"/>
        <family val="2"/>
      </rPr>
      <t xml:space="preserve">DATA: </t>
    </r>
    <r>
      <rPr>
        <sz val="10"/>
        <rFont val="Arial"/>
        <family val="2"/>
      </rPr>
      <t>JANEIRO/2026</t>
    </r>
  </si>
  <si>
    <t>DATA-BASE (mês de referência): SINAPI 04/2024 E SEINFRA 08/2023</t>
  </si>
  <si>
    <t>REFORMA DA CRECHE CANTINHO DO CÉU - PARA ENTREGA</t>
  </si>
  <si>
    <t>B.D.I.=25%</t>
  </si>
  <si>
    <t>ITEM</t>
  </si>
  <si>
    <t>CÓDIGO</t>
  </si>
  <si>
    <t>FONTE</t>
  </si>
  <si>
    <t>DESCRIÇÃO DOS SERVIÇOS POR AMBIENTES</t>
  </si>
  <si>
    <t xml:space="preserve">UN </t>
  </si>
  <si>
    <t>QUANT</t>
  </si>
  <si>
    <t>TOTAL GERAL (R$)</t>
  </si>
  <si>
    <t>SEM BDI</t>
  </si>
  <si>
    <t>COM BDI</t>
  </si>
  <si>
    <t>UNITÁRIO</t>
  </si>
  <si>
    <t>TOTAL ITEM</t>
  </si>
  <si>
    <t>1.0 - SERVIÇOS PRELIMINARES</t>
  </si>
  <si>
    <t>OK - VERIFICADO</t>
  </si>
  <si>
    <t>1.1</t>
  </si>
  <si>
    <t xml:space="preserve"> ED-28427</t>
  </si>
  <si>
    <t>SEINFRA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</si>
  <si>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</si>
  <si>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</si>
  <si>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2.0 - GARAGEM COBERTA</t>
  </si>
  <si>
    <t>2.1</t>
  </si>
  <si>
    <t>ED-50505</t>
  </si>
  <si>
    <t>LIXAMENTO MANUAL EM PAREDE PARA REMOÇÃO DE TINTA (PAREDES LATERAIS)</t>
  </si>
  <si>
    <t>m2</t>
  </si>
  <si>
    <t>2.2</t>
  </si>
  <si>
    <t>ED-50508</t>
  </si>
  <si>
    <t>LIXAMENTO MANUAL EM SUPERFÍCIE METÁLICA PARA REMOÇÃO DE TINTA - PORTÃO</t>
  </si>
  <si>
    <t>2.3</t>
  </si>
  <si>
    <t>ED-50473</t>
  </si>
  <si>
    <t>EMASSAMENTO EM PAREDE COM MASSA ACRÍLICA, UMA (1) DEMÃO, INCLUSIVE LIXAMENTO PARA PINTURA</t>
  </si>
  <si>
    <t xml:space="preserve"> m2</t>
  </si>
  <si>
    <t>2.4</t>
  </si>
  <si>
    <t>ED-50503</t>
  </si>
  <si>
    <t>PINTURA LÁTEX (PVA) EM TETO, DUAS (2) DEMÃOS, INCLUSIVE UMA (1) DEMÃO DE MASSA CORRIDA (PVA), EXCLUSIVE SELADOR ACRÍLICO</t>
  </si>
  <si>
    <t>2.5</t>
  </si>
  <si>
    <t>ED-50451</t>
  </si>
  <si>
    <t>PINTURA ACRÍLICA EM PAREDE, DUAS (2) DEMÃOS, EXCLUSIVE SELADOR ACRÍLICO E MASSA ACRÍLICA/CORRIDA (PVA) - PINTURA EXTERNA</t>
  </si>
  <si>
    <t>2.6</t>
  </si>
  <si>
    <t>ED-50495</t>
  </si>
  <si>
    <t>PINTURA ESMALTE SINTÉTICO EM SUPERFÍCIES METÁLICAS, DUAS (2) DEMÃOS, INCLUSIVE UMA (1) DEMÃO DE FUNDO
ANTICORROSIVO</t>
  </si>
  <si>
    <t>2.7</t>
  </si>
  <si>
    <t>ED-48500</t>
  </si>
  <si>
    <t>DEMOLIÇÃO MANUAL DE TUBULAÇÕES EMBUTIDAS DE REDE ( ÁGUA, ELÉTRICA, GASES, ETC.), INCLUSIVE RASGO EM
ALVENARIA, REMOÇÃO DE ACESSÓRIOS DE FIXAÇÃO, AFASTAMENTO E EMPILHAMENTO, EXCLUSIVE TRANSPORTE E
RETIRADA DO MATERIAL DEMOLIDO - REMOÇÃO DE INSTALÇÕES IMPROVIZADAS NAS PAREDES</t>
  </si>
  <si>
    <t>m</t>
  </si>
  <si>
    <t>2.8</t>
  </si>
  <si>
    <t>ED-15733</t>
  </si>
  <si>
    <t>CONJUNTO DE UM (1) INTERRUPTOR SIMPLES, CORRENTE 10A, TENSÃO 250V, (10A-250V), COM PLACA 4"X2" DE UM (1) POSTO, INCLUSIVE FORNECIMENTO, INSTALAÇÃO, SUPORTE, MÓDULO E PLACA10A-250V), COM PLACA 4"X2" DE DOIS (2) POSTOS, INCLUSIVE FORNECIMENTO, INSTALAÇÃO, SUPORTE, MÓDULO E PLACA</t>
  </si>
  <si>
    <t>um</t>
  </si>
  <si>
    <t>3.0 - ENTRADA PRINCIPAL</t>
  </si>
  <si>
    <t>3.1</t>
  </si>
  <si>
    <t>LIXAMENTO MANUAL EM PAREDE PARA REMOÇÃO DE TINTA</t>
  </si>
  <si>
    <t>3.2</t>
  </si>
  <si>
    <t>ED-50477</t>
  </si>
  <si>
    <t>EMASSAMENTO EM PAREDE COM MASSA CORRIDA (PVA), UMA (1) DEMÃO, INCLUSIVE LIXAMENTO PARA PINTURA</t>
  </si>
  <si>
    <t>3.3</t>
  </si>
  <si>
    <t>ED-50502</t>
  </si>
  <si>
    <t>PINTURA LÁTEX (PVA) EM PAREDE, DUAS (2) DEMÃOS, INCLUSIVE UMA (1) DEMÃO DE MASSA CORRIDA (PVA), EXCLUSIVE SELADOR ACRÍLICO - PINTURA INTERNA</t>
  </si>
  <si>
    <t>3.4</t>
  </si>
  <si>
    <t>3.5</t>
  </si>
  <si>
    <t>ED-27549</t>
  </si>
  <si>
    <t>FECHADURA TIPO TUBULAR, EM DIVISÓRIA, COM MAÇANETA E ACABAMENTO EM ZAMAC, INCLUSIVE ACESSÓRIOS PARA
FIXAÇÃO E DUAS (2) CHAVES - TROCAR FECHADURA DA PORTA DE VIDRO DA ENTRADA</t>
  </si>
  <si>
    <t>3.6</t>
  </si>
  <si>
    <t>4.0 - QUARTO 01</t>
  </si>
  <si>
    <t>LIXAMENTO MANUAL EM PAREDE PARA REMOÇÃO DE TINTA (PAREDES E TETO)</t>
  </si>
  <si>
    <t>LIXAMENTO MANUAL EM SUPERFÍCIE METÁLICA PARA REMOÇÃO DE TINTA</t>
  </si>
  <si>
    <t>ED-50507</t>
  </si>
  <si>
    <t>LIXAMENTO MANUAL EM SUPERFÍCIE DE MADEIRA PARA REMOÇÃO DE TINTA</t>
  </si>
  <si>
    <t>3.7</t>
  </si>
  <si>
    <t>3.8</t>
  </si>
  <si>
    <t>ED-50526</t>
  </si>
  <si>
    <t>PINTURA COM VERNIZ SINTÉTICO MARÍTIMO EM ESQUADRIAS DE MADEIRA, DUAS (2) DEMÃOS, ACABAMENTO TIPO BRILHANTE</t>
  </si>
  <si>
    <t>3.9</t>
  </si>
  <si>
    <t>ED-49700</t>
  </si>
  <si>
    <t>FECHADURA TIPO INTERNA (GORGE), GRAU DE SEGURANÇA MÉDIO, DISTÂNCIA DE BROCA 40MM, ACABAMENTO COM
ESPELHO CROMADO E MAÇANETA MODELO ALAVANCA EM ZAMAC, INCLUSIVE ACESSÓRIOS PARA FIXAÇÃO E DUAS (2)
CHAVES - FECHADURA DA PORTA DO QUARTO 1</t>
  </si>
  <si>
    <t>3.10</t>
  </si>
  <si>
    <t>3.11</t>
  </si>
  <si>
    <t>3.12</t>
  </si>
  <si>
    <t>ED-15749</t>
  </si>
  <si>
    <t>CONJUNTO DE UMA (1) TOMADA PADRÃO, TRÊS (3) POLOS, CORRENTE 20A, TENSÃO 250V, (2P+T/20A-250V), COM PLACA 4"X2" DE UM (1) POSTO, INCLUSIVE FORNECIMENTO, INSTALAÇÃO, SUPORTE, MÓDULO E PLACA</t>
  </si>
  <si>
    <t>5.0 - QUARTO 02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</si>
  <si>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</si>
  <si>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</si>
  <si>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</si>
  <si>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</si>
  <si>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</si>
  <si>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</si>
  <si>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</si>
  <si>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</si>
  <si>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</si>
  <si>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</si>
  <si>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</si>
  <si>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6.0 - SALA 01</t>
  </si>
  <si>
    <t>5.1</t>
  </si>
  <si>
    <t>5.2</t>
  </si>
  <si>
    <t>5.3</t>
  </si>
  <si>
    <t>5.4</t>
  </si>
  <si>
    <t>5.5</t>
  </si>
  <si>
    <t>5.6</t>
  </si>
  <si>
    <t>5.7</t>
  </si>
  <si>
    <t>7.0 - SALA 02</t>
  </si>
  <si>
    <t>6.1</t>
  </si>
  <si>
    <t>6.2</t>
  </si>
  <si>
    <t>6.3</t>
  </si>
  <si>
    <t>DEMOLIÇÃO MANUAL DE TUBULAÇÕES EMBUTIDAS DE REDE ( ÁGUA, ELÉTRICA, GASES, ETC.), INCLUSIVE RASGO EM
ALVENARIA, REMOÇÃO DE ACESSÓRIOS DE FIXAÇÃO, AFASTAMENTO E EMPILHAMENTO, EXCLUSIVE TRANSPORTE E
RETIRADA DO MATERIAL DEMOLIDO - REMOÇÃO DO PORTÃOZINHO</t>
  </si>
  <si>
    <t>6.4</t>
  </si>
  <si>
    <t>ED-50759</t>
  </si>
  <si>
    <t>REBOCO COM ARGAMASSA, TRAÇO 1:7 (CIMENTO E AREIA), ESP. 20MM, APLICAÇÃO MANUAL, INCLUSIVE ARGAMASSA COM PREPARO MECANIZADO, EXCLUSIVE CHAPISCO - REPARAR VÃO DE ACESSO A COZINHA</t>
  </si>
  <si>
    <t>6.5</t>
  </si>
  <si>
    <t>6.6</t>
  </si>
  <si>
    <t>6.7</t>
  </si>
  <si>
    <t>6.8</t>
  </si>
  <si>
    <t>8.0 - CIRCULAÇÃO INETRNA</t>
  </si>
  <si>
    <t>7.1</t>
  </si>
  <si>
    <t>7.2</t>
  </si>
  <si>
    <t>7.3</t>
  </si>
  <si>
    <t>7.4</t>
  </si>
  <si>
    <t>9.0 - QUARTO 03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</si>
  <si>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</si>
  <si>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</si>
  <si>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</si>
  <si>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</si>
  <si>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</si>
  <si>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</si>
  <si>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</si>
  <si>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</si>
  <si>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</si>
  <si>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ED-49602</t>
  </si>
  <si>
    <t>PORTA DE MADEIRA COMPLETA, DIMENSÃO (80X210)CM, TIPO DE ABRIR, UMA (1) FOLHA, ACABAMENTO NATURAL PARA PINTURA/ VERNIZ, TIPO PRANCHETA/SARRAFEADA, INCLUSIVE MARCO, ALIZAR E FERRAGENS, EXCLUSIVE PINTURA/VERNIZ</t>
  </si>
  <si>
    <t>8.10</t>
  </si>
  <si>
    <t>8.11</t>
  </si>
  <si>
    <t>10.0 - BANHEIRO 01</t>
  </si>
  <si>
    <t>9.1</t>
  </si>
  <si>
    <t>9.2</t>
  </si>
  <si>
    <t>9.3</t>
  </si>
  <si>
    <t>9.4</t>
  </si>
  <si>
    <t>9.5</t>
  </si>
  <si>
    <t>9.6</t>
  </si>
  <si>
    <t>9.7</t>
  </si>
  <si>
    <t>ED-49603</t>
  </si>
  <si>
    <t>PORTA DE MADEIRA COMPLETA, DIMENSÃO (90X210)CM, TIPO DE ABRIR, UMA (1) FOLHA, ACABAMENTO NATURAL PARA PINTURA/ VERNIZ, TIPO PRANCHETA/SARRAFEADA, INCLUSIVE MARCO, ALIZAR E FERRAGENS, EXCLUSIVE PINTURA/VERNIZ</t>
  </si>
  <si>
    <t>9.8</t>
  </si>
  <si>
    <t>ED-50298</t>
  </si>
  <si>
    <t>BACIA SANITÁRIA (VASO) DE LOUÇA CONVENCIONAL, COR BRANCA, INCLUSIVE ACESSÓRIOS DE FIXAÇÃO/VEDAÇÃO,
VÁLVULA DE DESCARGA METÁLICA COM ACIONAMENTO DUPLO, TUBO DE LIGAÇÃO DE LATÃO COM CANOPLA, FORNECIMENTO, INSTALAÇÃO E REJUNTAMENTO</t>
  </si>
  <si>
    <t>9.9</t>
  </si>
  <si>
    <t>ED-50003</t>
  </si>
  <si>
    <t>REGISTRO DE ESFERA, TIPO PVC SOLDÁVEL DN 50MM (1.1/2"), INCLUSIVE VOLANTE PARA ACIONAMENTO</t>
  </si>
  <si>
    <t>9.10</t>
  </si>
  <si>
    <t>ED-48502</t>
  </si>
  <si>
    <t>DEMOLIÇÃO MANUAL DE REVESTIMENTO CERÂMICO, AZULEJO OU LADRILHO HIDRÁULICO, INCLUSIVE AFASTAMENTO E
EMPILHAMENTO, EXCLUSIVE DEMOLIÇÃO DO REBOCO OU EMBOÇO, TRANSPORTE E RETIRADA DO MATERIAL DEMOLIDO</t>
  </si>
  <si>
    <t>9.11</t>
  </si>
  <si>
    <t>ED-9081</t>
  </si>
  <si>
    <t>REVESTIMENTO COM CERÂMICA APLICADO EM PAREDE, ACABAMENTO ESMALTADO, AMBIENTE INTERNO/EXTERNO,
PADRÃO EXTRA, DIMENSÃO DA PEÇA ATÉ 2025 CM2, PEI III, ASSENTAMENTO COM ARGAMASSA INDUSTRIALIZADA, INCLUSIVE REJUNTAMENTO</t>
  </si>
  <si>
    <t>9.12</t>
  </si>
  <si>
    <t>ED-51151</t>
  </si>
  <si>
    <t>ESPELHO CRISTAL COM MOLDURA EM ALUMÍNIO, COM ESP. 4MM, INCLUSIVE FIXAÇÃO COM ADESIVO/ SELANTE A BASE DE POLIURETANO, FORNECIMENTO E INSTALAÇÃO</t>
  </si>
  <si>
    <t>9.13</t>
  </si>
  <si>
    <t>9.14</t>
  </si>
  <si>
    <t>11.0 - QUARTO 04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</si>
  <si>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</si>
  <si>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</si>
  <si>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</si>
  <si>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</si>
  <si>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</si>
  <si>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</si>
  <si>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</si>
  <si>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</si>
  <si>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</si>
  <si>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</si>
  <si>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</si>
  <si>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</si>
  <si>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12.0 - BANHEIRO 02</t>
  </si>
  <si>
    <t>11.1</t>
  </si>
  <si>
    <t>11.2</t>
  </si>
  <si>
    <t>11.3</t>
  </si>
  <si>
    <t>11.4</t>
  </si>
  <si>
    <t>11.5</t>
  </si>
  <si>
    <t>11.6</t>
  </si>
  <si>
    <t>ED-49946</t>
  </si>
  <si>
    <t>GRELHA/PORTA GRELHA AÇO INOX, FECHO GIRATÓRIO 150 X 150
MM</t>
  </si>
  <si>
    <t>11.7</t>
  </si>
  <si>
    <t>ED-16339</t>
  </si>
  <si>
    <t>ACABAMENTO PLÁSTICO COM ACIONAMENTO DUPLO, NA COR BRANCA, PARA CAIXA DE DESCARGA DE EMBUTIR, COMANDO DE ACIONAMENTO, INCLUSIVE ACESSÓRIOS PARA FIXAÇÃO E INSTALAÇÃO</t>
  </si>
  <si>
    <t>11.8</t>
  </si>
  <si>
    <t>ED-16344</t>
  </si>
  <si>
    <t>CHUVEIRO ELÉTRICO BRANCO, TENSÃO 127V/220V, POTÊNCIA 4600W/5500W, INCLUSIVE BRAÇO, FORNECIMENTO E INSTALAÇÃO</t>
  </si>
  <si>
    <t>11.9</t>
  </si>
  <si>
    <t>11.10</t>
  </si>
  <si>
    <t>13.0 - COZINHA</t>
  </si>
  <si>
    <t>12.1</t>
  </si>
  <si>
    <t>12.2</t>
  </si>
  <si>
    <t>12.3</t>
  </si>
  <si>
    <t>12.4</t>
  </si>
  <si>
    <t>12.5</t>
  </si>
  <si>
    <t>12.6</t>
  </si>
  <si>
    <t>12.7</t>
  </si>
  <si>
    <t>ED-48497</t>
  </si>
  <si>
    <t>REMOÇÃO MANUAL DE ESQUADRIA METÁLICA, COM REAPROVEITAMENTO, INCLUSIVE MARCO/ALIZAR/GUARNIÇÕES,
AFASTAMENTO E EMPILHAMENTO, EXCLUSIVE TRANSPORTE E RETIRADA DO MATERIAL REMOVIDO NÃO REAPROVEITÁVEL</t>
  </si>
  <si>
    <t>12.8</t>
  </si>
  <si>
    <t>ED-50832</t>
  </si>
  <si>
    <t>AC-ARMÁRIO (71 x 52 x 350 cm) EM MADEIRA MACIÇA, COM PORTAS E PUXADORES, SOB BANCADA DO LABORATORIO COM
PRATELEIRA, REVESTIDO EM LAMINADO MELAMÍNICO - SUBSTITUIÇÃO DO ARMÁRIO DA PIA DA COZINHA</t>
  </si>
  <si>
    <t>cj</t>
  </si>
  <si>
    <t>12.9</t>
  </si>
  <si>
    <t>12.10</t>
  </si>
  <si>
    <t>14.0 - ÁREA DE SERVIÇO</t>
  </si>
  <si>
    <t>13.1</t>
  </si>
  <si>
    <t>13.2</t>
  </si>
  <si>
    <t>13.3</t>
  </si>
  <si>
    <t>ED-50474</t>
  </si>
  <si>
    <t>EMASSAMENTO EM PAREDE COM MASSA ACRÍLICA, DUAS (2) DEMÃOS, INCLUSIVE LIXAMENTO PARA PINTURA</t>
  </si>
  <si>
    <t>13.4</t>
  </si>
  <si>
    <t>13.5</t>
  </si>
  <si>
    <t>13.6</t>
  </si>
  <si>
    <t>13.7</t>
  </si>
  <si>
    <t>15.0 - ENTRADA SEGUNDÁRIA COBERTA</t>
  </si>
  <si>
    <t>14.1</t>
  </si>
  <si>
    <t>14.2</t>
  </si>
  <si>
    <t>14.3</t>
  </si>
  <si>
    <t>14.4</t>
  </si>
  <si>
    <t>14.5</t>
  </si>
  <si>
    <t>14.6</t>
  </si>
  <si>
    <t>14.7</t>
  </si>
  <si>
    <t>14.8</t>
  </si>
  <si>
    <t>16.0 - ÁREA DE VENTILAÇÃO</t>
  </si>
  <si>
    <t>15.1</t>
  </si>
  <si>
    <t>15.2</t>
  </si>
  <si>
    <t>15.3</t>
  </si>
  <si>
    <t>17.0 - OUTROS SERVIÇOS (MUROS INTERNOS E PARTE EXTERNA DA CASA)</t>
  </si>
  <si>
    <t>17.1</t>
  </si>
  <si>
    <t>LIXAMENTO MANUAL EM PAREDE PARA REMOÇÃO DE TINTA - PINTURA EXTERNA DA CONSTRUÇÃO</t>
  </si>
  <si>
    <t>17.2</t>
  </si>
  <si>
    <t>17.3</t>
  </si>
  <si>
    <t>17.4</t>
  </si>
  <si>
    <t xml:space="preserve"> ED-50266</t>
  </si>
  <si>
    <t>LIMPEZA FINAL PARA ENTREGA DA OBRA</t>
  </si>
  <si>
    <t>TOTAL GERAL</t>
  </si>
  <si>
    <t xml:space="preserve">                    Márcio José Neres Costa                                                                                                                                                                                    Joaquim Neres Xavier Dias</t>
  </si>
  <si>
    <t>Engenheiro Civil - CREA/MG  167.823/D                                                                                                                                                                                  Prefeito Municipal</t>
  </si>
  <si>
    <t>COMPOSIÇÃO DE BDI</t>
  </si>
  <si>
    <t>Composição do BDI sugerida</t>
  </si>
  <si>
    <t>Intervalos admissíveis sem justificativa</t>
  </si>
  <si>
    <t>Composição de BDI Adotada</t>
  </si>
  <si>
    <t>BDI Proposto:</t>
  </si>
  <si>
    <t>Garantia (G)</t>
  </si>
  <si>
    <t xml:space="preserve">De </t>
  </si>
  <si>
    <t>até</t>
  </si>
  <si>
    <t xml:space="preserve">  Garantia:</t>
  </si>
  <si>
    <r>
      <rPr>
        <sz val="8"/>
        <rFont val="Arial"/>
        <family val="2"/>
      </rPr>
      <t xml:space="preserve"> BDI =</t>
    </r>
    <r>
      <rPr>
        <u/>
        <sz val="8"/>
        <rFont val="Arial"/>
        <family val="2"/>
      </rPr>
      <t xml:space="preserve"> (1+AC+S+R+G)*(1+DF)*(1+L)</t>
    </r>
    <r>
      <rPr>
        <sz val="8"/>
        <rFont val="Arial"/>
        <family val="2"/>
      </rPr>
      <t xml:space="preserve">  -1
                             (1-T)
  </t>
    </r>
    <r>
      <rPr>
        <u/>
        <sz val="8"/>
        <rFont val="Arial"/>
        <family val="2"/>
      </rPr>
      <t>Observações</t>
    </r>
    <r>
      <rPr>
        <sz val="8"/>
        <rFont val="Arial"/>
        <family val="2"/>
      </rPr>
      <t>:
  i)   Fórmula de cálculo, composição do BDI e intervalos admissíveis nos termos do Acórdão 2622/2013 do TCU;
  ii)  BDI entre 20,34% e 25,00%.</t>
    </r>
  </si>
  <si>
    <t xml:space="preserve">Risco (R) </t>
  </si>
  <si>
    <t xml:space="preserve">  Risco:</t>
  </si>
  <si>
    <t>Despesas financeiras (DF)</t>
  </si>
  <si>
    <t xml:space="preserve">  Despesas financeiras:</t>
  </si>
  <si>
    <t>Administração Central (AC)</t>
  </si>
  <si>
    <t xml:space="preserve">  Administração central:</t>
  </si>
  <si>
    <t>Lucro (L)</t>
  </si>
  <si>
    <t xml:space="preserve">  Lucro:</t>
  </si>
  <si>
    <t>Tributos (T)</t>
  </si>
  <si>
    <t>Conforme legislação</t>
  </si>
  <si>
    <t xml:space="preserve">  Tributos:</t>
  </si>
  <si>
    <t>Salinas, 27 de Janeiro de 2026.</t>
  </si>
  <si>
    <t>Márcio José Neres Costa</t>
  </si>
  <si>
    <t>Joaquim Neres Xavier Dias</t>
  </si>
  <si>
    <t>Engenheiro Civil - CREA/MG 167.823/D</t>
  </si>
  <si>
    <t>Prefeito Municipal de Salinas</t>
  </si>
  <si>
    <t>CRONOGRAMA FÍSICO-FINANCEIRO</t>
  </si>
  <si>
    <t>Item</t>
  </si>
  <si>
    <t>Discriminação dos serviços</t>
  </si>
  <si>
    <t xml:space="preserve">Peso </t>
  </si>
  <si>
    <t>Valor Obras/Serviços</t>
  </si>
  <si>
    <t>MÊS 01</t>
  </si>
  <si>
    <t>MÊS 02</t>
  </si>
  <si>
    <t>MÊS 03</t>
  </si>
  <si>
    <t>Mês 04</t>
  </si>
  <si>
    <t>Mês 05</t>
  </si>
  <si>
    <t>Mês 06</t>
  </si>
  <si>
    <t>Mês 07</t>
  </si>
  <si>
    <t>%</t>
  </si>
  <si>
    <t>R$</t>
  </si>
  <si>
    <t>Total</t>
  </si>
  <si>
    <t>Simples</t>
  </si>
  <si>
    <t>Acumulado</t>
  </si>
  <si>
    <t>TOTAL GERAL DA PLANILHA</t>
  </si>
  <si>
    <t>RT:</t>
  </si>
  <si>
    <t>MUNICÍPIO: SALINAS/MG</t>
  </si>
  <si>
    <t>DISCRIMINAÇÃO DOS SERVIÇOS</t>
  </si>
  <si>
    <t>VALOR (R$)</t>
  </si>
  <si>
    <t>ETAPA 1</t>
  </si>
  <si>
    <t>ETAPA 2</t>
  </si>
  <si>
    <t>ETAPA 3</t>
  </si>
  <si>
    <t>ETAPA 4</t>
  </si>
  <si>
    <t>ETAPA 5</t>
  </si>
  <si>
    <t>SUB-TOTAL</t>
  </si>
  <si>
    <t>ESCOLA MUNICIPAL PAULO TEIXEIRA COSTA</t>
  </si>
  <si>
    <t>ETAPA 01 - COLOCAÇÃO DE PLACA DE OBRA, ISOLAMENTO DA ÁREA DE INTERVENÇÃO, LOCAÇÃO DA OBRA, EXECUÇÃO SAPATAS DE FUNDAÇÕES, ARRIMO E ATERRO COMPACTADO DO PALCO, EXECUÇÃO DE ALVENARIA DE VEDAÇÃO E DRENAGEM PLUVIAL</t>
  </si>
  <si>
    <t>ETAPA 02 - EXECUÇÃO DE PILARES, CINTAS, ALAMBRADOS, ESTRUTURA METÁLICA PARA A COBERTURA DA ÁREA DE RECREAÇÃO, EXECUÇÃO DO ENGRADAMENTO E COBERTURA METÁLICA, EXECUÇÃO DO PISO EM CONCRETO USINADO, EXECUÇÃO DA PARTE ELÉTRICA DO PALCO E ÁREA DE RECREAÇÃO, REVESTIMENTO EM PORCELANATO NO PALCO, REVESTIMENTO EM ARGAMASSA NAS ALVENARIAS DE VEDAÇÃO E NO MURO.</t>
  </si>
  <si>
    <t>ETAPA 03 - FINALIZAR ACABAMENTO DE TELHADO, FINALIZAR PARTE ELÉTRICA, FINALIZAR REVESTIMENTO INCLUSIVE REJUNTAMENTO, COLOCAÇÃO DE GUARA-CORPO E CORRIMÃO, DEIXAR PISO EM CONCRETO USINADO POLIDO E LISO, COLOCAÇÃO DAS CALHAS, FINALIZAR PINTURA GERAL, ATESTAR QUE TUDO ESTEJA FINALIZADO E FUNCIONANDO, LIMPEZA FINAL DA OBRA, ENTREGA DA OBRA.</t>
  </si>
  <si>
    <t>ETAPA 04 - FINALIZAR ACABAMENTO DE TELHADO, FINALIZAR PARTE ELÉTRICA, FINALIZAR REVESTIMENTO INCLUSIVE REJUNTAMENTO, COLOCAÇÃO DE GUARA-CORPO E CORRIMÃO, DEIXAR PISO EM CONCRETO USINADO POLIDO E LISO, COLOCAÇÃO DAS CALHAS, FINALIZAR PINTURA GERAL, ATESTAR QUE TUDO ESTEJA FINALIZADO E FUNCIONANDO, LIMPEZA FINAL DA OBRA, ENTREGA DA OBRA.</t>
  </si>
  <si>
    <t>VALOR DO PERÍODO</t>
  </si>
  <si>
    <t>TOTAL</t>
  </si>
  <si>
    <t>VALOR ACUMULADO</t>
  </si>
  <si>
    <t>PERCENTUAL DO PERÍODO</t>
  </si>
  <si>
    <t>PERCENTUAL ACUMULADO</t>
  </si>
  <si>
    <t>Responsável Técnico: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</si>
</sst>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R$ &quot;* #,##0.00_);_(&quot;R$ &quot;* \(#,##0.00\);_(&quot;R$ &quot;* \-??_);_(@_)"/>
    <numFmt numFmtId="165" formatCode="_(&quot;R$&quot;* #,##0.00_);_(&quot;R$&quot;* \(#,##0.00\);_(&quot;R$&quot;* \-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  <numFmt numFmtId="169" formatCode="0.000"/>
  </numFmts>
  <fonts count="18" x14ac:knownFonts="1">
    <font>
      <sz val="10"/>
      <name val="Arial"/>
    </font>
    <font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b/>
      <sz val="18"/>
      <color indexed="8"/>
      <name val="Arial"/>
      <family val="2"/>
    </font>
    <font>
      <sz val="10"/>
      <color indexed="8"/>
      <name val="Arial"/>
      <family val="2"/>
    </font>
    <font>
      <b/>
      <sz val="26"/>
      <name val="Arial"/>
      <family val="2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51"/>
        <bgColor indexed="13"/>
      </patternFill>
    </fill>
    <fill>
      <patternFill patternType="solid">
        <fgColor indexed="52"/>
        <bgColor indexed="51"/>
      </patternFill>
    </fill>
    <fill>
      <patternFill patternType="solid">
        <fgColor indexed="31"/>
        <bgColor indexed="22"/>
      </patternFill>
    </fill>
  </fills>
  <borders count="6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166" fontId="17" fillId="0" borderId="0" applyFill="0" applyBorder="0" applyAlignment="0" applyProtection="0"/>
    <xf numFmtId="165" fontId="17" fillId="0" borderId="0" applyFill="0" applyBorder="0" applyAlignment="0" applyProtection="0"/>
    <xf numFmtId="9" fontId="17" fillId="0" borderId="0" applyFill="0" applyBorder="0" applyAlignment="0" applyProtection="0"/>
    <xf numFmtId="164" fontId="17" fillId="0" borderId="0" applyFill="0" applyBorder="0" applyAlignment="0" applyProtection="0"/>
    <xf numFmtId="164" fontId="17" fillId="0" borderId="0" applyFill="0" applyBorder="0" applyAlignment="0" applyProtection="0"/>
    <xf numFmtId="165" fontId="17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7" fillId="0" borderId="0" applyFill="0" applyBorder="0" applyAlignment="0" applyProtection="0"/>
    <xf numFmtId="9" fontId="17" fillId="0" borderId="0" applyFill="0" applyBorder="0" applyAlignment="0" applyProtection="0"/>
    <xf numFmtId="9" fontId="17" fillId="0" borderId="0" applyFill="0" applyBorder="0" applyAlignment="0" applyProtection="0"/>
    <xf numFmtId="166" fontId="17" fillId="0" borderId="0" applyFill="0" applyBorder="0" applyAlignment="0" applyProtection="0"/>
    <xf numFmtId="166" fontId="17" fillId="0" borderId="0" applyFill="0" applyBorder="0" applyAlignment="0" applyProtection="0"/>
    <xf numFmtId="166" fontId="17" fillId="0" borderId="0" applyFill="0" applyBorder="0" applyAlignment="0" applyProtection="0"/>
    <xf numFmtId="166" fontId="17" fillId="0" borderId="0" applyFill="0" applyBorder="0" applyAlignment="0" applyProtection="0"/>
    <xf numFmtId="166" fontId="17" fillId="0" borderId="0" applyFill="0" applyBorder="0" applyAlignment="0" applyProtection="0"/>
    <xf numFmtId="166" fontId="17" fillId="0" borderId="0" applyFill="0" applyBorder="0" applyAlignment="0" applyProtection="0"/>
  </cellStyleXfs>
  <cellXfs count="414">
    <xf numFmtId="0" fontId="0" fillId="0" borderId="0" xfId="0"/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/>
    <xf numFmtId="166" fontId="1" fillId="2" borderId="0" xfId="1" applyFont="1" applyFill="1" applyBorder="1" applyAlignment="1" applyProtection="1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2" borderId="0" xfId="0" applyFont="1" applyFill="1" applyBorder="1" applyAlignment="1"/>
    <xf numFmtId="166" fontId="1" fillId="2" borderId="0" xfId="0" applyNumberFormat="1" applyFont="1" applyFill="1"/>
    <xf numFmtId="0" fontId="4" fillId="2" borderId="2" xfId="0" applyFont="1" applyFill="1" applyBorder="1" applyAlignment="1">
      <alignment vertical="center"/>
    </xf>
    <xf numFmtId="166" fontId="4" fillId="2" borderId="2" xfId="1" applyFont="1" applyFill="1" applyBorder="1" applyAlignment="1" applyProtection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66" fontId="4" fillId="2" borderId="0" xfId="1" applyFont="1" applyFill="1" applyBorder="1" applyAlignment="1" applyProtection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166" fontId="4" fillId="2" borderId="0" xfId="1" applyFont="1" applyFill="1" applyBorder="1" applyAlignment="1" applyProtection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vertical="center"/>
    </xf>
    <xf numFmtId="166" fontId="4" fillId="2" borderId="6" xfId="1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166" fontId="4" fillId="3" borderId="13" xfId="1" applyFont="1" applyFill="1" applyBorder="1" applyAlignment="1" applyProtection="1">
      <alignment vertical="center"/>
    </xf>
    <xf numFmtId="166" fontId="4" fillId="3" borderId="14" xfId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>
      <alignment vertical="center"/>
    </xf>
    <xf numFmtId="0" fontId="6" fillId="4" borderId="0" xfId="0" applyFont="1" applyFill="1" applyBorder="1"/>
    <xf numFmtId="0" fontId="6" fillId="4" borderId="0" xfId="0" applyFont="1" applyFill="1"/>
    <xf numFmtId="0" fontId="4" fillId="5" borderId="15" xfId="0" applyFont="1" applyFill="1" applyBorder="1" applyAlignment="1">
      <alignment horizontal="center" vertical="center"/>
    </xf>
    <xf numFmtId="165" fontId="4" fillId="6" borderId="14" xfId="2" applyFont="1" applyFill="1" applyBorder="1" applyAlignment="1" applyProtection="1">
      <alignment vertical="center"/>
    </xf>
    <xf numFmtId="0" fontId="5" fillId="2" borderId="0" xfId="0" applyFont="1" applyFill="1" applyBorder="1" applyAlignment="1">
      <alignment horizontal="left" vertical="center"/>
    </xf>
    <xf numFmtId="166" fontId="5" fillId="2" borderId="0" xfId="1" applyFont="1" applyFill="1" applyBorder="1" applyAlignment="1" applyProtection="1">
      <alignment vertical="center"/>
    </xf>
    <xf numFmtId="0" fontId="7" fillId="2" borderId="0" xfId="0" applyFont="1" applyFill="1"/>
    <xf numFmtId="166" fontId="5" fillId="5" borderId="15" xfId="1" applyFont="1" applyFill="1" applyBorder="1" applyAlignment="1" applyProtection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66" fontId="4" fillId="5" borderId="15" xfId="1" applyFont="1" applyFill="1" applyBorder="1" applyAlignment="1" applyProtection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2" fontId="1" fillId="7" borderId="17" xfId="1" applyNumberFormat="1" applyFont="1" applyFill="1" applyBorder="1" applyAlignment="1" applyProtection="1">
      <alignment horizontal="right" vertical="center"/>
    </xf>
    <xf numFmtId="166" fontId="1" fillId="7" borderId="17" xfId="1" applyFont="1" applyFill="1" applyBorder="1" applyAlignment="1" applyProtection="1">
      <alignment horizontal="right" vertical="center"/>
    </xf>
    <xf numFmtId="165" fontId="4" fillId="7" borderId="14" xfId="2" applyFont="1" applyFill="1" applyBorder="1" applyAlignment="1" applyProtection="1">
      <alignment vertical="center"/>
    </xf>
    <xf numFmtId="166" fontId="4" fillId="7" borderId="0" xfId="1" applyFont="1" applyFill="1" applyBorder="1" applyAlignment="1" applyProtection="1">
      <alignment vertical="center"/>
    </xf>
    <xf numFmtId="166" fontId="1" fillId="7" borderId="0" xfId="1" applyFont="1" applyFill="1" applyBorder="1" applyAlignment="1" applyProtection="1"/>
    <xf numFmtId="0" fontId="1" fillId="7" borderId="0" xfId="0" applyFont="1" applyFill="1"/>
    <xf numFmtId="0" fontId="1" fillId="2" borderId="15" xfId="0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5" xfId="0" applyNumberFormat="1" applyFont="1" applyFill="1" applyBorder="1" applyAlignment="1" applyProtection="1">
      <alignment vertical="center" wrapText="1"/>
      <protection locked="0"/>
    </xf>
    <xf numFmtId="166" fontId="1" fillId="0" borderId="0" xfId="1" applyFont="1" applyFill="1" applyBorder="1" applyAlignment="1" applyProtection="1">
      <alignment vertical="center"/>
    </xf>
    <xf numFmtId="166" fontId="1" fillId="2" borderId="15" xfId="1" applyFont="1" applyFill="1" applyBorder="1" applyAlignment="1" applyProtection="1">
      <alignment horizontal="right" vertical="center"/>
    </xf>
    <xf numFmtId="166" fontId="1" fillId="0" borderId="15" xfId="15" applyFont="1" applyFill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167" fontId="7" fillId="0" borderId="17" xfId="0" applyNumberFormat="1" applyFont="1" applyFill="1" applyBorder="1" applyAlignment="1" applyProtection="1">
      <alignment vertical="center" wrapText="1"/>
      <protection locked="0"/>
    </xf>
    <xf numFmtId="0" fontId="7" fillId="0" borderId="17" xfId="0" applyFont="1" applyFill="1" applyBorder="1" applyAlignment="1" applyProtection="1">
      <alignment vertical="center" wrapText="1"/>
      <protection locked="0"/>
    </xf>
    <xf numFmtId="0" fontId="7" fillId="0" borderId="16" xfId="0" applyFont="1" applyFill="1" applyBorder="1" applyAlignment="1" applyProtection="1">
      <alignment vertical="center" wrapText="1"/>
      <protection locked="0"/>
    </xf>
    <xf numFmtId="0" fontId="1" fillId="0" borderId="0" xfId="0" applyFont="1" applyFill="1"/>
    <xf numFmtId="167" fontId="1" fillId="7" borderId="0" xfId="0" applyNumberFormat="1" applyFont="1" applyFill="1"/>
    <xf numFmtId="49" fontId="1" fillId="0" borderId="15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wrapText="1"/>
    </xf>
    <xf numFmtId="2" fontId="1" fillId="0" borderId="15" xfId="1" applyNumberFormat="1" applyFont="1" applyFill="1" applyBorder="1" applyAlignment="1" applyProtection="1">
      <alignment horizontal="right" vertical="center"/>
    </xf>
    <xf numFmtId="166" fontId="1" fillId="0" borderId="15" xfId="1" applyFont="1" applyFill="1" applyBorder="1" applyAlignment="1" applyProtection="1">
      <alignment vertical="center"/>
    </xf>
    <xf numFmtId="166" fontId="1" fillId="0" borderId="15" xfId="1" applyFont="1" applyFill="1" applyBorder="1" applyAlignment="1" applyProtection="1">
      <alignment horizontal="right" vertical="center"/>
    </xf>
    <xf numFmtId="166" fontId="1" fillId="0" borderId="0" xfId="1" applyFont="1" applyFill="1" applyBorder="1" applyAlignment="1" applyProtection="1"/>
    <xf numFmtId="166" fontId="1" fillId="0" borderId="0" xfId="1" applyFont="1" applyFill="1" applyBorder="1" applyAlignment="1" applyProtection="1">
      <alignment horizontal="left" vertical="center" wrapText="1"/>
    </xf>
    <xf numFmtId="167" fontId="1" fillId="0" borderId="0" xfId="0" applyNumberFormat="1" applyFont="1" applyFill="1"/>
    <xf numFmtId="167" fontId="1" fillId="0" borderId="0" xfId="0" applyNumberFormat="1" applyFont="1" applyFill="1" applyAlignment="1">
      <alignment vertical="center"/>
    </xf>
    <xf numFmtId="168" fontId="1" fillId="0" borderId="0" xfId="0" applyNumberFormat="1" applyFont="1" applyFill="1"/>
    <xf numFmtId="168" fontId="1" fillId="7" borderId="0" xfId="0" applyNumberFormat="1" applyFont="1" applyFill="1"/>
    <xf numFmtId="0" fontId="4" fillId="7" borderId="11" xfId="0" applyFont="1" applyFill="1" applyBorder="1" applyAlignment="1">
      <alignment vertical="center"/>
    </xf>
    <xf numFmtId="0" fontId="4" fillId="7" borderId="17" xfId="0" applyFont="1" applyFill="1" applyBorder="1" applyAlignment="1">
      <alignment vertical="center"/>
    </xf>
    <xf numFmtId="166" fontId="4" fillId="7" borderId="17" xfId="1" applyFont="1" applyFill="1" applyBorder="1" applyAlignment="1" applyProtection="1">
      <alignment vertical="center"/>
    </xf>
    <xf numFmtId="166" fontId="4" fillId="7" borderId="0" xfId="1" applyFont="1" applyFill="1" applyBorder="1" applyAlignment="1" applyProtection="1">
      <alignment horizontal="center"/>
    </xf>
    <xf numFmtId="0" fontId="6" fillId="7" borderId="0" xfId="0" applyFont="1" applyFill="1"/>
    <xf numFmtId="0" fontId="1" fillId="0" borderId="0" xfId="0" applyFont="1" applyFill="1" applyAlignment="1">
      <alignment vertical="center" wrapText="1"/>
    </xf>
    <xf numFmtId="166" fontId="1" fillId="0" borderId="15" xfId="1" applyFont="1" applyFill="1" applyBorder="1" applyAlignment="1" applyProtection="1">
      <alignment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7" fillId="7" borderId="0" xfId="0" applyFont="1" applyFill="1" applyAlignment="1" applyProtection="1">
      <alignment vertical="center" wrapText="1"/>
      <protection locked="0"/>
    </xf>
    <xf numFmtId="166" fontId="1" fillId="0" borderId="0" xfId="1" applyFont="1" applyFill="1" applyBorder="1" applyAlignment="1" applyProtection="1">
      <alignment horizontal="center" vertical="center"/>
    </xf>
    <xf numFmtId="166" fontId="1" fillId="0" borderId="0" xfId="1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>
      <alignment vertical="center"/>
    </xf>
    <xf numFmtId="167" fontId="6" fillId="7" borderId="0" xfId="0" applyNumberFormat="1" applyFont="1" applyFill="1"/>
    <xf numFmtId="2" fontId="1" fillId="7" borderId="17" xfId="15" applyNumberFormat="1" applyFont="1" applyFill="1" applyBorder="1" applyAlignment="1" applyProtection="1">
      <alignment horizontal="right" vertical="center"/>
    </xf>
    <xf numFmtId="166" fontId="1" fillId="7" borderId="17" xfId="15" applyFont="1" applyFill="1" applyBorder="1" applyAlignment="1" applyProtection="1">
      <alignment horizontal="right" vertical="center"/>
    </xf>
    <xf numFmtId="166" fontId="4" fillId="7" borderId="16" xfId="15" applyFont="1" applyFill="1" applyBorder="1" applyAlignment="1" applyProtection="1">
      <alignment horizontal="right" vertical="center"/>
    </xf>
    <xf numFmtId="49" fontId="1" fillId="2" borderId="15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 wrapText="1"/>
    </xf>
    <xf numFmtId="2" fontId="1" fillId="2" borderId="15" xfId="1" applyNumberFormat="1" applyFont="1" applyFill="1" applyBorder="1" applyAlignment="1" applyProtection="1">
      <alignment horizontal="right" vertical="center"/>
    </xf>
    <xf numFmtId="166" fontId="1" fillId="2" borderId="15" xfId="1" applyFont="1" applyFill="1" applyBorder="1" applyAlignment="1" applyProtection="1">
      <alignment vertical="center"/>
    </xf>
    <xf numFmtId="166" fontId="1" fillId="2" borderId="15" xfId="15" applyFont="1" applyFill="1" applyBorder="1" applyAlignment="1" applyProtection="1">
      <alignment horizontal="right" vertical="center"/>
    </xf>
    <xf numFmtId="2" fontId="1" fillId="0" borderId="15" xfId="15" applyNumberFormat="1" applyFont="1" applyFill="1" applyBorder="1" applyAlignment="1" applyProtection="1">
      <alignment horizontal="right" vertical="center"/>
    </xf>
    <xf numFmtId="166" fontId="1" fillId="0" borderId="0" xfId="15" applyFont="1" applyFill="1" applyBorder="1" applyAlignment="1" applyProtection="1"/>
    <xf numFmtId="0" fontId="5" fillId="0" borderId="0" xfId="0" applyFont="1" applyFill="1" applyAlignment="1" applyProtection="1">
      <alignment vertical="center" wrapText="1"/>
      <protection locked="0"/>
    </xf>
    <xf numFmtId="167" fontId="4" fillId="0" borderId="0" xfId="0" applyNumberFormat="1" applyFont="1" applyFill="1"/>
    <xf numFmtId="166" fontId="8" fillId="6" borderId="11" xfId="15" applyFont="1" applyFill="1" applyBorder="1" applyAlignment="1" applyProtection="1">
      <alignment horizontal="right" vertical="center"/>
    </xf>
    <xf numFmtId="166" fontId="10" fillId="6" borderId="16" xfId="15" applyFont="1" applyFill="1" applyBorder="1" applyAlignment="1" applyProtection="1">
      <alignment horizontal="right" vertical="center"/>
    </xf>
    <xf numFmtId="166" fontId="1" fillId="2" borderId="0" xfId="15" applyFont="1" applyFill="1" applyBorder="1" applyAlignment="1" applyProtection="1"/>
    <xf numFmtId="166" fontId="1" fillId="6" borderId="0" xfId="15" applyFont="1" applyFill="1" applyBorder="1" applyAlignment="1" applyProtection="1"/>
    <xf numFmtId="0" fontId="1" fillId="2" borderId="7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7" applyFont="1" applyFill="1" applyBorder="1" applyAlignment="1">
      <alignment horizontal="left"/>
    </xf>
    <xf numFmtId="0" fontId="1" fillId="2" borderId="0" xfId="7" applyFont="1" applyFill="1" applyBorder="1" applyAlignment="1">
      <alignment horizontal="center" vertical="center"/>
    </xf>
    <xf numFmtId="166" fontId="1" fillId="2" borderId="6" xfId="1" applyFont="1" applyFill="1" applyBorder="1" applyAlignment="1" applyProtection="1"/>
    <xf numFmtId="0" fontId="1" fillId="2" borderId="0" xfId="7" applyFont="1" applyFill="1"/>
    <xf numFmtId="166" fontId="1" fillId="2" borderId="8" xfId="1" applyFont="1" applyFill="1" applyBorder="1" applyAlignment="1" applyProtection="1"/>
    <xf numFmtId="0" fontId="1" fillId="2" borderId="0" xfId="0" applyFont="1" applyFill="1" applyBorder="1" applyAlignment="1">
      <alignment vertical="center"/>
    </xf>
    <xf numFmtId="166" fontId="4" fillId="2" borderId="8" xfId="1" applyFont="1" applyFill="1" applyBorder="1" applyAlignment="1" applyProtection="1"/>
    <xf numFmtId="0" fontId="1" fillId="2" borderId="0" xfId="0" applyFont="1" applyFill="1" applyBorder="1"/>
    <xf numFmtId="166" fontId="1" fillId="2" borderId="8" xfId="15" applyFont="1" applyFill="1" applyBorder="1" applyAlignment="1" applyProtection="1"/>
    <xf numFmtId="0" fontId="1" fillId="2" borderId="9" xfId="0" applyFont="1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0" xfId="0" applyFont="1" applyFill="1" applyBorder="1"/>
    <xf numFmtId="166" fontId="1" fillId="2" borderId="20" xfId="15" applyFont="1" applyFill="1" applyBorder="1" applyAlignment="1" applyProtection="1"/>
    <xf numFmtId="166" fontId="1" fillId="2" borderId="20" xfId="1" applyFont="1" applyFill="1" applyBorder="1" applyAlignment="1" applyProtection="1"/>
    <xf numFmtId="166" fontId="1" fillId="2" borderId="21" xfId="15" applyFont="1" applyFill="1" applyBorder="1" applyAlignment="1" applyProtection="1"/>
    <xf numFmtId="166" fontId="1" fillId="2" borderId="10" xfId="15" applyFont="1" applyFill="1" applyBorder="1" applyAlignment="1" applyProtection="1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7" fillId="2" borderId="5" xfId="0" applyFont="1" applyFill="1" applyBorder="1" applyAlignment="1" applyProtection="1">
      <alignment horizontal="left" vertical="center"/>
    </xf>
    <xf numFmtId="0" fontId="7" fillId="2" borderId="2" xfId="0" applyFont="1" applyFill="1" applyBorder="1" applyAlignment="1" applyProtection="1">
      <alignment vertical="center"/>
    </xf>
    <xf numFmtId="0" fontId="5" fillId="2" borderId="28" xfId="0" applyFont="1" applyFill="1" applyBorder="1" applyAlignment="1" applyProtection="1">
      <alignment vertical="center"/>
    </xf>
    <xf numFmtId="0" fontId="5" fillId="2" borderId="2" xfId="0" applyFont="1" applyFill="1" applyBorder="1" applyAlignment="1" applyProtection="1">
      <alignment vertical="center"/>
    </xf>
    <xf numFmtId="10" fontId="10" fillId="2" borderId="2" xfId="3" applyNumberFormat="1" applyFont="1" applyFill="1" applyBorder="1" applyAlignment="1" applyProtection="1">
      <alignment vertical="center"/>
    </xf>
    <xf numFmtId="10" fontId="10" fillId="2" borderId="3" xfId="3" applyNumberFormat="1" applyFont="1" applyFill="1" applyBorder="1" applyAlignment="1" applyProtection="1">
      <alignment vertical="center"/>
    </xf>
    <xf numFmtId="0" fontId="7" fillId="2" borderId="29" xfId="0" applyFont="1" applyFill="1" applyBorder="1" applyAlignment="1" applyProtection="1">
      <alignment horizontal="left" vertical="center"/>
    </xf>
    <xf numFmtId="0" fontId="7" fillId="2" borderId="13" xfId="0" applyFont="1" applyFill="1" applyBorder="1" applyAlignment="1" applyProtection="1">
      <alignment vertical="center"/>
    </xf>
    <xf numFmtId="0" fontId="5" fillId="2" borderId="30" xfId="0" applyFont="1" applyFill="1" applyBorder="1" applyAlignment="1" applyProtection="1">
      <alignment vertical="center"/>
    </xf>
    <xf numFmtId="0" fontId="5" fillId="2" borderId="13" xfId="0" applyFont="1" applyFill="1" applyBorder="1" applyAlignment="1" applyProtection="1">
      <alignment vertical="center"/>
    </xf>
    <xf numFmtId="10" fontId="10" fillId="2" borderId="13" xfId="3" applyNumberFormat="1" applyFont="1" applyFill="1" applyBorder="1" applyAlignment="1" applyProtection="1">
      <alignment vertical="center"/>
    </xf>
    <xf numFmtId="10" fontId="10" fillId="2" borderId="31" xfId="3" applyNumberFormat="1" applyFont="1" applyFill="1" applyBorder="1" applyAlignment="1" applyProtection="1">
      <alignment vertical="center"/>
    </xf>
    <xf numFmtId="0" fontId="7" fillId="2" borderId="32" xfId="0" applyFont="1" applyFill="1" applyBorder="1" applyAlignment="1" applyProtection="1">
      <alignment horizontal="left" vertical="center"/>
    </xf>
    <xf numFmtId="0" fontId="7" fillId="2" borderId="33" xfId="0" applyFont="1" applyFill="1" applyBorder="1" applyAlignment="1" applyProtection="1">
      <alignment horizontal="left" vertical="center"/>
    </xf>
    <xf numFmtId="10" fontId="7" fillId="2" borderId="34" xfId="0" applyNumberFormat="1" applyFont="1" applyFill="1" applyBorder="1" applyAlignment="1" applyProtection="1">
      <alignment vertical="center"/>
    </xf>
    <xf numFmtId="0" fontId="7" fillId="2" borderId="33" xfId="0" applyFont="1" applyFill="1" applyBorder="1" applyAlignment="1" applyProtection="1">
      <alignment horizontal="center" vertical="center"/>
    </xf>
    <xf numFmtId="0" fontId="7" fillId="2" borderId="34" xfId="0" applyFont="1" applyFill="1" applyBorder="1" applyAlignment="1" applyProtection="1">
      <alignment vertical="center"/>
    </xf>
    <xf numFmtId="0" fontId="7" fillId="2" borderId="33" xfId="0" applyFont="1" applyFill="1" applyBorder="1" applyAlignment="1" applyProtection="1">
      <alignment vertical="center"/>
    </xf>
    <xf numFmtId="0" fontId="7" fillId="2" borderId="37" xfId="0" applyFont="1" applyFill="1" applyBorder="1" applyAlignment="1" applyProtection="1">
      <alignment horizontal="left" vertical="center"/>
    </xf>
    <xf numFmtId="0" fontId="7" fillId="2" borderId="38" xfId="0" applyFont="1" applyFill="1" applyBorder="1" applyAlignment="1" applyProtection="1">
      <alignment horizontal="left" vertical="center"/>
    </xf>
    <xf numFmtId="10" fontId="7" fillId="2" borderId="39" xfId="0" applyNumberFormat="1" applyFont="1" applyFill="1" applyBorder="1" applyAlignment="1" applyProtection="1">
      <alignment vertical="center"/>
    </xf>
    <xf numFmtId="0" fontId="7" fillId="2" borderId="38" xfId="0" applyFont="1" applyFill="1" applyBorder="1" applyAlignment="1" applyProtection="1">
      <alignment horizontal="center" vertical="center"/>
    </xf>
    <xf numFmtId="0" fontId="7" fillId="2" borderId="39" xfId="0" applyFont="1" applyFill="1" applyBorder="1" applyAlignment="1" applyProtection="1">
      <alignment vertical="center"/>
    </xf>
    <xf numFmtId="0" fontId="7" fillId="2" borderId="38" xfId="0" applyFont="1" applyFill="1" applyBorder="1" applyAlignment="1" applyProtection="1">
      <alignment vertical="center"/>
    </xf>
    <xf numFmtId="0" fontId="7" fillId="2" borderId="41" xfId="0" applyFont="1" applyFill="1" applyBorder="1" applyAlignment="1" applyProtection="1">
      <alignment horizontal="left" vertical="center"/>
    </xf>
    <xf numFmtId="0" fontId="7" fillId="2" borderId="42" xfId="0" applyFont="1" applyFill="1" applyBorder="1" applyAlignment="1" applyProtection="1">
      <alignment horizontal="left" vertical="center"/>
    </xf>
    <xf numFmtId="0" fontId="7" fillId="2" borderId="44" xfId="0" applyFont="1" applyFill="1" applyBorder="1" applyAlignment="1" applyProtection="1">
      <alignment vertical="center"/>
    </xf>
    <xf numFmtId="0" fontId="7" fillId="2" borderId="42" xfId="0" applyFont="1" applyFill="1" applyBorder="1" applyAlignment="1" applyProtection="1">
      <alignment vertical="center"/>
    </xf>
    <xf numFmtId="0" fontId="0" fillId="0" borderId="5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2" borderId="0" xfId="7" applyFont="1" applyFill="1" applyBorder="1" applyAlignment="1">
      <alignment horizontal="center"/>
    </xf>
    <xf numFmtId="0" fontId="4" fillId="2" borderId="0" xfId="7" applyFont="1" applyFill="1" applyBorder="1" applyAlignment="1"/>
    <xf numFmtId="0" fontId="1" fillId="2" borderId="0" xfId="7" applyFont="1" applyFill="1" applyBorder="1" applyAlignment="1">
      <alignment horizontal="center"/>
    </xf>
    <xf numFmtId="0" fontId="1" fillId="2" borderId="0" xfId="7" applyFill="1" applyBorder="1" applyAlignment="1"/>
    <xf numFmtId="0" fontId="0" fillId="0" borderId="9" xfId="0" applyBorder="1"/>
    <xf numFmtId="0" fontId="0" fillId="0" borderId="20" xfId="0" applyBorder="1"/>
    <xf numFmtId="0" fontId="0" fillId="0" borderId="10" xfId="0" applyBorder="1"/>
    <xf numFmtId="0" fontId="1" fillId="2" borderId="0" xfId="7" applyFill="1"/>
    <xf numFmtId="0" fontId="1" fillId="2" borderId="5" xfId="7" applyFill="1" applyBorder="1"/>
    <xf numFmtId="0" fontId="1" fillId="2" borderId="2" xfId="7" applyFill="1" applyBorder="1"/>
    <xf numFmtId="0" fontId="1" fillId="2" borderId="3" xfId="7" applyFill="1" applyBorder="1"/>
    <xf numFmtId="0" fontId="1" fillId="2" borderId="7" xfId="7" applyFill="1" applyBorder="1"/>
    <xf numFmtId="0" fontId="1" fillId="2" borderId="0" xfId="7" applyFill="1" applyBorder="1"/>
    <xf numFmtId="0" fontId="1" fillId="2" borderId="8" xfId="7" applyFill="1" applyBorder="1"/>
    <xf numFmtId="0" fontId="14" fillId="0" borderId="20" xfId="7" applyFont="1" applyBorder="1" applyAlignment="1">
      <alignment vertical="center" wrapText="1"/>
    </xf>
    <xf numFmtId="0" fontId="15" fillId="0" borderId="0" xfId="7" applyFont="1"/>
    <xf numFmtId="0" fontId="4" fillId="2" borderId="2" xfId="7" applyFont="1" applyFill="1" applyBorder="1" applyAlignment="1">
      <alignment vertical="center"/>
    </xf>
    <xf numFmtId="0" fontId="4" fillId="2" borderId="0" xfId="7" applyFont="1" applyFill="1" applyBorder="1" applyAlignment="1">
      <alignment vertical="center"/>
    </xf>
    <xf numFmtId="0" fontId="1" fillId="2" borderId="0" xfId="7" applyFill="1" applyBorder="1" applyAlignment="1">
      <alignment vertical="center"/>
    </xf>
    <xf numFmtId="0" fontId="1" fillId="2" borderId="8" xfId="7" applyFill="1" applyBorder="1" applyAlignment="1">
      <alignment vertical="center"/>
    </xf>
    <xf numFmtId="0" fontId="1" fillId="2" borderId="0" xfId="7" applyFill="1" applyAlignment="1">
      <alignment vertical="center"/>
    </xf>
    <xf numFmtId="0" fontId="4" fillId="2" borderId="0" xfId="7" applyFont="1" applyFill="1" applyBorder="1" applyAlignment="1">
      <alignment horizontal="left" vertical="center"/>
    </xf>
    <xf numFmtId="0" fontId="4" fillId="2" borderId="46" xfId="7" applyFont="1" applyFill="1" applyBorder="1" applyAlignment="1">
      <alignment horizontal="left"/>
    </xf>
    <xf numFmtId="0" fontId="4" fillId="2" borderId="20" xfId="7" applyFont="1" applyFill="1" applyBorder="1" applyAlignment="1"/>
    <xf numFmtId="0" fontId="1" fillId="2" borderId="20" xfId="7" applyFill="1" applyBorder="1"/>
    <xf numFmtId="0" fontId="1" fillId="2" borderId="10" xfId="7" applyFill="1" applyBorder="1"/>
    <xf numFmtId="0" fontId="4" fillId="6" borderId="13" xfId="7" applyFont="1" applyFill="1" applyBorder="1" applyAlignment="1">
      <alignment vertical="center"/>
    </xf>
    <xf numFmtId="0" fontId="4" fillId="6" borderId="48" xfId="7" applyFont="1" applyFill="1" applyBorder="1" applyAlignment="1">
      <alignment vertical="center"/>
    </xf>
    <xf numFmtId="0" fontId="4" fillId="6" borderId="48" xfId="7" applyFont="1" applyFill="1" applyBorder="1" applyAlignment="1">
      <alignment horizontal="left" vertical="center"/>
    </xf>
    <xf numFmtId="0" fontId="1" fillId="6" borderId="48" xfId="7" applyFill="1" applyBorder="1" applyAlignment="1">
      <alignment vertical="center"/>
    </xf>
    <xf numFmtId="0" fontId="1" fillId="6" borderId="49" xfId="7" applyFill="1" applyBorder="1" applyAlignment="1">
      <alignment vertical="center"/>
    </xf>
    <xf numFmtId="0" fontId="1" fillId="6" borderId="0" xfId="7" applyFill="1" applyAlignment="1">
      <alignment vertical="center"/>
    </xf>
    <xf numFmtId="0" fontId="7" fillId="2" borderId="15" xfId="10" applyFont="1" applyFill="1" applyBorder="1" applyAlignment="1">
      <alignment horizontal="center" vertical="center"/>
    </xf>
    <xf numFmtId="0" fontId="12" fillId="2" borderId="15" xfId="10" applyFont="1" applyFill="1" applyBorder="1" applyAlignment="1">
      <alignment horizontal="center" vertical="center" wrapText="1"/>
    </xf>
    <xf numFmtId="0" fontId="7" fillId="2" borderId="0" xfId="10" applyFont="1" applyFill="1" applyAlignment="1">
      <alignment vertical="center"/>
    </xf>
    <xf numFmtId="0" fontId="7" fillId="2" borderId="50" xfId="10" applyFont="1" applyFill="1" applyBorder="1" applyAlignment="1">
      <alignment vertical="center"/>
    </xf>
    <xf numFmtId="0" fontId="7" fillId="2" borderId="15" xfId="10" applyFont="1" applyFill="1" applyBorder="1" applyAlignment="1">
      <alignment vertical="center"/>
    </xf>
    <xf numFmtId="0" fontId="7" fillId="2" borderId="51" xfId="10" applyFont="1" applyFill="1" applyBorder="1" applyAlignment="1">
      <alignment horizontal="center" vertical="center"/>
    </xf>
    <xf numFmtId="0" fontId="7" fillId="2" borderId="53" xfId="10" applyFont="1" applyFill="1" applyBorder="1" applyAlignment="1">
      <alignment horizontal="center" vertical="center"/>
    </xf>
    <xf numFmtId="0" fontId="7" fillId="2" borderId="18" xfId="10" applyFont="1" applyFill="1" applyBorder="1" applyAlignment="1">
      <alignment horizontal="center" vertical="center"/>
    </xf>
    <xf numFmtId="0" fontId="7" fillId="2" borderId="11" xfId="10" applyFont="1" applyFill="1" applyBorder="1" applyAlignment="1">
      <alignment horizontal="center" vertical="center"/>
    </xf>
    <xf numFmtId="0" fontId="7" fillId="2" borderId="54" xfId="10" applyFont="1" applyFill="1" applyBorder="1" applyAlignment="1">
      <alignment horizontal="center" vertical="center"/>
    </xf>
    <xf numFmtId="0" fontId="7" fillId="2" borderId="15" xfId="8" applyFont="1" applyFill="1" applyBorder="1" applyAlignment="1">
      <alignment horizontal="left" vertical="center" wrapText="1"/>
    </xf>
    <xf numFmtId="10" fontId="7" fillId="2" borderId="15" xfId="13" applyNumberFormat="1" applyFont="1" applyFill="1" applyBorder="1" applyAlignment="1" applyProtection="1">
      <alignment vertical="center"/>
    </xf>
    <xf numFmtId="166" fontId="7" fillId="2" borderId="15" xfId="15" applyFont="1" applyFill="1" applyBorder="1" applyAlignment="1" applyProtection="1">
      <alignment horizontal="center" vertical="center"/>
    </xf>
    <xf numFmtId="9" fontId="7" fillId="2" borderId="15" xfId="13" applyNumberFormat="1" applyFont="1" applyFill="1" applyBorder="1" applyAlignment="1" applyProtection="1">
      <alignment vertical="center"/>
    </xf>
    <xf numFmtId="9" fontId="7" fillId="2" borderId="51" xfId="13" applyNumberFormat="1" applyFont="1" applyFill="1" applyBorder="1" applyAlignment="1" applyProtection="1">
      <alignment vertical="center"/>
    </xf>
    <xf numFmtId="166" fontId="7" fillId="2" borderId="16" xfId="15" applyFont="1" applyFill="1" applyBorder="1" applyAlignment="1" applyProtection="1">
      <alignment horizontal="center" vertical="center"/>
    </xf>
    <xf numFmtId="9" fontId="7" fillId="2" borderId="15" xfId="13" applyFont="1" applyFill="1" applyBorder="1" applyAlignment="1" applyProtection="1">
      <alignment vertical="center"/>
    </xf>
    <xf numFmtId="9" fontId="7" fillId="2" borderId="11" xfId="13" applyFont="1" applyFill="1" applyBorder="1" applyAlignment="1" applyProtection="1">
      <alignment vertical="center"/>
    </xf>
    <xf numFmtId="9" fontId="7" fillId="2" borderId="51" xfId="13" applyFont="1" applyFill="1" applyBorder="1" applyAlignment="1" applyProtection="1">
      <alignment vertical="center"/>
    </xf>
    <xf numFmtId="166" fontId="7" fillId="2" borderId="18" xfId="15" applyFont="1" applyFill="1" applyBorder="1" applyAlignment="1" applyProtection="1">
      <alignment horizontal="center" vertical="center"/>
    </xf>
    <xf numFmtId="0" fontId="7" fillId="2" borderId="55" xfId="10" applyFont="1" applyFill="1" applyBorder="1" applyAlignment="1">
      <alignment horizontal="center" vertical="center"/>
    </xf>
    <xf numFmtId="0" fontId="7" fillId="2" borderId="18" xfId="8" applyFont="1" applyFill="1" applyBorder="1" applyAlignment="1">
      <alignment horizontal="left" vertical="center" wrapText="1"/>
    </xf>
    <xf numFmtId="9" fontId="7" fillId="2" borderId="18" xfId="13" applyNumberFormat="1" applyFont="1" applyFill="1" applyBorder="1" applyAlignment="1" applyProtection="1">
      <alignment vertical="center"/>
    </xf>
    <xf numFmtId="9" fontId="7" fillId="2" borderId="54" xfId="13" applyNumberFormat="1" applyFont="1" applyFill="1" applyBorder="1" applyAlignment="1" applyProtection="1">
      <alignment vertical="center"/>
    </xf>
    <xf numFmtId="10" fontId="7" fillId="2" borderId="18" xfId="13" applyNumberFormat="1" applyFont="1" applyFill="1" applyBorder="1" applyAlignment="1" applyProtection="1">
      <alignment vertical="center"/>
    </xf>
    <xf numFmtId="9" fontId="7" fillId="2" borderId="18" xfId="13" applyFont="1" applyFill="1" applyBorder="1" applyAlignment="1" applyProtection="1">
      <alignment vertical="center"/>
    </xf>
    <xf numFmtId="0" fontId="7" fillId="2" borderId="57" xfId="8" applyFont="1" applyFill="1" applyBorder="1" applyAlignment="1">
      <alignment horizontal="left" vertical="center" wrapText="1"/>
    </xf>
    <xf numFmtId="10" fontId="7" fillId="2" borderId="57" xfId="13" applyNumberFormat="1" applyFont="1" applyFill="1" applyBorder="1" applyAlignment="1" applyProtection="1">
      <alignment vertical="center"/>
    </xf>
    <xf numFmtId="166" fontId="7" fillId="2" borderId="57" xfId="15" applyFont="1" applyFill="1" applyBorder="1" applyAlignment="1" applyProtection="1">
      <alignment horizontal="center" vertical="center"/>
    </xf>
    <xf numFmtId="9" fontId="7" fillId="2" borderId="57" xfId="13" applyFont="1" applyFill="1" applyBorder="1" applyAlignment="1" applyProtection="1">
      <alignment vertical="center"/>
    </xf>
    <xf numFmtId="9" fontId="7" fillId="2" borderId="36" xfId="13" applyNumberFormat="1" applyFont="1" applyFill="1" applyBorder="1" applyAlignment="1" applyProtection="1">
      <alignment vertical="center"/>
    </xf>
    <xf numFmtId="0" fontId="7" fillId="2" borderId="7" xfId="10" applyFont="1" applyFill="1" applyBorder="1" applyAlignment="1">
      <alignment horizontal="center"/>
    </xf>
    <xf numFmtId="0" fontId="7" fillId="2" borderId="0" xfId="10" applyFont="1" applyFill="1" applyBorder="1" applyAlignment="1">
      <alignment horizontal="center"/>
    </xf>
    <xf numFmtId="0" fontId="7" fillId="2" borderId="0" xfId="10" applyFont="1" applyFill="1" applyBorder="1" applyAlignment="1"/>
    <xf numFmtId="10" fontId="7" fillId="2" borderId="0" xfId="10" applyNumberFormat="1" applyFont="1" applyFill="1" applyBorder="1"/>
    <xf numFmtId="166" fontId="7" fillId="2" borderId="0" xfId="15" applyFont="1" applyFill="1" applyBorder="1" applyAlignment="1" applyProtection="1">
      <alignment horizontal="center"/>
    </xf>
    <xf numFmtId="9" fontId="7" fillId="2" borderId="0" xfId="13" applyFont="1" applyFill="1" applyBorder="1" applyAlignment="1" applyProtection="1"/>
    <xf numFmtId="9" fontId="7" fillId="2" borderId="8" xfId="13" applyFont="1" applyFill="1" applyBorder="1" applyAlignment="1" applyProtection="1"/>
    <xf numFmtId="0" fontId="7" fillId="2" borderId="16" xfId="10" applyFont="1" applyFill="1" applyBorder="1" applyAlignment="1">
      <alignment horizontal="center"/>
    </xf>
    <xf numFmtId="9" fontId="7" fillId="2" borderId="15" xfId="13" applyFont="1" applyFill="1" applyBorder="1" applyAlignment="1" applyProtection="1"/>
    <xf numFmtId="4" fontId="7" fillId="2" borderId="15" xfId="10" applyNumberFormat="1" applyFont="1" applyFill="1" applyBorder="1" applyAlignment="1">
      <alignment horizontal="center"/>
    </xf>
    <xf numFmtId="4" fontId="7" fillId="2" borderId="11" xfId="10" applyNumberFormat="1" applyFont="1" applyFill="1" applyBorder="1" applyAlignment="1">
      <alignment horizontal="center"/>
    </xf>
    <xf numFmtId="9" fontId="7" fillId="2" borderId="11" xfId="13" applyFont="1" applyFill="1" applyBorder="1" applyAlignment="1" applyProtection="1"/>
    <xf numFmtId="9" fontId="7" fillId="2" borderId="51" xfId="13" applyFont="1" applyFill="1" applyBorder="1" applyAlignment="1" applyProtection="1"/>
    <xf numFmtId="0" fontId="7" fillId="2" borderId="0" xfId="10" applyFont="1" applyFill="1"/>
    <xf numFmtId="4" fontId="7" fillId="2" borderId="0" xfId="10" applyNumberFormat="1" applyFont="1" applyFill="1"/>
    <xf numFmtId="0" fontId="7" fillId="2" borderId="26" xfId="10" applyFont="1" applyFill="1" applyBorder="1" applyAlignment="1">
      <alignment horizontal="left"/>
    </xf>
    <xf numFmtId="9" fontId="7" fillId="2" borderId="26" xfId="10" applyNumberFormat="1" applyFont="1" applyFill="1" applyBorder="1"/>
    <xf numFmtId="4" fontId="7" fillId="2" borderId="26" xfId="10" applyNumberFormat="1" applyFont="1" applyFill="1" applyBorder="1" applyAlignment="1">
      <alignment horizontal="center"/>
    </xf>
    <xf numFmtId="9" fontId="7" fillId="2" borderId="26" xfId="13" applyFont="1" applyFill="1" applyBorder="1" applyAlignment="1" applyProtection="1"/>
    <xf numFmtId="9" fontId="7" fillId="2" borderId="59" xfId="13" applyFont="1" applyFill="1" applyBorder="1" applyAlignment="1" applyProtection="1"/>
    <xf numFmtId="4" fontId="7" fillId="2" borderId="16" xfId="10" applyNumberFormat="1" applyFont="1" applyFill="1" applyBorder="1" applyAlignment="1">
      <alignment horizontal="center"/>
    </xf>
    <xf numFmtId="0" fontId="7" fillId="0" borderId="57" xfId="10" applyFont="1" applyFill="1" applyBorder="1" applyAlignment="1">
      <alignment horizontal="left"/>
    </xf>
    <xf numFmtId="9" fontId="7" fillId="2" borderId="57" xfId="10" applyNumberFormat="1" applyFont="1" applyFill="1" applyBorder="1"/>
    <xf numFmtId="4" fontId="7" fillId="2" borderId="57" xfId="10" applyNumberFormat="1" applyFont="1" applyFill="1" applyBorder="1" applyAlignment="1">
      <alignment horizontal="center"/>
    </xf>
    <xf numFmtId="4" fontId="7" fillId="0" borderId="57" xfId="10" applyNumberFormat="1" applyFont="1" applyFill="1" applyBorder="1" applyAlignment="1">
      <alignment horizontal="center"/>
    </xf>
    <xf numFmtId="9" fontId="7" fillId="0" borderId="36" xfId="10" applyNumberFormat="1" applyFont="1" applyFill="1" applyBorder="1"/>
    <xf numFmtId="4" fontId="7" fillId="2" borderId="60" xfId="10" applyNumberFormat="1" applyFont="1" applyFill="1" applyBorder="1" applyAlignment="1">
      <alignment horizontal="center"/>
    </xf>
    <xf numFmtId="9" fontId="7" fillId="2" borderId="57" xfId="13" applyFont="1" applyFill="1" applyBorder="1" applyAlignment="1" applyProtection="1"/>
    <xf numFmtId="4" fontId="7" fillId="2" borderId="61" xfId="10" applyNumberFormat="1" applyFont="1" applyFill="1" applyBorder="1" applyAlignment="1">
      <alignment horizontal="center"/>
    </xf>
    <xf numFmtId="9" fontId="7" fillId="0" borderId="61" xfId="13" applyFont="1" applyFill="1" applyBorder="1" applyAlignment="1" applyProtection="1"/>
    <xf numFmtId="4" fontId="5" fillId="6" borderId="57" xfId="10" applyNumberFormat="1" applyFont="1" applyFill="1" applyBorder="1" applyAlignment="1">
      <alignment horizontal="center"/>
    </xf>
    <xf numFmtId="9" fontId="5" fillId="6" borderId="36" xfId="13" applyFont="1" applyFill="1" applyBorder="1" applyAlignment="1" applyProtection="1"/>
    <xf numFmtId="0" fontId="7" fillId="2" borderId="5" xfId="10" applyFont="1" applyFill="1" applyBorder="1"/>
    <xf numFmtId="0" fontId="7" fillId="2" borderId="2" xfId="10" applyFont="1" applyFill="1" applyBorder="1"/>
    <xf numFmtId="0" fontId="7" fillId="2" borderId="2" xfId="10" applyFont="1" applyFill="1" applyBorder="1" applyAlignment="1">
      <alignment horizontal="center"/>
    </xf>
    <xf numFmtId="0" fontId="7" fillId="2" borderId="3" xfId="10" applyFont="1" applyFill="1" applyBorder="1"/>
    <xf numFmtId="0" fontId="7" fillId="2" borderId="0" xfId="10" applyFont="1" applyFill="1" applyBorder="1"/>
    <xf numFmtId="0" fontId="7" fillId="2" borderId="7" xfId="10" applyFont="1" applyFill="1" applyBorder="1"/>
    <xf numFmtId="0" fontId="7" fillId="2" borderId="8" xfId="10" applyFont="1" applyFill="1" applyBorder="1"/>
    <xf numFmtId="14" fontId="7" fillId="2" borderId="0" xfId="10" applyNumberFormat="1" applyFont="1" applyFill="1" applyBorder="1"/>
    <xf numFmtId="0" fontId="5" fillId="2" borderId="0" xfId="10" applyFont="1" applyFill="1" applyBorder="1" applyAlignment="1"/>
    <xf numFmtId="0" fontId="4" fillId="2" borderId="8" xfId="7" applyFont="1" applyFill="1" applyBorder="1" applyAlignment="1"/>
    <xf numFmtId="0" fontId="1" fillId="2" borderId="7" xfId="7" applyFill="1" applyBorder="1" applyAlignment="1">
      <alignment horizontal="left"/>
    </xf>
    <xf numFmtId="0" fontId="1" fillId="2" borderId="0" xfId="7" applyFill="1" applyBorder="1" applyAlignment="1">
      <alignment horizontal="right"/>
    </xf>
    <xf numFmtId="0" fontId="1" fillId="2" borderId="8" xfId="7" applyFill="1" applyBorder="1" applyAlignment="1"/>
    <xf numFmtId="0" fontId="1" fillId="2" borderId="9" xfId="7" applyFill="1" applyBorder="1"/>
    <xf numFmtId="0" fontId="1" fillId="2" borderId="20" xfId="7" applyFill="1" applyBorder="1" applyAlignment="1">
      <alignment horizontal="center"/>
    </xf>
    <xf numFmtId="0" fontId="0" fillId="2" borderId="0" xfId="0" applyFill="1"/>
    <xf numFmtId="0" fontId="4" fillId="2" borderId="8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1" fillId="5" borderId="55" xfId="7" applyFont="1" applyFill="1" applyBorder="1" applyAlignment="1">
      <alignment horizontal="center" vertical="center"/>
    </xf>
    <xf numFmtId="0" fontId="1" fillId="5" borderId="18" xfId="7" applyFont="1" applyFill="1" applyBorder="1" applyAlignment="1">
      <alignment horizontal="center" vertical="center"/>
    </xf>
    <xf numFmtId="0" fontId="1" fillId="5" borderId="62" xfId="7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left" vertical="center"/>
    </xf>
    <xf numFmtId="166" fontId="4" fillId="8" borderId="15" xfId="1" applyFont="1" applyFill="1" applyBorder="1" applyAlignment="1" applyProtection="1">
      <alignment vertical="center"/>
    </xf>
    <xf numFmtId="9" fontId="4" fillId="9" borderId="15" xfId="3" applyFont="1" applyFill="1" applyBorder="1" applyAlignment="1" applyProtection="1">
      <alignment horizontal="right" vertical="center"/>
    </xf>
    <xf numFmtId="9" fontId="4" fillId="3" borderId="15" xfId="3" applyFont="1" applyFill="1" applyBorder="1" applyAlignment="1" applyProtection="1">
      <alignment horizontal="right" vertical="center"/>
    </xf>
    <xf numFmtId="9" fontId="4" fillId="10" borderId="15" xfId="3" applyFont="1" applyFill="1" applyBorder="1" applyAlignment="1" applyProtection="1">
      <alignment horizontal="right" vertical="center"/>
    </xf>
    <xf numFmtId="9" fontId="1" fillId="8" borderId="15" xfId="3" applyFont="1" applyFill="1" applyBorder="1" applyAlignment="1" applyProtection="1">
      <alignment horizontal="right" vertical="center"/>
    </xf>
    <xf numFmtId="9" fontId="4" fillId="8" borderId="15" xfId="3" applyFont="1" applyFill="1" applyBorder="1" applyAlignment="1" applyProtection="1">
      <alignment horizontal="right" vertical="center"/>
    </xf>
    <xf numFmtId="0" fontId="1" fillId="11" borderId="0" xfId="7" applyFill="1" applyAlignment="1">
      <alignment vertical="center"/>
    </xf>
    <xf numFmtId="166" fontId="4" fillId="9" borderId="11" xfId="15" applyFont="1" applyFill="1" applyBorder="1" applyAlignment="1" applyProtection="1">
      <alignment horizontal="right"/>
    </xf>
    <xf numFmtId="166" fontId="1" fillId="3" borderId="15" xfId="1" applyFont="1" applyFill="1" applyBorder="1" applyAlignment="1" applyProtection="1">
      <alignment horizontal="right"/>
    </xf>
    <xf numFmtId="166" fontId="1" fillId="10" borderId="15" xfId="1" applyFont="1" applyFill="1" applyBorder="1" applyAlignment="1" applyProtection="1">
      <alignment horizontal="right"/>
    </xf>
    <xf numFmtId="166" fontId="1" fillId="2" borderId="15" xfId="1" applyFont="1" applyFill="1" applyBorder="1" applyAlignment="1" applyProtection="1">
      <alignment horizontal="right"/>
    </xf>
    <xf numFmtId="166" fontId="4" fillId="2" borderId="63" xfId="1" applyFont="1" applyFill="1" applyBorder="1" applyAlignment="1" applyProtection="1">
      <alignment horizontal="right"/>
    </xf>
    <xf numFmtId="166" fontId="4" fillId="3" borderId="11" xfId="15" applyFont="1" applyFill="1" applyBorder="1" applyAlignment="1" applyProtection="1">
      <alignment horizontal="right"/>
    </xf>
    <xf numFmtId="9" fontId="1" fillId="10" borderId="15" xfId="3" applyFont="1" applyFill="1" applyBorder="1" applyAlignment="1" applyProtection="1">
      <alignment horizontal="right"/>
    </xf>
    <xf numFmtId="9" fontId="1" fillId="3" borderId="15" xfId="3" applyFont="1" applyFill="1" applyBorder="1" applyAlignment="1" applyProtection="1">
      <alignment horizontal="right"/>
    </xf>
    <xf numFmtId="9" fontId="1" fillId="0" borderId="15" xfId="3" applyFont="1" applyFill="1" applyBorder="1" applyAlignment="1" applyProtection="1">
      <alignment horizontal="right"/>
    </xf>
    <xf numFmtId="9" fontId="1" fillId="0" borderId="63" xfId="3" applyFont="1" applyFill="1" applyBorder="1" applyAlignment="1" applyProtection="1">
      <alignment horizontal="right"/>
    </xf>
    <xf numFmtId="0" fontId="1" fillId="11" borderId="0" xfId="7" applyFill="1"/>
    <xf numFmtId="166" fontId="4" fillId="10" borderId="15" xfId="15" applyFont="1" applyFill="1" applyBorder="1" applyAlignment="1" applyProtection="1">
      <alignment horizontal="right"/>
    </xf>
    <xf numFmtId="0" fontId="1" fillId="3" borderId="0" xfId="7" applyFill="1" applyAlignment="1">
      <alignment wrapText="1"/>
    </xf>
    <xf numFmtId="166" fontId="1" fillId="2" borderId="15" xfId="1" applyFont="1" applyFill="1" applyBorder="1" applyAlignment="1" applyProtection="1">
      <alignment horizontal="right" wrapText="1"/>
    </xf>
    <xf numFmtId="166" fontId="4" fillId="2" borderId="63" xfId="1" applyFont="1" applyFill="1" applyBorder="1" applyAlignment="1" applyProtection="1">
      <alignment horizontal="right" wrapText="1"/>
    </xf>
    <xf numFmtId="0" fontId="1" fillId="2" borderId="0" xfId="7" applyFill="1" applyAlignment="1">
      <alignment wrapText="1"/>
    </xf>
    <xf numFmtId="166" fontId="4" fillId="2" borderId="0" xfId="1" applyFont="1" applyFill="1" applyBorder="1" applyAlignment="1" applyProtection="1">
      <alignment wrapText="1"/>
    </xf>
    <xf numFmtId="9" fontId="1" fillId="5" borderId="63" xfId="3" applyFont="1" applyFill="1" applyBorder="1" applyAlignment="1" applyProtection="1">
      <alignment horizontal="right"/>
    </xf>
    <xf numFmtId="0" fontId="7" fillId="0" borderId="64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166" fontId="4" fillId="0" borderId="11" xfId="15" applyFont="1" applyFill="1" applyBorder="1" applyAlignment="1" applyProtection="1">
      <alignment horizontal="right"/>
    </xf>
    <xf numFmtId="166" fontId="1" fillId="0" borderId="15" xfId="1" applyFont="1" applyFill="1" applyBorder="1" applyAlignment="1" applyProtection="1">
      <alignment horizontal="right"/>
    </xf>
    <xf numFmtId="0" fontId="1" fillId="0" borderId="0" xfId="7" applyFill="1"/>
    <xf numFmtId="0" fontId="0" fillId="2" borderId="50" xfId="0" applyFill="1" applyBorder="1"/>
    <xf numFmtId="10" fontId="0" fillId="2" borderId="15" xfId="3" applyNumberFormat="1" applyFont="1" applyFill="1" applyBorder="1" applyAlignment="1" applyProtection="1"/>
    <xf numFmtId="166" fontId="1" fillId="2" borderId="63" xfId="1" applyFont="1" applyFill="1" applyBorder="1" applyAlignment="1" applyProtection="1">
      <alignment horizontal="right"/>
    </xf>
    <xf numFmtId="166" fontId="4" fillId="9" borderId="15" xfId="1" applyNumberFormat="1" applyFont="1" applyFill="1" applyBorder="1" applyAlignment="1" applyProtection="1">
      <alignment horizontal="right" vertical="center"/>
    </xf>
    <xf numFmtId="166" fontId="4" fillId="3" borderId="15" xfId="1" applyNumberFormat="1" applyFont="1" applyFill="1" applyBorder="1" applyAlignment="1" applyProtection="1">
      <alignment horizontal="right" vertical="center"/>
    </xf>
    <xf numFmtId="166" fontId="4" fillId="10" borderId="15" xfId="1" applyNumberFormat="1" applyFont="1" applyFill="1" applyBorder="1" applyAlignment="1" applyProtection="1">
      <alignment horizontal="right" vertical="center"/>
    </xf>
    <xf numFmtId="166" fontId="4" fillId="8" borderId="15" xfId="1" applyNumberFormat="1" applyFont="1" applyFill="1" applyBorder="1" applyAlignment="1" applyProtection="1">
      <alignment horizontal="right" vertical="center"/>
    </xf>
    <xf numFmtId="166" fontId="4" fillId="8" borderId="51" xfId="1" applyFont="1" applyFill="1" applyBorder="1" applyAlignment="1" applyProtection="1">
      <alignment horizontal="right" vertical="center"/>
    </xf>
    <xf numFmtId="166" fontId="1" fillId="2" borderId="0" xfId="7" applyNumberFormat="1" applyFill="1" applyAlignment="1">
      <alignment vertical="center"/>
    </xf>
    <xf numFmtId="166" fontId="1" fillId="12" borderId="52" xfId="1" applyFont="1" applyFill="1" applyBorder="1" applyAlignment="1" applyProtection="1">
      <alignment horizontal="right" vertical="center"/>
    </xf>
    <xf numFmtId="166" fontId="1" fillId="12" borderId="51" xfId="1" applyFont="1" applyFill="1" applyBorder="1" applyAlignment="1" applyProtection="1">
      <alignment horizontal="right" vertical="center"/>
    </xf>
    <xf numFmtId="0" fontId="1" fillId="12" borderId="0" xfId="7" applyFill="1" applyAlignment="1">
      <alignment vertical="center"/>
    </xf>
    <xf numFmtId="10" fontId="1" fillId="2" borderId="15" xfId="3" applyNumberFormat="1" applyFont="1" applyFill="1" applyBorder="1" applyAlignment="1" applyProtection="1">
      <alignment horizontal="right" vertical="center"/>
    </xf>
    <xf numFmtId="2" fontId="1" fillId="2" borderId="51" xfId="7" applyNumberFormat="1" applyFill="1" applyBorder="1" applyAlignment="1">
      <alignment horizontal="right" vertical="center"/>
    </xf>
    <xf numFmtId="10" fontId="1" fillId="12" borderId="18" xfId="3" applyNumberFormat="1" applyFont="1" applyFill="1" applyBorder="1" applyAlignment="1" applyProtection="1">
      <alignment horizontal="right" vertical="center"/>
    </xf>
    <xf numFmtId="2" fontId="1" fillId="12" borderId="54" xfId="7" applyNumberFormat="1" applyFill="1" applyBorder="1" applyAlignment="1">
      <alignment horizontal="right" vertical="center"/>
    </xf>
    <xf numFmtId="0" fontId="1" fillId="2" borderId="20" xfId="7" applyFill="1" applyBorder="1" applyAlignment="1"/>
    <xf numFmtId="167" fontId="7" fillId="2" borderId="0" xfId="0" applyNumberFormat="1" applyFont="1" applyFill="1"/>
    <xf numFmtId="166" fontId="5" fillId="2" borderId="0" xfId="1" applyFont="1" applyFill="1" applyBorder="1" applyAlignment="1" applyProtection="1"/>
    <xf numFmtId="169" fontId="1" fillId="0" borderId="15" xfId="0" applyNumberFormat="1" applyFont="1" applyFill="1" applyBorder="1" applyAlignment="1" applyProtection="1">
      <alignment vertical="center" wrapText="1"/>
      <protection locked="0"/>
    </xf>
    <xf numFmtId="169" fontId="1" fillId="7" borderId="17" xfId="1" applyNumberFormat="1" applyFont="1" applyFill="1" applyBorder="1" applyAlignment="1" applyProtection="1">
      <alignment horizontal="right" vertical="center"/>
    </xf>
    <xf numFmtId="169" fontId="1" fillId="0" borderId="15" xfId="1" applyNumberFormat="1" applyFont="1" applyFill="1" applyBorder="1" applyAlignment="1" applyProtection="1">
      <alignment horizontal="right" vertical="center"/>
    </xf>
    <xf numFmtId="169" fontId="4" fillId="7" borderId="17" xfId="0" applyNumberFormat="1" applyFont="1" applyFill="1" applyBorder="1" applyAlignment="1">
      <alignment vertical="center"/>
    </xf>
    <xf numFmtId="169" fontId="1" fillId="7" borderId="17" xfId="15" applyNumberFormat="1" applyFont="1" applyFill="1" applyBorder="1" applyAlignment="1" applyProtection="1">
      <alignment horizontal="right" vertical="center"/>
    </xf>
    <xf numFmtId="169" fontId="1" fillId="2" borderId="15" xfId="1" applyNumberFormat="1" applyFont="1" applyFill="1" applyBorder="1" applyAlignment="1" applyProtection="1">
      <alignment horizontal="right" vertical="center"/>
    </xf>
    <xf numFmtId="169" fontId="1" fillId="0" borderId="15" xfId="15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49" fontId="5" fillId="2" borderId="10" xfId="0" applyNumberFormat="1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5" fillId="5" borderId="15" xfId="0" applyFont="1" applyFill="1" applyBorder="1" applyAlignment="1" applyProtection="1">
      <alignment horizontal="center" vertical="center" textRotation="90"/>
    </xf>
    <xf numFmtId="49" fontId="5" fillId="5" borderId="15" xfId="0" applyNumberFormat="1" applyFont="1" applyFill="1" applyBorder="1" applyAlignment="1" applyProtection="1">
      <alignment horizontal="center" vertical="center"/>
    </xf>
    <xf numFmtId="0" fontId="5" fillId="5" borderId="15" xfId="0" applyFont="1" applyFill="1" applyBorder="1" applyAlignment="1" applyProtection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left" vertical="center"/>
    </xf>
    <xf numFmtId="0" fontId="4" fillId="7" borderId="15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right" vertical="center"/>
    </xf>
    <xf numFmtId="0" fontId="1" fillId="2" borderId="19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2" borderId="23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49" fontId="5" fillId="2" borderId="25" xfId="0" applyNumberFormat="1" applyFont="1" applyFill="1" applyBorder="1" applyAlignment="1">
      <alignment horizontal="right" vertical="center"/>
    </xf>
    <xf numFmtId="0" fontId="7" fillId="2" borderId="26" xfId="0" applyFont="1" applyFill="1" applyBorder="1" applyAlignment="1" applyProtection="1">
      <alignment horizontal="center" vertical="center" wrapText="1"/>
    </xf>
    <xf numFmtId="0" fontId="5" fillId="2" borderId="27" xfId="0" applyFont="1" applyFill="1" applyBorder="1" applyAlignment="1" applyProtection="1">
      <alignment horizontal="center" vertical="center"/>
    </xf>
    <xf numFmtId="10" fontId="10" fillId="2" borderId="27" xfId="3" applyNumberFormat="1" applyFont="1" applyFill="1" applyBorder="1" applyAlignment="1" applyProtection="1">
      <alignment horizontal="center" vertical="center"/>
    </xf>
    <xf numFmtId="10" fontId="7" fillId="2" borderId="33" xfId="0" applyNumberFormat="1" applyFont="1" applyFill="1" applyBorder="1" applyAlignment="1" applyProtection="1">
      <alignment horizontal="center" vertical="center"/>
    </xf>
    <xf numFmtId="10" fontId="7" fillId="2" borderId="35" xfId="0" applyNumberFormat="1" applyFont="1" applyFill="1" applyBorder="1" applyAlignment="1" applyProtection="1">
      <alignment horizontal="center" vertical="center"/>
    </xf>
    <xf numFmtId="10" fontId="7" fillId="2" borderId="33" xfId="3" applyNumberFormat="1" applyFont="1" applyFill="1" applyBorder="1" applyAlignment="1" applyProtection="1">
      <alignment horizontal="right" vertical="center"/>
      <protection locked="0"/>
    </xf>
    <xf numFmtId="0" fontId="12" fillId="2" borderId="36" xfId="0" applyFont="1" applyFill="1" applyBorder="1" applyAlignment="1" applyProtection="1">
      <alignment horizontal="center" vertical="center" wrapText="1"/>
    </xf>
    <xf numFmtId="10" fontId="7" fillId="2" borderId="38" xfId="0" applyNumberFormat="1" applyFont="1" applyFill="1" applyBorder="1" applyAlignment="1" applyProtection="1">
      <alignment horizontal="center" vertical="center"/>
    </xf>
    <xf numFmtId="10" fontId="7" fillId="2" borderId="40" xfId="0" applyNumberFormat="1" applyFont="1" applyFill="1" applyBorder="1" applyAlignment="1" applyProtection="1">
      <alignment horizontal="center" vertical="center"/>
    </xf>
    <xf numFmtId="10" fontId="7" fillId="2" borderId="38" xfId="3" applyNumberFormat="1" applyFont="1" applyFill="1" applyBorder="1" applyAlignment="1" applyProtection="1">
      <alignment horizontal="right" vertical="center"/>
      <protection locked="0"/>
    </xf>
    <xf numFmtId="10" fontId="7" fillId="2" borderId="43" xfId="0" applyNumberFormat="1" applyFont="1" applyFill="1" applyBorder="1" applyAlignment="1" applyProtection="1">
      <alignment horizontal="center" vertical="center"/>
    </xf>
    <xf numFmtId="10" fontId="7" fillId="2" borderId="42" xfId="3" applyNumberFormat="1" applyFont="1" applyFill="1" applyBorder="1" applyAlignment="1" applyProtection="1">
      <alignment horizontal="right" vertical="center"/>
      <protection locked="0"/>
    </xf>
    <xf numFmtId="0" fontId="1" fillId="0" borderId="8" xfId="0" applyFont="1" applyBorder="1" applyAlignment="1">
      <alignment horizontal="center"/>
    </xf>
    <xf numFmtId="0" fontId="4" fillId="2" borderId="0" xfId="7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2" borderId="0" xfId="7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4" fillId="0" borderId="22" xfId="7" applyFont="1" applyBorder="1" applyAlignment="1">
      <alignment horizontal="center" vertical="center" wrapText="1"/>
    </xf>
    <xf numFmtId="0" fontId="4" fillId="2" borderId="1" xfId="7" applyFont="1" applyFill="1" applyBorder="1" applyAlignment="1">
      <alignment horizontal="left" vertical="center"/>
    </xf>
    <xf numFmtId="0" fontId="4" fillId="2" borderId="45" xfId="7" applyFont="1" applyFill="1" applyBorder="1" applyAlignment="1">
      <alignment horizontal="left" vertical="center"/>
    </xf>
    <xf numFmtId="0" fontId="4" fillId="2" borderId="4" xfId="7" applyFont="1" applyFill="1" applyBorder="1" applyAlignment="1">
      <alignment horizontal="left" vertical="center"/>
    </xf>
    <xf numFmtId="0" fontId="4" fillId="6" borderId="47" xfId="7" applyFont="1" applyFill="1" applyBorder="1" applyAlignment="1">
      <alignment horizontal="left" vertical="center"/>
    </xf>
    <xf numFmtId="0" fontId="7" fillId="2" borderId="50" xfId="10" applyFont="1" applyFill="1" applyBorder="1" applyAlignment="1">
      <alignment horizontal="center" vertical="center"/>
    </xf>
    <xf numFmtId="0" fontId="7" fillId="2" borderId="15" xfId="10" applyFont="1" applyFill="1" applyBorder="1" applyAlignment="1">
      <alignment horizontal="center" vertical="center"/>
    </xf>
    <xf numFmtId="0" fontId="5" fillId="2" borderId="15" xfId="10" applyFont="1" applyFill="1" applyBorder="1" applyAlignment="1">
      <alignment horizontal="center" vertical="center"/>
    </xf>
    <xf numFmtId="0" fontId="5" fillId="2" borderId="51" xfId="10" applyFont="1" applyFill="1" applyBorder="1" applyAlignment="1">
      <alignment horizontal="center" vertical="center"/>
    </xf>
    <xf numFmtId="0" fontId="5" fillId="2" borderId="16" xfId="10" applyFont="1" applyFill="1" applyBorder="1" applyAlignment="1">
      <alignment horizontal="center" vertical="center"/>
    </xf>
    <xf numFmtId="0" fontId="5" fillId="2" borderId="52" xfId="10" applyFont="1" applyFill="1" applyBorder="1" applyAlignment="1">
      <alignment horizontal="center" vertical="center"/>
    </xf>
    <xf numFmtId="0" fontId="7" fillId="2" borderId="55" xfId="10" applyFont="1" applyFill="1" applyBorder="1" applyAlignment="1">
      <alignment horizontal="center" vertical="center"/>
    </xf>
    <xf numFmtId="0" fontId="7" fillId="2" borderId="56" xfId="10" applyFont="1" applyFill="1" applyBorder="1" applyAlignment="1">
      <alignment horizontal="center" vertical="center"/>
    </xf>
    <xf numFmtId="0" fontId="7" fillId="2" borderId="58" xfId="10" applyFont="1" applyFill="1" applyBorder="1" applyAlignment="1">
      <alignment horizontal="center" vertical="center"/>
    </xf>
    <xf numFmtId="14" fontId="7" fillId="2" borderId="7" xfId="10" applyNumberFormat="1" applyFont="1" applyFill="1" applyBorder="1" applyAlignment="1">
      <alignment horizontal="center"/>
    </xf>
    <xf numFmtId="0" fontId="5" fillId="6" borderId="22" xfId="10" applyFont="1" applyFill="1" applyBorder="1" applyAlignment="1">
      <alignment horizontal="center" vertical="center"/>
    </xf>
    <xf numFmtId="165" fontId="5" fillId="6" borderId="22" xfId="6" applyFont="1" applyFill="1" applyBorder="1" applyAlignment="1" applyProtection="1">
      <alignment horizontal="right" vertical="center"/>
    </xf>
    <xf numFmtId="0" fontId="5" fillId="6" borderId="22" xfId="10" applyFont="1" applyFill="1" applyBorder="1" applyAlignment="1">
      <alignment horizontal="right" vertical="center"/>
    </xf>
    <xf numFmtId="0" fontId="7" fillId="2" borderId="0" xfId="10" applyFont="1" applyFill="1" applyBorder="1" applyAlignment="1">
      <alignment horizontal="right"/>
    </xf>
    <xf numFmtId="14" fontId="7" fillId="2" borderId="0" xfId="10" applyNumberFormat="1" applyFont="1" applyFill="1" applyBorder="1" applyAlignment="1">
      <alignment horizontal="right"/>
    </xf>
    <xf numFmtId="0" fontId="5" fillId="2" borderId="0" xfId="10" applyFont="1" applyFill="1" applyBorder="1" applyAlignment="1">
      <alignment horizontal="center"/>
    </xf>
    <xf numFmtId="0" fontId="1" fillId="2" borderId="20" xfId="7" applyFill="1" applyBorder="1" applyAlignment="1">
      <alignment horizontal="center"/>
    </xf>
    <xf numFmtId="0" fontId="16" fillId="2" borderId="22" xfId="7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  <xf numFmtId="0" fontId="7" fillId="9" borderId="50" xfId="0" applyFont="1" applyFill="1" applyBorder="1" applyAlignment="1">
      <alignment horizontal="left" vertical="center" wrapText="1"/>
    </xf>
    <xf numFmtId="0" fontId="7" fillId="3" borderId="50" xfId="0" applyFont="1" applyFill="1" applyBorder="1" applyAlignment="1">
      <alignment horizontal="left" vertical="center" wrapText="1"/>
    </xf>
    <xf numFmtId="0" fontId="7" fillId="10" borderId="64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4" fillId="2" borderId="50" xfId="7" applyFont="1" applyFill="1" applyBorder="1" applyAlignment="1">
      <alignment horizontal="right" vertical="center"/>
    </xf>
    <xf numFmtId="0" fontId="4" fillId="12" borderId="50" xfId="7" applyFont="1" applyFill="1" applyBorder="1" applyAlignment="1">
      <alignment horizontal="right" vertical="center"/>
    </xf>
    <xf numFmtId="0" fontId="4" fillId="12" borderId="56" xfId="7" applyFont="1" applyFill="1" applyBorder="1" applyAlignment="1">
      <alignment horizontal="right" vertical="center"/>
    </xf>
    <xf numFmtId="0" fontId="4" fillId="2" borderId="7" xfId="7" applyFont="1" applyFill="1" applyBorder="1" applyAlignment="1">
      <alignment horizontal="center"/>
    </xf>
    <xf numFmtId="0" fontId="4" fillId="2" borderId="8" xfId="7" applyFont="1" applyFill="1" applyBorder="1" applyAlignment="1">
      <alignment horizontal="center"/>
    </xf>
    <xf numFmtId="0" fontId="1" fillId="2" borderId="9" xfId="7" applyFont="1" applyFill="1" applyBorder="1" applyAlignment="1">
      <alignment horizontal="center"/>
    </xf>
    <xf numFmtId="0" fontId="1" fillId="2" borderId="10" xfId="7" applyFont="1" applyFill="1" applyBorder="1" applyAlignment="1">
      <alignment horizontal="center"/>
    </xf>
  </cellXfs>
  <cellStyles count="20">
    <cellStyle name="Moeda" xfId="2" builtinId="4"/>
    <cellStyle name="Moeda 2" xfId="4" xr:uid="{87BCFE24-5423-452F-AB2C-C8F14F3ACE93}"/>
    <cellStyle name="Moeda 2 2" xfId="5" xr:uid="{6C5D7433-DABF-4AA3-9E4C-A2F45AC8FF18}"/>
    <cellStyle name="Moeda 3" xfId="6" xr:uid="{2FCF9AD5-D225-4627-AF32-87050498E76E}"/>
    <cellStyle name="Normal" xfId="0" builtinId="0"/>
    <cellStyle name="Normal 2" xfId="7" xr:uid="{A37C568F-0758-4A6B-986B-A17EBB17A6F7}"/>
    <cellStyle name="Normal 3" xfId="8" xr:uid="{BD1B3A9D-0886-4E2D-929B-7D224F4D6C7C}"/>
    <cellStyle name="Normal 3 2" xfId="9" xr:uid="{1FD7335F-733B-4471-942E-323D0249DF37}"/>
    <cellStyle name="Normal_Pavimentação São Pedro bloquetes e Ferreirópolis asfáltica 2" xfId="10" xr:uid="{27086899-74DB-4612-AF01-64FDF170F022}"/>
    <cellStyle name="Porcentagem" xfId="3" builtinId="5"/>
    <cellStyle name="Porcentagem 2" xfId="11" xr:uid="{F1B3FF9B-C8D0-4DDF-B44D-BC3C77509AC0}"/>
    <cellStyle name="Porcentagem 3" xfId="12" xr:uid="{C878A214-B391-40D1-A377-74CE2928139A}"/>
    <cellStyle name="Porcentagem 3 2" xfId="13" xr:uid="{FF7D71CC-6D45-4BA3-B10D-5DC4FA08BB38}"/>
    <cellStyle name="Separador de milhares 2" xfId="14" xr:uid="{A8CAFDA6-8374-49DC-9632-BE9D8CD95E87}"/>
    <cellStyle name="Separador de milhares 2 2" xfId="15" xr:uid="{AD379FC9-E944-4ED5-8036-8D969FE545C1}"/>
    <cellStyle name="Separador de milhares 2 3" xfId="16" xr:uid="{35F89226-C57F-4221-A836-4427F25D1F09}"/>
    <cellStyle name="Separador de milhares 3" xfId="17" xr:uid="{28A84182-A374-498E-AEBD-76A635D5A2D6}"/>
    <cellStyle name="Separador de milhares 3 2" xfId="18" xr:uid="{A1CE2EF1-1473-4192-BD26-96CB2F632819}"/>
    <cellStyle name="Separador de milhares 4" xfId="19" xr:uid="{7DBB0A9E-053D-49D6-8650-1D75A1C5470C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1</xdr:col>
      <xdr:colOff>733425</xdr:colOff>
      <xdr:row>1</xdr:row>
      <xdr:rowOff>219075</xdr:rowOff>
    </xdr:to>
    <xdr:pic>
      <xdr:nvPicPr>
        <xdr:cNvPr id="1025" name="Picture 8">
          <a:extLst>
            <a:ext uri="{FF2B5EF4-FFF2-40B4-BE49-F238E27FC236}">
              <a16:creationId xmlns:a16="http://schemas.microsoft.com/office/drawing/2014/main" id="{6B8AAC1B-E9A7-1BB9-B1F1-5F1F2B5EA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6675"/>
          <a:ext cx="102870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28575</xdr:rowOff>
    </xdr:from>
    <xdr:to>
      <xdr:col>2</xdr:col>
      <xdr:colOff>561975</xdr:colOff>
      <xdr:row>2</xdr:row>
      <xdr:rowOff>638175</xdr:rowOff>
    </xdr:to>
    <xdr:pic>
      <xdr:nvPicPr>
        <xdr:cNvPr id="3073" name="Picture 8">
          <a:extLst>
            <a:ext uri="{FF2B5EF4-FFF2-40B4-BE49-F238E27FC236}">
              <a16:creationId xmlns:a16="http://schemas.microsoft.com/office/drawing/2014/main" id="{459C53AD-98BC-CB4B-1A6D-6E6F8964D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8575"/>
          <a:ext cx="895350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76200</xdr:rowOff>
    </xdr:from>
    <xdr:to>
      <xdr:col>0</xdr:col>
      <xdr:colOff>800100</xdr:colOff>
      <xdr:row>3</xdr:row>
      <xdr:rowOff>257175</xdr:rowOff>
    </xdr:to>
    <xdr:pic>
      <xdr:nvPicPr>
        <xdr:cNvPr id="4097" name="Picture 8">
          <a:extLst>
            <a:ext uri="{FF2B5EF4-FFF2-40B4-BE49-F238E27FC236}">
              <a16:creationId xmlns:a16="http://schemas.microsoft.com/office/drawing/2014/main" id="{13AB12CF-D020-18C0-1059-E13C130B9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76200"/>
          <a:ext cx="742950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1</xdr:col>
      <xdr:colOff>733425</xdr:colOff>
      <xdr:row>1</xdr:row>
      <xdr:rowOff>219075</xdr:rowOff>
    </xdr:to>
    <xdr:pic>
      <xdr:nvPicPr>
        <xdr:cNvPr id="5121" name="Picture 8">
          <a:extLst>
            <a:ext uri="{FF2B5EF4-FFF2-40B4-BE49-F238E27FC236}">
              <a16:creationId xmlns:a16="http://schemas.microsoft.com/office/drawing/2014/main" id="{7CF96C8C-8843-96F2-AB9A-DE89745C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6675"/>
          <a:ext cx="102870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7184B-56EC-4596-9FAC-D2CA8332ACAF}">
  <sheetPr>
    <tabColor indexed="50"/>
  </sheetPr>
  <dimension ref="A1:R179"/>
  <sheetViews>
    <sheetView view="pageBreakPreview" topLeftCell="A154" zoomScaleSheetLayoutView="100" workbookViewId="0">
      <selection activeCell="I166" sqref="I166"/>
    </sheetView>
  </sheetViews>
  <sheetFormatPr defaultRowHeight="12.75" x14ac:dyDescent="0.2"/>
  <cols>
    <col min="1" max="1" width="7.140625" style="1" customWidth="1"/>
    <col min="2" max="2" width="16.5703125" style="2" customWidth="1"/>
    <col min="3" max="3" width="14.140625" style="1" customWidth="1"/>
    <col min="4" max="4" width="113.140625" style="3" customWidth="1"/>
    <col min="5" max="5" width="7" style="1" customWidth="1"/>
    <col min="6" max="6" width="10.5703125" style="4" customWidth="1"/>
    <col min="7" max="7" width="12.5703125" style="4" customWidth="1"/>
    <col min="8" max="8" width="13.7109375" style="4" customWidth="1"/>
    <col min="9" max="9" width="14.85546875" style="4" customWidth="1"/>
    <col min="10" max="10" width="13.28515625" style="4" customWidth="1"/>
    <col min="11" max="11" width="15" style="4" customWidth="1"/>
    <col min="12" max="12" width="13.28515625" style="3" customWidth="1"/>
    <col min="13" max="13" width="9.140625" style="3"/>
    <col min="14" max="14" width="10.5703125" style="3" customWidth="1"/>
    <col min="15" max="16384" width="9.140625" style="3"/>
  </cols>
  <sheetData>
    <row r="1" spans="1:18" ht="53.25" customHeigh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5"/>
      <c r="K1" s="6"/>
    </row>
    <row r="2" spans="1:18" ht="20.25" x14ac:dyDescent="0.3">
      <c r="A2" s="337" t="s">
        <v>1</v>
      </c>
      <c r="B2" s="337"/>
      <c r="C2" s="337"/>
      <c r="D2" s="337"/>
      <c r="E2" s="337"/>
      <c r="F2" s="337"/>
      <c r="G2" s="337"/>
      <c r="H2" s="337"/>
      <c r="I2" s="337"/>
      <c r="J2" s="7"/>
      <c r="K2" s="7"/>
      <c r="L2" s="8" t="e">
        <f>#REF!</f>
        <v>#REF!</v>
      </c>
    </row>
    <row r="3" spans="1:18" s="14" customFormat="1" ht="15" customHeight="1" x14ac:dyDescent="0.2">
      <c r="A3" s="338" t="s">
        <v>2</v>
      </c>
      <c r="B3" s="338"/>
      <c r="C3" s="338"/>
      <c r="D3" s="338"/>
      <c r="E3" s="9"/>
      <c r="F3" s="9"/>
      <c r="G3" s="10"/>
      <c r="H3" s="9"/>
      <c r="I3" s="11"/>
      <c r="J3" s="12"/>
      <c r="K3" s="13"/>
    </row>
    <row r="4" spans="1:18" s="14" customFormat="1" ht="15" customHeight="1" x14ac:dyDescent="0.2">
      <c r="A4" s="339" t="s">
        <v>3</v>
      </c>
      <c r="B4" s="339"/>
      <c r="C4" s="339"/>
      <c r="D4" s="339"/>
      <c r="E4" s="12"/>
      <c r="F4" s="12"/>
      <c r="G4" s="15"/>
      <c r="H4" s="12"/>
      <c r="I4" s="16"/>
      <c r="J4" s="12"/>
      <c r="K4" s="13"/>
    </row>
    <row r="5" spans="1:18" s="14" customFormat="1" ht="15" customHeight="1" x14ac:dyDescent="0.2">
      <c r="A5" s="339" t="s">
        <v>4</v>
      </c>
      <c r="B5" s="339"/>
      <c r="C5" s="339"/>
      <c r="D5" s="339"/>
      <c r="E5" s="17"/>
      <c r="F5" s="18"/>
      <c r="G5" s="19"/>
      <c r="H5" s="18"/>
      <c r="I5" s="20"/>
      <c r="J5" s="18"/>
      <c r="K5" s="21"/>
    </row>
    <row r="6" spans="1:18" s="14" customFormat="1" ht="15" customHeight="1" x14ac:dyDescent="0.2">
      <c r="A6" s="339" t="s">
        <v>5</v>
      </c>
      <c r="B6" s="339"/>
      <c r="C6" s="339"/>
      <c r="D6" s="339"/>
      <c r="E6" s="17"/>
      <c r="F6" s="18"/>
      <c r="G6" s="19"/>
      <c r="H6" s="18"/>
      <c r="I6" s="20"/>
      <c r="J6" s="18"/>
      <c r="K6" s="21"/>
    </row>
    <row r="7" spans="1:18" s="14" customFormat="1" ht="15" customHeight="1" x14ac:dyDescent="0.2">
      <c r="A7" s="339" t="s">
        <v>6</v>
      </c>
      <c r="B7" s="339"/>
      <c r="C7" s="339"/>
      <c r="D7" s="339"/>
      <c r="E7" s="17"/>
      <c r="F7" s="18"/>
      <c r="G7" s="19"/>
      <c r="H7" s="18"/>
      <c r="I7" s="20"/>
      <c r="J7" s="18"/>
      <c r="K7" s="21"/>
    </row>
    <row r="8" spans="1:18" s="14" customFormat="1" ht="15" customHeight="1" x14ac:dyDescent="0.2">
      <c r="A8" s="340" t="s">
        <v>7</v>
      </c>
      <c r="B8" s="340"/>
      <c r="C8" s="340"/>
      <c r="D8" s="340"/>
      <c r="E8" s="341" t="s">
        <v>8</v>
      </c>
      <c r="F8" s="341"/>
      <c r="G8" s="341"/>
      <c r="H8" s="341"/>
      <c r="I8" s="341"/>
      <c r="J8" s="22"/>
      <c r="K8" s="23"/>
    </row>
    <row r="9" spans="1:18" s="30" customFormat="1" ht="24.95" customHeight="1" x14ac:dyDescent="0.2">
      <c r="A9" s="342" t="s">
        <v>9</v>
      </c>
      <c r="B9" s="342"/>
      <c r="C9" s="342"/>
      <c r="D9" s="342"/>
      <c r="E9" s="24"/>
      <c r="F9" s="25"/>
      <c r="G9" s="26"/>
      <c r="H9" s="25"/>
      <c r="I9" s="27" t="s">
        <v>10</v>
      </c>
      <c r="J9" s="28">
        <v>1.25</v>
      </c>
      <c r="K9" s="29"/>
      <c r="L9" s="30">
        <v>1.25</v>
      </c>
    </row>
    <row r="10" spans="1:18" s="35" customFormat="1" ht="20.100000000000001" customHeight="1" x14ac:dyDescent="0.2">
      <c r="A10" s="343" t="s">
        <v>11</v>
      </c>
      <c r="B10" s="344" t="s">
        <v>12</v>
      </c>
      <c r="C10" s="345" t="s">
        <v>13</v>
      </c>
      <c r="D10" s="346" t="s">
        <v>14</v>
      </c>
      <c r="E10" s="347" t="s">
        <v>15</v>
      </c>
      <c r="F10" s="347" t="s">
        <v>16</v>
      </c>
      <c r="G10" s="348" t="s">
        <v>17</v>
      </c>
      <c r="H10" s="348"/>
      <c r="I10" s="32">
        <f>SUM(I13+I15+I24+I31+I44+I56+I64+I78+I90+I73+I105+I118+I129+I140+I148+I157+I161)</f>
        <v>53498.457999999999</v>
      </c>
      <c r="J10" s="33"/>
      <c r="K10" s="34"/>
    </row>
    <row r="11" spans="1:18" s="35" customFormat="1" ht="12.95" customHeight="1" x14ac:dyDescent="0.2">
      <c r="A11" s="343"/>
      <c r="B11" s="344"/>
      <c r="C11" s="345"/>
      <c r="D11" s="346"/>
      <c r="E11" s="347"/>
      <c r="F11" s="347"/>
      <c r="G11" s="36" t="s">
        <v>18</v>
      </c>
      <c r="H11" s="37" t="s">
        <v>19</v>
      </c>
      <c r="I11" s="38"/>
      <c r="J11" s="33"/>
      <c r="K11" s="34"/>
    </row>
    <row r="12" spans="1:18" s="35" customFormat="1" ht="22.5" customHeight="1" x14ac:dyDescent="0.2">
      <c r="A12" s="343"/>
      <c r="B12" s="344"/>
      <c r="C12" s="345"/>
      <c r="D12" s="346"/>
      <c r="E12" s="347"/>
      <c r="F12" s="347"/>
      <c r="G12" s="39" t="s">
        <v>20</v>
      </c>
      <c r="H12" s="31" t="s">
        <v>20</v>
      </c>
      <c r="I12" s="37" t="s">
        <v>21</v>
      </c>
      <c r="J12" s="33"/>
      <c r="K12" s="34"/>
    </row>
    <row r="13" spans="1:18" s="46" customFormat="1" ht="22.5" customHeight="1" x14ac:dyDescent="0.2">
      <c r="A13" s="349" t="s">
        <v>22</v>
      </c>
      <c r="B13" s="349"/>
      <c r="C13" s="349"/>
      <c r="D13" s="349"/>
      <c r="E13" s="40"/>
      <c r="F13" s="41"/>
      <c r="G13" s="42"/>
      <c r="H13" s="42"/>
      <c r="I13" s="43">
        <f>SUM(I14)</f>
        <v>1708.9250000000002</v>
      </c>
      <c r="J13" s="44" t="s">
        <v>23</v>
      </c>
      <c r="K13" s="45"/>
    </row>
    <row r="14" spans="1:18" s="61" customFormat="1" ht="78" customHeight="1" x14ac:dyDescent="0.2">
      <c r="A14" s="47" t="s">
        <v>24</v>
      </c>
      <c r="B14" s="48" t="s">
        <v>25</v>
      </c>
      <c r="C14" s="49" t="s">
        <v>26</v>
      </c>
      <c r="D14" s="50" t="s">
        <v>27</v>
      </c>
      <c r="E14" s="51" t="s">
        <v>28</v>
      </c>
      <c r="F14" s="52">
        <v>1</v>
      </c>
      <c r="G14" s="53">
        <v>1367.14</v>
      </c>
      <c r="H14" s="54">
        <f>G14*$L$9</f>
        <v>1708.9250000000002</v>
      </c>
      <c r="I14" s="55">
        <f>+F14*H14</f>
        <v>1708.9250000000002</v>
      </c>
      <c r="J14" s="56"/>
      <c r="K14" s="57"/>
      <c r="L14" s="58">
        <f>L20+L134+L162+L163+L164</f>
        <v>1561.032875000001</v>
      </c>
      <c r="M14" s="59"/>
      <c r="N14" s="59"/>
      <c r="O14" s="59"/>
      <c r="P14" s="59"/>
      <c r="Q14" s="59"/>
      <c r="R14" s="60"/>
    </row>
    <row r="15" spans="1:18" s="46" customFormat="1" ht="22.5" customHeight="1" x14ac:dyDescent="0.2">
      <c r="A15" s="349" t="s">
        <v>29</v>
      </c>
      <c r="B15" s="349"/>
      <c r="C15" s="349"/>
      <c r="D15" s="349"/>
      <c r="E15" s="40"/>
      <c r="F15" s="41"/>
      <c r="G15" s="42"/>
      <c r="H15" s="42"/>
      <c r="I15" s="43">
        <f>SUM(I16:I23)</f>
        <v>4431.3871250000002</v>
      </c>
      <c r="J15" s="44" t="s">
        <v>23</v>
      </c>
      <c r="K15" s="45"/>
      <c r="L15" s="62">
        <f>L14-I13</f>
        <v>-147.89212499999917</v>
      </c>
    </row>
    <row r="16" spans="1:18" s="61" customFormat="1" ht="21" customHeight="1" x14ac:dyDescent="0.2">
      <c r="A16" s="49" t="s">
        <v>30</v>
      </c>
      <c r="B16" s="63" t="s">
        <v>31</v>
      </c>
      <c r="C16" s="49" t="s">
        <v>26</v>
      </c>
      <c r="D16" s="64" t="s">
        <v>32</v>
      </c>
      <c r="E16" s="49" t="s">
        <v>33</v>
      </c>
      <c r="F16" s="65">
        <v>49.25</v>
      </c>
      <c r="G16" s="66">
        <v>2.69</v>
      </c>
      <c r="H16" s="67">
        <f t="shared" ref="H16:H23" si="0">G16*$L$9</f>
        <v>3.3624999999999998</v>
      </c>
      <c r="I16" s="55">
        <f t="shared" ref="I16:I23" si="1">+F16*H16</f>
        <v>165.60312499999998</v>
      </c>
      <c r="J16" s="68"/>
      <c r="K16" s="69"/>
    </row>
    <row r="17" spans="1:14" s="61" customFormat="1" ht="21" customHeight="1" x14ac:dyDescent="0.2">
      <c r="A17" s="49" t="s">
        <v>34</v>
      </c>
      <c r="B17" s="63" t="s">
        <v>35</v>
      </c>
      <c r="C17" s="49" t="s">
        <v>26</v>
      </c>
      <c r="D17" s="64" t="s">
        <v>36</v>
      </c>
      <c r="E17" s="49" t="s">
        <v>33</v>
      </c>
      <c r="F17" s="65">
        <v>12</v>
      </c>
      <c r="G17" s="66">
        <v>4.5599999999999996</v>
      </c>
      <c r="H17" s="67">
        <f t="shared" si="0"/>
        <v>5.6999999999999993</v>
      </c>
      <c r="I17" s="55">
        <f t="shared" si="1"/>
        <v>68.399999999999991</v>
      </c>
      <c r="J17" s="68"/>
      <c r="K17" s="69"/>
    </row>
    <row r="18" spans="1:14" s="61" customFormat="1" ht="25.5" customHeight="1" x14ac:dyDescent="0.2">
      <c r="A18" s="49" t="s">
        <v>37</v>
      </c>
      <c r="B18" s="63" t="s">
        <v>38</v>
      </c>
      <c r="C18" s="49" t="s">
        <v>26</v>
      </c>
      <c r="D18" s="64" t="s">
        <v>39</v>
      </c>
      <c r="E18" s="49" t="s">
        <v>40</v>
      </c>
      <c r="F18" s="65">
        <v>49.25</v>
      </c>
      <c r="G18" s="66">
        <v>13.9</v>
      </c>
      <c r="H18" s="67">
        <f t="shared" si="0"/>
        <v>17.375</v>
      </c>
      <c r="I18" s="55">
        <f t="shared" si="1"/>
        <v>855.71875</v>
      </c>
      <c r="J18" s="68"/>
      <c r="K18" s="69"/>
      <c r="L18" s="70">
        <f>I20-I13</f>
        <v>201.80124999999975</v>
      </c>
    </row>
    <row r="19" spans="1:14" s="61" customFormat="1" ht="30" customHeight="1" x14ac:dyDescent="0.2">
      <c r="A19" s="49" t="s">
        <v>41</v>
      </c>
      <c r="B19" s="63" t="s">
        <v>42</v>
      </c>
      <c r="C19" s="49" t="s">
        <v>26</v>
      </c>
      <c r="D19" s="64" t="s">
        <v>43</v>
      </c>
      <c r="E19" s="49" t="s">
        <v>33</v>
      </c>
      <c r="F19" s="65">
        <v>18.09</v>
      </c>
      <c r="G19" s="66">
        <v>35.68</v>
      </c>
      <c r="H19" s="67">
        <f t="shared" si="0"/>
        <v>44.6</v>
      </c>
      <c r="I19" s="55">
        <f t="shared" si="1"/>
        <v>806.81399999999996</v>
      </c>
      <c r="J19" s="68"/>
      <c r="K19" s="69"/>
    </row>
    <row r="20" spans="1:14" s="61" customFormat="1" ht="30" customHeight="1" x14ac:dyDescent="0.2">
      <c r="A20" s="49" t="s">
        <v>44</v>
      </c>
      <c r="B20" s="63" t="s">
        <v>45</v>
      </c>
      <c r="C20" s="49" t="s">
        <v>26</v>
      </c>
      <c r="D20" s="64" t="s">
        <v>46</v>
      </c>
      <c r="E20" s="49" t="s">
        <v>40</v>
      </c>
      <c r="F20" s="65">
        <v>108.41</v>
      </c>
      <c r="G20" s="53">
        <v>14.1</v>
      </c>
      <c r="H20" s="67">
        <f t="shared" si="0"/>
        <v>17.625</v>
      </c>
      <c r="I20" s="55">
        <f t="shared" si="1"/>
        <v>1910.7262499999999</v>
      </c>
      <c r="J20" s="53">
        <v>135</v>
      </c>
      <c r="K20" s="69">
        <v>2379.38</v>
      </c>
      <c r="L20" s="71">
        <f>K20-I20</f>
        <v>468.65375000000017</v>
      </c>
      <c r="N20" s="68">
        <v>53498.46</v>
      </c>
    </row>
    <row r="21" spans="1:14" s="61" customFormat="1" ht="24.75" customHeight="1" x14ac:dyDescent="0.2">
      <c r="A21" s="49" t="s">
        <v>47</v>
      </c>
      <c r="B21" s="63" t="s">
        <v>48</v>
      </c>
      <c r="C21" s="49" t="s">
        <v>26</v>
      </c>
      <c r="D21" s="64" t="s">
        <v>49</v>
      </c>
      <c r="E21" s="49" t="s">
        <v>33</v>
      </c>
      <c r="F21" s="65">
        <v>12</v>
      </c>
      <c r="G21" s="66">
        <v>34.28</v>
      </c>
      <c r="H21" s="67">
        <f t="shared" si="0"/>
        <v>42.85</v>
      </c>
      <c r="I21" s="55">
        <f t="shared" si="1"/>
        <v>514.20000000000005</v>
      </c>
      <c r="J21" s="68"/>
      <c r="K21" s="69"/>
      <c r="L21" s="70">
        <f>I20-88.46</f>
        <v>1822.2662499999999</v>
      </c>
    </row>
    <row r="22" spans="1:14" s="61" customFormat="1" ht="41.25" customHeight="1" x14ac:dyDescent="0.2">
      <c r="A22" s="49" t="s">
        <v>50</v>
      </c>
      <c r="B22" s="63" t="s">
        <v>51</v>
      </c>
      <c r="C22" s="49" t="s">
        <v>26</v>
      </c>
      <c r="D22" s="64" t="s">
        <v>52</v>
      </c>
      <c r="E22" s="49" t="s">
        <v>53</v>
      </c>
      <c r="F22" s="65">
        <v>5</v>
      </c>
      <c r="G22" s="66">
        <v>7.4</v>
      </c>
      <c r="H22" s="67">
        <f t="shared" si="0"/>
        <v>9.25</v>
      </c>
      <c r="I22" s="55">
        <f t="shared" si="1"/>
        <v>46.25</v>
      </c>
      <c r="J22" s="68"/>
      <c r="K22" s="69"/>
      <c r="L22" s="72">
        <v>1674.38</v>
      </c>
      <c r="N22" s="72">
        <f>I10-N20</f>
        <v>-2.0000000004074536E-3</v>
      </c>
    </row>
    <row r="23" spans="1:14" s="61" customFormat="1" ht="40.5" customHeight="1" x14ac:dyDescent="0.2">
      <c r="A23" s="49" t="s">
        <v>54</v>
      </c>
      <c r="B23" s="63" t="s">
        <v>55</v>
      </c>
      <c r="C23" s="49" t="s">
        <v>26</v>
      </c>
      <c r="D23" s="64" t="s">
        <v>56</v>
      </c>
      <c r="E23" s="49" t="s">
        <v>57</v>
      </c>
      <c r="F23" s="65">
        <v>2</v>
      </c>
      <c r="G23" s="53">
        <v>25.47</v>
      </c>
      <c r="H23" s="67">
        <f t="shared" si="0"/>
        <v>31.837499999999999</v>
      </c>
      <c r="I23" s="55">
        <f t="shared" si="1"/>
        <v>63.674999999999997</v>
      </c>
      <c r="J23" s="68"/>
      <c r="K23" s="69"/>
    </row>
    <row r="24" spans="1:14" s="46" customFormat="1" ht="22.5" customHeight="1" x14ac:dyDescent="0.2">
      <c r="A24" s="349" t="s">
        <v>58</v>
      </c>
      <c r="B24" s="349"/>
      <c r="C24" s="349"/>
      <c r="D24" s="349"/>
      <c r="E24" s="40"/>
      <c r="F24" s="41"/>
      <c r="G24" s="42"/>
      <c r="H24" s="42"/>
      <c r="I24" s="43">
        <f>SUM(I25:I30)</f>
        <v>1488.20425</v>
      </c>
      <c r="J24" s="44" t="s">
        <v>23</v>
      </c>
      <c r="K24" s="45"/>
      <c r="L24" s="73">
        <f>L22-88.46</f>
        <v>1585.92</v>
      </c>
    </row>
    <row r="25" spans="1:14" s="61" customFormat="1" ht="21" customHeight="1" x14ac:dyDescent="0.2">
      <c r="A25" s="49" t="s">
        <v>59</v>
      </c>
      <c r="B25" s="63" t="s">
        <v>31</v>
      </c>
      <c r="C25" s="49" t="s">
        <v>26</v>
      </c>
      <c r="D25" s="64" t="s">
        <v>60</v>
      </c>
      <c r="E25" s="49" t="s">
        <v>33</v>
      </c>
      <c r="F25" s="65">
        <v>21.9</v>
      </c>
      <c r="G25" s="66">
        <v>2.69</v>
      </c>
      <c r="H25" s="67">
        <f t="shared" ref="H25:H30" si="2">G25*$L$9</f>
        <v>3.3624999999999998</v>
      </c>
      <c r="I25" s="55">
        <f t="shared" ref="I25:I30" si="3">+F25*H25</f>
        <v>73.638749999999987</v>
      </c>
      <c r="J25" s="68"/>
      <c r="K25" s="69">
        <f>I25+0.1</f>
        <v>73.738749999999982</v>
      </c>
    </row>
    <row r="26" spans="1:14" s="61" customFormat="1" ht="25.5" customHeight="1" x14ac:dyDescent="0.2">
      <c r="A26" s="49" t="s">
        <v>61</v>
      </c>
      <c r="B26" s="63" t="s">
        <v>62</v>
      </c>
      <c r="C26" s="49" t="s">
        <v>26</v>
      </c>
      <c r="D26" s="64" t="s">
        <v>63</v>
      </c>
      <c r="E26" s="49" t="s">
        <v>40</v>
      </c>
      <c r="F26" s="65">
        <v>21.9</v>
      </c>
      <c r="G26" s="66">
        <v>11.83</v>
      </c>
      <c r="H26" s="67">
        <f t="shared" si="2"/>
        <v>14.7875</v>
      </c>
      <c r="I26" s="55">
        <f t="shared" si="3"/>
        <v>323.84625</v>
      </c>
      <c r="J26" s="68"/>
      <c r="K26" s="69"/>
    </row>
    <row r="27" spans="1:14" s="61" customFormat="1" ht="30" customHeight="1" x14ac:dyDescent="0.2">
      <c r="A27" s="49" t="s">
        <v>64</v>
      </c>
      <c r="B27" s="63" t="s">
        <v>65</v>
      </c>
      <c r="C27" s="49" t="s">
        <v>26</v>
      </c>
      <c r="D27" s="64" t="s">
        <v>66</v>
      </c>
      <c r="E27" s="49" t="s">
        <v>40</v>
      </c>
      <c r="F27" s="65">
        <v>21.9</v>
      </c>
      <c r="G27" s="66">
        <v>26.01</v>
      </c>
      <c r="H27" s="67">
        <f t="shared" si="2"/>
        <v>32.512500000000003</v>
      </c>
      <c r="I27" s="55">
        <f t="shared" si="3"/>
        <v>712.02375000000006</v>
      </c>
      <c r="J27" s="68"/>
      <c r="K27" s="69"/>
    </row>
    <row r="28" spans="1:14" s="61" customFormat="1" ht="30" customHeight="1" x14ac:dyDescent="0.2">
      <c r="A28" s="49" t="s">
        <v>67</v>
      </c>
      <c r="B28" s="63" t="s">
        <v>42</v>
      </c>
      <c r="C28" s="49" t="s">
        <v>26</v>
      </c>
      <c r="D28" s="64" t="s">
        <v>43</v>
      </c>
      <c r="E28" s="49" t="s">
        <v>33</v>
      </c>
      <c r="F28" s="65">
        <v>4.7300000000000004</v>
      </c>
      <c r="G28" s="66">
        <v>35.68</v>
      </c>
      <c r="H28" s="67">
        <f t="shared" si="2"/>
        <v>44.6</v>
      </c>
      <c r="I28" s="55">
        <f t="shared" si="3"/>
        <v>210.95800000000003</v>
      </c>
      <c r="J28" s="68"/>
      <c r="K28" s="69"/>
    </row>
    <row r="29" spans="1:14" s="61" customFormat="1" ht="29.25" customHeight="1" x14ac:dyDescent="0.2">
      <c r="A29" s="49" t="s">
        <v>68</v>
      </c>
      <c r="B29" s="63" t="s">
        <v>69</v>
      </c>
      <c r="C29" s="49" t="s">
        <v>26</v>
      </c>
      <c r="D29" s="64" t="s">
        <v>70</v>
      </c>
      <c r="E29" s="49" t="s">
        <v>57</v>
      </c>
      <c r="F29" s="65">
        <v>1</v>
      </c>
      <c r="G29" s="66">
        <v>83.25</v>
      </c>
      <c r="H29" s="67">
        <f t="shared" si="2"/>
        <v>104.0625</v>
      </c>
      <c r="I29" s="55">
        <f t="shared" si="3"/>
        <v>104.0625</v>
      </c>
      <c r="J29" s="68"/>
      <c r="K29" s="69"/>
    </row>
    <row r="30" spans="1:14" s="61" customFormat="1" ht="40.5" customHeight="1" x14ac:dyDescent="0.2">
      <c r="A30" s="49" t="s">
        <v>71</v>
      </c>
      <c r="B30" s="63" t="s">
        <v>55</v>
      </c>
      <c r="C30" s="49" t="s">
        <v>26</v>
      </c>
      <c r="D30" s="64" t="s">
        <v>56</v>
      </c>
      <c r="E30" s="49" t="s">
        <v>57</v>
      </c>
      <c r="F30" s="65">
        <v>2</v>
      </c>
      <c r="G30" s="53">
        <v>25.47</v>
      </c>
      <c r="H30" s="67">
        <f t="shared" si="2"/>
        <v>31.837499999999999</v>
      </c>
      <c r="I30" s="55">
        <f t="shared" si="3"/>
        <v>63.674999999999997</v>
      </c>
      <c r="J30" s="68"/>
      <c r="K30" s="69"/>
    </row>
    <row r="31" spans="1:14" s="46" customFormat="1" ht="19.5" customHeight="1" x14ac:dyDescent="0.2">
      <c r="A31" s="349" t="s">
        <v>72</v>
      </c>
      <c r="B31" s="349"/>
      <c r="C31" s="349"/>
      <c r="D31" s="349"/>
      <c r="E31" s="40"/>
      <c r="F31" s="41"/>
      <c r="G31" s="42"/>
      <c r="H31" s="42"/>
      <c r="I31" s="43">
        <f>SUM(I32:I43)</f>
        <v>2924.4918750000002</v>
      </c>
      <c r="J31" s="44" t="s">
        <v>23</v>
      </c>
      <c r="K31" s="45"/>
    </row>
    <row r="32" spans="1:14" s="61" customFormat="1" ht="21" customHeight="1" x14ac:dyDescent="0.2">
      <c r="A32" s="49" t="s">
        <v>59</v>
      </c>
      <c r="B32" s="63" t="s">
        <v>31</v>
      </c>
      <c r="C32" s="49" t="s">
        <v>26</v>
      </c>
      <c r="D32" s="64" t="s">
        <v>73</v>
      </c>
      <c r="E32" s="49" t="s">
        <v>33</v>
      </c>
      <c r="F32" s="65">
        <v>47.43</v>
      </c>
      <c r="G32" s="66">
        <v>2.69</v>
      </c>
      <c r="H32" s="67">
        <f t="shared" ref="H32:H43" si="4">G32*$L$9</f>
        <v>3.3624999999999998</v>
      </c>
      <c r="I32" s="55">
        <f t="shared" ref="I32:I43" si="5">+F32*H32</f>
        <v>159.483375</v>
      </c>
      <c r="J32" s="68"/>
      <c r="K32" s="69"/>
    </row>
    <row r="33" spans="1:11" s="61" customFormat="1" ht="21" customHeight="1" x14ac:dyDescent="0.2">
      <c r="A33" s="49" t="s">
        <v>61</v>
      </c>
      <c r="B33" s="63" t="s">
        <v>35</v>
      </c>
      <c r="C33" s="49" t="s">
        <v>26</v>
      </c>
      <c r="D33" s="64" t="s">
        <v>74</v>
      </c>
      <c r="E33" s="49" t="s">
        <v>33</v>
      </c>
      <c r="F33" s="65">
        <v>2.76</v>
      </c>
      <c r="G33" s="66">
        <v>4.5599999999999996</v>
      </c>
      <c r="H33" s="67">
        <f t="shared" si="4"/>
        <v>5.6999999999999993</v>
      </c>
      <c r="I33" s="55">
        <f t="shared" si="5"/>
        <v>15.731999999999998</v>
      </c>
      <c r="J33" s="68"/>
      <c r="K33" s="69"/>
    </row>
    <row r="34" spans="1:11" s="61" customFormat="1" ht="21" customHeight="1" x14ac:dyDescent="0.2">
      <c r="A34" s="49" t="s">
        <v>64</v>
      </c>
      <c r="B34" s="63" t="s">
        <v>75</v>
      </c>
      <c r="C34" s="49" t="s">
        <v>26</v>
      </c>
      <c r="D34" s="64" t="s">
        <v>76</v>
      </c>
      <c r="E34" s="49" t="s">
        <v>33</v>
      </c>
      <c r="F34" s="65">
        <v>3.36</v>
      </c>
      <c r="G34" s="66">
        <v>4.05</v>
      </c>
      <c r="H34" s="67">
        <f t="shared" si="4"/>
        <v>5.0625</v>
      </c>
      <c r="I34" s="55">
        <f t="shared" si="5"/>
        <v>17.009999999999998</v>
      </c>
      <c r="J34" s="68"/>
      <c r="K34" s="69"/>
    </row>
    <row r="35" spans="1:11" s="61" customFormat="1" ht="25.5" customHeight="1" x14ac:dyDescent="0.2">
      <c r="A35" s="49" t="s">
        <v>67</v>
      </c>
      <c r="B35" s="63" t="s">
        <v>62</v>
      </c>
      <c r="C35" s="49" t="s">
        <v>26</v>
      </c>
      <c r="D35" s="64" t="s">
        <v>63</v>
      </c>
      <c r="E35" s="49" t="s">
        <v>40</v>
      </c>
      <c r="F35" s="65">
        <v>37.619999999999997</v>
      </c>
      <c r="G35" s="66">
        <v>11.83</v>
      </c>
      <c r="H35" s="67">
        <f t="shared" si="4"/>
        <v>14.7875</v>
      </c>
      <c r="I35" s="55">
        <f t="shared" si="5"/>
        <v>556.30574999999999</v>
      </c>
      <c r="J35" s="68"/>
      <c r="K35" s="69"/>
    </row>
    <row r="36" spans="1:11" s="61" customFormat="1" ht="30" customHeight="1" x14ac:dyDescent="0.2">
      <c r="A36" s="49" t="s">
        <v>68</v>
      </c>
      <c r="B36" s="63" t="s">
        <v>65</v>
      </c>
      <c r="C36" s="49" t="s">
        <v>26</v>
      </c>
      <c r="D36" s="64" t="s">
        <v>66</v>
      </c>
      <c r="E36" s="49" t="s">
        <v>40</v>
      </c>
      <c r="F36" s="65">
        <v>37.619999999999997</v>
      </c>
      <c r="G36" s="66">
        <v>26.01</v>
      </c>
      <c r="H36" s="67">
        <f t="shared" si="4"/>
        <v>32.512500000000003</v>
      </c>
      <c r="I36" s="55">
        <f t="shared" si="5"/>
        <v>1223.1202499999999</v>
      </c>
      <c r="J36" s="68"/>
      <c r="K36" s="69"/>
    </row>
    <row r="37" spans="1:11" s="61" customFormat="1" ht="30" customHeight="1" x14ac:dyDescent="0.2">
      <c r="A37" s="49" t="s">
        <v>71</v>
      </c>
      <c r="B37" s="63" t="s">
        <v>42</v>
      </c>
      <c r="C37" s="49" t="s">
        <v>26</v>
      </c>
      <c r="D37" s="64" t="s">
        <v>43</v>
      </c>
      <c r="E37" s="49" t="s">
        <v>33</v>
      </c>
      <c r="F37" s="65">
        <v>9.81</v>
      </c>
      <c r="G37" s="66">
        <v>35.68</v>
      </c>
      <c r="H37" s="67">
        <f t="shared" si="4"/>
        <v>44.6</v>
      </c>
      <c r="I37" s="55">
        <f t="shared" si="5"/>
        <v>437.52600000000001</v>
      </c>
      <c r="J37" s="68"/>
      <c r="K37" s="69"/>
    </row>
    <row r="38" spans="1:11" s="61" customFormat="1" ht="24.75" customHeight="1" x14ac:dyDescent="0.2">
      <c r="A38" s="49" t="s">
        <v>77</v>
      </c>
      <c r="B38" s="63" t="s">
        <v>48</v>
      </c>
      <c r="C38" s="49" t="s">
        <v>26</v>
      </c>
      <c r="D38" s="64" t="s">
        <v>49</v>
      </c>
      <c r="E38" s="49" t="s">
        <v>33</v>
      </c>
      <c r="F38" s="65">
        <v>2.76</v>
      </c>
      <c r="G38" s="66">
        <v>34.28</v>
      </c>
      <c r="H38" s="67">
        <f t="shared" si="4"/>
        <v>42.85</v>
      </c>
      <c r="I38" s="55">
        <f t="shared" si="5"/>
        <v>118.26599999999999</v>
      </c>
      <c r="J38" s="68"/>
      <c r="K38" s="69"/>
    </row>
    <row r="39" spans="1:11" s="61" customFormat="1" ht="24.75" customHeight="1" x14ac:dyDescent="0.2">
      <c r="A39" s="49" t="s">
        <v>78</v>
      </c>
      <c r="B39" s="63" t="s">
        <v>79</v>
      </c>
      <c r="C39" s="49" t="s">
        <v>26</v>
      </c>
      <c r="D39" s="64" t="s">
        <v>80</v>
      </c>
      <c r="E39" s="49" t="s">
        <v>33</v>
      </c>
      <c r="F39" s="65">
        <v>3.36</v>
      </c>
      <c r="G39" s="66">
        <v>23.08</v>
      </c>
      <c r="H39" s="67">
        <f t="shared" si="4"/>
        <v>28.849999999999998</v>
      </c>
      <c r="I39" s="55">
        <f t="shared" si="5"/>
        <v>96.935999999999993</v>
      </c>
      <c r="J39" s="68"/>
      <c r="K39" s="69"/>
    </row>
    <row r="40" spans="1:11" s="61" customFormat="1" ht="40.5" customHeight="1" x14ac:dyDescent="0.2">
      <c r="A40" s="49" t="s">
        <v>81</v>
      </c>
      <c r="B40" s="63" t="s">
        <v>82</v>
      </c>
      <c r="C40" s="49" t="s">
        <v>26</v>
      </c>
      <c r="D40" s="64" t="s">
        <v>83</v>
      </c>
      <c r="E40" s="49" t="s">
        <v>57</v>
      </c>
      <c r="F40" s="65">
        <v>1</v>
      </c>
      <c r="G40" s="66">
        <v>112.65</v>
      </c>
      <c r="H40" s="67">
        <f t="shared" si="4"/>
        <v>140.8125</v>
      </c>
      <c r="I40" s="55">
        <f t="shared" si="5"/>
        <v>140.8125</v>
      </c>
      <c r="J40" s="68"/>
      <c r="K40" s="69"/>
    </row>
    <row r="41" spans="1:11" s="61" customFormat="1" ht="41.25" customHeight="1" x14ac:dyDescent="0.2">
      <c r="A41" s="49" t="s">
        <v>84</v>
      </c>
      <c r="B41" s="63" t="s">
        <v>51</v>
      </c>
      <c r="C41" s="49" t="s">
        <v>26</v>
      </c>
      <c r="D41" s="64" t="s">
        <v>52</v>
      </c>
      <c r="E41" s="49" t="s">
        <v>53</v>
      </c>
      <c r="F41" s="65">
        <v>7</v>
      </c>
      <c r="G41" s="66">
        <v>7.4</v>
      </c>
      <c r="H41" s="67">
        <f t="shared" si="4"/>
        <v>9.25</v>
      </c>
      <c r="I41" s="55">
        <f t="shared" si="5"/>
        <v>64.75</v>
      </c>
      <c r="J41" s="68"/>
      <c r="K41" s="69"/>
    </row>
    <row r="42" spans="1:11" s="61" customFormat="1" ht="40.5" customHeight="1" x14ac:dyDescent="0.2">
      <c r="A42" s="49" t="s">
        <v>85</v>
      </c>
      <c r="B42" s="63" t="s">
        <v>55</v>
      </c>
      <c r="C42" s="49" t="s">
        <v>26</v>
      </c>
      <c r="D42" s="64" t="s">
        <v>56</v>
      </c>
      <c r="E42" s="49" t="s">
        <v>57</v>
      </c>
      <c r="F42" s="65">
        <v>1</v>
      </c>
      <c r="G42" s="53">
        <v>25.44</v>
      </c>
      <c r="H42" s="67">
        <f t="shared" si="4"/>
        <v>31.8</v>
      </c>
      <c r="I42" s="55">
        <f t="shared" si="5"/>
        <v>31.8</v>
      </c>
      <c r="J42" s="68"/>
      <c r="K42" s="69"/>
    </row>
    <row r="43" spans="1:11" s="61" customFormat="1" ht="30" customHeight="1" x14ac:dyDescent="0.2">
      <c r="A43" s="49" t="s">
        <v>86</v>
      </c>
      <c r="B43" s="63" t="s">
        <v>87</v>
      </c>
      <c r="C43" s="49" t="s">
        <v>26</v>
      </c>
      <c r="D43" s="64" t="s">
        <v>88</v>
      </c>
      <c r="E43" s="49" t="s">
        <v>57</v>
      </c>
      <c r="F43" s="65">
        <v>2</v>
      </c>
      <c r="G43" s="66">
        <v>25.1</v>
      </c>
      <c r="H43" s="67">
        <f t="shared" si="4"/>
        <v>31.375</v>
      </c>
      <c r="I43" s="55">
        <f t="shared" si="5"/>
        <v>62.75</v>
      </c>
      <c r="J43" s="68"/>
      <c r="K43" s="69"/>
    </row>
    <row r="44" spans="1:11" s="78" customFormat="1" ht="21" customHeight="1" x14ac:dyDescent="0.2">
      <c r="A44" s="350" t="s">
        <v>89</v>
      </c>
      <c r="B44" s="350"/>
      <c r="C44" s="350"/>
      <c r="D44" s="350"/>
      <c r="E44" s="74"/>
      <c r="F44" s="75"/>
      <c r="G44" s="76"/>
      <c r="H44" s="75"/>
      <c r="I44" s="43">
        <f>SUM(I45:I55)</f>
        <v>2875.5945000000006</v>
      </c>
      <c r="J44" s="44" t="s">
        <v>23</v>
      </c>
      <c r="K44" s="77"/>
    </row>
    <row r="45" spans="1:11" s="61" customFormat="1" ht="21" customHeight="1" x14ac:dyDescent="0.2">
      <c r="A45" s="49" t="s">
        <v>90</v>
      </c>
      <c r="B45" s="63" t="s">
        <v>31</v>
      </c>
      <c r="C45" s="49" t="s">
        <v>26</v>
      </c>
      <c r="D45" s="64" t="s">
        <v>73</v>
      </c>
      <c r="E45" s="49" t="s">
        <v>33</v>
      </c>
      <c r="F45" s="65">
        <v>47.76</v>
      </c>
      <c r="G45" s="66">
        <v>2.69</v>
      </c>
      <c r="H45" s="67">
        <f t="shared" ref="H45:H55" si="6">G45*$L$9</f>
        <v>3.3624999999999998</v>
      </c>
      <c r="I45" s="55">
        <f t="shared" ref="I45:I55" si="7">+F45*H45</f>
        <v>160.59299999999999</v>
      </c>
      <c r="J45" s="68"/>
      <c r="K45" s="69"/>
    </row>
    <row r="46" spans="1:11" s="61" customFormat="1" ht="21" customHeight="1" x14ac:dyDescent="0.2">
      <c r="A46" s="49" t="s">
        <v>91</v>
      </c>
      <c r="B46" s="63" t="s">
        <v>75</v>
      </c>
      <c r="C46" s="49" t="s">
        <v>26</v>
      </c>
      <c r="D46" s="64" t="s">
        <v>76</v>
      </c>
      <c r="E46" s="49" t="s">
        <v>33</v>
      </c>
      <c r="F46" s="65">
        <v>3.36</v>
      </c>
      <c r="G46" s="66">
        <v>4.05</v>
      </c>
      <c r="H46" s="67">
        <f t="shared" si="6"/>
        <v>5.0625</v>
      </c>
      <c r="I46" s="55">
        <f t="shared" si="7"/>
        <v>17.009999999999998</v>
      </c>
      <c r="J46" s="68"/>
      <c r="K46" s="69"/>
    </row>
    <row r="47" spans="1:11" s="61" customFormat="1" ht="21" customHeight="1" x14ac:dyDescent="0.2">
      <c r="A47" s="49" t="s">
        <v>92</v>
      </c>
      <c r="B47" s="63" t="s">
        <v>35</v>
      </c>
      <c r="C47" s="49" t="s">
        <v>26</v>
      </c>
      <c r="D47" s="64" t="s">
        <v>74</v>
      </c>
      <c r="E47" s="49" t="s">
        <v>33</v>
      </c>
      <c r="F47" s="65">
        <v>2.76</v>
      </c>
      <c r="G47" s="66">
        <v>4.5599999999999996</v>
      </c>
      <c r="H47" s="67">
        <f t="shared" si="6"/>
        <v>5.6999999999999993</v>
      </c>
      <c r="I47" s="55">
        <f t="shared" si="7"/>
        <v>15.731999999999998</v>
      </c>
      <c r="J47" s="68"/>
      <c r="K47" s="69"/>
    </row>
    <row r="48" spans="1:11" s="61" customFormat="1" ht="25.5" customHeight="1" x14ac:dyDescent="0.2">
      <c r="A48" s="49" t="s">
        <v>93</v>
      </c>
      <c r="B48" s="63" t="s">
        <v>62</v>
      </c>
      <c r="C48" s="49" t="s">
        <v>26</v>
      </c>
      <c r="D48" s="64" t="s">
        <v>63</v>
      </c>
      <c r="E48" s="49" t="s">
        <v>40</v>
      </c>
      <c r="F48" s="65">
        <v>37.619999999999997</v>
      </c>
      <c r="G48" s="66">
        <v>11.83</v>
      </c>
      <c r="H48" s="67">
        <f t="shared" si="6"/>
        <v>14.7875</v>
      </c>
      <c r="I48" s="55">
        <f t="shared" si="7"/>
        <v>556.30574999999999</v>
      </c>
      <c r="J48" s="68"/>
      <c r="K48" s="69"/>
    </row>
    <row r="49" spans="1:11" s="61" customFormat="1" ht="30" customHeight="1" x14ac:dyDescent="0.2">
      <c r="A49" s="49" t="s">
        <v>94</v>
      </c>
      <c r="B49" s="63" t="s">
        <v>65</v>
      </c>
      <c r="C49" s="49" t="s">
        <v>26</v>
      </c>
      <c r="D49" s="64" t="s">
        <v>66</v>
      </c>
      <c r="E49" s="49" t="s">
        <v>40</v>
      </c>
      <c r="F49" s="65">
        <v>37.619999999999997</v>
      </c>
      <c r="G49" s="66">
        <v>26.01</v>
      </c>
      <c r="H49" s="67">
        <f t="shared" si="6"/>
        <v>32.512500000000003</v>
      </c>
      <c r="I49" s="55">
        <f t="shared" si="7"/>
        <v>1223.1202499999999</v>
      </c>
      <c r="J49" s="68"/>
      <c r="K49" s="69"/>
    </row>
    <row r="50" spans="1:11" s="61" customFormat="1" ht="30" customHeight="1" x14ac:dyDescent="0.2">
      <c r="A50" s="49" t="s">
        <v>95</v>
      </c>
      <c r="B50" s="63" t="s">
        <v>42</v>
      </c>
      <c r="C50" s="49" t="s">
        <v>26</v>
      </c>
      <c r="D50" s="64" t="s">
        <v>43</v>
      </c>
      <c r="E50" s="49" t="s">
        <v>33</v>
      </c>
      <c r="F50" s="65">
        <v>10.14</v>
      </c>
      <c r="G50" s="66">
        <v>35.68</v>
      </c>
      <c r="H50" s="67">
        <f t="shared" si="6"/>
        <v>44.6</v>
      </c>
      <c r="I50" s="55">
        <f t="shared" si="7"/>
        <v>452.24400000000003</v>
      </c>
      <c r="J50" s="68"/>
      <c r="K50" s="69"/>
    </row>
    <row r="51" spans="1:11" s="61" customFormat="1" ht="24.75" customHeight="1" x14ac:dyDescent="0.2">
      <c r="A51" s="49" t="s">
        <v>96</v>
      </c>
      <c r="B51" s="63" t="s">
        <v>48</v>
      </c>
      <c r="C51" s="49" t="s">
        <v>26</v>
      </c>
      <c r="D51" s="64" t="s">
        <v>49</v>
      </c>
      <c r="E51" s="49" t="s">
        <v>33</v>
      </c>
      <c r="F51" s="65">
        <v>2.76</v>
      </c>
      <c r="G51" s="66">
        <v>34.28</v>
      </c>
      <c r="H51" s="67">
        <f t="shared" si="6"/>
        <v>42.85</v>
      </c>
      <c r="I51" s="55">
        <f t="shared" si="7"/>
        <v>118.26599999999999</v>
      </c>
      <c r="J51" s="68"/>
      <c r="K51" s="69"/>
    </row>
    <row r="52" spans="1:11" s="61" customFormat="1" ht="24.75" customHeight="1" x14ac:dyDescent="0.2">
      <c r="A52" s="49" t="s">
        <v>97</v>
      </c>
      <c r="B52" s="63" t="s">
        <v>79</v>
      </c>
      <c r="C52" s="49" t="s">
        <v>26</v>
      </c>
      <c r="D52" s="64" t="s">
        <v>80</v>
      </c>
      <c r="E52" s="49" t="s">
        <v>33</v>
      </c>
      <c r="F52" s="65">
        <v>3.36</v>
      </c>
      <c r="G52" s="66">
        <v>23.08</v>
      </c>
      <c r="H52" s="67">
        <f t="shared" si="6"/>
        <v>28.849999999999998</v>
      </c>
      <c r="I52" s="55">
        <f t="shared" si="7"/>
        <v>96.935999999999993</v>
      </c>
      <c r="J52" s="68"/>
      <c r="K52" s="69"/>
    </row>
    <row r="53" spans="1:11" s="61" customFormat="1" ht="40.5" customHeight="1" x14ac:dyDescent="0.2">
      <c r="A53" s="49" t="s">
        <v>98</v>
      </c>
      <c r="B53" s="63" t="s">
        <v>82</v>
      </c>
      <c r="C53" s="49" t="s">
        <v>26</v>
      </c>
      <c r="D53" s="64" t="s">
        <v>83</v>
      </c>
      <c r="E53" s="49" t="s">
        <v>57</v>
      </c>
      <c r="F53" s="65">
        <v>1</v>
      </c>
      <c r="G53" s="66">
        <v>112.64</v>
      </c>
      <c r="H53" s="67">
        <f t="shared" si="6"/>
        <v>140.80000000000001</v>
      </c>
      <c r="I53" s="55">
        <f t="shared" si="7"/>
        <v>140.80000000000001</v>
      </c>
      <c r="J53" s="68"/>
      <c r="K53" s="69"/>
    </row>
    <row r="54" spans="1:11" s="61" customFormat="1" ht="40.5" customHeight="1" x14ac:dyDescent="0.2">
      <c r="A54" s="49" t="s">
        <v>99</v>
      </c>
      <c r="B54" s="63" t="s">
        <v>55</v>
      </c>
      <c r="C54" s="49" t="s">
        <v>26</v>
      </c>
      <c r="D54" s="64" t="s">
        <v>56</v>
      </c>
      <c r="E54" s="49" t="s">
        <v>57</v>
      </c>
      <c r="F54" s="65">
        <v>1</v>
      </c>
      <c r="G54" s="53">
        <v>25.47</v>
      </c>
      <c r="H54" s="67">
        <f t="shared" si="6"/>
        <v>31.837499999999999</v>
      </c>
      <c r="I54" s="55">
        <f t="shared" si="7"/>
        <v>31.837499999999999</v>
      </c>
      <c r="J54" s="68"/>
      <c r="K54" s="69"/>
    </row>
    <row r="55" spans="1:11" s="61" customFormat="1" ht="30" customHeight="1" x14ac:dyDescent="0.2">
      <c r="A55" s="49" t="s">
        <v>100</v>
      </c>
      <c r="B55" s="63" t="s">
        <v>87</v>
      </c>
      <c r="C55" s="49" t="s">
        <v>26</v>
      </c>
      <c r="D55" s="64" t="s">
        <v>88</v>
      </c>
      <c r="E55" s="49" t="s">
        <v>57</v>
      </c>
      <c r="F55" s="65">
        <v>2</v>
      </c>
      <c r="G55" s="66">
        <v>25.1</v>
      </c>
      <c r="H55" s="67">
        <f t="shared" si="6"/>
        <v>31.375</v>
      </c>
      <c r="I55" s="55">
        <f t="shared" si="7"/>
        <v>62.75</v>
      </c>
      <c r="J55" s="68"/>
      <c r="K55" s="69"/>
    </row>
    <row r="56" spans="1:11" s="78" customFormat="1" ht="20.25" customHeight="1" x14ac:dyDescent="0.2">
      <c r="A56" s="350" t="s">
        <v>101</v>
      </c>
      <c r="B56" s="350"/>
      <c r="C56" s="350"/>
      <c r="D56" s="350"/>
      <c r="E56" s="74"/>
      <c r="F56" s="75"/>
      <c r="G56" s="76"/>
      <c r="H56" s="75"/>
      <c r="I56" s="43">
        <f>SUM(I57:I63)</f>
        <v>3174.9865000000004</v>
      </c>
      <c r="J56" s="44" t="s">
        <v>23</v>
      </c>
      <c r="K56" s="77"/>
    </row>
    <row r="57" spans="1:11" s="61" customFormat="1" ht="21" customHeight="1" x14ac:dyDescent="0.2">
      <c r="A57" s="49" t="s">
        <v>102</v>
      </c>
      <c r="B57" s="63" t="s">
        <v>31</v>
      </c>
      <c r="C57" s="49" t="s">
        <v>26</v>
      </c>
      <c r="D57" s="64" t="s">
        <v>60</v>
      </c>
      <c r="E57" s="49" t="s">
        <v>33</v>
      </c>
      <c r="F57" s="65">
        <v>58.15</v>
      </c>
      <c r="G57" s="66">
        <v>2.69</v>
      </c>
      <c r="H57" s="67">
        <f t="shared" ref="H57:H63" si="8">G57*$L$9</f>
        <v>3.3624999999999998</v>
      </c>
      <c r="I57" s="55">
        <f t="shared" ref="I57:I63" si="9">+F57*H57</f>
        <v>195.52937499999999</v>
      </c>
      <c r="J57" s="68"/>
      <c r="K57" s="69"/>
    </row>
    <row r="58" spans="1:11" s="61" customFormat="1" ht="25.5" customHeight="1" x14ac:dyDescent="0.2">
      <c r="A58" s="49" t="s">
        <v>103</v>
      </c>
      <c r="B58" s="63" t="s">
        <v>62</v>
      </c>
      <c r="C58" s="49" t="s">
        <v>26</v>
      </c>
      <c r="D58" s="64" t="s">
        <v>63</v>
      </c>
      <c r="E58" s="49" t="s">
        <v>40</v>
      </c>
      <c r="F58" s="65">
        <v>42.75</v>
      </c>
      <c r="G58" s="66">
        <v>11.83</v>
      </c>
      <c r="H58" s="67">
        <f t="shared" si="8"/>
        <v>14.7875</v>
      </c>
      <c r="I58" s="55">
        <f t="shared" si="9"/>
        <v>632.16562499999998</v>
      </c>
      <c r="J58" s="68"/>
      <c r="K58" s="69"/>
    </row>
    <row r="59" spans="1:11" s="61" customFormat="1" ht="30" customHeight="1" x14ac:dyDescent="0.2">
      <c r="A59" s="49" t="s">
        <v>104</v>
      </c>
      <c r="B59" s="63" t="s">
        <v>65</v>
      </c>
      <c r="C59" s="49" t="s">
        <v>26</v>
      </c>
      <c r="D59" s="64" t="s">
        <v>66</v>
      </c>
      <c r="E59" s="49" t="s">
        <v>40</v>
      </c>
      <c r="F59" s="65">
        <v>46.4</v>
      </c>
      <c r="G59" s="66">
        <v>26.01</v>
      </c>
      <c r="H59" s="67">
        <f t="shared" si="8"/>
        <v>32.512500000000003</v>
      </c>
      <c r="I59" s="55">
        <f t="shared" si="9"/>
        <v>1508.5800000000002</v>
      </c>
      <c r="J59" s="68"/>
      <c r="K59" s="69"/>
    </row>
    <row r="60" spans="1:11" s="61" customFormat="1" ht="30" customHeight="1" x14ac:dyDescent="0.2">
      <c r="A60" s="49" t="s">
        <v>105</v>
      </c>
      <c r="B60" s="63" t="s">
        <v>42</v>
      </c>
      <c r="C60" s="49" t="s">
        <v>26</v>
      </c>
      <c r="D60" s="64" t="s">
        <v>43</v>
      </c>
      <c r="E60" s="49" t="s">
        <v>33</v>
      </c>
      <c r="F60" s="65">
        <v>15.44</v>
      </c>
      <c r="G60" s="66">
        <v>35.68</v>
      </c>
      <c r="H60" s="67">
        <f t="shared" si="8"/>
        <v>44.6</v>
      </c>
      <c r="I60" s="55">
        <f t="shared" si="9"/>
        <v>688.62400000000002</v>
      </c>
      <c r="J60" s="68"/>
      <c r="K60" s="69"/>
    </row>
    <row r="61" spans="1:11" s="61" customFormat="1" ht="41.25" customHeight="1" x14ac:dyDescent="0.2">
      <c r="A61" s="49" t="s">
        <v>106</v>
      </c>
      <c r="B61" s="63" t="s">
        <v>51</v>
      </c>
      <c r="C61" s="49" t="s">
        <v>26</v>
      </c>
      <c r="D61" s="64" t="s">
        <v>52</v>
      </c>
      <c r="E61" s="49" t="s">
        <v>53</v>
      </c>
      <c r="F61" s="65">
        <v>6</v>
      </c>
      <c r="G61" s="66">
        <v>7.4</v>
      </c>
      <c r="H61" s="67">
        <f t="shared" si="8"/>
        <v>9.25</v>
      </c>
      <c r="I61" s="55">
        <f t="shared" si="9"/>
        <v>55.5</v>
      </c>
      <c r="J61" s="68"/>
      <c r="K61" s="69"/>
    </row>
    <row r="62" spans="1:11" s="61" customFormat="1" ht="40.5" customHeight="1" x14ac:dyDescent="0.2">
      <c r="A62" s="49" t="s">
        <v>107</v>
      </c>
      <c r="B62" s="63" t="s">
        <v>55</v>
      </c>
      <c r="C62" s="49" t="s">
        <v>26</v>
      </c>
      <c r="D62" s="64" t="s">
        <v>56</v>
      </c>
      <c r="E62" s="49" t="s">
        <v>57</v>
      </c>
      <c r="F62" s="65">
        <v>1</v>
      </c>
      <c r="G62" s="53">
        <v>25.47</v>
      </c>
      <c r="H62" s="67">
        <f t="shared" si="8"/>
        <v>31.837499999999999</v>
      </c>
      <c r="I62" s="55">
        <f t="shared" si="9"/>
        <v>31.837499999999999</v>
      </c>
      <c r="J62" s="68"/>
      <c r="K62" s="69"/>
    </row>
    <row r="63" spans="1:11" s="61" customFormat="1" ht="30" customHeight="1" x14ac:dyDescent="0.2">
      <c r="A63" s="49" t="s">
        <v>108</v>
      </c>
      <c r="B63" s="63" t="s">
        <v>87</v>
      </c>
      <c r="C63" s="49" t="s">
        <v>26</v>
      </c>
      <c r="D63" s="64" t="s">
        <v>88</v>
      </c>
      <c r="E63" s="49" t="s">
        <v>57</v>
      </c>
      <c r="F63" s="65">
        <v>2</v>
      </c>
      <c r="G63" s="66">
        <v>25.1</v>
      </c>
      <c r="H63" s="67">
        <f t="shared" si="8"/>
        <v>31.375</v>
      </c>
      <c r="I63" s="55">
        <f t="shared" si="9"/>
        <v>62.75</v>
      </c>
      <c r="J63" s="68"/>
      <c r="K63" s="69"/>
    </row>
    <row r="64" spans="1:11" s="78" customFormat="1" ht="21" customHeight="1" x14ac:dyDescent="0.2">
      <c r="A64" s="350" t="s">
        <v>109</v>
      </c>
      <c r="B64" s="350"/>
      <c r="C64" s="350"/>
      <c r="D64" s="350"/>
      <c r="E64" s="74"/>
      <c r="F64" s="75"/>
      <c r="G64" s="76"/>
      <c r="H64" s="75"/>
      <c r="I64" s="43">
        <f>SUM(I65:I72)</f>
        <v>2471.81925</v>
      </c>
      <c r="J64" s="44" t="s">
        <v>23</v>
      </c>
      <c r="K64" s="77"/>
    </row>
    <row r="65" spans="1:11" s="61" customFormat="1" ht="21" customHeight="1" x14ac:dyDescent="0.2">
      <c r="A65" s="49" t="s">
        <v>110</v>
      </c>
      <c r="B65" s="63" t="s">
        <v>31</v>
      </c>
      <c r="C65" s="49" t="s">
        <v>26</v>
      </c>
      <c r="D65" s="64" t="s">
        <v>60</v>
      </c>
      <c r="E65" s="49" t="s">
        <v>33</v>
      </c>
      <c r="F65" s="65">
        <v>46</v>
      </c>
      <c r="G65" s="66">
        <v>2.6899000000000002</v>
      </c>
      <c r="H65" s="67">
        <f t="shared" ref="H65:H72" si="10">G65*$L$9</f>
        <v>3.3623750000000001</v>
      </c>
      <c r="I65" s="55">
        <f t="shared" ref="I65:I72" si="11">+F65*H65</f>
        <v>154.66925000000001</v>
      </c>
      <c r="J65" s="68"/>
      <c r="K65" s="69"/>
    </row>
    <row r="66" spans="1:11" s="61" customFormat="1" ht="25.5" customHeight="1" x14ac:dyDescent="0.2">
      <c r="A66" s="49" t="s">
        <v>111</v>
      </c>
      <c r="B66" s="63" t="s">
        <v>62</v>
      </c>
      <c r="C66" s="49" t="s">
        <v>26</v>
      </c>
      <c r="D66" s="64" t="s">
        <v>63</v>
      </c>
      <c r="E66" s="49" t="s">
        <v>40</v>
      </c>
      <c r="F66" s="65">
        <v>36.25</v>
      </c>
      <c r="G66" s="66">
        <v>11.83</v>
      </c>
      <c r="H66" s="67">
        <f t="shared" si="10"/>
        <v>14.7875</v>
      </c>
      <c r="I66" s="55">
        <f t="shared" si="11"/>
        <v>536.046875</v>
      </c>
      <c r="J66" s="68"/>
      <c r="K66" s="69"/>
    </row>
    <row r="67" spans="1:11" s="61" customFormat="1" ht="41.25" customHeight="1" x14ac:dyDescent="0.2">
      <c r="A67" s="49" t="s">
        <v>112</v>
      </c>
      <c r="B67" s="63" t="s">
        <v>51</v>
      </c>
      <c r="C67" s="49" t="s">
        <v>26</v>
      </c>
      <c r="D67" s="64" t="s">
        <v>113</v>
      </c>
      <c r="E67" s="49" t="s">
        <v>53</v>
      </c>
      <c r="F67" s="65">
        <v>4</v>
      </c>
      <c r="G67" s="66">
        <v>7.4</v>
      </c>
      <c r="H67" s="67">
        <f t="shared" si="10"/>
        <v>9.25</v>
      </c>
      <c r="I67" s="55">
        <f t="shared" si="11"/>
        <v>37</v>
      </c>
      <c r="J67" s="68"/>
      <c r="K67" s="69">
        <f>F65*H65</f>
        <v>154.66925000000001</v>
      </c>
    </row>
    <row r="68" spans="1:11" s="61" customFormat="1" ht="30" customHeight="1" x14ac:dyDescent="0.2">
      <c r="A68" s="49" t="s">
        <v>114</v>
      </c>
      <c r="B68" s="63" t="s">
        <v>115</v>
      </c>
      <c r="C68" s="49" t="s">
        <v>26</v>
      </c>
      <c r="D68" s="64" t="s">
        <v>116</v>
      </c>
      <c r="E68" s="49" t="s">
        <v>40</v>
      </c>
      <c r="F68" s="65">
        <v>1</v>
      </c>
      <c r="G68" s="66">
        <v>28.87</v>
      </c>
      <c r="H68" s="67">
        <f t="shared" si="10"/>
        <v>36.087499999999999</v>
      </c>
      <c r="I68" s="55">
        <f t="shared" si="11"/>
        <v>36.087499999999999</v>
      </c>
      <c r="J68" s="68"/>
      <c r="K68" s="69"/>
    </row>
    <row r="69" spans="1:11" s="61" customFormat="1" ht="30" customHeight="1" x14ac:dyDescent="0.2">
      <c r="A69" s="49" t="s">
        <v>117</v>
      </c>
      <c r="B69" s="63" t="s">
        <v>65</v>
      </c>
      <c r="C69" s="49" t="s">
        <v>26</v>
      </c>
      <c r="D69" s="64" t="s">
        <v>66</v>
      </c>
      <c r="E69" s="49" t="s">
        <v>40</v>
      </c>
      <c r="F69" s="65">
        <v>36.25</v>
      </c>
      <c r="G69" s="66">
        <v>26.01</v>
      </c>
      <c r="H69" s="67">
        <f t="shared" si="10"/>
        <v>32.512500000000003</v>
      </c>
      <c r="I69" s="55">
        <f t="shared" si="11"/>
        <v>1178.578125</v>
      </c>
      <c r="J69" s="68"/>
      <c r="K69" s="69"/>
    </row>
    <row r="70" spans="1:11" s="61" customFormat="1" ht="30" customHeight="1" x14ac:dyDescent="0.2">
      <c r="A70" s="49" t="s">
        <v>118</v>
      </c>
      <c r="B70" s="63" t="s">
        <v>42</v>
      </c>
      <c r="C70" s="49" t="s">
        <v>26</v>
      </c>
      <c r="D70" s="64" t="s">
        <v>43</v>
      </c>
      <c r="E70" s="49" t="s">
        <v>33</v>
      </c>
      <c r="F70" s="65">
        <v>9.75</v>
      </c>
      <c r="G70" s="66">
        <v>35.68</v>
      </c>
      <c r="H70" s="67">
        <f t="shared" si="10"/>
        <v>44.6</v>
      </c>
      <c r="I70" s="55">
        <f t="shared" si="11"/>
        <v>434.85</v>
      </c>
      <c r="J70" s="68"/>
      <c r="K70" s="69"/>
    </row>
    <row r="71" spans="1:11" s="61" customFormat="1" ht="40.5" customHeight="1" x14ac:dyDescent="0.2">
      <c r="A71" s="49" t="s">
        <v>119</v>
      </c>
      <c r="B71" s="63" t="s">
        <v>55</v>
      </c>
      <c r="C71" s="49" t="s">
        <v>26</v>
      </c>
      <c r="D71" s="64" t="s">
        <v>56</v>
      </c>
      <c r="E71" s="49" t="s">
        <v>57</v>
      </c>
      <c r="F71" s="65">
        <v>1</v>
      </c>
      <c r="G71" s="53">
        <v>25.47</v>
      </c>
      <c r="H71" s="67">
        <f t="shared" si="10"/>
        <v>31.837499999999999</v>
      </c>
      <c r="I71" s="55">
        <f t="shared" si="11"/>
        <v>31.837499999999999</v>
      </c>
      <c r="J71" s="68"/>
      <c r="K71" s="69"/>
    </row>
    <row r="72" spans="1:11" s="61" customFormat="1" ht="30" customHeight="1" x14ac:dyDescent="0.2">
      <c r="A72" s="49" t="s">
        <v>120</v>
      </c>
      <c r="B72" s="63" t="s">
        <v>87</v>
      </c>
      <c r="C72" s="49" t="s">
        <v>26</v>
      </c>
      <c r="D72" s="64" t="s">
        <v>88</v>
      </c>
      <c r="E72" s="49" t="s">
        <v>57</v>
      </c>
      <c r="F72" s="65">
        <v>2</v>
      </c>
      <c r="G72" s="66">
        <v>25.1</v>
      </c>
      <c r="H72" s="67">
        <f t="shared" si="10"/>
        <v>31.375</v>
      </c>
      <c r="I72" s="55">
        <f t="shared" si="11"/>
        <v>62.75</v>
      </c>
      <c r="J72" s="68"/>
      <c r="K72" s="69"/>
    </row>
    <row r="73" spans="1:11" s="78" customFormat="1" ht="19.5" customHeight="1" x14ac:dyDescent="0.2">
      <c r="A73" s="349" t="s">
        <v>121</v>
      </c>
      <c r="B73" s="349"/>
      <c r="C73" s="349"/>
      <c r="D73" s="349"/>
      <c r="E73" s="74"/>
      <c r="F73" s="75"/>
      <c r="G73" s="76"/>
      <c r="H73" s="75"/>
      <c r="I73" s="43">
        <f>SUM(I74:I77)</f>
        <v>890.08274999999992</v>
      </c>
      <c r="J73" s="44" t="s">
        <v>23</v>
      </c>
      <c r="K73" s="45"/>
    </row>
    <row r="74" spans="1:11" s="61" customFormat="1" ht="21" customHeight="1" x14ac:dyDescent="0.2">
      <c r="A74" s="49" t="s">
        <v>122</v>
      </c>
      <c r="B74" s="63" t="s">
        <v>31</v>
      </c>
      <c r="C74" s="49" t="s">
        <v>26</v>
      </c>
      <c r="D74" s="64" t="s">
        <v>60</v>
      </c>
      <c r="E74" s="49" t="s">
        <v>33</v>
      </c>
      <c r="F74" s="65">
        <v>17.66</v>
      </c>
      <c r="G74" s="66">
        <v>2.69</v>
      </c>
      <c r="H74" s="67">
        <f t="shared" ref="H74:H77" si="12">G74*$L$9</f>
        <v>3.3624999999999998</v>
      </c>
      <c r="I74" s="55">
        <f t="shared" ref="I74:I77" si="13">+F74*H74</f>
        <v>59.381749999999997</v>
      </c>
      <c r="J74" s="68"/>
      <c r="K74" s="69"/>
    </row>
    <row r="75" spans="1:11" s="61" customFormat="1" ht="25.5" customHeight="1" x14ac:dyDescent="0.2">
      <c r="A75" s="49" t="s">
        <v>123</v>
      </c>
      <c r="B75" s="63" t="s">
        <v>62</v>
      </c>
      <c r="C75" s="49" t="s">
        <v>26</v>
      </c>
      <c r="D75" s="64" t="s">
        <v>63</v>
      </c>
      <c r="E75" s="49" t="s">
        <v>40</v>
      </c>
      <c r="F75" s="65">
        <v>15.95</v>
      </c>
      <c r="G75" s="66">
        <v>11.83</v>
      </c>
      <c r="H75" s="67">
        <f t="shared" si="12"/>
        <v>14.7875</v>
      </c>
      <c r="I75" s="55">
        <f t="shared" si="13"/>
        <v>235.86062499999997</v>
      </c>
      <c r="J75" s="68"/>
      <c r="K75" s="69"/>
    </row>
    <row r="76" spans="1:11" s="61" customFormat="1" ht="30" customHeight="1" x14ac:dyDescent="0.2">
      <c r="A76" s="49" t="s">
        <v>124</v>
      </c>
      <c r="B76" s="63" t="s">
        <v>65</v>
      </c>
      <c r="C76" s="49" t="s">
        <v>26</v>
      </c>
      <c r="D76" s="64" t="s">
        <v>66</v>
      </c>
      <c r="E76" s="49" t="s">
        <v>40</v>
      </c>
      <c r="F76" s="65">
        <v>15.95</v>
      </c>
      <c r="G76" s="66">
        <v>26.01</v>
      </c>
      <c r="H76" s="67">
        <f t="shared" si="12"/>
        <v>32.512500000000003</v>
      </c>
      <c r="I76" s="55">
        <f t="shared" si="13"/>
        <v>518.57437500000003</v>
      </c>
      <c r="J76" s="68"/>
      <c r="K76" s="69"/>
    </row>
    <row r="77" spans="1:11" s="61" customFormat="1" ht="30" customHeight="1" x14ac:dyDescent="0.2">
      <c r="A77" s="49" t="s">
        <v>125</v>
      </c>
      <c r="B77" s="63" t="s">
        <v>42</v>
      </c>
      <c r="C77" s="49" t="s">
        <v>26</v>
      </c>
      <c r="D77" s="64" t="s">
        <v>43</v>
      </c>
      <c r="E77" s="49" t="s">
        <v>33</v>
      </c>
      <c r="F77" s="65">
        <v>1.71</v>
      </c>
      <c r="G77" s="66">
        <v>35.68</v>
      </c>
      <c r="H77" s="67">
        <f t="shared" si="12"/>
        <v>44.6</v>
      </c>
      <c r="I77" s="55">
        <f t="shared" si="13"/>
        <v>76.266000000000005</v>
      </c>
      <c r="J77" s="68"/>
      <c r="K77" s="69"/>
    </row>
    <row r="78" spans="1:11" s="78" customFormat="1" ht="22.5" customHeight="1" x14ac:dyDescent="0.2">
      <c r="A78" s="349" t="s">
        <v>126</v>
      </c>
      <c r="B78" s="349"/>
      <c r="C78" s="349"/>
      <c r="D78" s="349"/>
      <c r="E78" s="74"/>
      <c r="F78" s="75"/>
      <c r="G78" s="76"/>
      <c r="H78" s="75"/>
      <c r="I78" s="43">
        <f>SUM(I79:I89)</f>
        <v>3627.538250000001</v>
      </c>
      <c r="J78" s="44" t="s">
        <v>23</v>
      </c>
      <c r="K78" s="45"/>
    </row>
    <row r="79" spans="1:11" s="61" customFormat="1" ht="21" customHeight="1" x14ac:dyDescent="0.2">
      <c r="A79" s="49" t="s">
        <v>127</v>
      </c>
      <c r="B79" s="63" t="s">
        <v>31</v>
      </c>
      <c r="C79" s="49" t="s">
        <v>26</v>
      </c>
      <c r="D79" s="64" t="s">
        <v>60</v>
      </c>
      <c r="E79" s="49" t="s">
        <v>33</v>
      </c>
      <c r="F79" s="65">
        <v>42.9</v>
      </c>
      <c r="G79" s="66">
        <v>2.69</v>
      </c>
      <c r="H79" s="67">
        <f t="shared" ref="H79:H89" si="14">G79*$L$9</f>
        <v>3.3624999999999998</v>
      </c>
      <c r="I79" s="55">
        <f t="shared" ref="I79:I89" si="15">+F79*H79</f>
        <v>144.25125</v>
      </c>
      <c r="J79" s="68"/>
      <c r="K79" s="69"/>
    </row>
    <row r="80" spans="1:11" s="61" customFormat="1" ht="21" customHeight="1" x14ac:dyDescent="0.2">
      <c r="A80" s="49" t="s">
        <v>128</v>
      </c>
      <c r="B80" s="63" t="s">
        <v>35</v>
      </c>
      <c r="C80" s="49" t="s">
        <v>26</v>
      </c>
      <c r="D80" s="64" t="s">
        <v>74</v>
      </c>
      <c r="E80" s="49" t="s">
        <v>33</v>
      </c>
      <c r="F80" s="65">
        <v>3.3</v>
      </c>
      <c r="G80" s="66">
        <v>4.5599999999999996</v>
      </c>
      <c r="H80" s="67">
        <f t="shared" si="14"/>
        <v>5.6999999999999993</v>
      </c>
      <c r="I80" s="55">
        <f t="shared" si="15"/>
        <v>18.809999999999995</v>
      </c>
      <c r="J80" s="68"/>
      <c r="K80" s="69"/>
    </row>
    <row r="81" spans="1:11" s="61" customFormat="1" ht="21" customHeight="1" x14ac:dyDescent="0.2">
      <c r="A81" s="49" t="s">
        <v>129</v>
      </c>
      <c r="B81" s="63" t="s">
        <v>75</v>
      </c>
      <c r="C81" s="49" t="s">
        <v>26</v>
      </c>
      <c r="D81" s="64" t="s">
        <v>76</v>
      </c>
      <c r="E81" s="49" t="s">
        <v>33</v>
      </c>
      <c r="F81" s="65">
        <v>3.36</v>
      </c>
      <c r="G81" s="66">
        <v>4.05</v>
      </c>
      <c r="H81" s="67">
        <f t="shared" si="14"/>
        <v>5.0625</v>
      </c>
      <c r="I81" s="55">
        <f t="shared" si="15"/>
        <v>17.009999999999998</v>
      </c>
      <c r="J81" s="68"/>
      <c r="K81" s="69"/>
    </row>
    <row r="82" spans="1:11" s="61" customFormat="1" ht="25.5" customHeight="1" x14ac:dyDescent="0.2">
      <c r="A82" s="49" t="s">
        <v>130</v>
      </c>
      <c r="B82" s="63" t="s">
        <v>62</v>
      </c>
      <c r="C82" s="49" t="s">
        <v>26</v>
      </c>
      <c r="D82" s="64" t="s">
        <v>63</v>
      </c>
      <c r="E82" s="49" t="s">
        <v>40</v>
      </c>
      <c r="F82" s="65">
        <v>34.22</v>
      </c>
      <c r="G82" s="66">
        <v>11.83</v>
      </c>
      <c r="H82" s="67">
        <f t="shared" si="14"/>
        <v>14.7875</v>
      </c>
      <c r="I82" s="55">
        <f t="shared" si="15"/>
        <v>506.02824999999996</v>
      </c>
      <c r="J82" s="68"/>
      <c r="K82" s="69"/>
    </row>
    <row r="83" spans="1:11" s="61" customFormat="1" ht="30" customHeight="1" x14ac:dyDescent="0.2">
      <c r="A83" s="49" t="s">
        <v>131</v>
      </c>
      <c r="B83" s="63" t="s">
        <v>42</v>
      </c>
      <c r="C83" s="49" t="s">
        <v>26</v>
      </c>
      <c r="D83" s="64" t="s">
        <v>43</v>
      </c>
      <c r="E83" s="49" t="s">
        <v>33</v>
      </c>
      <c r="F83" s="65">
        <v>8.6999999999999993</v>
      </c>
      <c r="G83" s="66">
        <v>35.68</v>
      </c>
      <c r="H83" s="67">
        <f t="shared" si="14"/>
        <v>44.6</v>
      </c>
      <c r="I83" s="55">
        <f t="shared" si="15"/>
        <v>388.02</v>
      </c>
      <c r="J83" s="68"/>
      <c r="K83" s="69"/>
    </row>
    <row r="84" spans="1:11" s="61" customFormat="1" ht="30" customHeight="1" x14ac:dyDescent="0.2">
      <c r="A84" s="49" t="s">
        <v>132</v>
      </c>
      <c r="B84" s="63" t="s">
        <v>65</v>
      </c>
      <c r="C84" s="49" t="s">
        <v>26</v>
      </c>
      <c r="D84" s="64" t="s">
        <v>66</v>
      </c>
      <c r="E84" s="49" t="s">
        <v>40</v>
      </c>
      <c r="F84" s="65">
        <v>34.22</v>
      </c>
      <c r="G84" s="66">
        <v>26.01</v>
      </c>
      <c r="H84" s="67">
        <f t="shared" si="14"/>
        <v>32.512500000000003</v>
      </c>
      <c r="I84" s="55">
        <f t="shared" si="15"/>
        <v>1112.5777500000002</v>
      </c>
      <c r="J84" s="68"/>
      <c r="K84" s="69"/>
    </row>
    <row r="85" spans="1:11" s="61" customFormat="1" ht="24.75" customHeight="1" x14ac:dyDescent="0.2">
      <c r="A85" s="49" t="s">
        <v>133</v>
      </c>
      <c r="B85" s="63" t="s">
        <v>48</v>
      </c>
      <c r="C85" s="49" t="s">
        <v>26</v>
      </c>
      <c r="D85" s="64" t="s">
        <v>49</v>
      </c>
      <c r="E85" s="49" t="s">
        <v>33</v>
      </c>
      <c r="F85" s="65">
        <v>3.3</v>
      </c>
      <c r="G85" s="66">
        <v>34.28</v>
      </c>
      <c r="H85" s="67">
        <f t="shared" si="14"/>
        <v>42.85</v>
      </c>
      <c r="I85" s="55">
        <f t="shared" si="15"/>
        <v>141.405</v>
      </c>
      <c r="J85" s="68"/>
      <c r="K85" s="69"/>
    </row>
    <row r="86" spans="1:11" s="61" customFormat="1" ht="24.75" customHeight="1" x14ac:dyDescent="0.2">
      <c r="A86" s="49" t="s">
        <v>134</v>
      </c>
      <c r="B86" s="63" t="s">
        <v>79</v>
      </c>
      <c r="C86" s="49" t="s">
        <v>26</v>
      </c>
      <c r="D86" s="64" t="s">
        <v>80</v>
      </c>
      <c r="E86" s="49" t="s">
        <v>33</v>
      </c>
      <c r="F86" s="65">
        <v>3.36</v>
      </c>
      <c r="G86" s="66">
        <v>23.08</v>
      </c>
      <c r="H86" s="67">
        <f t="shared" si="14"/>
        <v>28.849999999999998</v>
      </c>
      <c r="I86" s="55">
        <f t="shared" si="15"/>
        <v>96.935999999999993</v>
      </c>
      <c r="J86" s="68"/>
      <c r="K86" s="69"/>
    </row>
    <row r="87" spans="1:11" s="61" customFormat="1" ht="30" customHeight="1" x14ac:dyDescent="0.2">
      <c r="A87" s="49" t="s">
        <v>135</v>
      </c>
      <c r="B87" s="63" t="s">
        <v>136</v>
      </c>
      <c r="C87" s="49" t="s">
        <v>26</v>
      </c>
      <c r="D87" s="64" t="s">
        <v>137</v>
      </c>
      <c r="E87" s="49" t="s">
        <v>57</v>
      </c>
      <c r="F87" s="65">
        <v>1</v>
      </c>
      <c r="G87" s="66">
        <v>886.33</v>
      </c>
      <c r="H87" s="67">
        <f t="shared" si="14"/>
        <v>1107.9125000000001</v>
      </c>
      <c r="I87" s="55">
        <f t="shared" si="15"/>
        <v>1107.9125000000001</v>
      </c>
      <c r="J87" s="68"/>
      <c r="K87" s="69"/>
    </row>
    <row r="88" spans="1:11" s="61" customFormat="1" ht="40.5" customHeight="1" x14ac:dyDescent="0.2">
      <c r="A88" s="49" t="s">
        <v>138</v>
      </c>
      <c r="B88" s="63" t="s">
        <v>55</v>
      </c>
      <c r="C88" s="49" t="s">
        <v>26</v>
      </c>
      <c r="D88" s="64" t="s">
        <v>56</v>
      </c>
      <c r="E88" s="49" t="s">
        <v>57</v>
      </c>
      <c r="F88" s="65">
        <v>1</v>
      </c>
      <c r="G88" s="53">
        <v>25.47</v>
      </c>
      <c r="H88" s="67">
        <f t="shared" si="14"/>
        <v>31.837499999999999</v>
      </c>
      <c r="I88" s="55">
        <f t="shared" si="15"/>
        <v>31.837499999999999</v>
      </c>
      <c r="J88" s="68"/>
      <c r="K88" s="69"/>
    </row>
    <row r="89" spans="1:11" s="61" customFormat="1" ht="30" customHeight="1" x14ac:dyDescent="0.2">
      <c r="A89" s="49" t="s">
        <v>139</v>
      </c>
      <c r="B89" s="63" t="s">
        <v>87</v>
      </c>
      <c r="C89" s="49" t="s">
        <v>26</v>
      </c>
      <c r="D89" s="64" t="s">
        <v>88</v>
      </c>
      <c r="E89" s="49" t="s">
        <v>57</v>
      </c>
      <c r="F89" s="65">
        <v>2</v>
      </c>
      <c r="G89" s="66">
        <v>25.1</v>
      </c>
      <c r="H89" s="67">
        <f t="shared" si="14"/>
        <v>31.375</v>
      </c>
      <c r="I89" s="55">
        <f t="shared" si="15"/>
        <v>62.75</v>
      </c>
      <c r="J89" s="68"/>
      <c r="K89" s="69"/>
    </row>
    <row r="90" spans="1:11" s="78" customFormat="1" ht="21" customHeight="1" x14ac:dyDescent="0.2">
      <c r="A90" s="349" t="s">
        <v>140</v>
      </c>
      <c r="B90" s="349"/>
      <c r="C90" s="349"/>
      <c r="D90" s="349"/>
      <c r="E90" s="74"/>
      <c r="F90" s="75"/>
      <c r="G90" s="75"/>
      <c r="H90" s="75"/>
      <c r="I90" s="43">
        <f>SUM(I91:I104)</f>
        <v>3102.0417500000008</v>
      </c>
      <c r="J90" s="44" t="s">
        <v>23</v>
      </c>
      <c r="K90" s="45"/>
    </row>
    <row r="91" spans="1:11" s="61" customFormat="1" ht="21" customHeight="1" x14ac:dyDescent="0.2">
      <c r="A91" s="49" t="s">
        <v>141</v>
      </c>
      <c r="B91" s="63" t="s">
        <v>31</v>
      </c>
      <c r="C91" s="49" t="s">
        <v>26</v>
      </c>
      <c r="D91" s="64" t="s">
        <v>60</v>
      </c>
      <c r="E91" s="49" t="s">
        <v>33</v>
      </c>
      <c r="F91" s="65">
        <v>3.24</v>
      </c>
      <c r="G91" s="66">
        <v>2.69</v>
      </c>
      <c r="H91" s="67">
        <f t="shared" ref="H91:H104" si="16">G91*$L$9</f>
        <v>3.3624999999999998</v>
      </c>
      <c r="I91" s="55">
        <f t="shared" ref="I91:I104" si="17">+F91*H91</f>
        <v>10.894500000000001</v>
      </c>
      <c r="J91" s="68"/>
      <c r="K91" s="69"/>
    </row>
    <row r="92" spans="1:11" s="61" customFormat="1" ht="21" customHeight="1" x14ac:dyDescent="0.2">
      <c r="A92" s="49" t="s">
        <v>142</v>
      </c>
      <c r="B92" s="63" t="s">
        <v>35</v>
      </c>
      <c r="C92" s="49" t="s">
        <v>26</v>
      </c>
      <c r="D92" s="64" t="s">
        <v>74</v>
      </c>
      <c r="E92" s="49" t="s">
        <v>33</v>
      </c>
      <c r="F92" s="65">
        <v>1.2</v>
      </c>
      <c r="G92" s="66">
        <v>4.5599999999999996</v>
      </c>
      <c r="H92" s="67">
        <f t="shared" si="16"/>
        <v>5.6999999999999993</v>
      </c>
      <c r="I92" s="55">
        <f t="shared" si="17"/>
        <v>6.839999999999999</v>
      </c>
      <c r="J92" s="68"/>
      <c r="K92" s="69"/>
    </row>
    <row r="93" spans="1:11" s="61" customFormat="1" ht="21" customHeight="1" x14ac:dyDescent="0.2">
      <c r="A93" s="49" t="s">
        <v>143</v>
      </c>
      <c r="B93" s="63" t="s">
        <v>75</v>
      </c>
      <c r="C93" s="49" t="s">
        <v>26</v>
      </c>
      <c r="D93" s="64" t="s">
        <v>76</v>
      </c>
      <c r="E93" s="49" t="s">
        <v>33</v>
      </c>
      <c r="F93" s="65">
        <v>3.78</v>
      </c>
      <c r="G93" s="66">
        <v>4.05</v>
      </c>
      <c r="H93" s="67">
        <f t="shared" si="16"/>
        <v>5.0625</v>
      </c>
      <c r="I93" s="55">
        <f t="shared" si="17"/>
        <v>19.13625</v>
      </c>
      <c r="J93" s="68"/>
      <c r="K93" s="69"/>
    </row>
    <row r="94" spans="1:11" s="61" customFormat="1" ht="30" customHeight="1" x14ac:dyDescent="0.2">
      <c r="A94" s="49" t="s">
        <v>144</v>
      </c>
      <c r="B94" s="63" t="s">
        <v>42</v>
      </c>
      <c r="C94" s="49" t="s">
        <v>26</v>
      </c>
      <c r="D94" s="64" t="s">
        <v>43</v>
      </c>
      <c r="E94" s="49" t="s">
        <v>33</v>
      </c>
      <c r="F94" s="65">
        <v>3.24</v>
      </c>
      <c r="G94" s="66">
        <v>35.68</v>
      </c>
      <c r="H94" s="67">
        <f t="shared" si="16"/>
        <v>44.6</v>
      </c>
      <c r="I94" s="55">
        <f t="shared" si="17"/>
        <v>144.50400000000002</v>
      </c>
      <c r="J94" s="68"/>
      <c r="K94" s="69"/>
    </row>
    <row r="95" spans="1:11" s="61" customFormat="1" ht="24.75" customHeight="1" x14ac:dyDescent="0.2">
      <c r="A95" s="49" t="s">
        <v>145</v>
      </c>
      <c r="B95" s="63" t="s">
        <v>48</v>
      </c>
      <c r="C95" s="49" t="s">
        <v>26</v>
      </c>
      <c r="D95" s="64" t="s">
        <v>49</v>
      </c>
      <c r="E95" s="49" t="s">
        <v>33</v>
      </c>
      <c r="F95" s="65">
        <v>1.2</v>
      </c>
      <c r="G95" s="66">
        <v>34.28</v>
      </c>
      <c r="H95" s="67">
        <f t="shared" si="16"/>
        <v>42.85</v>
      </c>
      <c r="I95" s="55">
        <f t="shared" si="17"/>
        <v>51.42</v>
      </c>
      <c r="J95" s="68"/>
      <c r="K95" s="69"/>
    </row>
    <row r="96" spans="1:11" s="61" customFormat="1" ht="24.75" customHeight="1" x14ac:dyDescent="0.2">
      <c r="A96" s="49" t="s">
        <v>146</v>
      </c>
      <c r="B96" s="63" t="s">
        <v>79</v>
      </c>
      <c r="C96" s="49" t="s">
        <v>26</v>
      </c>
      <c r="D96" s="64" t="s">
        <v>80</v>
      </c>
      <c r="E96" s="49" t="s">
        <v>33</v>
      </c>
      <c r="F96" s="65">
        <v>3.78</v>
      </c>
      <c r="G96" s="66">
        <v>23.08</v>
      </c>
      <c r="H96" s="67">
        <f t="shared" si="16"/>
        <v>28.849999999999998</v>
      </c>
      <c r="I96" s="55">
        <f t="shared" si="17"/>
        <v>109.05299999999998</v>
      </c>
      <c r="J96" s="68"/>
      <c r="K96" s="69"/>
    </row>
    <row r="97" spans="1:18" s="61" customFormat="1" ht="31.9" customHeight="1" x14ac:dyDescent="0.2">
      <c r="A97" s="49" t="s">
        <v>147</v>
      </c>
      <c r="B97" s="48" t="s">
        <v>148</v>
      </c>
      <c r="C97" s="49" t="s">
        <v>26</v>
      </c>
      <c r="D97" s="79" t="s">
        <v>149</v>
      </c>
      <c r="E97" s="51" t="s">
        <v>57</v>
      </c>
      <c r="F97" s="52">
        <v>1</v>
      </c>
      <c r="G97" s="80">
        <v>915.71</v>
      </c>
      <c r="H97" s="67">
        <f t="shared" si="16"/>
        <v>1144.6375</v>
      </c>
      <c r="I97" s="55">
        <f t="shared" si="17"/>
        <v>1144.6375</v>
      </c>
      <c r="J97" s="81"/>
      <c r="K97" s="81"/>
      <c r="L97" s="59"/>
      <c r="M97" s="59"/>
      <c r="N97" s="59"/>
      <c r="O97" s="59"/>
      <c r="P97" s="59"/>
      <c r="Q97" s="59"/>
      <c r="R97" s="60"/>
    </row>
    <row r="98" spans="1:18" s="61" customFormat="1" ht="39" customHeight="1" x14ac:dyDescent="0.2">
      <c r="A98" s="49" t="s">
        <v>150</v>
      </c>
      <c r="B98" s="48" t="s">
        <v>151</v>
      </c>
      <c r="C98" s="49" t="s">
        <v>26</v>
      </c>
      <c r="D98" s="64" t="s">
        <v>152</v>
      </c>
      <c r="E98" s="51" t="s">
        <v>57</v>
      </c>
      <c r="F98" s="52">
        <v>1</v>
      </c>
      <c r="G98" s="80">
        <v>735.76</v>
      </c>
      <c r="H98" s="67">
        <f t="shared" si="16"/>
        <v>919.7</v>
      </c>
      <c r="I98" s="55">
        <f t="shared" si="17"/>
        <v>919.7</v>
      </c>
      <c r="J98" s="81"/>
      <c r="K98" s="81"/>
      <c r="L98" s="59"/>
      <c r="M98" s="59"/>
      <c r="N98" s="59"/>
      <c r="O98" s="59"/>
      <c r="P98" s="59"/>
      <c r="Q98" s="59"/>
      <c r="R98" s="60"/>
    </row>
    <row r="99" spans="1:18" s="61" customFormat="1" ht="26.25" customHeight="1" x14ac:dyDescent="0.2">
      <c r="A99" s="49" t="s">
        <v>153</v>
      </c>
      <c r="B99" s="48" t="s">
        <v>154</v>
      </c>
      <c r="C99" s="49" t="s">
        <v>26</v>
      </c>
      <c r="D99" s="64" t="s">
        <v>155</v>
      </c>
      <c r="E99" s="51" t="s">
        <v>57</v>
      </c>
      <c r="F99" s="52">
        <v>1</v>
      </c>
      <c r="G99" s="80">
        <v>50.19</v>
      </c>
      <c r="H99" s="67">
        <f t="shared" si="16"/>
        <v>62.737499999999997</v>
      </c>
      <c r="I99" s="55">
        <f t="shared" si="17"/>
        <v>62.737499999999997</v>
      </c>
      <c r="J99" s="81"/>
      <c r="K99" s="81"/>
      <c r="L99" s="59"/>
      <c r="M99" s="59"/>
      <c r="N99" s="59"/>
      <c r="O99" s="59"/>
      <c r="P99" s="59"/>
      <c r="Q99" s="59"/>
      <c r="R99" s="60"/>
    </row>
    <row r="100" spans="1:18" s="61" customFormat="1" ht="30.75" customHeight="1" x14ac:dyDescent="0.2">
      <c r="A100" s="49" t="s">
        <v>156</v>
      </c>
      <c r="B100" s="48" t="s">
        <v>157</v>
      </c>
      <c r="C100" s="49" t="s">
        <v>26</v>
      </c>
      <c r="D100" s="64" t="s">
        <v>158</v>
      </c>
      <c r="E100" s="51" t="s">
        <v>33</v>
      </c>
      <c r="F100" s="52">
        <v>2.1800000000000002</v>
      </c>
      <c r="G100" s="80">
        <v>18.309999999999999</v>
      </c>
      <c r="H100" s="67">
        <f t="shared" si="16"/>
        <v>22.887499999999999</v>
      </c>
      <c r="I100" s="55">
        <f t="shared" si="17"/>
        <v>49.894750000000002</v>
      </c>
      <c r="J100" s="81"/>
      <c r="K100" s="81"/>
      <c r="L100" s="59"/>
      <c r="M100" s="59"/>
      <c r="N100" s="59"/>
      <c r="O100" s="59"/>
      <c r="P100" s="59"/>
      <c r="Q100" s="59"/>
      <c r="R100" s="60"/>
    </row>
    <row r="101" spans="1:18" s="61" customFormat="1" ht="42.75" customHeight="1" x14ac:dyDescent="0.2">
      <c r="A101" s="49" t="s">
        <v>159</v>
      </c>
      <c r="B101" s="48" t="s">
        <v>160</v>
      </c>
      <c r="C101" s="49" t="s">
        <v>26</v>
      </c>
      <c r="D101" s="64" t="s">
        <v>161</v>
      </c>
      <c r="E101" s="51" t="s">
        <v>33</v>
      </c>
      <c r="F101" s="52">
        <v>2.1800000000000002</v>
      </c>
      <c r="G101" s="80">
        <v>70.33</v>
      </c>
      <c r="H101" s="67">
        <f t="shared" si="16"/>
        <v>87.912499999999994</v>
      </c>
      <c r="I101" s="55">
        <f t="shared" si="17"/>
        <v>191.64924999999999</v>
      </c>
      <c r="J101" s="81"/>
      <c r="K101" s="81"/>
      <c r="L101" s="59"/>
      <c r="M101" s="59"/>
      <c r="N101" s="59"/>
      <c r="O101" s="59"/>
      <c r="P101" s="59"/>
      <c r="Q101" s="59"/>
      <c r="R101" s="60"/>
    </row>
    <row r="102" spans="1:18" s="61" customFormat="1" ht="26.25" customHeight="1" x14ac:dyDescent="0.2">
      <c r="A102" s="49" t="s">
        <v>162</v>
      </c>
      <c r="B102" s="48" t="s">
        <v>163</v>
      </c>
      <c r="C102" s="49" t="s">
        <v>26</v>
      </c>
      <c r="D102" s="64" t="s">
        <v>164</v>
      </c>
      <c r="E102" s="51" t="s">
        <v>57</v>
      </c>
      <c r="F102" s="52">
        <v>1</v>
      </c>
      <c r="G102" s="80">
        <v>237.59</v>
      </c>
      <c r="H102" s="67">
        <f t="shared" si="16"/>
        <v>296.98750000000001</v>
      </c>
      <c r="I102" s="55">
        <f t="shared" si="17"/>
        <v>296.98750000000001</v>
      </c>
      <c r="J102" s="81"/>
      <c r="K102" s="81"/>
      <c r="L102" s="59"/>
      <c r="M102" s="59"/>
      <c r="N102" s="59"/>
      <c r="O102" s="59"/>
      <c r="P102" s="59"/>
      <c r="Q102" s="59"/>
      <c r="R102" s="60"/>
    </row>
    <row r="103" spans="1:18" s="61" customFormat="1" ht="40.5" customHeight="1" x14ac:dyDescent="0.2">
      <c r="A103" s="49" t="s">
        <v>165</v>
      </c>
      <c r="B103" s="63" t="s">
        <v>55</v>
      </c>
      <c r="C103" s="49" t="s">
        <v>26</v>
      </c>
      <c r="D103" s="64" t="s">
        <v>56</v>
      </c>
      <c r="E103" s="49" t="s">
        <v>57</v>
      </c>
      <c r="F103" s="65">
        <v>1</v>
      </c>
      <c r="G103" s="53">
        <v>25.47</v>
      </c>
      <c r="H103" s="67">
        <f t="shared" si="16"/>
        <v>31.837499999999999</v>
      </c>
      <c r="I103" s="55">
        <f t="shared" si="17"/>
        <v>31.837499999999999</v>
      </c>
      <c r="J103" s="68"/>
      <c r="K103" s="69"/>
    </row>
    <row r="104" spans="1:18" s="61" customFormat="1" ht="30" customHeight="1" x14ac:dyDescent="0.2">
      <c r="A104" s="49" t="s">
        <v>166</v>
      </c>
      <c r="B104" s="63" t="s">
        <v>87</v>
      </c>
      <c r="C104" s="49" t="s">
        <v>26</v>
      </c>
      <c r="D104" s="64" t="s">
        <v>88</v>
      </c>
      <c r="E104" s="49" t="s">
        <v>57</v>
      </c>
      <c r="F104" s="65">
        <v>2</v>
      </c>
      <c r="G104" s="66">
        <v>25.1</v>
      </c>
      <c r="H104" s="67">
        <f t="shared" si="16"/>
        <v>31.375</v>
      </c>
      <c r="I104" s="55">
        <f t="shared" si="17"/>
        <v>62.75</v>
      </c>
      <c r="J104" s="68"/>
      <c r="K104" s="69"/>
    </row>
    <row r="105" spans="1:18" s="78" customFormat="1" ht="20.25" customHeight="1" x14ac:dyDescent="0.2">
      <c r="A105" s="350" t="s">
        <v>167</v>
      </c>
      <c r="B105" s="350"/>
      <c r="C105" s="350"/>
      <c r="D105" s="350"/>
      <c r="E105" s="74"/>
      <c r="F105" s="75"/>
      <c r="G105" s="75"/>
      <c r="H105" s="75"/>
      <c r="I105" s="43">
        <f>SUM(I106:I117)</f>
        <v>4790.9231250000003</v>
      </c>
      <c r="J105" s="44" t="s">
        <v>23</v>
      </c>
      <c r="K105" s="45"/>
    </row>
    <row r="106" spans="1:18" s="61" customFormat="1" ht="21" customHeight="1" x14ac:dyDescent="0.2">
      <c r="A106" s="49" t="s">
        <v>168</v>
      </c>
      <c r="B106" s="63" t="s">
        <v>31</v>
      </c>
      <c r="C106" s="49" t="s">
        <v>26</v>
      </c>
      <c r="D106" s="64" t="s">
        <v>60</v>
      </c>
      <c r="E106" s="49" t="s">
        <v>33</v>
      </c>
      <c r="F106" s="65">
        <v>62.93</v>
      </c>
      <c r="G106" s="66">
        <v>2.69</v>
      </c>
      <c r="H106" s="67">
        <f t="shared" ref="H106:H117" si="18">G106*$L$9</f>
        <v>3.3624999999999998</v>
      </c>
      <c r="I106" s="55">
        <f t="shared" ref="I106:I117" si="19">+F106*H106</f>
        <v>211.602125</v>
      </c>
      <c r="J106" s="68"/>
      <c r="K106" s="69"/>
    </row>
    <row r="107" spans="1:18" s="61" customFormat="1" ht="21" customHeight="1" x14ac:dyDescent="0.2">
      <c r="A107" s="49" t="s">
        <v>169</v>
      </c>
      <c r="B107" s="63" t="s">
        <v>35</v>
      </c>
      <c r="C107" s="49" t="s">
        <v>26</v>
      </c>
      <c r="D107" s="64" t="s">
        <v>74</v>
      </c>
      <c r="E107" s="49" t="s">
        <v>33</v>
      </c>
      <c r="F107" s="65">
        <v>4.2</v>
      </c>
      <c r="G107" s="66">
        <v>4.5599999999999996</v>
      </c>
      <c r="H107" s="67">
        <f t="shared" si="18"/>
        <v>5.6999999999999993</v>
      </c>
      <c r="I107" s="55">
        <f t="shared" si="19"/>
        <v>23.939999999999998</v>
      </c>
      <c r="J107" s="68"/>
      <c r="K107" s="69"/>
    </row>
    <row r="108" spans="1:18" s="61" customFormat="1" ht="21" customHeight="1" x14ac:dyDescent="0.2">
      <c r="A108" s="49" t="s">
        <v>170</v>
      </c>
      <c r="B108" s="63" t="s">
        <v>75</v>
      </c>
      <c r="C108" s="49" t="s">
        <v>26</v>
      </c>
      <c r="D108" s="64" t="s">
        <v>76</v>
      </c>
      <c r="E108" s="49" t="s">
        <v>33</v>
      </c>
      <c r="F108" s="65">
        <v>3.36</v>
      </c>
      <c r="G108" s="66">
        <v>4.05</v>
      </c>
      <c r="H108" s="67">
        <f t="shared" si="18"/>
        <v>5.0625</v>
      </c>
      <c r="I108" s="55">
        <f t="shared" si="19"/>
        <v>17.009999999999998</v>
      </c>
      <c r="J108" s="68"/>
      <c r="K108" s="69"/>
    </row>
    <row r="109" spans="1:18" s="61" customFormat="1" ht="25.5" customHeight="1" x14ac:dyDescent="0.2">
      <c r="A109" s="49" t="s">
        <v>171</v>
      </c>
      <c r="B109" s="63" t="s">
        <v>62</v>
      </c>
      <c r="C109" s="49" t="s">
        <v>26</v>
      </c>
      <c r="D109" s="64" t="s">
        <v>63</v>
      </c>
      <c r="E109" s="49" t="s">
        <v>40</v>
      </c>
      <c r="F109" s="65">
        <v>47.56</v>
      </c>
      <c r="G109" s="66">
        <v>11.83</v>
      </c>
      <c r="H109" s="67">
        <f t="shared" si="18"/>
        <v>14.7875</v>
      </c>
      <c r="I109" s="55">
        <f t="shared" si="19"/>
        <v>703.29349999999999</v>
      </c>
      <c r="J109" s="68"/>
      <c r="K109" s="69"/>
    </row>
    <row r="110" spans="1:18" s="61" customFormat="1" ht="30" customHeight="1" x14ac:dyDescent="0.2">
      <c r="A110" s="49" t="s">
        <v>172</v>
      </c>
      <c r="B110" s="63" t="s">
        <v>42</v>
      </c>
      <c r="C110" s="49" t="s">
        <v>26</v>
      </c>
      <c r="D110" s="64" t="s">
        <v>43</v>
      </c>
      <c r="E110" s="49" t="s">
        <v>33</v>
      </c>
      <c r="F110" s="65">
        <v>15.37</v>
      </c>
      <c r="G110" s="66">
        <v>35.68</v>
      </c>
      <c r="H110" s="67">
        <f t="shared" si="18"/>
        <v>44.6</v>
      </c>
      <c r="I110" s="55">
        <f t="shared" si="19"/>
        <v>685.50199999999995</v>
      </c>
      <c r="J110" s="68"/>
      <c r="K110" s="69"/>
    </row>
    <row r="111" spans="1:18" s="61" customFormat="1" ht="30" customHeight="1" x14ac:dyDescent="0.2">
      <c r="A111" s="49" t="s">
        <v>173</v>
      </c>
      <c r="B111" s="63" t="s">
        <v>65</v>
      </c>
      <c r="C111" s="49" t="s">
        <v>26</v>
      </c>
      <c r="D111" s="64" t="s">
        <v>66</v>
      </c>
      <c r="E111" s="49" t="s">
        <v>40</v>
      </c>
      <c r="F111" s="65">
        <v>47.56</v>
      </c>
      <c r="G111" s="66">
        <v>26.01</v>
      </c>
      <c r="H111" s="67">
        <f t="shared" si="18"/>
        <v>32.512500000000003</v>
      </c>
      <c r="I111" s="55">
        <f t="shared" si="19"/>
        <v>1546.2945000000002</v>
      </c>
      <c r="J111" s="68"/>
      <c r="K111" s="69"/>
    </row>
    <row r="112" spans="1:18" s="61" customFormat="1" ht="24.75" customHeight="1" x14ac:dyDescent="0.2">
      <c r="A112" s="49" t="s">
        <v>174</v>
      </c>
      <c r="B112" s="63" t="s">
        <v>48</v>
      </c>
      <c r="C112" s="49" t="s">
        <v>26</v>
      </c>
      <c r="D112" s="64" t="s">
        <v>49</v>
      </c>
      <c r="E112" s="49" t="s">
        <v>33</v>
      </c>
      <c r="F112" s="65">
        <v>4.2</v>
      </c>
      <c r="G112" s="66">
        <v>34.28</v>
      </c>
      <c r="H112" s="67">
        <f t="shared" si="18"/>
        <v>42.85</v>
      </c>
      <c r="I112" s="55">
        <f t="shared" si="19"/>
        <v>179.97000000000003</v>
      </c>
      <c r="J112" s="68"/>
      <c r="K112" s="69"/>
    </row>
    <row r="113" spans="1:11" s="61" customFormat="1" ht="24.75" customHeight="1" x14ac:dyDescent="0.2">
      <c r="A113" s="49" t="s">
        <v>175</v>
      </c>
      <c r="B113" s="63" t="s">
        <v>79</v>
      </c>
      <c r="C113" s="49" t="s">
        <v>26</v>
      </c>
      <c r="D113" s="64" t="s">
        <v>80</v>
      </c>
      <c r="E113" s="49" t="s">
        <v>33</v>
      </c>
      <c r="F113" s="65">
        <v>3.36</v>
      </c>
      <c r="G113" s="66">
        <v>23.08</v>
      </c>
      <c r="H113" s="67">
        <f t="shared" si="18"/>
        <v>28.849999999999998</v>
      </c>
      <c r="I113" s="55">
        <f t="shared" si="19"/>
        <v>96.935999999999993</v>
      </c>
      <c r="J113" s="68"/>
      <c r="K113" s="69"/>
    </row>
    <row r="114" spans="1:11" s="61" customFormat="1" ht="30" customHeight="1" x14ac:dyDescent="0.2">
      <c r="A114" s="49" t="s">
        <v>176</v>
      </c>
      <c r="B114" s="63" t="s">
        <v>136</v>
      </c>
      <c r="C114" s="49" t="s">
        <v>26</v>
      </c>
      <c r="D114" s="64" t="s">
        <v>137</v>
      </c>
      <c r="E114" s="49" t="s">
        <v>57</v>
      </c>
      <c r="F114" s="65">
        <v>1</v>
      </c>
      <c r="G114" s="66">
        <v>886.33</v>
      </c>
      <c r="H114" s="67">
        <f t="shared" si="18"/>
        <v>1107.9125000000001</v>
      </c>
      <c r="I114" s="55">
        <f t="shared" si="19"/>
        <v>1107.9125000000001</v>
      </c>
      <c r="J114" s="68"/>
      <c r="K114" s="69"/>
    </row>
    <row r="115" spans="1:11" s="61" customFormat="1" ht="41.25" customHeight="1" x14ac:dyDescent="0.2">
      <c r="A115" s="49" t="s">
        <v>177</v>
      </c>
      <c r="B115" s="63" t="s">
        <v>51</v>
      </c>
      <c r="C115" s="49" t="s">
        <v>26</v>
      </c>
      <c r="D115" s="64" t="s">
        <v>52</v>
      </c>
      <c r="E115" s="49" t="s">
        <v>53</v>
      </c>
      <c r="F115" s="65">
        <v>10</v>
      </c>
      <c r="G115" s="66">
        <v>7.4</v>
      </c>
      <c r="H115" s="67">
        <f t="shared" si="18"/>
        <v>9.25</v>
      </c>
      <c r="I115" s="55">
        <f t="shared" si="19"/>
        <v>92.5</v>
      </c>
      <c r="J115" s="68"/>
      <c r="K115" s="69"/>
    </row>
    <row r="116" spans="1:11" s="61" customFormat="1" ht="40.5" customHeight="1" x14ac:dyDescent="0.2">
      <c r="A116" s="49" t="s">
        <v>178</v>
      </c>
      <c r="B116" s="63" t="s">
        <v>55</v>
      </c>
      <c r="C116" s="49" t="s">
        <v>26</v>
      </c>
      <c r="D116" s="64" t="s">
        <v>56</v>
      </c>
      <c r="E116" s="49" t="s">
        <v>57</v>
      </c>
      <c r="F116" s="65">
        <v>1</v>
      </c>
      <c r="G116" s="53">
        <v>25.47</v>
      </c>
      <c r="H116" s="67">
        <f t="shared" si="18"/>
        <v>31.837499999999999</v>
      </c>
      <c r="I116" s="55">
        <f t="shared" si="19"/>
        <v>31.837499999999999</v>
      </c>
      <c r="J116" s="68"/>
      <c r="K116" s="69"/>
    </row>
    <row r="117" spans="1:11" s="61" customFormat="1" ht="30" customHeight="1" x14ac:dyDescent="0.2">
      <c r="A117" s="49" t="s">
        <v>179</v>
      </c>
      <c r="B117" s="63" t="s">
        <v>87</v>
      </c>
      <c r="C117" s="49" t="s">
        <v>26</v>
      </c>
      <c r="D117" s="64" t="s">
        <v>88</v>
      </c>
      <c r="E117" s="49" t="s">
        <v>57</v>
      </c>
      <c r="F117" s="65">
        <v>3</v>
      </c>
      <c r="G117" s="66">
        <v>25.1</v>
      </c>
      <c r="H117" s="67">
        <f t="shared" si="18"/>
        <v>31.375</v>
      </c>
      <c r="I117" s="55">
        <f t="shared" si="19"/>
        <v>94.125</v>
      </c>
      <c r="J117" s="68"/>
      <c r="K117" s="69"/>
    </row>
    <row r="118" spans="1:11" s="78" customFormat="1" ht="20.25" customHeight="1" x14ac:dyDescent="0.2">
      <c r="A118" s="349" t="s">
        <v>180</v>
      </c>
      <c r="B118" s="349"/>
      <c r="C118" s="349"/>
      <c r="D118" s="349"/>
      <c r="E118" s="74"/>
      <c r="F118" s="75"/>
      <c r="G118" s="75"/>
      <c r="H118" s="75"/>
      <c r="I118" s="43">
        <f>SUM(I119:I128)</f>
        <v>2066.8695000000002</v>
      </c>
      <c r="J118" s="44" t="s">
        <v>23</v>
      </c>
      <c r="K118" s="82"/>
    </row>
    <row r="119" spans="1:11" s="61" customFormat="1" ht="21" customHeight="1" x14ac:dyDescent="0.2">
      <c r="A119" s="49" t="s">
        <v>181</v>
      </c>
      <c r="B119" s="63" t="s">
        <v>31</v>
      </c>
      <c r="C119" s="49" t="s">
        <v>26</v>
      </c>
      <c r="D119" s="64" t="s">
        <v>60</v>
      </c>
      <c r="E119" s="49" t="s">
        <v>33</v>
      </c>
      <c r="F119" s="65">
        <v>4.24</v>
      </c>
      <c r="G119" s="66">
        <v>2.69</v>
      </c>
      <c r="H119" s="67">
        <f t="shared" ref="H119:H128" si="20">G119*$L$9</f>
        <v>3.3624999999999998</v>
      </c>
      <c r="I119" s="55">
        <f t="shared" ref="I119:I128" si="21">+F119*H119</f>
        <v>14.257</v>
      </c>
      <c r="J119" s="68"/>
      <c r="K119" s="69"/>
    </row>
    <row r="120" spans="1:11" s="61" customFormat="1" ht="21" customHeight="1" x14ac:dyDescent="0.2">
      <c r="A120" s="49" t="s">
        <v>182</v>
      </c>
      <c r="B120" s="63" t="s">
        <v>75</v>
      </c>
      <c r="C120" s="49" t="s">
        <v>26</v>
      </c>
      <c r="D120" s="64" t="s">
        <v>76</v>
      </c>
      <c r="E120" s="49" t="s">
        <v>33</v>
      </c>
      <c r="F120" s="65">
        <v>3.36</v>
      </c>
      <c r="G120" s="66">
        <v>4.05</v>
      </c>
      <c r="H120" s="67">
        <f t="shared" si="20"/>
        <v>5.0625</v>
      </c>
      <c r="I120" s="55">
        <f t="shared" si="21"/>
        <v>17.009999999999998</v>
      </c>
      <c r="J120" s="68"/>
      <c r="K120" s="69"/>
    </row>
    <row r="121" spans="1:11" s="61" customFormat="1" ht="30" customHeight="1" x14ac:dyDescent="0.2">
      <c r="A121" s="49" t="s">
        <v>183</v>
      </c>
      <c r="B121" s="63" t="s">
        <v>42</v>
      </c>
      <c r="C121" s="49" t="s">
        <v>26</v>
      </c>
      <c r="D121" s="64" t="s">
        <v>43</v>
      </c>
      <c r="E121" s="49" t="s">
        <v>33</v>
      </c>
      <c r="F121" s="65">
        <v>4.24</v>
      </c>
      <c r="G121" s="66">
        <v>35.68</v>
      </c>
      <c r="H121" s="67">
        <f t="shared" si="20"/>
        <v>44.6</v>
      </c>
      <c r="I121" s="55">
        <f t="shared" si="21"/>
        <v>189.10400000000001</v>
      </c>
      <c r="J121" s="68"/>
      <c r="K121" s="69"/>
    </row>
    <row r="122" spans="1:11" s="61" customFormat="1" ht="24.75" customHeight="1" x14ac:dyDescent="0.2">
      <c r="A122" s="49" t="s">
        <v>184</v>
      </c>
      <c r="B122" s="63" t="s">
        <v>79</v>
      </c>
      <c r="C122" s="49" t="s">
        <v>26</v>
      </c>
      <c r="D122" s="64" t="s">
        <v>80</v>
      </c>
      <c r="E122" s="49" t="s">
        <v>33</v>
      </c>
      <c r="F122" s="65">
        <v>3.36</v>
      </c>
      <c r="G122" s="66">
        <v>23.08</v>
      </c>
      <c r="H122" s="67">
        <f t="shared" si="20"/>
        <v>28.849999999999998</v>
      </c>
      <c r="I122" s="55">
        <f t="shared" si="21"/>
        <v>96.935999999999993</v>
      </c>
      <c r="J122" s="68"/>
      <c r="K122" s="69"/>
    </row>
    <row r="123" spans="1:11" s="61" customFormat="1" ht="30" customHeight="1" x14ac:dyDescent="0.2">
      <c r="A123" s="49" t="s">
        <v>185</v>
      </c>
      <c r="B123" s="63" t="s">
        <v>136</v>
      </c>
      <c r="C123" s="49" t="s">
        <v>26</v>
      </c>
      <c r="D123" s="64" t="s">
        <v>137</v>
      </c>
      <c r="E123" s="49" t="s">
        <v>57</v>
      </c>
      <c r="F123" s="65">
        <v>1</v>
      </c>
      <c r="G123" s="66">
        <v>886.33</v>
      </c>
      <c r="H123" s="67">
        <f t="shared" si="20"/>
        <v>1107.9125000000001</v>
      </c>
      <c r="I123" s="55">
        <f t="shared" si="21"/>
        <v>1107.9125000000001</v>
      </c>
      <c r="J123" s="68"/>
      <c r="K123" s="69"/>
    </row>
    <row r="124" spans="1:11" s="61" customFormat="1" ht="30" customHeight="1" x14ac:dyDescent="0.2">
      <c r="A124" s="49" t="s">
        <v>186</v>
      </c>
      <c r="B124" s="63" t="s">
        <v>187</v>
      </c>
      <c r="C124" s="49" t="s">
        <v>26</v>
      </c>
      <c r="D124" s="64" t="s">
        <v>188</v>
      </c>
      <c r="E124" s="49" t="s">
        <v>57</v>
      </c>
      <c r="F124" s="65">
        <v>1</v>
      </c>
      <c r="G124" s="66">
        <v>40.909999999999997</v>
      </c>
      <c r="H124" s="67">
        <f t="shared" si="20"/>
        <v>51.137499999999996</v>
      </c>
      <c r="I124" s="55">
        <f t="shared" si="21"/>
        <v>51.137499999999996</v>
      </c>
      <c r="J124" s="68"/>
      <c r="K124" s="69"/>
    </row>
    <row r="125" spans="1:11" s="61" customFormat="1" ht="30" customHeight="1" x14ac:dyDescent="0.2">
      <c r="A125" s="49" t="s">
        <v>189</v>
      </c>
      <c r="B125" s="63" t="s">
        <v>190</v>
      </c>
      <c r="C125" s="49" t="s">
        <v>26</v>
      </c>
      <c r="D125" s="64" t="s">
        <v>191</v>
      </c>
      <c r="E125" s="49" t="s">
        <v>57</v>
      </c>
      <c r="F125" s="65">
        <v>2</v>
      </c>
      <c r="G125" s="66">
        <v>144.77000000000001</v>
      </c>
      <c r="H125" s="67">
        <f t="shared" si="20"/>
        <v>180.96250000000001</v>
      </c>
      <c r="I125" s="55">
        <f t="shared" si="21"/>
        <v>361.92500000000001</v>
      </c>
      <c r="J125" s="68"/>
      <c r="K125" s="69"/>
    </row>
    <row r="126" spans="1:11" s="61" customFormat="1" ht="30" customHeight="1" x14ac:dyDescent="0.2">
      <c r="A126" s="49" t="s">
        <v>192</v>
      </c>
      <c r="B126" s="63" t="s">
        <v>193</v>
      </c>
      <c r="C126" s="49" t="s">
        <v>26</v>
      </c>
      <c r="D126" s="64" t="s">
        <v>194</v>
      </c>
      <c r="E126" s="49" t="s">
        <v>57</v>
      </c>
      <c r="F126" s="65">
        <v>1</v>
      </c>
      <c r="G126" s="66">
        <v>107.2</v>
      </c>
      <c r="H126" s="67">
        <f t="shared" si="20"/>
        <v>134</v>
      </c>
      <c r="I126" s="55">
        <f t="shared" si="21"/>
        <v>134</v>
      </c>
      <c r="J126" s="68"/>
      <c r="K126" s="69"/>
    </row>
    <row r="127" spans="1:11" s="61" customFormat="1" ht="40.5" customHeight="1" x14ac:dyDescent="0.2">
      <c r="A127" s="49" t="s">
        <v>195</v>
      </c>
      <c r="B127" s="63" t="s">
        <v>55</v>
      </c>
      <c r="C127" s="49" t="s">
        <v>26</v>
      </c>
      <c r="D127" s="64" t="s">
        <v>56</v>
      </c>
      <c r="E127" s="49" t="s">
        <v>57</v>
      </c>
      <c r="F127" s="65">
        <v>1</v>
      </c>
      <c r="G127" s="53">
        <v>25.47</v>
      </c>
      <c r="H127" s="67">
        <f t="shared" si="20"/>
        <v>31.837499999999999</v>
      </c>
      <c r="I127" s="55">
        <f t="shared" si="21"/>
        <v>31.837499999999999</v>
      </c>
      <c r="J127" s="68"/>
      <c r="K127" s="69"/>
    </row>
    <row r="128" spans="1:11" s="61" customFormat="1" ht="30" customHeight="1" x14ac:dyDescent="0.2">
      <c r="A128" s="49" t="s">
        <v>196</v>
      </c>
      <c r="B128" s="63" t="s">
        <v>87</v>
      </c>
      <c r="C128" s="49" t="s">
        <v>26</v>
      </c>
      <c r="D128" s="64" t="s">
        <v>88</v>
      </c>
      <c r="E128" s="49" t="s">
        <v>57</v>
      </c>
      <c r="F128" s="65">
        <v>2</v>
      </c>
      <c r="G128" s="66">
        <v>25.1</v>
      </c>
      <c r="H128" s="67">
        <f t="shared" si="20"/>
        <v>31.375</v>
      </c>
      <c r="I128" s="55">
        <f t="shared" si="21"/>
        <v>62.75</v>
      </c>
      <c r="J128" s="68"/>
      <c r="K128" s="69"/>
    </row>
    <row r="129" spans="1:12" s="78" customFormat="1" ht="21" customHeight="1" x14ac:dyDescent="0.2">
      <c r="A129" s="350" t="s">
        <v>197</v>
      </c>
      <c r="B129" s="350"/>
      <c r="C129" s="350"/>
      <c r="D129" s="350"/>
      <c r="E129" s="74"/>
      <c r="F129" s="75"/>
      <c r="G129" s="75"/>
      <c r="H129" s="75"/>
      <c r="I129" s="43">
        <f>SUM(I130:I139)</f>
        <v>3934.7527500000001</v>
      </c>
      <c r="J129" s="44" t="s">
        <v>23</v>
      </c>
      <c r="K129" s="82"/>
    </row>
    <row r="130" spans="1:12" s="61" customFormat="1" ht="21" customHeight="1" x14ac:dyDescent="0.2">
      <c r="A130" s="49" t="s">
        <v>198</v>
      </c>
      <c r="B130" s="63" t="s">
        <v>31</v>
      </c>
      <c r="C130" s="49" t="s">
        <v>26</v>
      </c>
      <c r="D130" s="64" t="s">
        <v>60</v>
      </c>
      <c r="E130" s="49" t="s">
        <v>33</v>
      </c>
      <c r="F130" s="65">
        <v>65.819999999999993</v>
      </c>
      <c r="G130" s="66">
        <v>2.69</v>
      </c>
      <c r="H130" s="67">
        <f t="shared" ref="H130:H139" si="22">G130*$L$9</f>
        <v>3.3624999999999998</v>
      </c>
      <c r="I130" s="55">
        <f t="shared" ref="I130:I139" si="23">+F130*H130</f>
        <v>221.31974999999997</v>
      </c>
      <c r="J130" s="68"/>
      <c r="K130" s="69"/>
    </row>
    <row r="131" spans="1:12" s="61" customFormat="1" ht="21" customHeight="1" x14ac:dyDescent="0.2">
      <c r="A131" s="49" t="s">
        <v>199</v>
      </c>
      <c r="B131" s="63" t="s">
        <v>75</v>
      </c>
      <c r="C131" s="49" t="s">
        <v>26</v>
      </c>
      <c r="D131" s="64" t="s">
        <v>76</v>
      </c>
      <c r="E131" s="49" t="s">
        <v>33</v>
      </c>
      <c r="F131" s="65">
        <v>3.36</v>
      </c>
      <c r="G131" s="66">
        <v>4.05</v>
      </c>
      <c r="H131" s="67">
        <f t="shared" si="22"/>
        <v>5.0625</v>
      </c>
      <c r="I131" s="55">
        <f t="shared" si="23"/>
        <v>17.009999999999998</v>
      </c>
      <c r="J131" s="68"/>
      <c r="K131" s="69"/>
    </row>
    <row r="132" spans="1:12" s="61" customFormat="1" ht="25.5" customHeight="1" x14ac:dyDescent="0.2">
      <c r="A132" s="49" t="s">
        <v>200</v>
      </c>
      <c r="B132" s="63" t="s">
        <v>62</v>
      </c>
      <c r="C132" s="49" t="s">
        <v>26</v>
      </c>
      <c r="D132" s="64" t="s">
        <v>63</v>
      </c>
      <c r="E132" s="49" t="s">
        <v>40</v>
      </c>
      <c r="F132" s="65">
        <v>38.950000000000003</v>
      </c>
      <c r="G132" s="66">
        <v>11.83</v>
      </c>
      <c r="H132" s="67">
        <f t="shared" si="22"/>
        <v>14.7875</v>
      </c>
      <c r="I132" s="55">
        <f t="shared" si="23"/>
        <v>575.97312499999998</v>
      </c>
      <c r="J132" s="68"/>
      <c r="K132" s="69"/>
    </row>
    <row r="133" spans="1:12" s="61" customFormat="1" ht="30" customHeight="1" x14ac:dyDescent="0.2">
      <c r="A133" s="49" t="s">
        <v>201</v>
      </c>
      <c r="B133" s="63" t="s">
        <v>42</v>
      </c>
      <c r="C133" s="49" t="s">
        <v>26</v>
      </c>
      <c r="D133" s="64" t="s">
        <v>43</v>
      </c>
      <c r="E133" s="49" t="s">
        <v>33</v>
      </c>
      <c r="F133" s="65">
        <v>16.87</v>
      </c>
      <c r="G133" s="66">
        <v>35.68</v>
      </c>
      <c r="H133" s="67">
        <f t="shared" si="22"/>
        <v>44.6</v>
      </c>
      <c r="I133" s="55">
        <f t="shared" si="23"/>
        <v>752.40200000000004</v>
      </c>
      <c r="J133" s="68"/>
      <c r="K133" s="69"/>
    </row>
    <row r="134" spans="1:12" s="61" customFormat="1" ht="30" customHeight="1" x14ac:dyDescent="0.2">
      <c r="A134" s="49" t="s">
        <v>202</v>
      </c>
      <c r="B134" s="63" t="s">
        <v>65</v>
      </c>
      <c r="C134" s="49" t="s">
        <v>26</v>
      </c>
      <c r="D134" s="64" t="s">
        <v>66</v>
      </c>
      <c r="E134" s="49" t="s">
        <v>40</v>
      </c>
      <c r="F134" s="65">
        <v>38.950000000000003</v>
      </c>
      <c r="G134" s="66">
        <v>26.01</v>
      </c>
      <c r="H134" s="67">
        <f t="shared" si="22"/>
        <v>32.512500000000003</v>
      </c>
      <c r="I134" s="55">
        <f t="shared" si="23"/>
        <v>1266.3618750000003</v>
      </c>
      <c r="J134" s="83">
        <v>48.95</v>
      </c>
      <c r="K134" s="84">
        <v>1591.49</v>
      </c>
      <c r="L134" s="70">
        <f>K134-I134</f>
        <v>325.12812499999973</v>
      </c>
    </row>
    <row r="135" spans="1:12" s="61" customFormat="1" ht="24.75" customHeight="1" x14ac:dyDescent="0.2">
      <c r="A135" s="49" t="s">
        <v>203</v>
      </c>
      <c r="B135" s="63" t="s">
        <v>79</v>
      </c>
      <c r="C135" s="49" t="s">
        <v>26</v>
      </c>
      <c r="D135" s="64" t="s">
        <v>80</v>
      </c>
      <c r="E135" s="49" t="s">
        <v>33</v>
      </c>
      <c r="F135" s="65">
        <v>3.36</v>
      </c>
      <c r="G135" s="66">
        <v>23.08</v>
      </c>
      <c r="H135" s="67">
        <f t="shared" si="22"/>
        <v>28.849999999999998</v>
      </c>
      <c r="I135" s="55">
        <f t="shared" si="23"/>
        <v>96.935999999999993</v>
      </c>
      <c r="J135" s="68"/>
      <c r="K135" s="69"/>
      <c r="L135" s="70">
        <f>L134+L165+L20</f>
        <v>1561.032875000001</v>
      </c>
    </row>
    <row r="136" spans="1:12" s="61" customFormat="1" ht="26.25" customHeight="1" x14ac:dyDescent="0.2">
      <c r="A136" s="49" t="s">
        <v>204</v>
      </c>
      <c r="B136" s="63" t="s">
        <v>205</v>
      </c>
      <c r="C136" s="49" t="s">
        <v>26</v>
      </c>
      <c r="D136" s="64" t="s">
        <v>206</v>
      </c>
      <c r="E136" s="49" t="s">
        <v>33</v>
      </c>
      <c r="F136" s="65">
        <v>1</v>
      </c>
      <c r="G136" s="66">
        <v>16.46</v>
      </c>
      <c r="H136" s="67">
        <f t="shared" si="22"/>
        <v>20.575000000000003</v>
      </c>
      <c r="I136" s="55">
        <f t="shared" si="23"/>
        <v>20.575000000000003</v>
      </c>
      <c r="J136" s="68"/>
      <c r="K136" s="69"/>
    </row>
    <row r="137" spans="1:12" s="61" customFormat="1" ht="27.75" customHeight="1" x14ac:dyDescent="0.2">
      <c r="A137" s="49" t="s">
        <v>207</v>
      </c>
      <c r="B137" s="63" t="s">
        <v>208</v>
      </c>
      <c r="C137" s="49" t="s">
        <v>26</v>
      </c>
      <c r="D137" s="64" t="s">
        <v>209</v>
      </c>
      <c r="E137" s="49" t="s">
        <v>210</v>
      </c>
      <c r="F137" s="65">
        <v>1</v>
      </c>
      <c r="G137" s="66">
        <v>661.47</v>
      </c>
      <c r="H137" s="67">
        <f t="shared" si="22"/>
        <v>826.83750000000009</v>
      </c>
      <c r="I137" s="55">
        <f t="shared" si="23"/>
        <v>826.83750000000009</v>
      </c>
      <c r="J137" s="68"/>
      <c r="K137" s="69"/>
      <c r="L137" s="70">
        <f>L135-I13</f>
        <v>-147.89212499999917</v>
      </c>
    </row>
    <row r="138" spans="1:12" s="61" customFormat="1" ht="40.5" customHeight="1" x14ac:dyDescent="0.2">
      <c r="A138" s="49" t="s">
        <v>211</v>
      </c>
      <c r="B138" s="63" t="s">
        <v>55</v>
      </c>
      <c r="C138" s="49" t="s">
        <v>26</v>
      </c>
      <c r="D138" s="64" t="s">
        <v>56</v>
      </c>
      <c r="E138" s="49" t="s">
        <v>57</v>
      </c>
      <c r="F138" s="65">
        <v>1</v>
      </c>
      <c r="G138" s="53">
        <v>25.47</v>
      </c>
      <c r="H138" s="67">
        <f t="shared" si="22"/>
        <v>31.837499999999999</v>
      </c>
      <c r="I138" s="55">
        <f t="shared" si="23"/>
        <v>31.837499999999999</v>
      </c>
      <c r="J138" s="68"/>
      <c r="K138" s="69"/>
    </row>
    <row r="139" spans="1:12" s="61" customFormat="1" ht="30" customHeight="1" x14ac:dyDescent="0.2">
      <c r="A139" s="49" t="s">
        <v>212</v>
      </c>
      <c r="B139" s="63" t="s">
        <v>87</v>
      </c>
      <c r="C139" s="49" t="s">
        <v>26</v>
      </c>
      <c r="D139" s="64" t="s">
        <v>88</v>
      </c>
      <c r="E139" s="49" t="s">
        <v>57</v>
      </c>
      <c r="F139" s="65">
        <v>4</v>
      </c>
      <c r="G139" s="66">
        <v>25.1</v>
      </c>
      <c r="H139" s="67">
        <f t="shared" si="22"/>
        <v>31.375</v>
      </c>
      <c r="I139" s="55">
        <f t="shared" si="23"/>
        <v>125.5</v>
      </c>
      <c r="J139" s="68"/>
      <c r="K139" s="69"/>
    </row>
    <row r="140" spans="1:12" s="78" customFormat="1" ht="21.75" customHeight="1" x14ac:dyDescent="0.2">
      <c r="A140" s="350" t="s">
        <v>213</v>
      </c>
      <c r="B140" s="350"/>
      <c r="C140" s="350"/>
      <c r="D140" s="350"/>
      <c r="E140" s="74"/>
      <c r="F140" s="75"/>
      <c r="G140" s="75"/>
      <c r="H140" s="75"/>
      <c r="I140" s="43">
        <f>SUM(I141:I147)</f>
        <v>2209.2628749999999</v>
      </c>
      <c r="J140" s="44" t="s">
        <v>23</v>
      </c>
      <c r="K140" s="82"/>
    </row>
    <row r="141" spans="1:12" s="61" customFormat="1" ht="21" customHeight="1" x14ac:dyDescent="0.2">
      <c r="A141" s="49" t="s">
        <v>214</v>
      </c>
      <c r="B141" s="63" t="s">
        <v>31</v>
      </c>
      <c r="C141" s="49" t="s">
        <v>26</v>
      </c>
      <c r="D141" s="64" t="s">
        <v>60</v>
      </c>
      <c r="E141" s="49" t="s">
        <v>33</v>
      </c>
      <c r="F141" s="65">
        <v>44.27</v>
      </c>
      <c r="G141" s="66">
        <v>2.69</v>
      </c>
      <c r="H141" s="67">
        <f t="shared" ref="H141:H147" si="24">G141*$L$9</f>
        <v>3.3624999999999998</v>
      </c>
      <c r="I141" s="55">
        <f t="shared" ref="I141:I147" si="25">+F141*H141</f>
        <v>148.85787500000001</v>
      </c>
      <c r="J141" s="68"/>
      <c r="K141" s="69"/>
    </row>
    <row r="142" spans="1:12" s="61" customFormat="1" ht="30" customHeight="1" x14ac:dyDescent="0.2">
      <c r="A142" s="49" t="s">
        <v>215</v>
      </c>
      <c r="B142" s="63" t="s">
        <v>42</v>
      </c>
      <c r="C142" s="49" t="s">
        <v>26</v>
      </c>
      <c r="D142" s="64" t="s">
        <v>43</v>
      </c>
      <c r="E142" s="49" t="s">
        <v>33</v>
      </c>
      <c r="F142" s="65">
        <v>7.91</v>
      </c>
      <c r="G142" s="66">
        <v>35.68</v>
      </c>
      <c r="H142" s="67">
        <f t="shared" si="24"/>
        <v>44.6</v>
      </c>
      <c r="I142" s="55">
        <f t="shared" si="25"/>
        <v>352.786</v>
      </c>
      <c r="J142" s="68"/>
      <c r="K142" s="69"/>
    </row>
    <row r="143" spans="1:12" s="61" customFormat="1" ht="25.5" customHeight="1" x14ac:dyDescent="0.2">
      <c r="A143" s="49" t="s">
        <v>216</v>
      </c>
      <c r="B143" s="63" t="s">
        <v>217</v>
      </c>
      <c r="C143" s="49" t="s">
        <v>26</v>
      </c>
      <c r="D143" s="85" t="s">
        <v>218</v>
      </c>
      <c r="E143" s="49" t="s">
        <v>40</v>
      </c>
      <c r="F143" s="65">
        <v>36.36</v>
      </c>
      <c r="G143" s="66">
        <v>21.47</v>
      </c>
      <c r="H143" s="67">
        <f t="shared" si="24"/>
        <v>26.837499999999999</v>
      </c>
      <c r="I143" s="55">
        <f t="shared" si="25"/>
        <v>975.81149999999991</v>
      </c>
      <c r="J143" s="68"/>
      <c r="K143" s="69"/>
    </row>
    <row r="144" spans="1:12" s="61" customFormat="1" ht="41.25" customHeight="1" x14ac:dyDescent="0.2">
      <c r="A144" s="49" t="s">
        <v>219</v>
      </c>
      <c r="B144" s="63" t="s">
        <v>51</v>
      </c>
      <c r="C144" s="49" t="s">
        <v>26</v>
      </c>
      <c r="D144" s="64" t="s">
        <v>52</v>
      </c>
      <c r="E144" s="49" t="s">
        <v>53</v>
      </c>
      <c r="F144" s="65">
        <v>3</v>
      </c>
      <c r="G144" s="66">
        <v>7.4</v>
      </c>
      <c r="H144" s="67">
        <f t="shared" si="24"/>
        <v>9.25</v>
      </c>
      <c r="I144" s="55">
        <f t="shared" si="25"/>
        <v>27.75</v>
      </c>
      <c r="J144" s="68"/>
      <c r="K144" s="69"/>
    </row>
    <row r="145" spans="1:12" s="61" customFormat="1" ht="30" customHeight="1" x14ac:dyDescent="0.2">
      <c r="A145" s="49" t="s">
        <v>220</v>
      </c>
      <c r="B145" s="63" t="s">
        <v>45</v>
      </c>
      <c r="C145" s="49" t="s">
        <v>26</v>
      </c>
      <c r="D145" s="64" t="s">
        <v>46</v>
      </c>
      <c r="E145" s="49" t="s">
        <v>40</v>
      </c>
      <c r="F145" s="65">
        <v>36.36</v>
      </c>
      <c r="G145" s="66">
        <v>14.1</v>
      </c>
      <c r="H145" s="67">
        <f t="shared" si="24"/>
        <v>17.625</v>
      </c>
      <c r="I145" s="55">
        <f t="shared" si="25"/>
        <v>640.84500000000003</v>
      </c>
      <c r="J145" s="68"/>
      <c r="K145" s="69"/>
    </row>
    <row r="146" spans="1:12" s="61" customFormat="1" ht="40.5" customHeight="1" x14ac:dyDescent="0.2">
      <c r="A146" s="49" t="s">
        <v>221</v>
      </c>
      <c r="B146" s="63" t="s">
        <v>55</v>
      </c>
      <c r="C146" s="49" t="s">
        <v>26</v>
      </c>
      <c r="D146" s="64" t="s">
        <v>56</v>
      </c>
      <c r="E146" s="49" t="s">
        <v>57</v>
      </c>
      <c r="F146" s="65">
        <v>1</v>
      </c>
      <c r="G146" s="53">
        <v>25.47</v>
      </c>
      <c r="H146" s="67">
        <f t="shared" si="24"/>
        <v>31.837499999999999</v>
      </c>
      <c r="I146" s="55">
        <f t="shared" si="25"/>
        <v>31.837499999999999</v>
      </c>
      <c r="J146" s="68"/>
      <c r="K146" s="69"/>
    </row>
    <row r="147" spans="1:12" s="61" customFormat="1" ht="30" customHeight="1" x14ac:dyDescent="0.2">
      <c r="A147" s="49" t="s">
        <v>222</v>
      </c>
      <c r="B147" s="63" t="s">
        <v>87</v>
      </c>
      <c r="C147" s="49" t="s">
        <v>26</v>
      </c>
      <c r="D147" s="64" t="s">
        <v>88</v>
      </c>
      <c r="E147" s="49" t="s">
        <v>57</v>
      </c>
      <c r="F147" s="65">
        <v>1</v>
      </c>
      <c r="G147" s="66">
        <v>25.1</v>
      </c>
      <c r="H147" s="67">
        <f t="shared" si="24"/>
        <v>31.375</v>
      </c>
      <c r="I147" s="55">
        <f t="shared" si="25"/>
        <v>31.375</v>
      </c>
      <c r="J147" s="68"/>
      <c r="K147" s="69"/>
    </row>
    <row r="148" spans="1:12" s="78" customFormat="1" ht="19.5" customHeight="1" x14ac:dyDescent="0.2">
      <c r="A148" s="349" t="s">
        <v>223</v>
      </c>
      <c r="B148" s="349"/>
      <c r="C148" s="349"/>
      <c r="D148" s="349"/>
      <c r="E148" s="74"/>
      <c r="F148" s="75"/>
      <c r="G148" s="75"/>
      <c r="H148" s="75"/>
      <c r="I148" s="43">
        <f>SUM(I149:I156)</f>
        <v>1617.470875</v>
      </c>
      <c r="J148" s="44" t="s">
        <v>23</v>
      </c>
      <c r="K148" s="82"/>
    </row>
    <row r="149" spans="1:12" s="61" customFormat="1" ht="21" customHeight="1" x14ac:dyDescent="0.2">
      <c r="A149" s="49" t="s">
        <v>224</v>
      </c>
      <c r="B149" s="63" t="s">
        <v>31</v>
      </c>
      <c r="C149" s="49" t="s">
        <v>26</v>
      </c>
      <c r="D149" s="64" t="s">
        <v>60</v>
      </c>
      <c r="E149" s="49" t="s">
        <v>33</v>
      </c>
      <c r="F149" s="65">
        <v>36.200000000000003</v>
      </c>
      <c r="G149" s="66">
        <v>2.69</v>
      </c>
      <c r="H149" s="67">
        <f t="shared" ref="H149:H156" si="26">G149*$L$9</f>
        <v>3.3624999999999998</v>
      </c>
      <c r="I149" s="55">
        <f t="shared" ref="I149:I156" si="27">+F149*H149</f>
        <v>121.7225</v>
      </c>
      <c r="J149" s="68"/>
      <c r="K149" s="69"/>
    </row>
    <row r="150" spans="1:12" s="61" customFormat="1" ht="21" customHeight="1" x14ac:dyDescent="0.2">
      <c r="A150" s="49" t="s">
        <v>225</v>
      </c>
      <c r="B150" s="63" t="s">
        <v>35</v>
      </c>
      <c r="C150" s="49" t="s">
        <v>26</v>
      </c>
      <c r="D150" s="64" t="s">
        <v>74</v>
      </c>
      <c r="E150" s="49" t="s">
        <v>33</v>
      </c>
      <c r="F150" s="65">
        <v>3.78</v>
      </c>
      <c r="G150" s="66">
        <v>4.5599999999999996</v>
      </c>
      <c r="H150" s="67">
        <f t="shared" si="26"/>
        <v>5.6999999999999993</v>
      </c>
      <c r="I150" s="55">
        <f t="shared" si="27"/>
        <v>21.545999999999996</v>
      </c>
      <c r="J150" s="68"/>
      <c r="K150" s="69"/>
    </row>
    <row r="151" spans="1:12" s="61" customFormat="1" ht="25.5" customHeight="1" x14ac:dyDescent="0.2">
      <c r="A151" s="49" t="s">
        <v>226</v>
      </c>
      <c r="B151" s="63" t="s">
        <v>62</v>
      </c>
      <c r="C151" s="49" t="s">
        <v>26</v>
      </c>
      <c r="D151" s="64" t="s">
        <v>63</v>
      </c>
      <c r="E151" s="49" t="s">
        <v>40</v>
      </c>
      <c r="F151" s="65">
        <v>29.99</v>
      </c>
      <c r="G151" s="66">
        <v>11.83</v>
      </c>
      <c r="H151" s="67">
        <f t="shared" si="26"/>
        <v>14.7875</v>
      </c>
      <c r="I151" s="55">
        <f t="shared" si="27"/>
        <v>443.47712499999994</v>
      </c>
      <c r="J151" s="68"/>
      <c r="K151" s="69"/>
    </row>
    <row r="152" spans="1:12" s="61" customFormat="1" ht="30" customHeight="1" x14ac:dyDescent="0.2">
      <c r="A152" s="49" t="s">
        <v>227</v>
      </c>
      <c r="B152" s="63" t="s">
        <v>42</v>
      </c>
      <c r="C152" s="49" t="s">
        <v>26</v>
      </c>
      <c r="D152" s="64" t="s">
        <v>43</v>
      </c>
      <c r="E152" s="49" t="s">
        <v>33</v>
      </c>
      <c r="F152" s="65">
        <v>6.21</v>
      </c>
      <c r="G152" s="66">
        <v>35.68</v>
      </c>
      <c r="H152" s="67">
        <f t="shared" si="26"/>
        <v>44.6</v>
      </c>
      <c r="I152" s="55">
        <f t="shared" si="27"/>
        <v>276.96600000000001</v>
      </c>
      <c r="J152" s="68"/>
      <c r="K152" s="69"/>
    </row>
    <row r="153" spans="1:12" s="61" customFormat="1" ht="24.75" customHeight="1" x14ac:dyDescent="0.2">
      <c r="A153" s="49" t="s">
        <v>228</v>
      </c>
      <c r="B153" s="63" t="s">
        <v>48</v>
      </c>
      <c r="C153" s="49" t="s">
        <v>26</v>
      </c>
      <c r="D153" s="64" t="s">
        <v>49</v>
      </c>
      <c r="E153" s="49" t="s">
        <v>33</v>
      </c>
      <c r="F153" s="65">
        <v>3.78</v>
      </c>
      <c r="G153" s="66">
        <v>34.28</v>
      </c>
      <c r="H153" s="67">
        <f t="shared" si="26"/>
        <v>42.85</v>
      </c>
      <c r="I153" s="55">
        <f t="shared" si="27"/>
        <v>161.97299999999998</v>
      </c>
      <c r="J153" s="68"/>
      <c r="K153" s="69"/>
    </row>
    <row r="154" spans="1:12" s="61" customFormat="1" ht="30" customHeight="1" x14ac:dyDescent="0.2">
      <c r="A154" s="49" t="s">
        <v>229</v>
      </c>
      <c r="B154" s="63" t="s">
        <v>45</v>
      </c>
      <c r="C154" s="49" t="s">
        <v>26</v>
      </c>
      <c r="D154" s="64" t="s">
        <v>46</v>
      </c>
      <c r="E154" s="49" t="s">
        <v>40</v>
      </c>
      <c r="F154" s="65">
        <v>29.99</v>
      </c>
      <c r="G154" s="66">
        <v>14.1</v>
      </c>
      <c r="H154" s="67">
        <f t="shared" si="26"/>
        <v>17.625</v>
      </c>
      <c r="I154" s="55">
        <f t="shared" si="27"/>
        <v>528.57375000000002</v>
      </c>
      <c r="J154" s="68"/>
      <c r="K154" s="69"/>
    </row>
    <row r="155" spans="1:12" s="61" customFormat="1" ht="40.5" customHeight="1" x14ac:dyDescent="0.2">
      <c r="A155" s="49" t="s">
        <v>230</v>
      </c>
      <c r="B155" s="63" t="s">
        <v>55</v>
      </c>
      <c r="C155" s="49" t="s">
        <v>26</v>
      </c>
      <c r="D155" s="64" t="s">
        <v>56</v>
      </c>
      <c r="E155" s="49" t="s">
        <v>57</v>
      </c>
      <c r="F155" s="65">
        <v>1</v>
      </c>
      <c r="G155" s="53">
        <v>25.47</v>
      </c>
      <c r="H155" s="67">
        <f t="shared" si="26"/>
        <v>31.837499999999999</v>
      </c>
      <c r="I155" s="55">
        <f t="shared" si="27"/>
        <v>31.837499999999999</v>
      </c>
      <c r="J155" s="68"/>
      <c r="K155" s="69"/>
    </row>
    <row r="156" spans="1:12" s="61" customFormat="1" ht="30" customHeight="1" x14ac:dyDescent="0.2">
      <c r="A156" s="49" t="s">
        <v>231</v>
      </c>
      <c r="B156" s="63" t="s">
        <v>87</v>
      </c>
      <c r="C156" s="49" t="s">
        <v>26</v>
      </c>
      <c r="D156" s="64" t="s">
        <v>88</v>
      </c>
      <c r="E156" s="49" t="s">
        <v>57</v>
      </c>
      <c r="F156" s="65">
        <v>1</v>
      </c>
      <c r="G156" s="66">
        <v>25.1</v>
      </c>
      <c r="H156" s="67">
        <f t="shared" si="26"/>
        <v>31.375</v>
      </c>
      <c r="I156" s="55">
        <f t="shared" si="27"/>
        <v>31.375</v>
      </c>
      <c r="J156" s="68"/>
      <c r="K156" s="69"/>
    </row>
    <row r="157" spans="1:12" s="78" customFormat="1" ht="20.25" customHeight="1" x14ac:dyDescent="0.2">
      <c r="A157" s="349" t="s">
        <v>232</v>
      </c>
      <c r="B157" s="349"/>
      <c r="C157" s="349"/>
      <c r="D157" s="349"/>
      <c r="E157" s="74"/>
      <c r="F157" s="75"/>
      <c r="G157" s="75"/>
      <c r="H157" s="75"/>
      <c r="I157" s="43">
        <f>SUM(I158:I160)</f>
        <v>623.390625</v>
      </c>
      <c r="J157" s="44" t="s">
        <v>23</v>
      </c>
      <c r="K157" s="82"/>
      <c r="L157" s="86"/>
    </row>
    <row r="158" spans="1:12" s="61" customFormat="1" ht="21" customHeight="1" x14ac:dyDescent="0.2">
      <c r="A158" s="49" t="s">
        <v>233</v>
      </c>
      <c r="B158" s="63" t="s">
        <v>31</v>
      </c>
      <c r="C158" s="49" t="s">
        <v>26</v>
      </c>
      <c r="D158" s="64" t="s">
        <v>60</v>
      </c>
      <c r="E158" s="49" t="s">
        <v>33</v>
      </c>
      <c r="F158" s="65">
        <v>16.25</v>
      </c>
      <c r="G158" s="66">
        <v>2.69</v>
      </c>
      <c r="H158" s="67">
        <f t="shared" ref="H158:H160" si="28">G158*$L$9</f>
        <v>3.3624999999999998</v>
      </c>
      <c r="I158" s="55">
        <f t="shared" ref="I158:I160" si="29">+F158*H158</f>
        <v>54.640625</v>
      </c>
      <c r="J158" s="68"/>
      <c r="K158" s="69"/>
    </row>
    <row r="159" spans="1:12" s="61" customFormat="1" ht="25.5" customHeight="1" x14ac:dyDescent="0.2">
      <c r="A159" s="49" t="s">
        <v>234</v>
      </c>
      <c r="B159" s="63" t="s">
        <v>38</v>
      </c>
      <c r="C159" s="49" t="s">
        <v>26</v>
      </c>
      <c r="D159" s="64" t="s">
        <v>39</v>
      </c>
      <c r="E159" s="49" t="s">
        <v>40</v>
      </c>
      <c r="F159" s="65">
        <v>16.25</v>
      </c>
      <c r="G159" s="66">
        <v>13.9</v>
      </c>
      <c r="H159" s="67">
        <f t="shared" si="28"/>
        <v>17.375</v>
      </c>
      <c r="I159" s="55">
        <f t="shared" si="29"/>
        <v>282.34375</v>
      </c>
      <c r="J159" s="68"/>
      <c r="K159" s="69"/>
    </row>
    <row r="160" spans="1:12" s="61" customFormat="1" ht="30" customHeight="1" x14ac:dyDescent="0.2">
      <c r="A160" s="49" t="s">
        <v>235</v>
      </c>
      <c r="B160" s="63" t="s">
        <v>45</v>
      </c>
      <c r="C160" s="49" t="s">
        <v>26</v>
      </c>
      <c r="D160" s="64" t="s">
        <v>46</v>
      </c>
      <c r="E160" s="49" t="s">
        <v>40</v>
      </c>
      <c r="F160" s="65">
        <v>16.25</v>
      </c>
      <c r="G160" s="66">
        <v>14.1</v>
      </c>
      <c r="H160" s="67">
        <f t="shared" si="28"/>
        <v>17.625</v>
      </c>
      <c r="I160" s="55">
        <f t="shared" si="29"/>
        <v>286.40625</v>
      </c>
      <c r="J160" s="68"/>
      <c r="K160" s="69"/>
    </row>
    <row r="161" spans="1:12" s="46" customFormat="1" ht="21" customHeight="1" x14ac:dyDescent="0.2">
      <c r="A161" s="350" t="s">
        <v>236</v>
      </c>
      <c r="B161" s="350"/>
      <c r="C161" s="350"/>
      <c r="D161" s="350"/>
      <c r="E161" s="40"/>
      <c r="F161" s="87"/>
      <c r="G161" s="42"/>
      <c r="H161" s="88"/>
      <c r="I161" s="89">
        <f>SUM(I162:I165)</f>
        <v>11560.716999999999</v>
      </c>
      <c r="J161" s="44" t="s">
        <v>23</v>
      </c>
      <c r="K161" s="82"/>
    </row>
    <row r="162" spans="1:12" s="61" customFormat="1" ht="21" customHeight="1" x14ac:dyDescent="0.2">
      <c r="A162" s="49" t="s">
        <v>237</v>
      </c>
      <c r="B162" s="63" t="s">
        <v>31</v>
      </c>
      <c r="C162" s="49" t="s">
        <v>26</v>
      </c>
      <c r="D162" s="64" t="s">
        <v>238</v>
      </c>
      <c r="E162" s="49" t="s">
        <v>33</v>
      </c>
      <c r="F162" s="65">
        <v>259.27999999999997</v>
      </c>
      <c r="G162" s="66">
        <v>2.69</v>
      </c>
      <c r="H162" s="67">
        <f t="shared" ref="H162:H165" si="30">G162*$L$9</f>
        <v>3.3624999999999998</v>
      </c>
      <c r="I162" s="55">
        <f t="shared" ref="I162:I165" si="31">+F162*H162</f>
        <v>871.82899999999984</v>
      </c>
      <c r="J162" s="68">
        <v>279.27999999999997</v>
      </c>
      <c r="K162" s="69">
        <v>939.08</v>
      </c>
      <c r="L162" s="70">
        <f t="shared" ref="L162:L164" si="32">K162-I162</f>
        <v>67.251000000000204</v>
      </c>
    </row>
    <row r="163" spans="1:12" s="61" customFormat="1" ht="25.5" customHeight="1" x14ac:dyDescent="0.2">
      <c r="A163" s="47" t="s">
        <v>239</v>
      </c>
      <c r="B163" s="90" t="s">
        <v>38</v>
      </c>
      <c r="C163" s="47" t="s">
        <v>26</v>
      </c>
      <c r="D163" s="91" t="s">
        <v>39</v>
      </c>
      <c r="E163" s="47" t="s">
        <v>40</v>
      </c>
      <c r="F163" s="92">
        <v>259.27999999999997</v>
      </c>
      <c r="G163" s="93">
        <v>13.9</v>
      </c>
      <c r="H163" s="54">
        <f t="shared" si="30"/>
        <v>17.375</v>
      </c>
      <c r="I163" s="94">
        <f t="shared" si="31"/>
        <v>4504.99</v>
      </c>
      <c r="J163" s="53">
        <v>279.27999999999997</v>
      </c>
      <c r="K163" s="69">
        <v>4852.49</v>
      </c>
      <c r="L163" s="70">
        <f t="shared" si="32"/>
        <v>347.5</v>
      </c>
    </row>
    <row r="164" spans="1:12" s="61" customFormat="1" ht="30" customHeight="1" x14ac:dyDescent="0.2">
      <c r="A164" s="47" t="s">
        <v>240</v>
      </c>
      <c r="B164" s="90" t="s">
        <v>45</v>
      </c>
      <c r="C164" s="47" t="s">
        <v>26</v>
      </c>
      <c r="D164" s="91" t="s">
        <v>46</v>
      </c>
      <c r="E164" s="47" t="s">
        <v>40</v>
      </c>
      <c r="F164" s="92">
        <v>259.27999999999997</v>
      </c>
      <c r="G164" s="93">
        <v>14.1</v>
      </c>
      <c r="H164" s="54">
        <f t="shared" si="30"/>
        <v>17.625</v>
      </c>
      <c r="I164" s="94">
        <f t="shared" si="31"/>
        <v>4569.8099999999995</v>
      </c>
      <c r="J164" s="53">
        <v>279.27999999999997</v>
      </c>
      <c r="K164" s="69">
        <v>4922.3100000000004</v>
      </c>
      <c r="L164" s="71">
        <f t="shared" si="32"/>
        <v>352.50000000000091</v>
      </c>
    </row>
    <row r="165" spans="1:12" s="61" customFormat="1" ht="29.45" customHeight="1" x14ac:dyDescent="0.2">
      <c r="A165" s="49" t="s">
        <v>241</v>
      </c>
      <c r="B165" s="63" t="s">
        <v>242</v>
      </c>
      <c r="C165" s="49" t="s">
        <v>26</v>
      </c>
      <c r="D165" s="85" t="s">
        <v>243</v>
      </c>
      <c r="E165" s="49" t="s">
        <v>33</v>
      </c>
      <c r="F165" s="95">
        <v>196.84</v>
      </c>
      <c r="G165" s="55">
        <v>6.56</v>
      </c>
      <c r="H165" s="55">
        <f t="shared" si="30"/>
        <v>8.1999999999999993</v>
      </c>
      <c r="I165" s="55">
        <f t="shared" si="31"/>
        <v>1614.088</v>
      </c>
      <c r="J165" s="96"/>
      <c r="K165" s="97">
        <f>1614.09+0.09</f>
        <v>1614.1799999999998</v>
      </c>
      <c r="L165" s="98">
        <f>SUM(L162:L164)</f>
        <v>767.25100000000111</v>
      </c>
    </row>
    <row r="166" spans="1:12" ht="30" customHeight="1" x14ac:dyDescent="0.2">
      <c r="A166" s="351"/>
      <c r="B166" s="351"/>
      <c r="C166" s="351"/>
      <c r="D166" s="351"/>
      <c r="E166" s="352" t="s">
        <v>244</v>
      </c>
      <c r="F166" s="352"/>
      <c r="G166" s="352"/>
      <c r="H166" s="99"/>
      <c r="I166" s="100">
        <f>SUM(I13+I15+I24+I31+I44+I56+I64+I78+I90+I73+I105+I118+I129+I140+I148+I157+I161)</f>
        <v>53498.457999999999</v>
      </c>
      <c r="J166" s="101"/>
      <c r="K166" s="102"/>
      <c r="L166" s="8" t="e">
        <f>SUM(#REF!,#REF!,#REF!,#REF!,#REF!,#REF!,#REF!)</f>
        <v>#REF!</v>
      </c>
    </row>
    <row r="167" spans="1:12" x14ac:dyDescent="0.2">
      <c r="A167" s="103"/>
      <c r="B167" s="104"/>
      <c r="C167" s="105"/>
      <c r="D167" s="106"/>
      <c r="E167" s="107"/>
      <c r="I167" s="108"/>
      <c r="J167" s="101"/>
      <c r="K167" s="102"/>
      <c r="L167" s="109"/>
    </row>
    <row r="168" spans="1:12" x14ac:dyDescent="0.2">
      <c r="A168" s="103"/>
      <c r="B168" s="104"/>
      <c r="C168" s="105"/>
      <c r="D168" s="106"/>
      <c r="E168" s="107"/>
      <c r="I168" s="108"/>
      <c r="K168" s="101"/>
      <c r="L168" s="109"/>
    </row>
    <row r="169" spans="1:12" x14ac:dyDescent="0.2">
      <c r="A169" s="353" t="s">
        <v>245</v>
      </c>
      <c r="B169" s="353"/>
      <c r="C169" s="353"/>
      <c r="D169" s="353"/>
      <c r="E169" s="353"/>
      <c r="F169" s="353"/>
      <c r="G169" s="353"/>
      <c r="H169" s="353"/>
      <c r="I169" s="353"/>
      <c r="K169" s="110"/>
    </row>
    <row r="170" spans="1:12" x14ac:dyDescent="0.2">
      <c r="A170" s="353" t="s">
        <v>246</v>
      </c>
      <c r="B170" s="353"/>
      <c r="C170" s="353"/>
      <c r="D170" s="353"/>
      <c r="E170" s="353"/>
      <c r="F170" s="353"/>
      <c r="G170" s="353"/>
      <c r="H170" s="353"/>
      <c r="I170" s="353"/>
      <c r="J170" s="111"/>
      <c r="K170" s="112">
        <f>53498.46+0.09</f>
        <v>53498.549999999996</v>
      </c>
    </row>
    <row r="171" spans="1:12" x14ac:dyDescent="0.2">
      <c r="A171" s="103"/>
      <c r="B171" s="104"/>
      <c r="C171" s="105"/>
      <c r="D171" s="113"/>
      <c r="E171" s="105"/>
      <c r="I171" s="108"/>
      <c r="K171" s="114"/>
    </row>
    <row r="172" spans="1:12" x14ac:dyDescent="0.2">
      <c r="A172" s="103"/>
      <c r="B172" s="104"/>
      <c r="C172" s="105"/>
      <c r="D172" s="113"/>
      <c r="E172" s="105"/>
      <c r="I172" s="108"/>
      <c r="K172" s="114"/>
    </row>
    <row r="173" spans="1:12" x14ac:dyDescent="0.2">
      <c r="A173" s="353"/>
      <c r="B173" s="353"/>
      <c r="C173" s="353"/>
      <c r="D173" s="353"/>
      <c r="E173" s="353"/>
      <c r="F173" s="353"/>
      <c r="G173" s="353"/>
      <c r="H173" s="353"/>
      <c r="I173" s="353"/>
      <c r="K173" s="110"/>
    </row>
    <row r="174" spans="1:12" x14ac:dyDescent="0.2">
      <c r="A174" s="353"/>
      <c r="B174" s="353"/>
      <c r="C174" s="353"/>
      <c r="D174" s="353"/>
      <c r="E174" s="353"/>
      <c r="F174" s="353"/>
      <c r="G174" s="353"/>
      <c r="H174" s="353"/>
      <c r="I174" s="353"/>
      <c r="J174" s="111"/>
      <c r="K174" s="110"/>
    </row>
    <row r="175" spans="1:12" x14ac:dyDescent="0.2">
      <c r="A175" s="115"/>
      <c r="B175" s="116"/>
      <c r="C175" s="117"/>
      <c r="D175" s="118"/>
      <c r="E175" s="117"/>
      <c r="F175" s="119"/>
      <c r="G175" s="120"/>
      <c r="H175" s="119"/>
      <c r="I175" s="121"/>
      <c r="J175" s="111"/>
      <c r="K175" s="114"/>
    </row>
    <row r="176" spans="1:12" x14ac:dyDescent="0.2">
      <c r="J176" s="119"/>
      <c r="K176" s="114"/>
    </row>
    <row r="177" spans="11:12" x14ac:dyDescent="0.2">
      <c r="K177" s="122"/>
    </row>
    <row r="179" spans="11:12" x14ac:dyDescent="0.2">
      <c r="L179" s="8"/>
    </row>
  </sheetData>
  <sheetProtection selectLockedCells="1" selectUnlockedCells="1"/>
  <mergeCells count="40">
    <mergeCell ref="A166:D166"/>
    <mergeCell ref="E166:G166"/>
    <mergeCell ref="A169:I169"/>
    <mergeCell ref="A170:I170"/>
    <mergeCell ref="A173:I173"/>
    <mergeCell ref="A174:I174"/>
    <mergeCell ref="A118:D118"/>
    <mergeCell ref="A129:D129"/>
    <mergeCell ref="A140:D140"/>
    <mergeCell ref="A148:D148"/>
    <mergeCell ref="A157:D157"/>
    <mergeCell ref="A161:D161"/>
    <mergeCell ref="A56:D56"/>
    <mergeCell ref="A64:D64"/>
    <mergeCell ref="A73:D73"/>
    <mergeCell ref="A78:D78"/>
    <mergeCell ref="A90:D90"/>
    <mergeCell ref="A105:D105"/>
    <mergeCell ref="G10:H10"/>
    <mergeCell ref="A13:D13"/>
    <mergeCell ref="A15:D15"/>
    <mergeCell ref="A24:D24"/>
    <mergeCell ref="A31:D31"/>
    <mergeCell ref="A44:D44"/>
    <mergeCell ref="A7:D7"/>
    <mergeCell ref="A8:D8"/>
    <mergeCell ref="E8:I8"/>
    <mergeCell ref="A9:D9"/>
    <mergeCell ref="A10:A12"/>
    <mergeCell ref="B10:B12"/>
    <mergeCell ref="C10:C12"/>
    <mergeCell ref="D10:D12"/>
    <mergeCell ref="E10:E12"/>
    <mergeCell ref="F10:F12"/>
    <mergeCell ref="A1:I1"/>
    <mergeCell ref="A2:I2"/>
    <mergeCell ref="A3:D3"/>
    <mergeCell ref="A4:D4"/>
    <mergeCell ref="A5:D5"/>
    <mergeCell ref="A6:D6"/>
  </mergeCells>
  <printOptions horizontalCentered="1"/>
  <pageMargins left="0.23611111111111113" right="0.19652777777777777" top="0.43333333333333335" bottom="0.27569444444444446" header="0.51181102362204722" footer="0.15763888888888888"/>
  <pageSetup paperSize="9" scale="44" firstPageNumber="0" orientation="portrait" horizontalDpi="300" verticalDpi="300" r:id="rId1"/>
  <headerFooter alignWithMargins="0"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CD4EC-4CE7-4855-9A32-FCE185693C44}">
  <sheetPr>
    <tabColor indexed="50"/>
  </sheetPr>
  <dimension ref="A1:T35"/>
  <sheetViews>
    <sheetView view="pageBreakPreview" zoomScaleSheetLayoutView="100" workbookViewId="0">
      <selection activeCell="C12" sqref="C12"/>
    </sheetView>
  </sheetViews>
  <sheetFormatPr defaultRowHeight="12.75" x14ac:dyDescent="0.2"/>
  <sheetData>
    <row r="1" spans="1:20" x14ac:dyDescent="0.2">
      <c r="A1" s="354" t="s">
        <v>247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</row>
    <row r="2" spans="1:20" ht="27.75" customHeight="1" x14ac:dyDescent="0.2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</row>
    <row r="3" spans="1:20" ht="15" customHeight="1" x14ac:dyDescent="0.2">
      <c r="A3" s="355" t="s">
        <v>2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123"/>
      <c r="M3" s="123"/>
      <c r="N3" s="123"/>
      <c r="O3" s="123"/>
      <c r="P3" s="123"/>
      <c r="Q3" s="123"/>
      <c r="R3" s="123"/>
      <c r="S3" s="123"/>
      <c r="T3" s="124"/>
    </row>
    <row r="4" spans="1:20" ht="15" customHeight="1" x14ac:dyDescent="0.2">
      <c r="A4" s="356" t="s">
        <v>3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111"/>
      <c r="M4" s="111"/>
      <c r="N4" s="111"/>
      <c r="O4" s="111"/>
      <c r="P4" s="111"/>
      <c r="Q4" s="111"/>
      <c r="R4" s="111"/>
      <c r="S4" s="111"/>
      <c r="T4" s="125"/>
    </row>
    <row r="5" spans="1:20" ht="15" customHeight="1" x14ac:dyDescent="0.2">
      <c r="A5" s="356" t="s">
        <v>4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111"/>
      <c r="M5" s="111"/>
      <c r="N5" s="111"/>
      <c r="O5" s="111"/>
      <c r="P5" s="111"/>
      <c r="Q5" s="111"/>
      <c r="R5" s="111"/>
      <c r="S5" s="111"/>
      <c r="T5" s="125"/>
    </row>
    <row r="6" spans="1:20" ht="15" customHeight="1" x14ac:dyDescent="0.2">
      <c r="A6" s="356" t="s">
        <v>5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111"/>
      <c r="M6" s="111"/>
      <c r="N6" s="111"/>
      <c r="O6" s="111"/>
      <c r="P6" s="111"/>
      <c r="Q6" s="111"/>
      <c r="R6" s="111"/>
      <c r="S6" s="111"/>
      <c r="T6" s="125"/>
    </row>
    <row r="7" spans="1:20" ht="15" customHeight="1" x14ac:dyDescent="0.2">
      <c r="A7" s="356" t="s">
        <v>6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111"/>
      <c r="M7" s="111"/>
      <c r="N7" s="111"/>
      <c r="O7" s="111"/>
      <c r="P7" s="111"/>
      <c r="Q7" s="111"/>
      <c r="R7" s="111"/>
      <c r="S7" s="111"/>
      <c r="T7" s="125"/>
    </row>
    <row r="8" spans="1:20" ht="15" customHeight="1" x14ac:dyDescent="0.2">
      <c r="A8" s="357" t="s">
        <v>7</v>
      </c>
      <c r="B8" s="357"/>
      <c r="C8" s="357"/>
      <c r="D8" s="357"/>
      <c r="E8" s="357"/>
      <c r="F8" s="357"/>
      <c r="G8" s="357"/>
      <c r="H8" s="357"/>
      <c r="I8" s="357"/>
      <c r="J8" s="357"/>
      <c r="K8" s="357"/>
      <c r="L8" s="358" t="s">
        <v>8</v>
      </c>
      <c r="M8" s="358"/>
      <c r="N8" s="358"/>
      <c r="O8" s="358"/>
      <c r="P8" s="358"/>
      <c r="Q8" s="358"/>
      <c r="R8" s="358"/>
      <c r="S8" s="358"/>
      <c r="T8" s="358"/>
    </row>
    <row r="9" spans="1:20" ht="15.75" customHeight="1" x14ac:dyDescent="0.2">
      <c r="A9" s="126" t="s">
        <v>248</v>
      </c>
      <c r="B9" s="127"/>
      <c r="C9" s="127"/>
      <c r="D9" s="359" t="s">
        <v>249</v>
      </c>
      <c r="E9" s="359"/>
      <c r="F9" s="359"/>
      <c r="G9" s="359"/>
      <c r="H9" s="359"/>
      <c r="I9" s="359"/>
      <c r="J9" s="360" t="s">
        <v>250</v>
      </c>
      <c r="K9" s="360"/>
      <c r="L9" s="360"/>
      <c r="M9" s="360"/>
      <c r="N9" s="360"/>
      <c r="O9" s="128" t="s">
        <v>251</v>
      </c>
      <c r="P9" s="129"/>
      <c r="Q9" s="361">
        <f>(((1+M14+M11+M12)*(1+M13)*(1+M15))/(1-M16))-1</f>
        <v>0.25000074100086844</v>
      </c>
      <c r="R9" s="361"/>
      <c r="S9" s="130"/>
      <c r="T9" s="131"/>
    </row>
    <row r="10" spans="1:20" ht="15.75" x14ac:dyDescent="0.2">
      <c r="A10" s="132"/>
      <c r="B10" s="133"/>
      <c r="C10" s="133"/>
      <c r="D10" s="359"/>
      <c r="E10" s="359"/>
      <c r="F10" s="359"/>
      <c r="G10" s="359"/>
      <c r="H10" s="359"/>
      <c r="I10" s="359"/>
      <c r="J10" s="360"/>
      <c r="K10" s="360"/>
      <c r="L10" s="360"/>
      <c r="M10" s="360"/>
      <c r="N10" s="360"/>
      <c r="O10" s="134"/>
      <c r="P10" s="135"/>
      <c r="Q10" s="361"/>
      <c r="R10" s="361"/>
      <c r="S10" s="136"/>
      <c r="T10" s="137"/>
    </row>
    <row r="11" spans="1:20" ht="12.75" customHeight="1" x14ac:dyDescent="0.2">
      <c r="A11" s="138" t="s">
        <v>252</v>
      </c>
      <c r="B11" s="139"/>
      <c r="C11" s="139"/>
      <c r="D11" s="140" t="s">
        <v>253</v>
      </c>
      <c r="E11" s="362">
        <v>3.2000000000000002E-3</v>
      </c>
      <c r="F11" s="362"/>
      <c r="G11" s="141" t="s">
        <v>254</v>
      </c>
      <c r="H11" s="363">
        <v>7.4000000000000003E-3</v>
      </c>
      <c r="I11" s="363"/>
      <c r="J11" s="142" t="s">
        <v>255</v>
      </c>
      <c r="K11" s="143"/>
      <c r="L11" s="143"/>
      <c r="M11" s="364">
        <v>7.4000000000000003E-3</v>
      </c>
      <c r="N11" s="364"/>
      <c r="O11" s="365" t="s">
        <v>256</v>
      </c>
      <c r="P11" s="365"/>
      <c r="Q11" s="365"/>
      <c r="R11" s="365"/>
      <c r="S11" s="365"/>
      <c r="T11" s="365"/>
    </row>
    <row r="12" spans="1:20" x14ac:dyDescent="0.2">
      <c r="A12" s="144" t="s">
        <v>257</v>
      </c>
      <c r="B12" s="145"/>
      <c r="C12" s="145"/>
      <c r="D12" s="146" t="s">
        <v>253</v>
      </c>
      <c r="E12" s="366">
        <v>5.0000000000000001E-3</v>
      </c>
      <c r="F12" s="366"/>
      <c r="G12" s="147" t="s">
        <v>254</v>
      </c>
      <c r="H12" s="367">
        <v>9.7000000000000003E-3</v>
      </c>
      <c r="I12" s="367"/>
      <c r="J12" s="148" t="s">
        <v>258</v>
      </c>
      <c r="K12" s="149"/>
      <c r="L12" s="149"/>
      <c r="M12" s="368">
        <v>9.7000000000000003E-3</v>
      </c>
      <c r="N12" s="368"/>
      <c r="O12" s="365"/>
      <c r="P12" s="365"/>
      <c r="Q12" s="365"/>
      <c r="R12" s="365"/>
      <c r="S12" s="365"/>
      <c r="T12" s="365"/>
    </row>
    <row r="13" spans="1:20" x14ac:dyDescent="0.2">
      <c r="A13" s="144" t="s">
        <v>259</v>
      </c>
      <c r="B13" s="145"/>
      <c r="C13" s="145"/>
      <c r="D13" s="146" t="s">
        <v>253</v>
      </c>
      <c r="E13" s="366">
        <v>1.0200000000000001E-2</v>
      </c>
      <c r="F13" s="366"/>
      <c r="G13" s="147" t="s">
        <v>254</v>
      </c>
      <c r="H13" s="367">
        <v>1.21E-2</v>
      </c>
      <c r="I13" s="367"/>
      <c r="J13" s="148" t="s">
        <v>260</v>
      </c>
      <c r="K13" s="149"/>
      <c r="L13" s="149"/>
      <c r="M13" s="368">
        <v>1.21E-2</v>
      </c>
      <c r="N13" s="368"/>
      <c r="O13" s="365"/>
      <c r="P13" s="365"/>
      <c r="Q13" s="365"/>
      <c r="R13" s="365"/>
      <c r="S13" s="365"/>
      <c r="T13" s="365"/>
    </row>
    <row r="14" spans="1:20" ht="12.75" customHeight="1" x14ac:dyDescent="0.2">
      <c r="A14" s="144" t="s">
        <v>261</v>
      </c>
      <c r="B14" s="145"/>
      <c r="C14" s="145"/>
      <c r="D14" s="146" t="s">
        <v>253</v>
      </c>
      <c r="E14" s="366">
        <v>3.7999999999999999E-2</v>
      </c>
      <c r="F14" s="366"/>
      <c r="G14" s="147" t="s">
        <v>254</v>
      </c>
      <c r="H14" s="367">
        <v>4.6699999999999998E-2</v>
      </c>
      <c r="I14" s="367"/>
      <c r="J14" s="148" t="s">
        <v>262</v>
      </c>
      <c r="K14" s="149"/>
      <c r="L14" s="149"/>
      <c r="M14" s="368">
        <v>4.6699999999999998E-2</v>
      </c>
      <c r="N14" s="368"/>
      <c r="O14" s="365"/>
      <c r="P14" s="365"/>
      <c r="Q14" s="365"/>
      <c r="R14" s="365"/>
      <c r="S14" s="365"/>
      <c r="T14" s="365"/>
    </row>
    <row r="15" spans="1:20" x14ac:dyDescent="0.2">
      <c r="A15" s="144" t="s">
        <v>263</v>
      </c>
      <c r="B15" s="145"/>
      <c r="C15" s="145"/>
      <c r="D15" s="146" t="s">
        <v>253</v>
      </c>
      <c r="E15" s="366">
        <v>6.6400000000000001E-2</v>
      </c>
      <c r="F15" s="366"/>
      <c r="G15" s="147" t="s">
        <v>254</v>
      </c>
      <c r="H15" s="367">
        <v>8.6900000000000005E-2</v>
      </c>
      <c r="I15" s="367"/>
      <c r="J15" s="148" t="s">
        <v>264</v>
      </c>
      <c r="K15" s="149"/>
      <c r="L15" s="149"/>
      <c r="M15" s="368">
        <v>6.9500000000000006E-2</v>
      </c>
      <c r="N15" s="368"/>
      <c r="O15" s="365"/>
      <c r="P15" s="365"/>
      <c r="Q15" s="365"/>
      <c r="R15" s="365"/>
      <c r="S15" s="365"/>
      <c r="T15" s="365"/>
    </row>
    <row r="16" spans="1:20" ht="13.5" customHeight="1" x14ac:dyDescent="0.2">
      <c r="A16" s="150" t="s">
        <v>265</v>
      </c>
      <c r="B16" s="151"/>
      <c r="C16" s="151"/>
      <c r="D16" s="369" t="s">
        <v>266</v>
      </c>
      <c r="E16" s="369"/>
      <c r="F16" s="369"/>
      <c r="G16" s="369"/>
      <c r="H16" s="369"/>
      <c r="I16" s="369"/>
      <c r="J16" s="152" t="s">
        <v>267</v>
      </c>
      <c r="K16" s="153"/>
      <c r="L16" s="153"/>
      <c r="M16" s="370">
        <v>7.8799999999999995E-2</v>
      </c>
      <c r="N16" s="370"/>
      <c r="O16" s="365"/>
      <c r="P16" s="365"/>
      <c r="Q16" s="365"/>
      <c r="R16" s="365"/>
      <c r="S16" s="365"/>
      <c r="T16" s="365"/>
    </row>
    <row r="17" spans="1:20" x14ac:dyDescent="0.2">
      <c r="A17" s="154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6"/>
    </row>
    <row r="18" spans="1:20" x14ac:dyDescent="0.2">
      <c r="A18" s="157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9"/>
    </row>
    <row r="19" spans="1:20" x14ac:dyDescent="0.2">
      <c r="A19" s="157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9"/>
    </row>
    <row r="20" spans="1:20" x14ac:dyDescent="0.2">
      <c r="A20" s="157"/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9"/>
    </row>
    <row r="21" spans="1:20" x14ac:dyDescent="0.2">
      <c r="A21" s="157"/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9"/>
    </row>
    <row r="22" spans="1:20" x14ac:dyDescent="0.2">
      <c r="A22" s="157"/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9"/>
    </row>
    <row r="23" spans="1:20" x14ac:dyDescent="0.2">
      <c r="A23" s="157"/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371" t="s">
        <v>268</v>
      </c>
      <c r="Q23" s="371"/>
      <c r="R23" s="371"/>
      <c r="S23" s="371"/>
      <c r="T23" s="371"/>
    </row>
    <row r="24" spans="1:20" x14ac:dyDescent="0.2">
      <c r="A24" s="157"/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60"/>
      <c r="Q24" s="161"/>
      <c r="R24" s="161"/>
      <c r="S24" s="161"/>
      <c r="T24" s="162"/>
    </row>
    <row r="25" spans="1:20" x14ac:dyDescent="0.2">
      <c r="A25" s="157"/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60"/>
      <c r="Q25" s="161"/>
      <c r="R25" s="161"/>
      <c r="S25" s="161"/>
      <c r="T25" s="162"/>
    </row>
    <row r="26" spans="1:20" x14ac:dyDescent="0.2">
      <c r="A26" s="157"/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9"/>
    </row>
    <row r="27" spans="1:20" ht="12.75" customHeight="1" x14ac:dyDescent="0.2">
      <c r="A27" s="157"/>
      <c r="B27" s="158"/>
      <c r="C27" s="372" t="s">
        <v>269</v>
      </c>
      <c r="D27" s="372"/>
      <c r="E27" s="372"/>
      <c r="F27" s="372"/>
      <c r="G27" s="164"/>
      <c r="H27" s="164"/>
      <c r="I27" s="164"/>
      <c r="J27" s="158"/>
      <c r="K27" s="373" t="s">
        <v>270</v>
      </c>
      <c r="L27" s="373"/>
      <c r="M27" s="373"/>
      <c r="N27" s="158"/>
      <c r="O27" s="158"/>
      <c r="P27" s="158"/>
      <c r="Q27" s="158"/>
      <c r="R27" s="158"/>
      <c r="S27" s="158"/>
      <c r="T27" s="159"/>
    </row>
    <row r="28" spans="1:20" ht="12.75" customHeight="1" x14ac:dyDescent="0.2">
      <c r="A28" s="157"/>
      <c r="B28" s="158"/>
      <c r="C28" s="374" t="s">
        <v>271</v>
      </c>
      <c r="D28" s="374"/>
      <c r="E28" s="374"/>
      <c r="F28" s="374"/>
      <c r="G28" s="166"/>
      <c r="H28" s="166"/>
      <c r="I28" s="166"/>
      <c r="J28" s="158"/>
      <c r="K28" s="375" t="s">
        <v>272</v>
      </c>
      <c r="L28" s="375"/>
      <c r="M28" s="375"/>
      <c r="N28" s="158"/>
      <c r="O28" s="158"/>
      <c r="P28" s="158"/>
      <c r="Q28" s="158"/>
      <c r="R28" s="158"/>
      <c r="S28" s="158"/>
      <c r="T28" s="159"/>
    </row>
    <row r="29" spans="1:20" x14ac:dyDescent="0.2">
      <c r="A29" s="157"/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9"/>
    </row>
    <row r="30" spans="1:20" x14ac:dyDescent="0.2">
      <c r="A30" s="157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9"/>
    </row>
    <row r="31" spans="1:20" x14ac:dyDescent="0.2">
      <c r="A31" s="157"/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9"/>
    </row>
    <row r="32" spans="1:20" x14ac:dyDescent="0.2">
      <c r="A32" s="157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9"/>
    </row>
    <row r="33" spans="1:20" x14ac:dyDescent="0.2">
      <c r="A33" s="157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9"/>
    </row>
    <row r="34" spans="1:20" x14ac:dyDescent="0.2">
      <c r="A34" s="157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9"/>
    </row>
    <row r="35" spans="1:20" x14ac:dyDescent="0.2">
      <c r="A35" s="167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9"/>
    </row>
  </sheetData>
  <sheetProtection selectLockedCells="1" selectUnlockedCells="1"/>
  <mergeCells count="34">
    <mergeCell ref="C27:F27"/>
    <mergeCell ref="K27:M27"/>
    <mergeCell ref="C28:F28"/>
    <mergeCell ref="K28:M28"/>
    <mergeCell ref="E15:F15"/>
    <mergeCell ref="H15:I15"/>
    <mergeCell ref="M15:N15"/>
    <mergeCell ref="D16:I16"/>
    <mergeCell ref="M16:N16"/>
    <mergeCell ref="P23:T23"/>
    <mergeCell ref="H12:I12"/>
    <mergeCell ref="M12:N12"/>
    <mergeCell ref="E13:F13"/>
    <mergeCell ref="H13:I13"/>
    <mergeCell ref="M13:N13"/>
    <mergeCell ref="E14:F14"/>
    <mergeCell ref="H14:I14"/>
    <mergeCell ref="M14:N14"/>
    <mergeCell ref="A8:K8"/>
    <mergeCell ref="L8:T8"/>
    <mergeCell ref="D9:I10"/>
    <mergeCell ref="J9:N10"/>
    <mergeCell ref="Q9:R10"/>
    <mergeCell ref="E11:F11"/>
    <mergeCell ref="H11:I11"/>
    <mergeCell ref="M11:N11"/>
    <mergeCell ref="O11:T16"/>
    <mergeCell ref="E12:F12"/>
    <mergeCell ref="A1:T2"/>
    <mergeCell ref="A3:K3"/>
    <mergeCell ref="A4:K4"/>
    <mergeCell ref="A5:K5"/>
    <mergeCell ref="A6:K6"/>
    <mergeCell ref="A7:K7"/>
  </mergeCells>
  <printOptions horizontalCentered="1"/>
  <pageMargins left="0.51180555555555562" right="0.51180555555555562" top="0.39374999999999999" bottom="0.78749999999999998" header="0.51181102362204722" footer="0.51181102362204722"/>
  <pageSetup paperSize="9" scale="75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305B6-2D6A-4000-B13C-632143E79650}">
  <sheetPr>
    <tabColor indexed="50"/>
  </sheetPr>
  <dimension ref="A1:V42"/>
  <sheetViews>
    <sheetView view="pageBreakPreview" topLeftCell="A3" zoomScaleSheetLayoutView="100" workbookViewId="0">
      <selection activeCell="C31" sqref="C31"/>
    </sheetView>
  </sheetViews>
  <sheetFormatPr defaultRowHeight="12.75" x14ac:dyDescent="0.2"/>
  <cols>
    <col min="1" max="1" width="6.5703125" style="170" customWidth="1"/>
    <col min="2" max="2" width="14.7109375" style="170" hidden="1" customWidth="1"/>
    <col min="3" max="3" width="75.140625" style="170" customWidth="1"/>
    <col min="4" max="4" width="9" style="170" customWidth="1"/>
    <col min="5" max="5" width="14.85546875" style="170" customWidth="1"/>
    <col min="6" max="6" width="10.28515625" style="170" customWidth="1"/>
    <col min="7" max="7" width="7.140625" style="170" customWidth="1"/>
    <col min="8" max="8" width="15.42578125" style="170" customWidth="1"/>
    <col min="9" max="9" width="7" style="170" customWidth="1"/>
    <col min="10" max="10" width="11.28515625" style="170" customWidth="1"/>
    <col min="11" max="11" width="7.42578125" style="170" customWidth="1"/>
    <col min="12" max="12" width="11.28515625" style="170" customWidth="1"/>
    <col min="13" max="13" width="6" style="170" customWidth="1"/>
    <col min="14" max="14" width="10.85546875" style="170" customWidth="1"/>
    <col min="15" max="15" width="7" style="170" customWidth="1"/>
    <col min="16" max="16" width="10.42578125" style="170" customWidth="1"/>
    <col min="17" max="17" width="8.28515625" style="170" customWidth="1"/>
    <col min="18" max="18" width="10" style="170" customWidth="1"/>
    <col min="19" max="19" width="9.140625" style="170"/>
    <col min="20" max="20" width="10" style="170" customWidth="1"/>
    <col min="21" max="21" width="9.140625" style="170"/>
    <col min="22" max="22" width="10.42578125" style="170" customWidth="1"/>
    <col min="23" max="16384" width="9.140625" style="170"/>
  </cols>
  <sheetData>
    <row r="1" spans="1:19" hidden="1" x14ac:dyDescent="0.2">
      <c r="A1" s="171"/>
      <c r="B1" s="172"/>
      <c r="C1" s="172"/>
      <c r="D1" s="172"/>
      <c r="E1" s="172"/>
      <c r="F1" s="172"/>
      <c r="G1" s="172"/>
      <c r="H1" s="173"/>
    </row>
    <row r="2" spans="1:19" hidden="1" x14ac:dyDescent="0.2">
      <c r="A2" s="174"/>
      <c r="B2" s="175"/>
      <c r="C2" s="175"/>
      <c r="D2" s="175"/>
      <c r="E2" s="175"/>
      <c r="F2" s="175"/>
      <c r="G2" s="175"/>
      <c r="H2" s="176"/>
    </row>
    <row r="3" spans="1:19" s="178" customFormat="1" ht="50.1" customHeight="1" x14ac:dyDescent="0.2">
      <c r="A3" s="376" t="s">
        <v>273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177"/>
      <c r="M3" s="177"/>
      <c r="N3" s="177"/>
      <c r="O3" s="177"/>
      <c r="P3" s="177"/>
      <c r="Q3" s="177"/>
      <c r="R3" s="177"/>
      <c r="S3" s="177"/>
    </row>
    <row r="4" spans="1:19" ht="18" customHeight="1" x14ac:dyDescent="0.2">
      <c r="A4" s="377" t="str">
        <f>PLANILHA!A3</f>
        <v xml:space="preserve">OBRA: REFORMA DA CRECHE CANTINHO DO CÉU - PARA ENTREGA 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179"/>
      <c r="M4" s="179"/>
      <c r="N4" s="179"/>
      <c r="O4" s="179"/>
      <c r="P4" s="179"/>
      <c r="Q4" s="179"/>
      <c r="R4" s="172"/>
      <c r="S4" s="173"/>
    </row>
    <row r="5" spans="1:19" s="183" customFormat="1" ht="18" customHeight="1" x14ac:dyDescent="0.2">
      <c r="A5" s="378" t="str">
        <f>PLANILHA!A4</f>
        <v>MUNICÍPIO: SALINAS/MG</v>
      </c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180"/>
      <c r="M5" s="180"/>
      <c r="N5" s="180"/>
      <c r="O5" s="180"/>
      <c r="P5" s="180"/>
      <c r="Q5" s="180"/>
      <c r="R5" s="181"/>
      <c r="S5" s="182"/>
    </row>
    <row r="6" spans="1:19" s="183" customFormat="1" ht="18" customHeight="1" x14ac:dyDescent="0.2">
      <c r="A6" s="378" t="str">
        <f>PLANILHA!A5</f>
        <v>LOCAL:  RUA OURO PRETO, 495, BAIRRO PANORAMA, SALINAS/MG</v>
      </c>
      <c r="B6" s="378"/>
      <c r="C6" s="378"/>
      <c r="D6" s="378"/>
      <c r="E6" s="378"/>
      <c r="F6" s="378"/>
      <c r="G6" s="378"/>
      <c r="H6" s="378"/>
      <c r="I6" s="378"/>
      <c r="J6" s="378"/>
      <c r="K6" s="378"/>
      <c r="L6" s="180"/>
      <c r="M6" s="180"/>
      <c r="N6" s="180"/>
      <c r="O6" s="180"/>
      <c r="P6" s="180"/>
      <c r="Q6" s="180"/>
      <c r="R6" s="181"/>
      <c r="S6" s="182"/>
    </row>
    <row r="7" spans="1:19" s="183" customFormat="1" ht="18" customHeight="1" x14ac:dyDescent="0.2">
      <c r="A7" s="378" t="str">
        <f>PLANILHA!A6</f>
        <v>SETOR: SECRETARIA MUNICIPAL DE EDUCAÇÃO</v>
      </c>
      <c r="B7" s="378"/>
      <c r="C7" s="378"/>
      <c r="D7" s="378"/>
      <c r="E7" s="378"/>
      <c r="F7" s="378"/>
      <c r="G7" s="378"/>
      <c r="H7" s="378"/>
      <c r="I7" s="378"/>
      <c r="J7" s="378"/>
      <c r="K7" s="378"/>
      <c r="L7" s="180"/>
      <c r="M7" s="180"/>
      <c r="N7" s="180"/>
      <c r="O7" s="180"/>
      <c r="P7" s="180"/>
      <c r="Q7" s="180"/>
      <c r="R7" s="181"/>
      <c r="S7" s="182"/>
    </row>
    <row r="8" spans="1:19" s="183" customFormat="1" ht="18" customHeight="1" x14ac:dyDescent="0.2">
      <c r="A8" s="378" t="str">
        <f>PLANILHA!A7</f>
        <v>RECURSO: FUNDEB 30% e EDUCAÇÃO 25%.</v>
      </c>
      <c r="B8" s="378"/>
      <c r="C8" s="378"/>
      <c r="D8" s="378"/>
      <c r="E8" s="378"/>
      <c r="F8" s="378"/>
      <c r="G8" s="378"/>
      <c r="H8" s="378"/>
      <c r="I8" s="378"/>
      <c r="J8" s="378"/>
      <c r="K8" s="378"/>
      <c r="L8" s="184"/>
      <c r="M8" s="184"/>
      <c r="N8" s="184"/>
      <c r="O8" s="184"/>
      <c r="P8" s="184"/>
      <c r="Q8" s="184"/>
      <c r="R8" s="181"/>
      <c r="S8" s="182"/>
    </row>
    <row r="9" spans="1:19" s="183" customFormat="1" ht="18" customHeight="1" x14ac:dyDescent="0.2">
      <c r="A9" s="379" t="str">
        <f>PLANILHA!A8</f>
        <v>DATA: JANEIRO/2026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180"/>
      <c r="M9" s="180"/>
      <c r="N9" s="180"/>
      <c r="O9" s="180"/>
      <c r="P9" s="180"/>
      <c r="Q9" s="180"/>
      <c r="R9" s="181"/>
      <c r="S9" s="182"/>
    </row>
    <row r="10" spans="1:19" ht="9" customHeight="1" x14ac:dyDescent="0.2">
      <c r="A10" s="185"/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6"/>
      <c r="M10" s="186"/>
      <c r="N10" s="186"/>
      <c r="O10" s="186"/>
      <c r="P10" s="186"/>
      <c r="Q10" s="186"/>
      <c r="R10" s="187"/>
      <c r="S10" s="188"/>
    </row>
    <row r="11" spans="1:19" s="194" customFormat="1" ht="15" customHeight="1" x14ac:dyDescent="0.2">
      <c r="A11" s="380" t="str">
        <f>PLANILHA!A9</f>
        <v>REFORMA DA CRECHE CANTINHO DO CÉU - PARA ENTREGA</v>
      </c>
      <c r="B11" s="380"/>
      <c r="C11" s="380"/>
      <c r="D11" s="380"/>
      <c r="E11" s="380"/>
      <c r="F11" s="380"/>
      <c r="G11" s="380"/>
      <c r="H11" s="380"/>
      <c r="I11" s="380"/>
      <c r="J11" s="380"/>
      <c r="K11" s="380"/>
      <c r="L11" s="189"/>
      <c r="M11" s="189"/>
      <c r="N11" s="190"/>
      <c r="O11" s="191"/>
      <c r="P11" s="191"/>
      <c r="Q11" s="191"/>
      <c r="R11" s="192"/>
      <c r="S11" s="193"/>
    </row>
    <row r="12" spans="1:19" s="197" customFormat="1" ht="28.5" customHeight="1" x14ac:dyDescent="0.2">
      <c r="A12" s="381" t="s">
        <v>274</v>
      </c>
      <c r="B12" s="381"/>
      <c r="C12" s="382" t="s">
        <v>275</v>
      </c>
      <c r="D12" s="195" t="s">
        <v>276</v>
      </c>
      <c r="E12" s="196" t="s">
        <v>277</v>
      </c>
      <c r="F12" s="383" t="s">
        <v>278</v>
      </c>
      <c r="G12" s="383"/>
      <c r="H12" s="383" t="s">
        <v>279</v>
      </c>
      <c r="I12" s="383"/>
      <c r="J12" s="384" t="s">
        <v>280</v>
      </c>
      <c r="K12" s="384"/>
      <c r="L12" s="385" t="s">
        <v>281</v>
      </c>
      <c r="M12" s="385"/>
      <c r="N12" s="386" t="s">
        <v>282</v>
      </c>
      <c r="O12" s="386"/>
      <c r="P12" s="383" t="s">
        <v>283</v>
      </c>
      <c r="Q12" s="383"/>
      <c r="R12" s="383" t="s">
        <v>284</v>
      </c>
      <c r="S12" s="383"/>
    </row>
    <row r="13" spans="1:19" s="197" customFormat="1" ht="12.75" hidden="1" customHeight="1" x14ac:dyDescent="0.2">
      <c r="A13" s="198"/>
      <c r="B13" s="199"/>
      <c r="C13" s="382"/>
      <c r="D13" s="195" t="s">
        <v>285</v>
      </c>
      <c r="E13" s="195" t="s">
        <v>286</v>
      </c>
      <c r="F13" s="195"/>
      <c r="G13" s="195" t="s">
        <v>285</v>
      </c>
      <c r="H13" s="195"/>
      <c r="I13" s="195" t="s">
        <v>285</v>
      </c>
      <c r="J13" s="195"/>
      <c r="K13" s="200" t="s">
        <v>285</v>
      </c>
      <c r="L13" s="201"/>
      <c r="M13" s="202" t="s">
        <v>285</v>
      </c>
      <c r="N13" s="202"/>
      <c r="O13" s="202" t="s">
        <v>285</v>
      </c>
      <c r="P13" s="203"/>
      <c r="Q13" s="204" t="s">
        <v>285</v>
      </c>
    </row>
    <row r="14" spans="1:19" s="197" customFormat="1" ht="18" customHeight="1" x14ac:dyDescent="0.2">
      <c r="A14" s="381">
        <v>1</v>
      </c>
      <c r="B14" s="381"/>
      <c r="C14" s="205" t="str">
        <f>PLANILHA!A13</f>
        <v>1.0 - SERVIÇOS PRELIMINARES</v>
      </c>
      <c r="D14" s="206">
        <f t="shared" ref="D14:D15" si="0">E14/E32</f>
        <v>3.194344405216315E-2</v>
      </c>
      <c r="E14" s="207">
        <f>PLANILHA!I13</f>
        <v>1708.9250000000002</v>
      </c>
      <c r="F14" s="207">
        <f t="shared" ref="F14:F30" si="1">E14*G14</f>
        <v>1708.9250000000002</v>
      </c>
      <c r="G14" s="208">
        <v>1</v>
      </c>
      <c r="H14" s="207">
        <f t="shared" ref="H14:H30" si="2">E14*I14</f>
        <v>0</v>
      </c>
      <c r="I14" s="208"/>
      <c r="J14" s="207">
        <f t="shared" ref="J14:J30" si="3">E14*K14</f>
        <v>0</v>
      </c>
      <c r="K14" s="209"/>
      <c r="L14" s="210">
        <f t="shared" ref="L14:L30" si="4">E14*M14</f>
        <v>0</v>
      </c>
      <c r="M14" s="208"/>
      <c r="N14" s="207">
        <f t="shared" ref="N14:N30" si="5">E14*O14</f>
        <v>0</v>
      </c>
      <c r="O14" s="211"/>
      <c r="P14" s="207">
        <f t="shared" ref="P14:P30" si="6">E14*Q14</f>
        <v>0</v>
      </c>
      <c r="Q14" s="212"/>
      <c r="R14" s="207">
        <f t="shared" ref="R14:R30" si="7">E14*S14</f>
        <v>0</v>
      </c>
      <c r="S14" s="213"/>
    </row>
    <row r="15" spans="1:19" s="197" customFormat="1" ht="18" customHeight="1" x14ac:dyDescent="0.2">
      <c r="A15" s="381">
        <v>2</v>
      </c>
      <c r="B15" s="381"/>
      <c r="C15" s="205" t="str">
        <f>PLANILHA!A15</f>
        <v>2.0 - GARAGEM COBERTA</v>
      </c>
      <c r="D15" s="206">
        <f t="shared" si="0"/>
        <v>8.2832053308900977E-2</v>
      </c>
      <c r="E15" s="207">
        <f>PLANILHA!I15</f>
        <v>4431.3871250000002</v>
      </c>
      <c r="F15" s="207">
        <f t="shared" si="1"/>
        <v>2215.6935625000001</v>
      </c>
      <c r="G15" s="208">
        <v>0.5</v>
      </c>
      <c r="H15" s="207">
        <f t="shared" si="2"/>
        <v>1772.5548500000002</v>
      </c>
      <c r="I15" s="208">
        <v>0.4</v>
      </c>
      <c r="J15" s="207">
        <f t="shared" si="3"/>
        <v>443.13871250000005</v>
      </c>
      <c r="K15" s="209">
        <v>0.1</v>
      </c>
      <c r="L15" s="210">
        <f t="shared" si="4"/>
        <v>0</v>
      </c>
      <c r="M15" s="208"/>
      <c r="N15" s="207">
        <f t="shared" si="5"/>
        <v>0</v>
      </c>
      <c r="O15" s="211"/>
      <c r="P15" s="207">
        <f t="shared" si="6"/>
        <v>0</v>
      </c>
      <c r="Q15" s="212"/>
      <c r="R15" s="207">
        <f t="shared" si="7"/>
        <v>0</v>
      </c>
      <c r="S15" s="213"/>
    </row>
    <row r="16" spans="1:19" s="197" customFormat="1" ht="18" customHeight="1" x14ac:dyDescent="0.2">
      <c r="A16" s="381">
        <v>3</v>
      </c>
      <c r="B16" s="381"/>
      <c r="C16" s="205" t="str">
        <f>PLANILHA!A24</f>
        <v>3.0 - ENTRADA PRINCIPAL</v>
      </c>
      <c r="D16" s="206">
        <f>E16/E32</f>
        <v>2.7817703642972289E-2</v>
      </c>
      <c r="E16" s="207">
        <f>PLANILHA!I24</f>
        <v>1488.20425</v>
      </c>
      <c r="F16" s="207">
        <f t="shared" si="1"/>
        <v>744.102125</v>
      </c>
      <c r="G16" s="208">
        <v>0.5</v>
      </c>
      <c r="H16" s="207">
        <f t="shared" si="2"/>
        <v>595.2817</v>
      </c>
      <c r="I16" s="208">
        <v>0.4</v>
      </c>
      <c r="J16" s="207">
        <f t="shared" si="3"/>
        <v>148.820425</v>
      </c>
      <c r="K16" s="209">
        <v>0.1</v>
      </c>
      <c r="L16" s="210">
        <f t="shared" si="4"/>
        <v>0</v>
      </c>
      <c r="M16" s="208"/>
      <c r="N16" s="207">
        <f t="shared" si="5"/>
        <v>0</v>
      </c>
      <c r="O16" s="211"/>
      <c r="P16" s="207">
        <f t="shared" si="6"/>
        <v>0</v>
      </c>
      <c r="Q16" s="212"/>
      <c r="R16" s="207">
        <f t="shared" si="7"/>
        <v>0</v>
      </c>
      <c r="S16" s="213"/>
    </row>
    <row r="17" spans="1:22" s="197" customFormat="1" ht="18" customHeight="1" x14ac:dyDescent="0.2">
      <c r="A17" s="381">
        <v>4</v>
      </c>
      <c r="B17" s="381"/>
      <c r="C17" s="205" t="str">
        <f>PLANILHA!A31</f>
        <v>4.0 - QUARTO 01</v>
      </c>
      <c r="D17" s="206">
        <f>E17/E32</f>
        <v>5.4664975110123741E-2</v>
      </c>
      <c r="E17" s="207">
        <f>PLANILHA!I31</f>
        <v>2924.4918750000002</v>
      </c>
      <c r="F17" s="207">
        <f t="shared" si="1"/>
        <v>1462.2459375000001</v>
      </c>
      <c r="G17" s="208">
        <v>0.5</v>
      </c>
      <c r="H17" s="207">
        <f t="shared" si="2"/>
        <v>1169.7967500000002</v>
      </c>
      <c r="I17" s="208">
        <v>0.4</v>
      </c>
      <c r="J17" s="214">
        <f t="shared" si="3"/>
        <v>292.44918750000005</v>
      </c>
      <c r="K17" s="209">
        <v>0.1</v>
      </c>
      <c r="L17" s="210">
        <f t="shared" si="4"/>
        <v>0</v>
      </c>
      <c r="M17" s="208"/>
      <c r="N17" s="207">
        <f t="shared" si="5"/>
        <v>0</v>
      </c>
      <c r="O17" s="211"/>
      <c r="P17" s="207">
        <f t="shared" si="6"/>
        <v>0</v>
      </c>
      <c r="Q17" s="212"/>
      <c r="R17" s="207">
        <f t="shared" si="7"/>
        <v>0</v>
      </c>
      <c r="S17" s="213"/>
    </row>
    <row r="18" spans="1:22" s="197" customFormat="1" ht="18" customHeight="1" x14ac:dyDescent="0.2">
      <c r="A18" s="381">
        <v>5</v>
      </c>
      <c r="B18" s="381"/>
      <c r="C18" s="205" t="str">
        <f>PLANILHA!A44</f>
        <v>5.0 - QUARTO 02</v>
      </c>
      <c r="D18" s="206">
        <f>E18/E32</f>
        <v>5.3750979140370747E-2</v>
      </c>
      <c r="E18" s="207">
        <f>PLANILHA!I44</f>
        <v>2875.5945000000006</v>
      </c>
      <c r="F18" s="207">
        <f t="shared" si="1"/>
        <v>1437.7972500000003</v>
      </c>
      <c r="G18" s="208">
        <v>0.5</v>
      </c>
      <c r="H18" s="207">
        <f t="shared" si="2"/>
        <v>1150.2378000000003</v>
      </c>
      <c r="I18" s="208">
        <v>0.4</v>
      </c>
      <c r="J18" s="214">
        <f t="shared" si="3"/>
        <v>287.55945000000008</v>
      </c>
      <c r="K18" s="209">
        <v>0.1</v>
      </c>
      <c r="L18" s="210">
        <f t="shared" si="4"/>
        <v>0</v>
      </c>
      <c r="M18" s="208"/>
      <c r="N18" s="207">
        <f t="shared" si="5"/>
        <v>0</v>
      </c>
      <c r="O18" s="211"/>
      <c r="P18" s="207">
        <f t="shared" si="6"/>
        <v>0</v>
      </c>
      <c r="Q18" s="212"/>
      <c r="R18" s="207">
        <f t="shared" si="7"/>
        <v>0</v>
      </c>
      <c r="S18" s="213"/>
    </row>
    <row r="19" spans="1:22" s="197" customFormat="1" ht="12" x14ac:dyDescent="0.2">
      <c r="A19" s="381">
        <v>6</v>
      </c>
      <c r="B19" s="381"/>
      <c r="C19" s="205" t="str">
        <f>PLANILHA!A56</f>
        <v>6.0 - SALA 01</v>
      </c>
      <c r="D19" s="206">
        <f>E19/E32</f>
        <v>5.9347252588102639E-2</v>
      </c>
      <c r="E19" s="207">
        <f>PLANILHA!I56</f>
        <v>3174.9865000000004</v>
      </c>
      <c r="F19" s="207">
        <f t="shared" si="1"/>
        <v>1587.4932500000002</v>
      </c>
      <c r="G19" s="208">
        <v>0.5</v>
      </c>
      <c r="H19" s="207">
        <f t="shared" si="2"/>
        <v>1269.9946000000002</v>
      </c>
      <c r="I19" s="208">
        <v>0.4</v>
      </c>
      <c r="J19" s="214">
        <f t="shared" si="3"/>
        <v>317.49865000000005</v>
      </c>
      <c r="K19" s="209">
        <v>0.1</v>
      </c>
      <c r="L19" s="210">
        <f t="shared" si="4"/>
        <v>0</v>
      </c>
      <c r="M19" s="208"/>
      <c r="N19" s="207">
        <f t="shared" si="5"/>
        <v>0</v>
      </c>
      <c r="O19" s="211"/>
      <c r="P19" s="207">
        <f t="shared" si="6"/>
        <v>0</v>
      </c>
      <c r="Q19" s="212"/>
      <c r="R19" s="207">
        <f t="shared" si="7"/>
        <v>0</v>
      </c>
      <c r="S19" s="213"/>
    </row>
    <row r="20" spans="1:22" s="197" customFormat="1" ht="18" customHeight="1" x14ac:dyDescent="0.2">
      <c r="A20" s="381">
        <v>7</v>
      </c>
      <c r="B20" s="381"/>
      <c r="C20" s="205" t="str">
        <f>PLANILHA!A64</f>
        <v>7.0 - SALA 02</v>
      </c>
      <c r="D20" s="206">
        <f>E20/E32</f>
        <v>4.6203560670851483E-2</v>
      </c>
      <c r="E20" s="207">
        <f>PLANILHA!I64</f>
        <v>2471.81925</v>
      </c>
      <c r="F20" s="207">
        <f t="shared" si="1"/>
        <v>1235.909625</v>
      </c>
      <c r="G20" s="208">
        <v>0.5</v>
      </c>
      <c r="H20" s="207">
        <f t="shared" si="2"/>
        <v>988.72770000000003</v>
      </c>
      <c r="I20" s="208">
        <v>0.4</v>
      </c>
      <c r="J20" s="214">
        <f t="shared" si="3"/>
        <v>247.18192500000001</v>
      </c>
      <c r="K20" s="209">
        <v>0.1</v>
      </c>
      <c r="L20" s="210">
        <f t="shared" si="4"/>
        <v>0</v>
      </c>
      <c r="M20" s="208"/>
      <c r="N20" s="207">
        <f t="shared" si="5"/>
        <v>0</v>
      </c>
      <c r="O20" s="211"/>
      <c r="P20" s="207">
        <f t="shared" si="6"/>
        <v>0</v>
      </c>
      <c r="Q20" s="212"/>
      <c r="R20" s="207">
        <f t="shared" si="7"/>
        <v>0</v>
      </c>
      <c r="S20" s="213"/>
    </row>
    <row r="21" spans="1:22" s="197" customFormat="1" ht="18" customHeight="1" x14ac:dyDescent="0.2">
      <c r="A21" s="381">
        <v>8</v>
      </c>
      <c r="B21" s="381"/>
      <c r="C21" s="205" t="str">
        <f>PLANILHA!A73</f>
        <v>8.0 - CIRCULAÇÃO INETRNA</v>
      </c>
      <c r="D21" s="206">
        <f>E21/E32</f>
        <v>1.6637540282002147E-2</v>
      </c>
      <c r="E21" s="207">
        <f>PLANILHA!I73</f>
        <v>890.08274999999992</v>
      </c>
      <c r="F21" s="207">
        <f t="shared" si="1"/>
        <v>445.04137499999996</v>
      </c>
      <c r="G21" s="208">
        <v>0.5</v>
      </c>
      <c r="H21" s="207">
        <f t="shared" si="2"/>
        <v>356.03309999999999</v>
      </c>
      <c r="I21" s="208">
        <v>0.4</v>
      </c>
      <c r="J21" s="214">
        <f t="shared" si="3"/>
        <v>89.008274999999998</v>
      </c>
      <c r="K21" s="209">
        <v>0.1</v>
      </c>
      <c r="L21" s="210">
        <f t="shared" si="4"/>
        <v>0</v>
      </c>
      <c r="M21" s="208"/>
      <c r="N21" s="207">
        <f t="shared" si="5"/>
        <v>0</v>
      </c>
      <c r="O21" s="211"/>
      <c r="P21" s="207">
        <f t="shared" si="6"/>
        <v>0</v>
      </c>
      <c r="Q21" s="212"/>
      <c r="R21" s="207">
        <f t="shared" si="7"/>
        <v>0</v>
      </c>
      <c r="S21" s="213"/>
    </row>
    <row r="22" spans="1:22" s="197" customFormat="1" ht="18" customHeight="1" x14ac:dyDescent="0.2">
      <c r="A22" s="381">
        <v>9</v>
      </c>
      <c r="B22" s="381"/>
      <c r="C22" s="205" t="str">
        <f>PLANILHA!A78</f>
        <v>9.0 - QUARTO 03</v>
      </c>
      <c r="D22" s="206">
        <f>E22/E32</f>
        <v>6.78064076164588E-2</v>
      </c>
      <c r="E22" s="207">
        <f>PLANILHA!I78</f>
        <v>3627.538250000001</v>
      </c>
      <c r="F22" s="207">
        <f t="shared" si="1"/>
        <v>1813.7691250000005</v>
      </c>
      <c r="G22" s="208">
        <v>0.5</v>
      </c>
      <c r="H22" s="207">
        <f t="shared" si="2"/>
        <v>1451.0153000000005</v>
      </c>
      <c r="I22" s="208">
        <v>0.4</v>
      </c>
      <c r="J22" s="214">
        <f t="shared" si="3"/>
        <v>362.75382500000012</v>
      </c>
      <c r="K22" s="209">
        <v>0.1</v>
      </c>
      <c r="L22" s="210">
        <f t="shared" si="4"/>
        <v>0</v>
      </c>
      <c r="M22" s="208"/>
      <c r="N22" s="207">
        <f t="shared" si="5"/>
        <v>0</v>
      </c>
      <c r="O22" s="211"/>
      <c r="P22" s="207">
        <f t="shared" si="6"/>
        <v>0</v>
      </c>
      <c r="Q22" s="212"/>
      <c r="R22" s="207">
        <f t="shared" si="7"/>
        <v>0</v>
      </c>
      <c r="S22" s="213"/>
    </row>
    <row r="23" spans="1:22" s="197" customFormat="1" ht="18" customHeight="1" x14ac:dyDescent="0.2">
      <c r="A23" s="381">
        <v>10</v>
      </c>
      <c r="B23" s="381"/>
      <c r="C23" s="205" t="str">
        <f>PLANILHA!A90</f>
        <v>10.0 - BANHEIRO 01</v>
      </c>
      <c r="D23" s="206">
        <f>E23/E32</f>
        <v>5.7983760017905582E-2</v>
      </c>
      <c r="E23" s="207">
        <f>PLANILHA!I90</f>
        <v>3102.0417500000008</v>
      </c>
      <c r="F23" s="207">
        <f t="shared" si="1"/>
        <v>1551.0208750000004</v>
      </c>
      <c r="G23" s="208">
        <v>0.5</v>
      </c>
      <c r="H23" s="207">
        <f t="shared" si="2"/>
        <v>1240.8167000000003</v>
      </c>
      <c r="I23" s="208">
        <v>0.4</v>
      </c>
      <c r="J23" s="214">
        <f t="shared" si="3"/>
        <v>310.20417500000008</v>
      </c>
      <c r="K23" s="209">
        <v>0.1</v>
      </c>
      <c r="L23" s="210">
        <f t="shared" si="4"/>
        <v>0</v>
      </c>
      <c r="M23" s="208"/>
      <c r="N23" s="207">
        <f t="shared" si="5"/>
        <v>0</v>
      </c>
      <c r="O23" s="211"/>
      <c r="P23" s="207">
        <f t="shared" si="6"/>
        <v>0</v>
      </c>
      <c r="Q23" s="212"/>
      <c r="R23" s="207">
        <f t="shared" si="7"/>
        <v>0</v>
      </c>
      <c r="S23" s="213"/>
    </row>
    <row r="24" spans="1:22" s="197" customFormat="1" ht="18" customHeight="1" x14ac:dyDescent="0.2">
      <c r="A24" s="381">
        <v>11</v>
      </c>
      <c r="B24" s="381"/>
      <c r="C24" s="205" t="str">
        <f>PLANILHA!A105</f>
        <v>11.0 - QUARTO 04</v>
      </c>
      <c r="D24" s="206">
        <f>E24/E32</f>
        <v>8.9552546075253245E-2</v>
      </c>
      <c r="E24" s="207">
        <f>PLANILHA!I105</f>
        <v>4790.9231250000003</v>
      </c>
      <c r="F24" s="207">
        <f t="shared" si="1"/>
        <v>2395.4615625000001</v>
      </c>
      <c r="G24" s="208">
        <v>0.5</v>
      </c>
      <c r="H24" s="207">
        <f t="shared" si="2"/>
        <v>1916.3692500000002</v>
      </c>
      <c r="I24" s="208">
        <v>0.4</v>
      </c>
      <c r="J24" s="214">
        <f t="shared" si="3"/>
        <v>479.09231250000005</v>
      </c>
      <c r="K24" s="209">
        <v>0.1</v>
      </c>
      <c r="L24" s="210">
        <f t="shared" si="4"/>
        <v>0</v>
      </c>
      <c r="M24" s="208"/>
      <c r="N24" s="207">
        <f t="shared" si="5"/>
        <v>0</v>
      </c>
      <c r="O24" s="211"/>
      <c r="P24" s="207">
        <f t="shared" si="6"/>
        <v>0</v>
      </c>
      <c r="Q24" s="212"/>
      <c r="R24" s="207">
        <f t="shared" si="7"/>
        <v>0</v>
      </c>
      <c r="S24" s="213"/>
    </row>
    <row r="25" spans="1:22" s="197" customFormat="1" ht="18" customHeight="1" x14ac:dyDescent="0.2">
      <c r="A25" s="381">
        <v>12</v>
      </c>
      <c r="B25" s="381"/>
      <c r="C25" s="205" t="str">
        <f>PLANILHA!A118</f>
        <v>12.0 - BANHEIRO 02</v>
      </c>
      <c r="D25" s="206">
        <f>E25/E32</f>
        <v>3.8634188297539347E-2</v>
      </c>
      <c r="E25" s="207">
        <f>PLANILHA!I118</f>
        <v>2066.8695000000002</v>
      </c>
      <c r="F25" s="207">
        <f t="shared" si="1"/>
        <v>1033.4347500000001</v>
      </c>
      <c r="G25" s="208">
        <v>0.5</v>
      </c>
      <c r="H25" s="207">
        <f t="shared" si="2"/>
        <v>826.7478000000001</v>
      </c>
      <c r="I25" s="208">
        <v>0.4</v>
      </c>
      <c r="J25" s="214">
        <f t="shared" si="3"/>
        <v>206.68695000000002</v>
      </c>
      <c r="K25" s="209">
        <v>0.1</v>
      </c>
      <c r="L25" s="210">
        <f t="shared" si="4"/>
        <v>0</v>
      </c>
      <c r="M25" s="208"/>
      <c r="N25" s="207">
        <f t="shared" si="5"/>
        <v>0</v>
      </c>
      <c r="O25" s="211"/>
      <c r="P25" s="207">
        <f t="shared" si="6"/>
        <v>0</v>
      </c>
      <c r="Q25" s="212"/>
      <c r="R25" s="207">
        <f t="shared" si="7"/>
        <v>0</v>
      </c>
      <c r="S25" s="213"/>
    </row>
    <row r="26" spans="1:22" s="197" customFormat="1" ht="18" customHeight="1" x14ac:dyDescent="0.2">
      <c r="A26" s="215">
        <v>13</v>
      </c>
      <c r="B26" s="202"/>
      <c r="C26" s="216" t="str">
        <f>PLANILHA!A129</f>
        <v>13.0 - COZINHA</v>
      </c>
      <c r="D26" s="206">
        <f>E26/E32</f>
        <v>7.3548900231853412E-2</v>
      </c>
      <c r="E26" s="214">
        <f>PLANILHA!I129</f>
        <v>3934.7527500000001</v>
      </c>
      <c r="F26" s="214">
        <f t="shared" si="1"/>
        <v>1967.3763750000001</v>
      </c>
      <c r="G26" s="217">
        <v>0.5</v>
      </c>
      <c r="H26" s="214">
        <f t="shared" si="2"/>
        <v>1573.9011</v>
      </c>
      <c r="I26" s="217">
        <v>0.4</v>
      </c>
      <c r="J26" s="214">
        <f t="shared" si="3"/>
        <v>393.47527500000001</v>
      </c>
      <c r="K26" s="218">
        <v>0.1</v>
      </c>
      <c r="L26" s="210">
        <f t="shared" si="4"/>
        <v>0</v>
      </c>
      <c r="M26" s="208"/>
      <c r="N26" s="207">
        <f t="shared" si="5"/>
        <v>0</v>
      </c>
      <c r="O26" s="211"/>
      <c r="P26" s="207">
        <f t="shared" si="6"/>
        <v>0</v>
      </c>
      <c r="Q26" s="212"/>
      <c r="R26" s="207">
        <f t="shared" si="7"/>
        <v>0</v>
      </c>
      <c r="S26" s="213"/>
    </row>
    <row r="27" spans="1:22" s="197" customFormat="1" ht="18" customHeight="1" x14ac:dyDescent="0.2">
      <c r="A27" s="387">
        <v>14</v>
      </c>
      <c r="B27" s="387"/>
      <c r="C27" s="216" t="str">
        <f>PLANILHA!A140</f>
        <v>14.0 - ÁREA DE SERVIÇO</v>
      </c>
      <c r="D27" s="219">
        <f>E27/E32</f>
        <v>4.1295823423546152E-2</v>
      </c>
      <c r="E27" s="214">
        <f>PLANILHA!I140</f>
        <v>2209.2628749999999</v>
      </c>
      <c r="F27" s="214">
        <f t="shared" si="1"/>
        <v>1104.6314374999999</v>
      </c>
      <c r="G27" s="220">
        <v>0.5</v>
      </c>
      <c r="H27" s="214">
        <f t="shared" si="2"/>
        <v>883.70515</v>
      </c>
      <c r="I27" s="220">
        <v>0.4</v>
      </c>
      <c r="J27" s="214">
        <f t="shared" si="3"/>
        <v>220.9262875</v>
      </c>
      <c r="K27" s="218">
        <v>0.1</v>
      </c>
      <c r="L27" s="210">
        <f t="shared" si="4"/>
        <v>0</v>
      </c>
      <c r="M27" s="208"/>
      <c r="N27" s="207">
        <f t="shared" si="5"/>
        <v>0</v>
      </c>
      <c r="O27" s="211"/>
      <c r="P27" s="207">
        <f t="shared" si="6"/>
        <v>0</v>
      </c>
      <c r="Q27" s="212"/>
      <c r="R27" s="207">
        <f t="shared" si="7"/>
        <v>0</v>
      </c>
      <c r="S27" s="213"/>
    </row>
    <row r="28" spans="1:22" s="197" customFormat="1" ht="18" customHeight="1" x14ac:dyDescent="0.2">
      <c r="A28" s="387">
        <v>15</v>
      </c>
      <c r="B28" s="387"/>
      <c r="C28" s="216" t="str">
        <f>PLANILHA!A148</f>
        <v>15.0 - ENTRADA SEGUNDÁRIA COBERTA</v>
      </c>
      <c r="D28" s="219">
        <f>E28/E32</f>
        <v>3.0233971883825136E-2</v>
      </c>
      <c r="E28" s="214">
        <f>PLANILHA!I148</f>
        <v>1617.470875</v>
      </c>
      <c r="F28" s="214">
        <f t="shared" si="1"/>
        <v>808.73543749999999</v>
      </c>
      <c r="G28" s="220">
        <v>0.5</v>
      </c>
      <c r="H28" s="214">
        <f t="shared" si="2"/>
        <v>646.98835000000008</v>
      </c>
      <c r="I28" s="220">
        <v>0.4</v>
      </c>
      <c r="J28" s="214">
        <f t="shared" si="3"/>
        <v>161.74708750000002</v>
      </c>
      <c r="K28" s="218">
        <v>0.1</v>
      </c>
      <c r="L28" s="210">
        <f t="shared" si="4"/>
        <v>0</v>
      </c>
      <c r="M28" s="208"/>
      <c r="N28" s="207">
        <f t="shared" si="5"/>
        <v>0</v>
      </c>
      <c r="O28" s="211"/>
      <c r="P28" s="207">
        <f t="shared" si="6"/>
        <v>0</v>
      </c>
      <c r="Q28" s="212"/>
      <c r="R28" s="207">
        <f t="shared" si="7"/>
        <v>0</v>
      </c>
      <c r="S28" s="213"/>
    </row>
    <row r="29" spans="1:22" s="197" customFormat="1" ht="12" x14ac:dyDescent="0.2">
      <c r="A29" s="387">
        <v>16</v>
      </c>
      <c r="B29" s="387"/>
      <c r="C29" s="216" t="str">
        <f>PLANILHA!A157</f>
        <v>16.0 - ÁREA DE VENTILAÇÃO</v>
      </c>
      <c r="D29" s="219">
        <f t="shared" ref="D29:D30" si="8">E29/E32</f>
        <v>1.1652497068233257E-2</v>
      </c>
      <c r="E29" s="214">
        <f>PLANILHA!I157</f>
        <v>623.390625</v>
      </c>
      <c r="F29" s="214">
        <f t="shared" si="1"/>
        <v>311.6953125</v>
      </c>
      <c r="G29" s="220">
        <v>0.5</v>
      </c>
      <c r="H29" s="214">
        <f t="shared" si="2"/>
        <v>249.35625000000002</v>
      </c>
      <c r="I29" s="220">
        <v>0.4</v>
      </c>
      <c r="J29" s="214">
        <f t="shared" si="3"/>
        <v>62.339062500000004</v>
      </c>
      <c r="K29" s="218">
        <v>0.1</v>
      </c>
      <c r="L29" s="210">
        <f t="shared" si="4"/>
        <v>0</v>
      </c>
      <c r="M29" s="208"/>
      <c r="N29" s="207">
        <f t="shared" si="5"/>
        <v>0</v>
      </c>
      <c r="O29" s="211"/>
      <c r="P29" s="207">
        <f t="shared" si="6"/>
        <v>0</v>
      </c>
      <c r="Q29" s="212"/>
      <c r="R29" s="207">
        <f t="shared" si="7"/>
        <v>0</v>
      </c>
      <c r="S29" s="213"/>
    </row>
    <row r="30" spans="1:22" s="197" customFormat="1" ht="18" customHeight="1" x14ac:dyDescent="0.2">
      <c r="A30" s="388">
        <v>17</v>
      </c>
      <c r="B30" s="388"/>
      <c r="C30" s="221" t="str">
        <f>PLANILHA!A161</f>
        <v>17.0 - OUTROS SERVIÇOS (MUROS INTERNOS E PARTE EXTERNA DA CASA)</v>
      </c>
      <c r="D30" s="222">
        <f t="shared" si="8"/>
        <v>0.21609439658989796</v>
      </c>
      <c r="E30" s="223">
        <f>PLANILHA!I161</f>
        <v>11560.716999999999</v>
      </c>
      <c r="F30" s="223">
        <f t="shared" si="1"/>
        <v>5780.3584999999994</v>
      </c>
      <c r="G30" s="224">
        <v>0.5</v>
      </c>
      <c r="H30" s="223">
        <f t="shared" si="2"/>
        <v>2312.1433999999999</v>
      </c>
      <c r="I30" s="224">
        <v>0.2</v>
      </c>
      <c r="J30" s="223">
        <f t="shared" si="3"/>
        <v>3468.2150999999994</v>
      </c>
      <c r="K30" s="225">
        <v>0.3</v>
      </c>
      <c r="L30" s="210">
        <f t="shared" si="4"/>
        <v>0</v>
      </c>
      <c r="M30" s="208"/>
      <c r="N30" s="207">
        <f t="shared" si="5"/>
        <v>0</v>
      </c>
      <c r="O30" s="211"/>
      <c r="P30" s="207">
        <f t="shared" si="6"/>
        <v>0</v>
      </c>
      <c r="Q30" s="212"/>
      <c r="R30" s="207">
        <f t="shared" si="7"/>
        <v>0</v>
      </c>
      <c r="S30" s="213"/>
    </row>
    <row r="31" spans="1:22" s="239" customFormat="1" ht="15" customHeight="1" x14ac:dyDescent="0.2">
      <c r="A31" s="226"/>
      <c r="B31" s="227"/>
      <c r="C31" s="228"/>
      <c r="D31" s="229"/>
      <c r="E31" s="230"/>
      <c r="F31" s="227"/>
      <c r="G31" s="231"/>
      <c r="H31" s="227"/>
      <c r="I31" s="231"/>
      <c r="J31" s="227"/>
      <c r="K31" s="232"/>
      <c r="L31" s="233"/>
      <c r="M31" s="234"/>
      <c r="N31" s="235"/>
      <c r="O31" s="234"/>
      <c r="P31" s="236"/>
      <c r="Q31" s="237"/>
      <c r="R31" s="235"/>
      <c r="S31" s="238"/>
      <c r="V31" s="240">
        <f>R33-E33</f>
        <v>0</v>
      </c>
    </row>
    <row r="32" spans="1:22" s="239" customFormat="1" ht="15" customHeight="1" x14ac:dyDescent="0.2">
      <c r="A32" s="389" t="s">
        <v>287</v>
      </c>
      <c r="B32" s="389"/>
      <c r="C32" s="241" t="s">
        <v>288</v>
      </c>
      <c r="D32" s="242">
        <f>SUM(D14:D30)</f>
        <v>1.0000000000000002</v>
      </c>
      <c r="E32" s="243">
        <f>SUM(E14:E30)</f>
        <v>53498.457999999999</v>
      </c>
      <c r="F32" s="243">
        <f>SUM(F14:F30)</f>
        <v>27603.691500000001</v>
      </c>
      <c r="G32" s="244">
        <f>SUM(F32:F32)/$E$32</f>
        <v>0.51597172202608155</v>
      </c>
      <c r="H32" s="243">
        <f>SUM(H14:H30)</f>
        <v>18403.6698</v>
      </c>
      <c r="I32" s="244">
        <f>SUM(H32:H32)/$E$32</f>
        <v>0.34400374306115516</v>
      </c>
      <c r="J32" s="243">
        <f>SUM(J14:J30)</f>
        <v>7491.0967000000001</v>
      </c>
      <c r="K32" s="245">
        <f>SUM(J32:J32)/$E$32</f>
        <v>0.14002453491276329</v>
      </c>
      <c r="L32" s="246">
        <f>SUM(L14:L30)</f>
        <v>0</v>
      </c>
      <c r="M32" s="234">
        <f>SUM(L32:L32)/$E$32</f>
        <v>0</v>
      </c>
      <c r="N32" s="235">
        <f>SUM(N14:N30)</f>
        <v>0</v>
      </c>
      <c r="O32" s="234">
        <f>SUM(N32:N32)/$E$32</f>
        <v>0</v>
      </c>
      <c r="P32" s="236">
        <f>SUM(P14:P30)</f>
        <v>0</v>
      </c>
      <c r="Q32" s="237">
        <f>SUM(P32:P32)/$E$32</f>
        <v>0</v>
      </c>
      <c r="R32" s="235">
        <f>SUM(R14:R30)</f>
        <v>0</v>
      </c>
      <c r="S32" s="238">
        <f>SUM(R32:R32)/$E$32</f>
        <v>0</v>
      </c>
    </row>
    <row r="33" spans="1:19" s="239" customFormat="1" ht="15" customHeight="1" x14ac:dyDescent="0.2">
      <c r="A33" s="389"/>
      <c r="B33" s="389"/>
      <c r="C33" s="247" t="s">
        <v>289</v>
      </c>
      <c r="D33" s="248">
        <v>1</v>
      </c>
      <c r="E33" s="249">
        <f>E32</f>
        <v>53498.457999999999</v>
      </c>
      <c r="F33" s="249">
        <f>F32</f>
        <v>27603.691500000001</v>
      </c>
      <c r="G33" s="248">
        <f>SUM(F33:F33)/$E$33</f>
        <v>0.51597172202608155</v>
      </c>
      <c r="H33" s="249">
        <f>F33+H32</f>
        <v>46007.361300000004</v>
      </c>
      <c r="I33" s="248">
        <f>SUM(H33:H33)/$E$33</f>
        <v>0.85997546508723677</v>
      </c>
      <c r="J33" s="250">
        <f>H33+J32</f>
        <v>53498.458000000006</v>
      </c>
      <c r="K33" s="251">
        <f>SUM(J33:J33)/$E$33</f>
        <v>1.0000000000000002</v>
      </c>
      <c r="L33" s="252">
        <f>J33+L32</f>
        <v>53498.458000000006</v>
      </c>
      <c r="M33" s="248">
        <f>SUM(L33:L33)/$E$33</f>
        <v>1.0000000000000002</v>
      </c>
      <c r="N33" s="249">
        <f>L33+N32</f>
        <v>53498.458000000006</v>
      </c>
      <c r="O33" s="253">
        <f>SUM(N33:N33)/$E$33</f>
        <v>1.0000000000000002</v>
      </c>
      <c r="P33" s="254">
        <f>N33+P32</f>
        <v>53498.458000000006</v>
      </c>
      <c r="Q33" s="255">
        <f>SUM(P33:P33)/$E$33</f>
        <v>1.0000000000000002</v>
      </c>
      <c r="R33" s="256">
        <f>P33+R32</f>
        <v>53498.458000000006</v>
      </c>
      <c r="S33" s="257">
        <f>SUM(R33:R33)/$E$33</f>
        <v>1.0000000000000002</v>
      </c>
    </row>
    <row r="34" spans="1:19" s="239" customFormat="1" ht="12.95" customHeight="1" x14ac:dyDescent="0.2">
      <c r="A34" s="258"/>
      <c r="B34" s="259"/>
      <c r="C34" s="259"/>
      <c r="D34" s="259"/>
      <c r="E34" s="259"/>
      <c r="F34" s="260"/>
      <c r="G34" s="259"/>
      <c r="H34" s="259"/>
      <c r="I34" s="259"/>
      <c r="J34" s="259"/>
      <c r="K34" s="261"/>
      <c r="L34" s="262"/>
      <c r="M34" s="262"/>
      <c r="N34" s="228"/>
      <c r="O34" s="228"/>
      <c r="P34" s="228"/>
      <c r="Q34" s="228"/>
      <c r="R34" s="262"/>
    </row>
    <row r="35" spans="1:19" s="239" customFormat="1" ht="18.75" customHeight="1" x14ac:dyDescent="0.2">
      <c r="A35" s="390"/>
      <c r="B35" s="390"/>
      <c r="C35" s="390"/>
      <c r="D35" s="228"/>
      <c r="E35" s="228"/>
      <c r="F35" s="391" t="s">
        <v>290</v>
      </c>
      <c r="G35" s="391"/>
      <c r="H35" s="391"/>
      <c r="I35" s="391"/>
      <c r="J35" s="392">
        <f>J33</f>
        <v>53498.458000000006</v>
      </c>
      <c r="K35" s="392"/>
      <c r="L35" s="262"/>
      <c r="M35" s="262"/>
      <c r="N35" s="393" t="s">
        <v>290</v>
      </c>
      <c r="O35" s="393"/>
      <c r="P35" s="393"/>
      <c r="Q35" s="393"/>
      <c r="R35" s="392">
        <f>R33</f>
        <v>53498.458000000006</v>
      </c>
      <c r="S35" s="392"/>
    </row>
    <row r="36" spans="1:19" s="239" customFormat="1" ht="12.95" customHeight="1" x14ac:dyDescent="0.2">
      <c r="A36" s="263"/>
      <c r="B36" s="262"/>
      <c r="C36" s="262"/>
      <c r="D36" s="262"/>
      <c r="E36" s="262"/>
      <c r="F36" s="262"/>
      <c r="G36" s="262"/>
      <c r="H36" s="262"/>
      <c r="I36" s="262"/>
      <c r="J36" s="262"/>
      <c r="K36" s="264"/>
      <c r="L36" s="262"/>
      <c r="M36" s="262"/>
      <c r="N36" s="394"/>
      <c r="O36" s="394"/>
      <c r="P36" s="394"/>
      <c r="Q36" s="262"/>
      <c r="R36" s="262"/>
    </row>
    <row r="37" spans="1:19" s="239" customFormat="1" ht="12.95" customHeight="1" x14ac:dyDescent="0.2">
      <c r="A37" s="263"/>
      <c r="B37" s="228"/>
      <c r="C37" s="228"/>
      <c r="D37" s="228"/>
      <c r="E37" s="228"/>
      <c r="F37" s="228"/>
      <c r="G37" s="228"/>
      <c r="H37" s="228"/>
      <c r="I37" s="262"/>
      <c r="J37" s="262"/>
      <c r="K37" s="264"/>
      <c r="L37" s="262"/>
      <c r="M37" s="262"/>
      <c r="N37" s="395"/>
      <c r="O37" s="395"/>
      <c r="P37" s="395"/>
      <c r="Q37" s="262"/>
      <c r="R37" s="262"/>
    </row>
    <row r="38" spans="1:19" s="239" customFormat="1" ht="12.95" customHeight="1" x14ac:dyDescent="0.2">
      <c r="A38" s="263" t="s">
        <v>291</v>
      </c>
      <c r="B38" s="262"/>
      <c r="C38" s="228"/>
      <c r="D38" s="228"/>
      <c r="E38" s="228"/>
      <c r="F38" s="228"/>
      <c r="G38" s="228"/>
      <c r="H38" s="228"/>
      <c r="I38" s="262"/>
      <c r="J38" s="262"/>
      <c r="K38" s="264"/>
      <c r="L38" s="265"/>
      <c r="M38" s="262"/>
      <c r="N38" s="394"/>
      <c r="O38" s="394"/>
      <c r="P38" s="394"/>
      <c r="Q38" s="262"/>
      <c r="R38" s="262"/>
    </row>
    <row r="39" spans="1:19" s="239" customFormat="1" ht="12.95" customHeight="1" x14ac:dyDescent="0.2">
      <c r="A39" s="263"/>
      <c r="B39" s="262"/>
      <c r="C39" s="163" t="s">
        <v>269</v>
      </c>
      <c r="D39" s="396" t="s">
        <v>270</v>
      </c>
      <c r="E39" s="396"/>
      <c r="F39" s="396"/>
      <c r="G39" s="396"/>
      <c r="H39" s="266"/>
      <c r="I39" s="266"/>
      <c r="J39" s="164"/>
      <c r="K39" s="267"/>
      <c r="L39" s="262"/>
      <c r="M39" s="262"/>
      <c r="N39" s="262"/>
      <c r="O39" s="262"/>
      <c r="P39" s="262"/>
      <c r="Q39" s="262"/>
      <c r="R39" s="262"/>
    </row>
    <row r="40" spans="1:19" ht="12.95" customHeight="1" x14ac:dyDescent="0.2">
      <c r="A40" s="268"/>
      <c r="B40" s="269"/>
      <c r="C40" s="165" t="s">
        <v>271</v>
      </c>
      <c r="D40" s="374" t="s">
        <v>272</v>
      </c>
      <c r="E40" s="374"/>
      <c r="F40" s="374"/>
      <c r="G40" s="374"/>
      <c r="H40" s="166"/>
      <c r="I40" s="166"/>
      <c r="J40" s="166"/>
      <c r="K40" s="270"/>
      <c r="L40" s="175"/>
      <c r="M40" s="175"/>
      <c r="N40" s="175"/>
      <c r="O40" s="175"/>
      <c r="P40" s="175"/>
    </row>
    <row r="41" spans="1:19" ht="12.95" customHeight="1" x14ac:dyDescent="0.2">
      <c r="A41" s="174"/>
      <c r="B41" s="175"/>
      <c r="C41" s="163"/>
      <c r="D41" s="372"/>
      <c r="E41" s="372"/>
      <c r="F41" s="372"/>
      <c r="G41" s="372"/>
      <c r="H41" s="175"/>
      <c r="I41" s="175"/>
      <c r="J41" s="175"/>
      <c r="K41" s="176"/>
      <c r="L41" s="372"/>
      <c r="M41" s="372"/>
      <c r="N41" s="372"/>
      <c r="O41" s="372"/>
      <c r="P41" s="372"/>
      <c r="Q41" s="175"/>
    </row>
    <row r="42" spans="1:19" ht="12.95" customHeight="1" x14ac:dyDescent="0.2">
      <c r="A42" s="271"/>
      <c r="B42" s="187"/>
      <c r="C42" s="272"/>
      <c r="D42" s="397"/>
      <c r="E42" s="397"/>
      <c r="F42" s="397"/>
      <c r="G42" s="397"/>
      <c r="H42" s="187"/>
      <c r="I42" s="187"/>
      <c r="J42" s="187"/>
      <c r="K42" s="188"/>
      <c r="L42" s="397"/>
      <c r="M42" s="397"/>
      <c r="N42" s="397"/>
      <c r="O42" s="397"/>
      <c r="P42" s="397"/>
      <c r="Q42" s="175"/>
    </row>
  </sheetData>
  <sheetProtection selectLockedCells="1" selectUnlockedCells="1"/>
  <mergeCells count="48">
    <mergeCell ref="D40:G40"/>
    <mergeCell ref="D41:G41"/>
    <mergeCell ref="L41:P41"/>
    <mergeCell ref="D42:G42"/>
    <mergeCell ref="L42:P42"/>
    <mergeCell ref="N35:Q35"/>
    <mergeCell ref="R35:S35"/>
    <mergeCell ref="N36:P36"/>
    <mergeCell ref="N37:P37"/>
    <mergeCell ref="N38:P38"/>
    <mergeCell ref="D39:G39"/>
    <mergeCell ref="A29:B29"/>
    <mergeCell ref="A30:B30"/>
    <mergeCell ref="A32:B33"/>
    <mergeCell ref="A35:C35"/>
    <mergeCell ref="F35:I35"/>
    <mergeCell ref="J35:K35"/>
    <mergeCell ref="A22:B22"/>
    <mergeCell ref="A23:B23"/>
    <mergeCell ref="A24:B24"/>
    <mergeCell ref="A25:B25"/>
    <mergeCell ref="A27:B27"/>
    <mergeCell ref="A28:B28"/>
    <mergeCell ref="A16:B16"/>
    <mergeCell ref="A17:B17"/>
    <mergeCell ref="A18:B18"/>
    <mergeCell ref="A19:B19"/>
    <mergeCell ref="A20:B20"/>
    <mergeCell ref="A21:B21"/>
    <mergeCell ref="L12:M12"/>
    <mergeCell ref="N12:O12"/>
    <mergeCell ref="P12:Q12"/>
    <mergeCell ref="R12:S12"/>
    <mergeCell ref="A14:B14"/>
    <mergeCell ref="A15:B15"/>
    <mergeCell ref="A9:K9"/>
    <mergeCell ref="A11:K11"/>
    <mergeCell ref="A12:B12"/>
    <mergeCell ref="C12:C13"/>
    <mergeCell ref="F12:G12"/>
    <mergeCell ref="H12:I12"/>
    <mergeCell ref="J12:K12"/>
    <mergeCell ref="A3:K3"/>
    <mergeCell ref="A4:K4"/>
    <mergeCell ref="A5:K5"/>
    <mergeCell ref="A6:K6"/>
    <mergeCell ref="A7:K7"/>
    <mergeCell ref="A8:K8"/>
  </mergeCells>
  <printOptions horizontalCentered="1"/>
  <pageMargins left="0.51180555555555562" right="0.51180555555555562" top="0.39374999999999999" bottom="0.78750000000000009" header="0.51181102362204722" footer="0.31527777777777777"/>
  <pageSetup paperSize="9" scale="75" firstPageNumber="0" orientation="landscape" horizontalDpi="300" verticalDpi="300" r:id="rId1"/>
  <headerFooter alignWithMargins="0">
    <oddFooter>&amp;CPágina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9B27E-84E0-4E66-B14E-EAC596D36FEF}">
  <sheetPr>
    <tabColor indexed="50"/>
  </sheetPr>
  <dimension ref="A1:N28"/>
  <sheetViews>
    <sheetView view="pageBreakPreview" topLeftCell="A3" zoomScaleSheetLayoutView="100" workbookViewId="0">
      <selection activeCell="K16" sqref="K16"/>
    </sheetView>
  </sheetViews>
  <sheetFormatPr defaultRowHeight="12.75" x14ac:dyDescent="0.2"/>
  <cols>
    <col min="1" max="1" width="78.42578125" style="170" customWidth="1"/>
    <col min="2" max="2" width="14.7109375" style="170" customWidth="1"/>
    <col min="3" max="3" width="11.7109375" style="170" customWidth="1"/>
    <col min="4" max="4" width="14.5703125" style="170" customWidth="1"/>
    <col min="5" max="7" width="11.7109375" style="170" customWidth="1"/>
    <col min="8" max="8" width="18" style="170" customWidth="1"/>
    <col min="9" max="9" width="9.140625" style="170"/>
    <col min="10" max="10" width="11.28515625" style="170" customWidth="1"/>
    <col min="11" max="11" width="11.5703125" style="170" customWidth="1"/>
    <col min="12" max="12" width="11.28515625" style="170" customWidth="1"/>
    <col min="13" max="14" width="11.5703125" style="170" customWidth="1"/>
    <col min="15" max="16384" width="9.140625" style="170"/>
  </cols>
  <sheetData>
    <row r="1" spans="1:14" hidden="1" x14ac:dyDescent="0.2">
      <c r="A1" s="171"/>
      <c r="B1" s="172"/>
      <c r="C1" s="172"/>
      <c r="D1" s="172"/>
      <c r="E1" s="172"/>
      <c r="F1" s="172"/>
      <c r="G1" s="172"/>
      <c r="H1" s="173"/>
    </row>
    <row r="2" spans="1:14" hidden="1" x14ac:dyDescent="0.2">
      <c r="A2" s="174"/>
      <c r="B2" s="175"/>
      <c r="C2" s="175"/>
      <c r="D2" s="175"/>
      <c r="E2" s="175"/>
      <c r="F2" s="175"/>
      <c r="G2" s="175"/>
      <c r="H2" s="176"/>
    </row>
    <row r="3" spans="1:14" ht="37.5" customHeight="1" x14ac:dyDescent="0.2">
      <c r="A3" s="398" t="s">
        <v>273</v>
      </c>
      <c r="B3" s="398"/>
      <c r="C3" s="398"/>
      <c r="D3" s="398"/>
      <c r="E3" s="398"/>
      <c r="F3" s="398"/>
      <c r="G3" s="398"/>
      <c r="H3" s="398"/>
    </row>
    <row r="4" spans="1:14" ht="24" customHeight="1" x14ac:dyDescent="0.2">
      <c r="A4" s="398"/>
      <c r="B4" s="398"/>
      <c r="C4" s="398"/>
      <c r="D4" s="398"/>
      <c r="E4" s="398"/>
      <c r="F4" s="398"/>
      <c r="G4" s="398"/>
      <c r="H4" s="398"/>
    </row>
    <row r="5" spans="1:14" s="273" customFormat="1" ht="15" customHeight="1" x14ac:dyDescent="0.2">
      <c r="A5" s="338" t="str">
        <f>PLANILHA!A3</f>
        <v xml:space="preserve">OBRA: REFORMA DA CRECHE CANTINHO DO CÉU - PARA ENTREGA </v>
      </c>
      <c r="B5" s="338"/>
      <c r="C5" s="338"/>
      <c r="D5" s="399"/>
      <c r="E5" s="399"/>
      <c r="F5" s="399"/>
      <c r="G5" s="399"/>
      <c r="H5" s="399"/>
    </row>
    <row r="6" spans="1:14" s="273" customFormat="1" ht="15" customHeight="1" x14ac:dyDescent="0.2">
      <c r="A6" s="400" t="s">
        <v>292</v>
      </c>
      <c r="B6" s="400"/>
      <c r="C6" s="400"/>
      <c r="D6" s="401"/>
      <c r="E6" s="401"/>
      <c r="F6" s="401"/>
      <c r="G6" s="401"/>
      <c r="H6" s="401"/>
    </row>
    <row r="7" spans="1:14" s="273" customFormat="1" ht="15" customHeight="1" x14ac:dyDescent="0.2">
      <c r="A7" s="400" t="str">
        <f>PLANILHA!A5</f>
        <v>LOCAL:  RUA OURO PRETO, 495, BAIRRO PANORAMA, SALINAS/MG</v>
      </c>
      <c r="B7" s="400"/>
      <c r="C7" s="400"/>
      <c r="D7" s="275"/>
      <c r="E7" s="275"/>
      <c r="F7" s="275"/>
      <c r="G7" s="275"/>
      <c r="H7" s="274"/>
    </row>
    <row r="8" spans="1:14" s="273" customFormat="1" ht="15" customHeight="1" x14ac:dyDescent="0.2">
      <c r="A8" s="400" t="str">
        <f>PLANILHA!A7</f>
        <v>RECURSO: FUNDEB 30% e EDUCAÇÃO 25%.</v>
      </c>
      <c r="B8" s="400"/>
      <c r="C8" s="400"/>
      <c r="D8" s="275"/>
      <c r="E8" s="275"/>
      <c r="F8" s="275"/>
      <c r="G8" s="275"/>
      <c r="H8" s="274"/>
    </row>
    <row r="9" spans="1:14" s="273" customFormat="1" ht="15" customHeight="1" x14ac:dyDescent="0.2">
      <c r="A9" s="402" t="str">
        <f>PLANILHA!A8</f>
        <v>DATA: JANEIRO/2026</v>
      </c>
      <c r="B9" s="402"/>
      <c r="C9" s="402"/>
      <c r="D9" s="275"/>
      <c r="E9" s="275"/>
      <c r="F9" s="275"/>
      <c r="G9" s="275"/>
      <c r="H9" s="274"/>
    </row>
    <row r="10" spans="1:14" ht="12.75" hidden="1" customHeight="1" x14ac:dyDescent="0.2">
      <c r="A10" s="174"/>
      <c r="B10" s="175"/>
      <c r="C10" s="175"/>
      <c r="D10" s="175"/>
      <c r="E10" s="175"/>
      <c r="F10" s="175"/>
      <c r="G10" s="175"/>
      <c r="H10" s="176"/>
    </row>
    <row r="11" spans="1:14" s="183" customFormat="1" ht="20.100000000000001" customHeight="1" x14ac:dyDescent="0.2">
      <c r="A11" s="276" t="s">
        <v>293</v>
      </c>
      <c r="B11" s="277" t="s">
        <v>294</v>
      </c>
      <c r="C11" s="277" t="s">
        <v>295</v>
      </c>
      <c r="D11" s="277" t="s">
        <v>296</v>
      </c>
      <c r="E11" s="277" t="s">
        <v>297</v>
      </c>
      <c r="F11" s="277" t="s">
        <v>298</v>
      </c>
      <c r="G11" s="277" t="s">
        <v>299</v>
      </c>
      <c r="H11" s="278" t="s">
        <v>300</v>
      </c>
    </row>
    <row r="12" spans="1:14" s="286" customFormat="1" ht="20.100000000000001" customHeight="1" x14ac:dyDescent="0.2">
      <c r="A12" s="279" t="s">
        <v>301</v>
      </c>
      <c r="B12" s="280">
        <f>PLANILHA!I10</f>
        <v>53498.457999999999</v>
      </c>
      <c r="C12" s="281">
        <v>0.35</v>
      </c>
      <c r="D12" s="282">
        <v>0.3</v>
      </c>
      <c r="E12" s="283">
        <v>0.25</v>
      </c>
      <c r="F12" s="282">
        <v>0.1</v>
      </c>
      <c r="G12" s="284"/>
      <c r="H12" s="285">
        <f>SUM(C12:G12)</f>
        <v>0.99999999999999989</v>
      </c>
    </row>
    <row r="13" spans="1:14" ht="39.75" customHeight="1" x14ac:dyDescent="0.2">
      <c r="A13" s="403" t="s">
        <v>302</v>
      </c>
      <c r="B13" s="403"/>
      <c r="C13" s="287">
        <f>+$B$12*C12</f>
        <v>18724.460299999999</v>
      </c>
      <c r="D13" s="288"/>
      <c r="E13" s="289"/>
      <c r="F13" s="288"/>
      <c r="G13" s="290"/>
      <c r="H13" s="291"/>
    </row>
    <row r="14" spans="1:14" s="297" customFormat="1" ht="60" customHeight="1" x14ac:dyDescent="0.2">
      <c r="A14" s="404" t="s">
        <v>303</v>
      </c>
      <c r="B14" s="404"/>
      <c r="C14" s="404"/>
      <c r="D14" s="292">
        <f>+$B$12*D12</f>
        <v>16049.537399999999</v>
      </c>
      <c r="E14" s="293"/>
      <c r="F14" s="294"/>
      <c r="G14" s="295"/>
      <c r="H14" s="296"/>
    </row>
    <row r="15" spans="1:14" s="302" customFormat="1" ht="39" customHeight="1" x14ac:dyDescent="0.2">
      <c r="A15" s="405" t="s">
        <v>304</v>
      </c>
      <c r="B15" s="405"/>
      <c r="C15" s="405"/>
      <c r="D15" s="405"/>
      <c r="E15" s="298">
        <f>+$B$12*E12</f>
        <v>13374.6145</v>
      </c>
      <c r="F15" s="299"/>
      <c r="G15" s="300"/>
      <c r="H15" s="301"/>
      <c r="K15" s="303" t="e">
        <f>PLANILHA!#REF!</f>
        <v>#REF!</v>
      </c>
      <c r="L15" s="303" t="e">
        <f>PLANILHA!#REF!</f>
        <v>#REF!</v>
      </c>
      <c r="M15" s="303" t="e">
        <f>PLANILHA!#REF!</f>
        <v>#REF!</v>
      </c>
      <c r="N15" s="303">
        <f>PLANILHA!K58</f>
        <v>0</v>
      </c>
    </row>
    <row r="16" spans="1:14" ht="42" customHeight="1" x14ac:dyDescent="0.2">
      <c r="A16" s="406" t="s">
        <v>305</v>
      </c>
      <c r="B16" s="406"/>
      <c r="C16" s="406"/>
      <c r="D16" s="406"/>
      <c r="E16" s="406"/>
      <c r="F16" s="292">
        <f>+$B$12*F12</f>
        <v>5349.8458000000001</v>
      </c>
      <c r="G16" s="290"/>
      <c r="H16" s="304"/>
    </row>
    <row r="17" spans="1:10" s="309" customFormat="1" ht="42" customHeight="1" x14ac:dyDescent="0.2">
      <c r="A17" s="305"/>
      <c r="B17" s="306"/>
      <c r="C17" s="306"/>
      <c r="D17" s="306"/>
      <c r="E17" s="306"/>
      <c r="F17" s="307"/>
      <c r="G17" s="308"/>
      <c r="H17" s="296"/>
    </row>
    <row r="18" spans="1:10" ht="20.100000000000001" customHeight="1" x14ac:dyDescent="0.2">
      <c r="A18" s="310"/>
      <c r="B18" s="311"/>
      <c r="C18" s="290"/>
      <c r="D18" s="290"/>
      <c r="E18" s="290"/>
      <c r="F18" s="290"/>
      <c r="G18" s="290"/>
      <c r="H18" s="312"/>
    </row>
    <row r="19" spans="1:10" s="183" customFormat="1" ht="20.100000000000001" customHeight="1" x14ac:dyDescent="0.2">
      <c r="A19" s="407" t="s">
        <v>306</v>
      </c>
      <c r="B19" s="407"/>
      <c r="C19" s="313">
        <f>C13</f>
        <v>18724.460299999999</v>
      </c>
      <c r="D19" s="314">
        <f>D14</f>
        <v>16049.537399999999</v>
      </c>
      <c r="E19" s="315">
        <f>E15</f>
        <v>13374.6145</v>
      </c>
      <c r="F19" s="314">
        <f>F16</f>
        <v>5349.8458000000001</v>
      </c>
      <c r="G19" s="316" t="s">
        <v>307</v>
      </c>
      <c r="H19" s="317">
        <f>C19+D19+E19+F19</f>
        <v>53498.458000000006</v>
      </c>
      <c r="J19" s="318">
        <f>SUM(C19:G19)</f>
        <v>53498.458000000006</v>
      </c>
    </row>
    <row r="20" spans="1:10" s="321" customFormat="1" ht="20.100000000000001" customHeight="1" x14ac:dyDescent="0.2">
      <c r="A20" s="408" t="s">
        <v>308</v>
      </c>
      <c r="B20" s="408"/>
      <c r="C20" s="319">
        <f>+C19</f>
        <v>18724.460299999999</v>
      </c>
      <c r="D20" s="319">
        <f>+D19+C19</f>
        <v>34773.9977</v>
      </c>
      <c r="E20" s="319">
        <f>+C19+D19+E19</f>
        <v>48148.612200000003</v>
      </c>
      <c r="F20" s="319">
        <f>+D19+C19+E19+F19</f>
        <v>53498.458000000006</v>
      </c>
      <c r="G20" s="319"/>
      <c r="H20" s="320"/>
    </row>
    <row r="21" spans="1:10" s="183" customFormat="1" ht="20.100000000000001" customHeight="1" x14ac:dyDescent="0.2">
      <c r="A21" s="407" t="s">
        <v>309</v>
      </c>
      <c r="B21" s="407"/>
      <c r="C21" s="322">
        <f>C12</f>
        <v>0.35</v>
      </c>
      <c r="D21" s="322">
        <f>D12</f>
        <v>0.3</v>
      </c>
      <c r="E21" s="322">
        <f>E12</f>
        <v>0.25</v>
      </c>
      <c r="F21" s="322">
        <f>F12</f>
        <v>0.1</v>
      </c>
      <c r="G21" s="322"/>
      <c r="H21" s="323"/>
    </row>
    <row r="22" spans="1:10" s="321" customFormat="1" ht="20.100000000000001" customHeight="1" x14ac:dyDescent="0.2">
      <c r="A22" s="409" t="s">
        <v>310</v>
      </c>
      <c r="B22" s="409"/>
      <c r="C22" s="324">
        <v>0</v>
      </c>
      <c r="D22" s="324">
        <f>C21+D21</f>
        <v>0.64999999999999991</v>
      </c>
      <c r="E22" s="324">
        <f>D21+E21+C21</f>
        <v>0.9</v>
      </c>
      <c r="F22" s="324">
        <f>E21+F21+D21+C21</f>
        <v>0.99999999999999989</v>
      </c>
      <c r="G22" s="324"/>
      <c r="H22" s="325"/>
    </row>
    <row r="23" spans="1:10" ht="12.95" customHeight="1" x14ac:dyDescent="0.2">
      <c r="A23" s="171" t="s">
        <v>311</v>
      </c>
      <c r="B23" s="172"/>
      <c r="C23" s="172"/>
      <c r="D23" s="172"/>
      <c r="E23" s="172"/>
      <c r="F23" s="172"/>
      <c r="G23" s="172"/>
      <c r="H23" s="173"/>
    </row>
    <row r="24" spans="1:10" ht="12.95" customHeight="1" x14ac:dyDescent="0.2">
      <c r="A24" s="174"/>
      <c r="B24" s="175"/>
      <c r="C24" s="175"/>
      <c r="D24" s="175"/>
      <c r="E24" s="175"/>
      <c r="F24" s="175"/>
      <c r="G24" s="175"/>
      <c r="H24" s="176"/>
    </row>
    <row r="25" spans="1:10" ht="12.95" customHeight="1" x14ac:dyDescent="0.2">
      <c r="A25" s="268"/>
      <c r="B25" s="269"/>
      <c r="C25" s="175"/>
      <c r="D25" s="175"/>
      <c r="E25" s="175"/>
      <c r="F25" s="175"/>
      <c r="G25" s="175"/>
      <c r="H25" s="176"/>
    </row>
    <row r="26" spans="1:10" ht="12.95" customHeight="1" x14ac:dyDescent="0.2">
      <c r="A26" s="174"/>
      <c r="B26" s="175"/>
      <c r="C26" s="175"/>
      <c r="D26" s="175"/>
      <c r="E26" s="175"/>
      <c r="F26" s="175"/>
      <c r="G26" s="175"/>
      <c r="H26" s="176"/>
    </row>
    <row r="27" spans="1:10" ht="12.95" customHeight="1" x14ac:dyDescent="0.2">
      <c r="A27" s="410" t="s">
        <v>269</v>
      </c>
      <c r="B27" s="410"/>
      <c r="C27" s="164"/>
      <c r="D27" s="411" t="s">
        <v>270</v>
      </c>
      <c r="E27" s="411"/>
      <c r="F27" s="411"/>
      <c r="G27" s="411"/>
      <c r="H27" s="411"/>
    </row>
    <row r="28" spans="1:10" ht="12.95" customHeight="1" x14ac:dyDescent="0.2">
      <c r="A28" s="412" t="s">
        <v>271</v>
      </c>
      <c r="B28" s="412"/>
      <c r="C28" s="326"/>
      <c r="D28" s="413" t="s">
        <v>272</v>
      </c>
      <c r="E28" s="413"/>
      <c r="F28" s="413"/>
      <c r="G28" s="413"/>
      <c r="H28" s="413"/>
    </row>
  </sheetData>
  <sheetProtection selectLockedCells="1" selectUnlockedCells="1"/>
  <mergeCells count="20">
    <mergeCell ref="A28:B28"/>
    <mergeCell ref="D28:H28"/>
    <mergeCell ref="A19:B19"/>
    <mergeCell ref="A20:B20"/>
    <mergeCell ref="A21:B21"/>
    <mergeCell ref="A22:B22"/>
    <mergeCell ref="A27:B27"/>
    <mergeCell ref="D27:H27"/>
    <mergeCell ref="A8:C8"/>
    <mergeCell ref="A9:C9"/>
    <mergeCell ref="A13:B13"/>
    <mergeCell ref="A14:C14"/>
    <mergeCell ref="A15:D15"/>
    <mergeCell ref="A16:E16"/>
    <mergeCell ref="A3:H4"/>
    <mergeCell ref="A5:C5"/>
    <mergeCell ref="D5:H5"/>
    <mergeCell ref="A6:C6"/>
    <mergeCell ref="D6:H6"/>
    <mergeCell ref="A7:C7"/>
  </mergeCells>
  <pageMargins left="0.51180555555555562" right="0.51180555555555562" top="0.78749999999999998" bottom="0.78749999999999998" header="0.51181102362204722" footer="0.51181102362204722"/>
  <pageSetup paperSize="9" scale="77" firstPageNumber="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46968-24EA-45BB-A726-6C640DF3D447}">
  <sheetPr>
    <tabColor indexed="50"/>
  </sheetPr>
  <dimension ref="A1:R179"/>
  <sheetViews>
    <sheetView tabSelected="1" view="pageBreakPreview" zoomScaleSheetLayoutView="100" workbookViewId="0">
      <selection activeCell="H15" sqref="H15"/>
    </sheetView>
  </sheetViews>
  <sheetFormatPr defaultRowHeight="12.75" x14ac:dyDescent="0.2"/>
  <cols>
    <col min="1" max="1" width="7.140625" style="1" customWidth="1"/>
    <col min="2" max="2" width="16.5703125" style="2" customWidth="1"/>
    <col min="3" max="3" width="14.140625" style="1" customWidth="1"/>
    <col min="4" max="4" width="113.140625" style="3" customWidth="1"/>
    <col min="5" max="5" width="7" style="1" customWidth="1"/>
    <col min="6" max="6" width="10.5703125" style="4" customWidth="1"/>
    <col min="7" max="7" width="12.5703125" style="4" customWidth="1"/>
    <col min="8" max="8" width="13.7109375" style="4" customWidth="1"/>
    <col min="9" max="9" width="14.85546875" style="4" customWidth="1"/>
    <col min="10" max="10" width="13.28515625" style="4" customWidth="1"/>
    <col min="11" max="11" width="15" style="4" customWidth="1"/>
    <col min="12" max="12" width="13.28515625" style="3" customWidth="1"/>
    <col min="13" max="13" width="9.140625" style="3"/>
    <col min="14" max="14" width="10.5703125" style="3" customWidth="1"/>
    <col min="15" max="16384" width="9.140625" style="3"/>
  </cols>
  <sheetData>
    <row r="1" spans="1:18" ht="53.25" customHeigh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5"/>
      <c r="K1" s="6"/>
    </row>
    <row r="2" spans="1:18" ht="20.25" x14ac:dyDescent="0.3">
      <c r="A2" s="337" t="s">
        <v>1</v>
      </c>
      <c r="B2" s="337"/>
      <c r="C2" s="337"/>
      <c r="D2" s="337"/>
      <c r="E2" s="337"/>
      <c r="F2" s="337"/>
      <c r="G2" s="337"/>
      <c r="H2" s="337"/>
      <c r="I2" s="337"/>
      <c r="J2" s="7"/>
      <c r="K2" s="7"/>
      <c r="L2" s="8" t="e">
        <f>#REF!</f>
        <v>#REF!</v>
      </c>
    </row>
    <row r="3" spans="1:18" s="14" customFormat="1" ht="15" customHeight="1" x14ac:dyDescent="0.2">
      <c r="A3" s="338" t="s">
        <v>2</v>
      </c>
      <c r="B3" s="338"/>
      <c r="C3" s="338"/>
      <c r="D3" s="338"/>
      <c r="E3" s="9"/>
      <c r="F3" s="9"/>
      <c r="G3" s="10"/>
      <c r="H3" s="9"/>
      <c r="I3" s="11"/>
      <c r="J3" s="12"/>
      <c r="K3" s="13"/>
    </row>
    <row r="4" spans="1:18" s="14" customFormat="1" ht="15" customHeight="1" x14ac:dyDescent="0.2">
      <c r="A4" s="339" t="s">
        <v>3</v>
      </c>
      <c r="B4" s="339"/>
      <c r="C4" s="339"/>
      <c r="D4" s="339"/>
      <c r="E4" s="12"/>
      <c r="F4" s="12"/>
      <c r="G4" s="15"/>
      <c r="H4" s="12"/>
      <c r="I4" s="16"/>
      <c r="J4" s="12"/>
      <c r="K4" s="13"/>
    </row>
    <row r="5" spans="1:18" s="14" customFormat="1" ht="15" customHeight="1" x14ac:dyDescent="0.2">
      <c r="A5" s="339" t="s">
        <v>4</v>
      </c>
      <c r="B5" s="339"/>
      <c r="C5" s="339"/>
      <c r="D5" s="339"/>
      <c r="E5" s="17"/>
      <c r="F5" s="18"/>
      <c r="G5" s="19"/>
      <c r="H5" s="18"/>
      <c r="I5" s="20"/>
      <c r="J5" s="18"/>
      <c r="K5" s="21"/>
    </row>
    <row r="6" spans="1:18" s="14" customFormat="1" ht="15" customHeight="1" x14ac:dyDescent="0.2">
      <c r="A6" s="339" t="s">
        <v>5</v>
      </c>
      <c r="B6" s="339"/>
      <c r="C6" s="339"/>
      <c r="D6" s="339"/>
      <c r="E6" s="17"/>
      <c r="F6" s="18"/>
      <c r="G6" s="19"/>
      <c r="H6" s="18"/>
      <c r="I6" s="20"/>
      <c r="J6" s="18"/>
      <c r="K6" s="21"/>
    </row>
    <row r="7" spans="1:18" s="14" customFormat="1" ht="15" customHeight="1" x14ac:dyDescent="0.2">
      <c r="A7" s="339" t="s">
        <v>6</v>
      </c>
      <c r="B7" s="339"/>
      <c r="C7" s="339"/>
      <c r="D7" s="339"/>
      <c r="E7" s="17"/>
      <c r="F7" s="18"/>
      <c r="G7" s="19"/>
      <c r="H7" s="18"/>
      <c r="I7" s="20"/>
      <c r="J7" s="18"/>
      <c r="K7" s="21"/>
    </row>
    <row r="8" spans="1:18" s="14" customFormat="1" ht="15" customHeight="1" x14ac:dyDescent="0.2">
      <c r="A8" s="340" t="s">
        <v>7</v>
      </c>
      <c r="B8" s="340"/>
      <c r="C8" s="340"/>
      <c r="D8" s="340"/>
      <c r="E8" s="341" t="s">
        <v>8</v>
      </c>
      <c r="F8" s="341"/>
      <c r="G8" s="341"/>
      <c r="H8" s="341"/>
      <c r="I8" s="341"/>
      <c r="J8" s="22"/>
      <c r="K8" s="23"/>
    </row>
    <row r="9" spans="1:18" s="30" customFormat="1" ht="24.95" customHeight="1" x14ac:dyDescent="0.2">
      <c r="A9" s="342" t="s">
        <v>9</v>
      </c>
      <c r="B9" s="342"/>
      <c r="C9" s="342"/>
      <c r="D9" s="342"/>
      <c r="E9" s="24"/>
      <c r="F9" s="25"/>
      <c r="G9" s="26"/>
      <c r="H9" s="25"/>
      <c r="I9" s="27" t="s">
        <v>10</v>
      </c>
      <c r="J9" s="28">
        <v>1.25</v>
      </c>
      <c r="K9" s="29"/>
      <c r="L9" s="30">
        <v>1.25</v>
      </c>
    </row>
    <row r="10" spans="1:18" s="35" customFormat="1" ht="20.100000000000001" customHeight="1" x14ac:dyDescent="0.2">
      <c r="A10" s="343" t="s">
        <v>11</v>
      </c>
      <c r="B10" s="344" t="s">
        <v>12</v>
      </c>
      <c r="C10" s="345" t="s">
        <v>13</v>
      </c>
      <c r="D10" s="346" t="s">
        <v>14</v>
      </c>
      <c r="E10" s="347" t="s">
        <v>15</v>
      </c>
      <c r="F10" s="347" t="s">
        <v>16</v>
      </c>
      <c r="G10" s="348" t="s">
        <v>17</v>
      </c>
      <c r="H10" s="348"/>
      <c r="I10" s="32">
        <f>SUM(I14:I165)</f>
        <v>53498.553000000022</v>
      </c>
      <c r="J10" s="33"/>
      <c r="K10" s="34"/>
    </row>
    <row r="11" spans="1:18" s="35" customFormat="1" ht="12.95" customHeight="1" x14ac:dyDescent="0.2">
      <c r="A11" s="343"/>
      <c r="B11" s="344"/>
      <c r="C11" s="345"/>
      <c r="D11" s="346"/>
      <c r="E11" s="347"/>
      <c r="F11" s="347"/>
      <c r="G11" s="36" t="s">
        <v>18</v>
      </c>
      <c r="H11" s="37" t="s">
        <v>19</v>
      </c>
      <c r="I11" s="38"/>
      <c r="J11" s="33"/>
      <c r="K11" s="34"/>
      <c r="M11" s="327">
        <f>G14-K12</f>
        <v>1025.2600000000002</v>
      </c>
    </row>
    <row r="12" spans="1:18" s="35" customFormat="1" ht="22.5" customHeight="1" x14ac:dyDescent="0.2">
      <c r="A12" s="343"/>
      <c r="B12" s="344"/>
      <c r="C12" s="345"/>
      <c r="D12" s="346"/>
      <c r="E12" s="347"/>
      <c r="F12" s="347"/>
      <c r="G12" s="39" t="s">
        <v>20</v>
      </c>
      <c r="H12" s="31" t="s">
        <v>20</v>
      </c>
      <c r="I12" s="37" t="s">
        <v>21</v>
      </c>
      <c r="J12" s="33"/>
      <c r="K12" s="34">
        <f>H14-G14</f>
        <v>341.87999999999988</v>
      </c>
      <c r="L12" s="328">
        <f>53498.73-1709.02</f>
        <v>51789.710000000006</v>
      </c>
    </row>
    <row r="13" spans="1:18" s="46" customFormat="1" ht="22.5" customHeight="1" x14ac:dyDescent="0.2">
      <c r="A13" s="349" t="s">
        <v>22</v>
      </c>
      <c r="B13" s="349"/>
      <c r="C13" s="349"/>
      <c r="D13" s="349"/>
      <c r="E13" s="40"/>
      <c r="F13" s="41"/>
      <c r="G13" s="42"/>
      <c r="H13" s="42"/>
      <c r="I13" s="43"/>
      <c r="J13" s="44" t="s">
        <v>23</v>
      </c>
      <c r="K13" s="45"/>
    </row>
    <row r="14" spans="1:18" s="61" customFormat="1" ht="78" customHeight="1" x14ac:dyDescent="0.2">
      <c r="A14" s="47" t="s">
        <v>24</v>
      </c>
      <c r="B14" s="48" t="s">
        <v>25</v>
      </c>
      <c r="C14" s="49" t="s">
        <v>26</v>
      </c>
      <c r="D14" s="50" t="s">
        <v>27</v>
      </c>
      <c r="E14" s="51" t="s">
        <v>28</v>
      </c>
      <c r="F14" s="329">
        <v>1</v>
      </c>
      <c r="G14" s="53">
        <v>1367.14</v>
      </c>
      <c r="H14" s="54">
        <v>1709.02</v>
      </c>
      <c r="I14" s="55">
        <f>+F14*H14</f>
        <v>1709.02</v>
      </c>
      <c r="J14" s="56"/>
      <c r="K14" s="57"/>
      <c r="L14" s="58">
        <f>L20+L134+L162+L163+L164</f>
        <v>1561.032875000001</v>
      </c>
      <c r="M14" s="59"/>
      <c r="N14" s="59"/>
      <c r="O14" s="59"/>
      <c r="P14" s="59"/>
      <c r="Q14" s="59"/>
      <c r="R14" s="60"/>
    </row>
    <row r="15" spans="1:18" s="46" customFormat="1" ht="22.5" customHeight="1" x14ac:dyDescent="0.2">
      <c r="A15" s="349" t="s">
        <v>29</v>
      </c>
      <c r="B15" s="349"/>
      <c r="C15" s="349"/>
      <c r="D15" s="349"/>
      <c r="E15" s="40"/>
      <c r="F15" s="330"/>
      <c r="G15" s="42"/>
      <c r="H15" s="42"/>
      <c r="I15" s="43"/>
      <c r="J15" s="44" t="s">
        <v>23</v>
      </c>
      <c r="K15" s="45"/>
      <c r="L15" s="62">
        <f>L14-I13</f>
        <v>1561.032875000001</v>
      </c>
    </row>
    <row r="16" spans="1:18" s="61" customFormat="1" ht="21" customHeight="1" x14ac:dyDescent="0.2">
      <c r="A16" s="49" t="s">
        <v>30</v>
      </c>
      <c r="B16" s="63" t="s">
        <v>31</v>
      </c>
      <c r="C16" s="49" t="s">
        <v>26</v>
      </c>
      <c r="D16" s="64" t="s">
        <v>32</v>
      </c>
      <c r="E16" s="49" t="s">
        <v>33</v>
      </c>
      <c r="F16" s="331">
        <v>49.25</v>
      </c>
      <c r="G16" s="66">
        <v>2.69</v>
      </c>
      <c r="H16" s="67">
        <f t="shared" ref="H16:H23" si="0">G16*$L$9</f>
        <v>3.3624999999999998</v>
      </c>
      <c r="I16" s="55">
        <f t="shared" ref="I16:I23" si="1">+F16*H16</f>
        <v>165.60312499999998</v>
      </c>
      <c r="J16" s="68"/>
      <c r="K16" s="69"/>
    </row>
    <row r="17" spans="1:14" s="61" customFormat="1" ht="21" customHeight="1" x14ac:dyDescent="0.2">
      <c r="A17" s="49" t="s">
        <v>34</v>
      </c>
      <c r="B17" s="63" t="s">
        <v>35</v>
      </c>
      <c r="C17" s="49" t="s">
        <v>26</v>
      </c>
      <c r="D17" s="64" t="s">
        <v>36</v>
      </c>
      <c r="E17" s="49" t="s">
        <v>33</v>
      </c>
      <c r="F17" s="331">
        <v>12</v>
      </c>
      <c r="G17" s="66">
        <v>4.5599999999999996</v>
      </c>
      <c r="H17" s="67">
        <f t="shared" si="0"/>
        <v>5.6999999999999993</v>
      </c>
      <c r="I17" s="55">
        <f t="shared" si="1"/>
        <v>68.399999999999991</v>
      </c>
      <c r="J17" s="68"/>
      <c r="K17" s="69"/>
    </row>
    <row r="18" spans="1:14" s="61" customFormat="1" ht="25.5" customHeight="1" x14ac:dyDescent="0.2">
      <c r="A18" s="49" t="s">
        <v>37</v>
      </c>
      <c r="B18" s="63" t="s">
        <v>38</v>
      </c>
      <c r="C18" s="49" t="s">
        <v>26</v>
      </c>
      <c r="D18" s="64" t="s">
        <v>39</v>
      </c>
      <c r="E18" s="49" t="s">
        <v>40</v>
      </c>
      <c r="F18" s="331">
        <v>49.25</v>
      </c>
      <c r="G18" s="66">
        <v>13.9</v>
      </c>
      <c r="H18" s="67">
        <f t="shared" si="0"/>
        <v>17.375</v>
      </c>
      <c r="I18" s="55">
        <f t="shared" si="1"/>
        <v>855.71875</v>
      </c>
      <c r="J18" s="68"/>
      <c r="K18" s="69"/>
      <c r="L18" s="70">
        <f>I20-I13</f>
        <v>1910.7262499999999</v>
      </c>
    </row>
    <row r="19" spans="1:14" s="61" customFormat="1" ht="30" customHeight="1" x14ac:dyDescent="0.2">
      <c r="A19" s="49" t="s">
        <v>41</v>
      </c>
      <c r="B19" s="63" t="s">
        <v>42</v>
      </c>
      <c r="C19" s="49" t="s">
        <v>26</v>
      </c>
      <c r="D19" s="64" t="s">
        <v>43</v>
      </c>
      <c r="E19" s="49" t="s">
        <v>33</v>
      </c>
      <c r="F19" s="331">
        <v>18.09</v>
      </c>
      <c r="G19" s="66">
        <v>35.68</v>
      </c>
      <c r="H19" s="67">
        <f t="shared" si="0"/>
        <v>44.6</v>
      </c>
      <c r="I19" s="55">
        <f t="shared" si="1"/>
        <v>806.81399999999996</v>
      </c>
      <c r="J19" s="68"/>
      <c r="K19" s="69"/>
    </row>
    <row r="20" spans="1:14" s="61" customFormat="1" ht="30" customHeight="1" x14ac:dyDescent="0.2">
      <c r="A20" s="49" t="s">
        <v>44</v>
      </c>
      <c r="B20" s="63" t="s">
        <v>45</v>
      </c>
      <c r="C20" s="49" t="s">
        <v>26</v>
      </c>
      <c r="D20" s="64" t="s">
        <v>46</v>
      </c>
      <c r="E20" s="49" t="s">
        <v>40</v>
      </c>
      <c r="F20" s="331">
        <v>108.41</v>
      </c>
      <c r="G20" s="53">
        <v>14.1</v>
      </c>
      <c r="H20" s="67">
        <f t="shared" si="0"/>
        <v>17.625</v>
      </c>
      <c r="I20" s="55">
        <f t="shared" si="1"/>
        <v>1910.7262499999999</v>
      </c>
      <c r="J20" s="53">
        <v>135</v>
      </c>
      <c r="K20" s="69">
        <v>2379.38</v>
      </c>
      <c r="L20" s="71">
        <f>K20-I20</f>
        <v>468.65375000000017</v>
      </c>
      <c r="N20" s="68">
        <v>53498.46</v>
      </c>
    </row>
    <row r="21" spans="1:14" s="61" customFormat="1" ht="24.75" customHeight="1" x14ac:dyDescent="0.2">
      <c r="A21" s="49" t="s">
        <v>47</v>
      </c>
      <c r="B21" s="63" t="s">
        <v>48</v>
      </c>
      <c r="C21" s="49" t="s">
        <v>26</v>
      </c>
      <c r="D21" s="64" t="s">
        <v>49</v>
      </c>
      <c r="E21" s="49" t="s">
        <v>33</v>
      </c>
      <c r="F21" s="331">
        <v>12</v>
      </c>
      <c r="G21" s="66">
        <v>34.28</v>
      </c>
      <c r="H21" s="67">
        <f t="shared" si="0"/>
        <v>42.85</v>
      </c>
      <c r="I21" s="55">
        <f t="shared" si="1"/>
        <v>514.20000000000005</v>
      </c>
      <c r="J21" s="68"/>
      <c r="K21" s="69"/>
      <c r="L21" s="70">
        <f>I20-88.46</f>
        <v>1822.2662499999999</v>
      </c>
    </row>
    <row r="22" spans="1:14" s="61" customFormat="1" ht="41.25" customHeight="1" x14ac:dyDescent="0.2">
      <c r="A22" s="49" t="s">
        <v>50</v>
      </c>
      <c r="B22" s="63" t="s">
        <v>51</v>
      </c>
      <c r="C22" s="49" t="s">
        <v>26</v>
      </c>
      <c r="D22" s="64" t="s">
        <v>52</v>
      </c>
      <c r="E22" s="49" t="s">
        <v>53</v>
      </c>
      <c r="F22" s="331">
        <v>5</v>
      </c>
      <c r="G22" s="66">
        <v>7.4</v>
      </c>
      <c r="H22" s="67">
        <f t="shared" si="0"/>
        <v>9.25</v>
      </c>
      <c r="I22" s="55">
        <f t="shared" si="1"/>
        <v>46.25</v>
      </c>
      <c r="J22" s="68"/>
      <c r="K22" s="69"/>
      <c r="L22" s="72">
        <v>1674.38</v>
      </c>
      <c r="N22" s="72">
        <f>I10-N20</f>
        <v>9.3000000022584572E-2</v>
      </c>
    </row>
    <row r="23" spans="1:14" s="61" customFormat="1" ht="40.5" customHeight="1" x14ac:dyDescent="0.2">
      <c r="A23" s="49" t="s">
        <v>54</v>
      </c>
      <c r="B23" s="63" t="s">
        <v>55</v>
      </c>
      <c r="C23" s="49" t="s">
        <v>26</v>
      </c>
      <c r="D23" s="64" t="s">
        <v>56</v>
      </c>
      <c r="E23" s="49" t="s">
        <v>57</v>
      </c>
      <c r="F23" s="331">
        <v>2</v>
      </c>
      <c r="G23" s="53">
        <v>25.47</v>
      </c>
      <c r="H23" s="67">
        <f t="shared" si="0"/>
        <v>31.837499999999999</v>
      </c>
      <c r="I23" s="55">
        <f t="shared" si="1"/>
        <v>63.674999999999997</v>
      </c>
      <c r="J23" s="68"/>
      <c r="K23" s="69"/>
    </row>
    <row r="24" spans="1:14" s="46" customFormat="1" ht="22.5" customHeight="1" x14ac:dyDescent="0.2">
      <c r="A24" s="349" t="s">
        <v>58</v>
      </c>
      <c r="B24" s="349"/>
      <c r="C24" s="349"/>
      <c r="D24" s="349"/>
      <c r="E24" s="40"/>
      <c r="F24" s="330"/>
      <c r="G24" s="42"/>
      <c r="H24" s="42"/>
      <c r="I24" s="43"/>
      <c r="J24" s="44" t="s">
        <v>23</v>
      </c>
      <c r="K24" s="45"/>
      <c r="L24" s="73">
        <f>L22-88.46</f>
        <v>1585.92</v>
      </c>
    </row>
    <row r="25" spans="1:14" s="61" customFormat="1" ht="21" customHeight="1" x14ac:dyDescent="0.2">
      <c r="A25" s="49" t="s">
        <v>59</v>
      </c>
      <c r="B25" s="63" t="s">
        <v>31</v>
      </c>
      <c r="C25" s="49" t="s">
        <v>26</v>
      </c>
      <c r="D25" s="64" t="s">
        <v>60</v>
      </c>
      <c r="E25" s="49" t="s">
        <v>33</v>
      </c>
      <c r="F25" s="331">
        <v>21.9</v>
      </c>
      <c r="G25" s="66">
        <v>2.69</v>
      </c>
      <c r="H25" s="67">
        <f t="shared" ref="H25:H30" si="2">G25*$L$9</f>
        <v>3.3624999999999998</v>
      </c>
      <c r="I25" s="55">
        <f t="shared" ref="I25:I30" si="3">+F25*H25</f>
        <v>73.638749999999987</v>
      </c>
      <c r="J25" s="68"/>
      <c r="K25" s="69">
        <f>I25+0.1</f>
        <v>73.738749999999982</v>
      </c>
    </row>
    <row r="26" spans="1:14" s="61" customFormat="1" ht="25.5" customHeight="1" x14ac:dyDescent="0.2">
      <c r="A26" s="49" t="s">
        <v>61</v>
      </c>
      <c r="B26" s="63" t="s">
        <v>62</v>
      </c>
      <c r="C26" s="49" t="s">
        <v>26</v>
      </c>
      <c r="D26" s="64" t="s">
        <v>63</v>
      </c>
      <c r="E26" s="49" t="s">
        <v>40</v>
      </c>
      <c r="F26" s="331">
        <v>21.9</v>
      </c>
      <c r="G26" s="66">
        <v>11.83</v>
      </c>
      <c r="H26" s="67">
        <f t="shared" si="2"/>
        <v>14.7875</v>
      </c>
      <c r="I26" s="55">
        <f t="shared" si="3"/>
        <v>323.84625</v>
      </c>
      <c r="J26" s="68"/>
      <c r="K26" s="69"/>
    </row>
    <row r="27" spans="1:14" s="61" customFormat="1" ht="30" customHeight="1" x14ac:dyDescent="0.2">
      <c r="A27" s="49" t="s">
        <v>64</v>
      </c>
      <c r="B27" s="63" t="s">
        <v>65</v>
      </c>
      <c r="C27" s="49" t="s">
        <v>26</v>
      </c>
      <c r="D27" s="64" t="s">
        <v>66</v>
      </c>
      <c r="E27" s="49" t="s">
        <v>40</v>
      </c>
      <c r="F27" s="331">
        <v>21.9</v>
      </c>
      <c r="G27" s="66">
        <v>26.01</v>
      </c>
      <c r="H27" s="67">
        <f t="shared" si="2"/>
        <v>32.512500000000003</v>
      </c>
      <c r="I27" s="55">
        <f t="shared" si="3"/>
        <v>712.02375000000006</v>
      </c>
      <c r="J27" s="68"/>
      <c r="K27" s="69"/>
    </row>
    <row r="28" spans="1:14" s="61" customFormat="1" ht="30" customHeight="1" x14ac:dyDescent="0.2">
      <c r="A28" s="49" t="s">
        <v>67</v>
      </c>
      <c r="B28" s="63" t="s">
        <v>42</v>
      </c>
      <c r="C28" s="49" t="s">
        <v>26</v>
      </c>
      <c r="D28" s="64" t="s">
        <v>43</v>
      </c>
      <c r="E28" s="49" t="s">
        <v>33</v>
      </c>
      <c r="F28" s="331">
        <v>4.7300000000000004</v>
      </c>
      <c r="G28" s="66">
        <v>35.68</v>
      </c>
      <c r="H28" s="67">
        <f t="shared" si="2"/>
        <v>44.6</v>
      </c>
      <c r="I28" s="55">
        <f t="shared" si="3"/>
        <v>210.95800000000003</v>
      </c>
      <c r="J28" s="68"/>
      <c r="K28" s="69"/>
    </row>
    <row r="29" spans="1:14" s="61" customFormat="1" ht="29.25" customHeight="1" x14ac:dyDescent="0.2">
      <c r="A29" s="49" t="s">
        <v>68</v>
      </c>
      <c r="B29" s="63" t="s">
        <v>69</v>
      </c>
      <c r="C29" s="49" t="s">
        <v>26</v>
      </c>
      <c r="D29" s="64" t="s">
        <v>70</v>
      </c>
      <c r="E29" s="49" t="s">
        <v>57</v>
      </c>
      <c r="F29" s="331">
        <v>1</v>
      </c>
      <c r="G29" s="66">
        <v>83.25</v>
      </c>
      <c r="H29" s="67">
        <f t="shared" si="2"/>
        <v>104.0625</v>
      </c>
      <c r="I29" s="55">
        <f t="shared" si="3"/>
        <v>104.0625</v>
      </c>
      <c r="J29" s="68"/>
      <c r="K29" s="69"/>
    </row>
    <row r="30" spans="1:14" s="61" customFormat="1" ht="40.5" customHeight="1" x14ac:dyDescent="0.2">
      <c r="A30" s="49" t="s">
        <v>71</v>
      </c>
      <c r="B30" s="63" t="s">
        <v>55</v>
      </c>
      <c r="C30" s="49" t="s">
        <v>26</v>
      </c>
      <c r="D30" s="64" t="s">
        <v>56</v>
      </c>
      <c r="E30" s="49" t="s">
        <v>57</v>
      </c>
      <c r="F30" s="331">
        <v>2</v>
      </c>
      <c r="G30" s="53">
        <v>25.47</v>
      </c>
      <c r="H30" s="67">
        <f t="shared" si="2"/>
        <v>31.837499999999999</v>
      </c>
      <c r="I30" s="55">
        <f t="shared" si="3"/>
        <v>63.674999999999997</v>
      </c>
      <c r="J30" s="68"/>
      <c r="K30" s="69"/>
    </row>
    <row r="31" spans="1:14" s="46" customFormat="1" ht="19.5" customHeight="1" x14ac:dyDescent="0.2">
      <c r="A31" s="349" t="s">
        <v>72</v>
      </c>
      <c r="B31" s="349"/>
      <c r="C31" s="349"/>
      <c r="D31" s="349"/>
      <c r="E31" s="40"/>
      <c r="F31" s="330"/>
      <c r="G31" s="42"/>
      <c r="H31" s="42"/>
      <c r="I31" s="43"/>
      <c r="J31" s="44" t="s">
        <v>23</v>
      </c>
      <c r="K31" s="45"/>
    </row>
    <row r="32" spans="1:14" s="61" customFormat="1" ht="21" customHeight="1" x14ac:dyDescent="0.2">
      <c r="A32" s="49" t="s">
        <v>59</v>
      </c>
      <c r="B32" s="63" t="s">
        <v>31</v>
      </c>
      <c r="C32" s="49" t="s">
        <v>26</v>
      </c>
      <c r="D32" s="64" t="s">
        <v>73</v>
      </c>
      <c r="E32" s="49" t="s">
        <v>33</v>
      </c>
      <c r="F32" s="331">
        <v>47.43</v>
      </c>
      <c r="G32" s="66">
        <v>2.69</v>
      </c>
      <c r="H32" s="67">
        <f t="shared" ref="H32:H43" si="4">G32*$L$9</f>
        <v>3.3624999999999998</v>
      </c>
      <c r="I32" s="55">
        <f t="shared" ref="I32:I43" si="5">+F32*H32</f>
        <v>159.483375</v>
      </c>
      <c r="J32" s="68"/>
      <c r="K32" s="69"/>
    </row>
    <row r="33" spans="1:11" s="61" customFormat="1" ht="21" customHeight="1" x14ac:dyDescent="0.2">
      <c r="A33" s="49" t="s">
        <v>61</v>
      </c>
      <c r="B33" s="63" t="s">
        <v>35</v>
      </c>
      <c r="C33" s="49" t="s">
        <v>26</v>
      </c>
      <c r="D33" s="64" t="s">
        <v>74</v>
      </c>
      <c r="E33" s="49" t="s">
        <v>33</v>
      </c>
      <c r="F33" s="331">
        <v>2.76</v>
      </c>
      <c r="G33" s="66">
        <v>4.5599999999999996</v>
      </c>
      <c r="H33" s="67">
        <f t="shared" si="4"/>
        <v>5.6999999999999993</v>
      </c>
      <c r="I33" s="55">
        <f t="shared" si="5"/>
        <v>15.731999999999998</v>
      </c>
      <c r="J33" s="68"/>
      <c r="K33" s="69"/>
    </row>
    <row r="34" spans="1:11" s="61" customFormat="1" ht="21" customHeight="1" x14ac:dyDescent="0.2">
      <c r="A34" s="49" t="s">
        <v>64</v>
      </c>
      <c r="B34" s="63" t="s">
        <v>75</v>
      </c>
      <c r="C34" s="49" t="s">
        <v>26</v>
      </c>
      <c r="D34" s="64" t="s">
        <v>76</v>
      </c>
      <c r="E34" s="49" t="s">
        <v>33</v>
      </c>
      <c r="F34" s="331">
        <v>3.36</v>
      </c>
      <c r="G34" s="66">
        <v>4.05</v>
      </c>
      <c r="H34" s="67">
        <f t="shared" si="4"/>
        <v>5.0625</v>
      </c>
      <c r="I34" s="55">
        <f t="shared" si="5"/>
        <v>17.009999999999998</v>
      </c>
      <c r="J34" s="68"/>
      <c r="K34" s="69"/>
    </row>
    <row r="35" spans="1:11" s="61" customFormat="1" ht="25.5" customHeight="1" x14ac:dyDescent="0.2">
      <c r="A35" s="49" t="s">
        <v>67</v>
      </c>
      <c r="B35" s="63" t="s">
        <v>62</v>
      </c>
      <c r="C35" s="49" t="s">
        <v>26</v>
      </c>
      <c r="D35" s="64" t="s">
        <v>63</v>
      </c>
      <c r="E35" s="49" t="s">
        <v>40</v>
      </c>
      <c r="F35" s="331">
        <v>37.619999999999997</v>
      </c>
      <c r="G35" s="66">
        <v>11.83</v>
      </c>
      <c r="H35" s="67">
        <f t="shared" si="4"/>
        <v>14.7875</v>
      </c>
      <c r="I35" s="55">
        <f t="shared" si="5"/>
        <v>556.30574999999999</v>
      </c>
      <c r="J35" s="68"/>
      <c r="K35" s="69"/>
    </row>
    <row r="36" spans="1:11" s="61" customFormat="1" ht="30" customHeight="1" x14ac:dyDescent="0.2">
      <c r="A36" s="49" t="s">
        <v>68</v>
      </c>
      <c r="B36" s="63" t="s">
        <v>65</v>
      </c>
      <c r="C36" s="49" t="s">
        <v>26</v>
      </c>
      <c r="D36" s="64" t="s">
        <v>66</v>
      </c>
      <c r="E36" s="49" t="s">
        <v>40</v>
      </c>
      <c r="F36" s="331">
        <v>37.619999999999997</v>
      </c>
      <c r="G36" s="66">
        <v>26.01</v>
      </c>
      <c r="H36" s="67">
        <f t="shared" si="4"/>
        <v>32.512500000000003</v>
      </c>
      <c r="I36" s="55">
        <f t="shared" si="5"/>
        <v>1223.1202499999999</v>
      </c>
      <c r="J36" s="68"/>
      <c r="K36" s="69"/>
    </row>
    <row r="37" spans="1:11" s="61" customFormat="1" ht="30" customHeight="1" x14ac:dyDescent="0.2">
      <c r="A37" s="49" t="s">
        <v>71</v>
      </c>
      <c r="B37" s="63" t="s">
        <v>42</v>
      </c>
      <c r="C37" s="49" t="s">
        <v>26</v>
      </c>
      <c r="D37" s="64" t="s">
        <v>43</v>
      </c>
      <c r="E37" s="49" t="s">
        <v>33</v>
      </c>
      <c r="F37" s="331">
        <v>9.81</v>
      </c>
      <c r="G37" s="66">
        <v>35.68</v>
      </c>
      <c r="H37" s="67">
        <f t="shared" si="4"/>
        <v>44.6</v>
      </c>
      <c r="I37" s="55">
        <f t="shared" si="5"/>
        <v>437.52600000000001</v>
      </c>
      <c r="J37" s="68"/>
      <c r="K37" s="69"/>
    </row>
    <row r="38" spans="1:11" s="61" customFormat="1" ht="24.75" customHeight="1" x14ac:dyDescent="0.2">
      <c r="A38" s="49" t="s">
        <v>77</v>
      </c>
      <c r="B38" s="63" t="s">
        <v>48</v>
      </c>
      <c r="C38" s="49" t="s">
        <v>26</v>
      </c>
      <c r="D38" s="64" t="s">
        <v>49</v>
      </c>
      <c r="E38" s="49" t="s">
        <v>33</v>
      </c>
      <c r="F38" s="331">
        <v>2.76</v>
      </c>
      <c r="G38" s="66">
        <v>34.28</v>
      </c>
      <c r="H38" s="67">
        <f t="shared" si="4"/>
        <v>42.85</v>
      </c>
      <c r="I38" s="55">
        <f t="shared" si="5"/>
        <v>118.26599999999999</v>
      </c>
      <c r="J38" s="68"/>
      <c r="K38" s="69"/>
    </row>
    <row r="39" spans="1:11" s="61" customFormat="1" ht="24.75" customHeight="1" x14ac:dyDescent="0.2">
      <c r="A39" s="49" t="s">
        <v>78</v>
      </c>
      <c r="B39" s="63" t="s">
        <v>79</v>
      </c>
      <c r="C39" s="49" t="s">
        <v>26</v>
      </c>
      <c r="D39" s="64" t="s">
        <v>80</v>
      </c>
      <c r="E39" s="49" t="s">
        <v>33</v>
      </c>
      <c r="F39" s="331">
        <v>3.36</v>
      </c>
      <c r="G39" s="66">
        <v>23.08</v>
      </c>
      <c r="H39" s="67">
        <f t="shared" si="4"/>
        <v>28.849999999999998</v>
      </c>
      <c r="I39" s="55">
        <f t="shared" si="5"/>
        <v>96.935999999999993</v>
      </c>
      <c r="J39" s="68"/>
      <c r="K39" s="69"/>
    </row>
    <row r="40" spans="1:11" s="61" customFormat="1" ht="40.5" customHeight="1" x14ac:dyDescent="0.2">
      <c r="A40" s="49" t="s">
        <v>81</v>
      </c>
      <c r="B40" s="63" t="s">
        <v>82</v>
      </c>
      <c r="C40" s="49" t="s">
        <v>26</v>
      </c>
      <c r="D40" s="64" t="s">
        <v>83</v>
      </c>
      <c r="E40" s="49" t="s">
        <v>57</v>
      </c>
      <c r="F40" s="331">
        <v>1</v>
      </c>
      <c r="G40" s="66">
        <v>112.65</v>
      </c>
      <c r="H40" s="67">
        <f t="shared" si="4"/>
        <v>140.8125</v>
      </c>
      <c r="I40" s="55">
        <f t="shared" si="5"/>
        <v>140.8125</v>
      </c>
      <c r="J40" s="68"/>
      <c r="K40" s="69"/>
    </row>
    <row r="41" spans="1:11" s="61" customFormat="1" ht="41.25" customHeight="1" x14ac:dyDescent="0.2">
      <c r="A41" s="49" t="s">
        <v>84</v>
      </c>
      <c r="B41" s="63" t="s">
        <v>51</v>
      </c>
      <c r="C41" s="49" t="s">
        <v>26</v>
      </c>
      <c r="D41" s="64" t="s">
        <v>52</v>
      </c>
      <c r="E41" s="49" t="s">
        <v>53</v>
      </c>
      <c r="F41" s="331">
        <v>7</v>
      </c>
      <c r="G41" s="66">
        <v>7.4</v>
      </c>
      <c r="H41" s="67">
        <f t="shared" si="4"/>
        <v>9.25</v>
      </c>
      <c r="I41" s="55">
        <f t="shared" si="5"/>
        <v>64.75</v>
      </c>
      <c r="J41" s="68"/>
      <c r="K41" s="69"/>
    </row>
    <row r="42" spans="1:11" s="61" customFormat="1" ht="40.5" customHeight="1" x14ac:dyDescent="0.2">
      <c r="A42" s="49" t="s">
        <v>85</v>
      </c>
      <c r="B42" s="63" t="s">
        <v>55</v>
      </c>
      <c r="C42" s="49" t="s">
        <v>26</v>
      </c>
      <c r="D42" s="64" t="s">
        <v>56</v>
      </c>
      <c r="E42" s="49" t="s">
        <v>57</v>
      </c>
      <c r="F42" s="331">
        <v>1</v>
      </c>
      <c r="G42" s="53">
        <v>25.44</v>
      </c>
      <c r="H42" s="67">
        <f t="shared" si="4"/>
        <v>31.8</v>
      </c>
      <c r="I42" s="55">
        <f t="shared" si="5"/>
        <v>31.8</v>
      </c>
      <c r="J42" s="68"/>
      <c r="K42" s="69"/>
    </row>
    <row r="43" spans="1:11" s="61" customFormat="1" ht="30" customHeight="1" x14ac:dyDescent="0.2">
      <c r="A43" s="49" t="s">
        <v>86</v>
      </c>
      <c r="B43" s="63" t="s">
        <v>87</v>
      </c>
      <c r="C43" s="49" t="s">
        <v>26</v>
      </c>
      <c r="D43" s="64" t="s">
        <v>88</v>
      </c>
      <c r="E43" s="49" t="s">
        <v>57</v>
      </c>
      <c r="F43" s="331">
        <v>2</v>
      </c>
      <c r="G43" s="66">
        <v>25.1</v>
      </c>
      <c r="H43" s="67">
        <f t="shared" si="4"/>
        <v>31.375</v>
      </c>
      <c r="I43" s="55">
        <f t="shared" si="5"/>
        <v>62.75</v>
      </c>
      <c r="J43" s="68"/>
      <c r="K43" s="69"/>
    </row>
    <row r="44" spans="1:11" s="78" customFormat="1" ht="21" customHeight="1" x14ac:dyDescent="0.2">
      <c r="A44" s="350" t="s">
        <v>89</v>
      </c>
      <c r="B44" s="350"/>
      <c r="C44" s="350"/>
      <c r="D44" s="350"/>
      <c r="E44" s="74"/>
      <c r="F44" s="332"/>
      <c r="G44" s="76"/>
      <c r="H44" s="75"/>
      <c r="I44" s="43"/>
      <c r="J44" s="44" t="s">
        <v>23</v>
      </c>
      <c r="K44" s="77"/>
    </row>
    <row r="45" spans="1:11" s="61" customFormat="1" ht="21" customHeight="1" x14ac:dyDescent="0.2">
      <c r="A45" s="49" t="s">
        <v>90</v>
      </c>
      <c r="B45" s="63" t="s">
        <v>31</v>
      </c>
      <c r="C45" s="49" t="s">
        <v>26</v>
      </c>
      <c r="D45" s="64" t="s">
        <v>73</v>
      </c>
      <c r="E45" s="49" t="s">
        <v>33</v>
      </c>
      <c r="F45" s="331">
        <v>47.76</v>
      </c>
      <c r="G45" s="66">
        <v>2.69</v>
      </c>
      <c r="H45" s="67">
        <f t="shared" ref="H45:H55" si="6">G45*$L$9</f>
        <v>3.3624999999999998</v>
      </c>
      <c r="I45" s="55">
        <f t="shared" ref="I45:I55" si="7">+F45*H45</f>
        <v>160.59299999999999</v>
      </c>
      <c r="J45" s="68"/>
      <c r="K45" s="69"/>
    </row>
    <row r="46" spans="1:11" s="61" customFormat="1" ht="21" customHeight="1" x14ac:dyDescent="0.2">
      <c r="A46" s="49" t="s">
        <v>91</v>
      </c>
      <c r="B46" s="63" t="s">
        <v>75</v>
      </c>
      <c r="C46" s="49" t="s">
        <v>26</v>
      </c>
      <c r="D46" s="64" t="s">
        <v>76</v>
      </c>
      <c r="E46" s="49" t="s">
        <v>33</v>
      </c>
      <c r="F46" s="331">
        <v>3.36</v>
      </c>
      <c r="G46" s="66">
        <v>4.05</v>
      </c>
      <c r="H46" s="67">
        <f t="shared" si="6"/>
        <v>5.0625</v>
      </c>
      <c r="I46" s="55">
        <f t="shared" si="7"/>
        <v>17.009999999999998</v>
      </c>
      <c r="J46" s="68"/>
      <c r="K46" s="69"/>
    </row>
    <row r="47" spans="1:11" s="61" customFormat="1" ht="21" customHeight="1" x14ac:dyDescent="0.2">
      <c r="A47" s="49" t="s">
        <v>92</v>
      </c>
      <c r="B47" s="63" t="s">
        <v>35</v>
      </c>
      <c r="C47" s="49" t="s">
        <v>26</v>
      </c>
      <c r="D47" s="64" t="s">
        <v>74</v>
      </c>
      <c r="E47" s="49" t="s">
        <v>33</v>
      </c>
      <c r="F47" s="331">
        <v>2.76</v>
      </c>
      <c r="G47" s="66">
        <v>4.5599999999999996</v>
      </c>
      <c r="H47" s="67">
        <f t="shared" si="6"/>
        <v>5.6999999999999993</v>
      </c>
      <c r="I47" s="55">
        <f t="shared" si="7"/>
        <v>15.731999999999998</v>
      </c>
      <c r="J47" s="68"/>
      <c r="K47" s="69"/>
    </row>
    <row r="48" spans="1:11" s="61" customFormat="1" ht="25.5" customHeight="1" x14ac:dyDescent="0.2">
      <c r="A48" s="49" t="s">
        <v>93</v>
      </c>
      <c r="B48" s="63" t="s">
        <v>62</v>
      </c>
      <c r="C48" s="49" t="s">
        <v>26</v>
      </c>
      <c r="D48" s="64" t="s">
        <v>63</v>
      </c>
      <c r="E48" s="49" t="s">
        <v>40</v>
      </c>
      <c r="F48" s="331">
        <v>37.619999999999997</v>
      </c>
      <c r="G48" s="66">
        <v>11.83</v>
      </c>
      <c r="H48" s="67">
        <f t="shared" si="6"/>
        <v>14.7875</v>
      </c>
      <c r="I48" s="55">
        <f t="shared" si="7"/>
        <v>556.30574999999999</v>
      </c>
      <c r="J48" s="68"/>
      <c r="K48" s="69"/>
    </row>
    <row r="49" spans="1:11" s="61" customFormat="1" ht="30" customHeight="1" x14ac:dyDescent="0.2">
      <c r="A49" s="49" t="s">
        <v>94</v>
      </c>
      <c r="B49" s="63" t="s">
        <v>65</v>
      </c>
      <c r="C49" s="49" t="s">
        <v>26</v>
      </c>
      <c r="D49" s="64" t="s">
        <v>66</v>
      </c>
      <c r="E49" s="49" t="s">
        <v>40</v>
      </c>
      <c r="F49" s="331">
        <v>37.619999999999997</v>
      </c>
      <c r="G49" s="66">
        <v>26.01</v>
      </c>
      <c r="H49" s="67">
        <f t="shared" si="6"/>
        <v>32.512500000000003</v>
      </c>
      <c r="I49" s="55">
        <f t="shared" si="7"/>
        <v>1223.1202499999999</v>
      </c>
      <c r="J49" s="68"/>
      <c r="K49" s="69"/>
    </row>
    <row r="50" spans="1:11" s="61" customFormat="1" ht="30" customHeight="1" x14ac:dyDescent="0.2">
      <c r="A50" s="49" t="s">
        <v>95</v>
      </c>
      <c r="B50" s="63" t="s">
        <v>42</v>
      </c>
      <c r="C50" s="49" t="s">
        <v>26</v>
      </c>
      <c r="D50" s="64" t="s">
        <v>43</v>
      </c>
      <c r="E50" s="49" t="s">
        <v>33</v>
      </c>
      <c r="F50" s="331">
        <v>10.14</v>
      </c>
      <c r="G50" s="66">
        <v>35.68</v>
      </c>
      <c r="H50" s="67">
        <f t="shared" si="6"/>
        <v>44.6</v>
      </c>
      <c r="I50" s="55">
        <f t="shared" si="7"/>
        <v>452.24400000000003</v>
      </c>
      <c r="J50" s="68"/>
      <c r="K50" s="69"/>
    </row>
    <row r="51" spans="1:11" s="61" customFormat="1" ht="24.75" customHeight="1" x14ac:dyDescent="0.2">
      <c r="A51" s="49" t="s">
        <v>96</v>
      </c>
      <c r="B51" s="63" t="s">
        <v>48</v>
      </c>
      <c r="C51" s="49" t="s">
        <v>26</v>
      </c>
      <c r="D51" s="64" t="s">
        <v>49</v>
      </c>
      <c r="E51" s="49" t="s">
        <v>33</v>
      </c>
      <c r="F51" s="331">
        <v>2.76</v>
      </c>
      <c r="G51" s="66">
        <v>34.28</v>
      </c>
      <c r="H51" s="67">
        <f t="shared" si="6"/>
        <v>42.85</v>
      </c>
      <c r="I51" s="55">
        <f t="shared" si="7"/>
        <v>118.26599999999999</v>
      </c>
      <c r="J51" s="68"/>
      <c r="K51" s="69"/>
    </row>
    <row r="52" spans="1:11" s="61" customFormat="1" ht="24.75" customHeight="1" x14ac:dyDescent="0.2">
      <c r="A52" s="49" t="s">
        <v>97</v>
      </c>
      <c r="B52" s="63" t="s">
        <v>79</v>
      </c>
      <c r="C52" s="49" t="s">
        <v>26</v>
      </c>
      <c r="D52" s="64" t="s">
        <v>80</v>
      </c>
      <c r="E52" s="49" t="s">
        <v>33</v>
      </c>
      <c r="F52" s="331">
        <v>3.36</v>
      </c>
      <c r="G52" s="66">
        <v>23.08</v>
      </c>
      <c r="H52" s="67">
        <f t="shared" si="6"/>
        <v>28.849999999999998</v>
      </c>
      <c r="I52" s="55">
        <f t="shared" si="7"/>
        <v>96.935999999999993</v>
      </c>
      <c r="J52" s="68"/>
      <c r="K52" s="69"/>
    </row>
    <row r="53" spans="1:11" s="61" customFormat="1" ht="40.5" customHeight="1" x14ac:dyDescent="0.2">
      <c r="A53" s="49" t="s">
        <v>98</v>
      </c>
      <c r="B53" s="63" t="s">
        <v>82</v>
      </c>
      <c r="C53" s="49" t="s">
        <v>26</v>
      </c>
      <c r="D53" s="64" t="s">
        <v>83</v>
      </c>
      <c r="E53" s="49" t="s">
        <v>57</v>
      </c>
      <c r="F53" s="331">
        <v>1</v>
      </c>
      <c r="G53" s="66">
        <v>112.64</v>
      </c>
      <c r="H53" s="67">
        <f t="shared" si="6"/>
        <v>140.80000000000001</v>
      </c>
      <c r="I53" s="55">
        <f t="shared" si="7"/>
        <v>140.80000000000001</v>
      </c>
      <c r="J53" s="68"/>
      <c r="K53" s="69"/>
    </row>
    <row r="54" spans="1:11" s="61" customFormat="1" ht="40.5" customHeight="1" x14ac:dyDescent="0.2">
      <c r="A54" s="49" t="s">
        <v>99</v>
      </c>
      <c r="B54" s="63" t="s">
        <v>55</v>
      </c>
      <c r="C54" s="49" t="s">
        <v>26</v>
      </c>
      <c r="D54" s="64" t="s">
        <v>56</v>
      </c>
      <c r="E54" s="49" t="s">
        <v>57</v>
      </c>
      <c r="F54" s="331">
        <v>1</v>
      </c>
      <c r="G54" s="53">
        <v>25.47</v>
      </c>
      <c r="H54" s="67">
        <f t="shared" si="6"/>
        <v>31.837499999999999</v>
      </c>
      <c r="I54" s="55">
        <f t="shared" si="7"/>
        <v>31.837499999999999</v>
      </c>
      <c r="J54" s="68"/>
      <c r="K54" s="69"/>
    </row>
    <row r="55" spans="1:11" s="61" customFormat="1" ht="30" customHeight="1" x14ac:dyDescent="0.2">
      <c r="A55" s="49" t="s">
        <v>100</v>
      </c>
      <c r="B55" s="63" t="s">
        <v>87</v>
      </c>
      <c r="C55" s="49" t="s">
        <v>26</v>
      </c>
      <c r="D55" s="64" t="s">
        <v>88</v>
      </c>
      <c r="E55" s="49" t="s">
        <v>57</v>
      </c>
      <c r="F55" s="331">
        <v>2</v>
      </c>
      <c r="G55" s="66">
        <v>25.1</v>
      </c>
      <c r="H55" s="67">
        <f t="shared" si="6"/>
        <v>31.375</v>
      </c>
      <c r="I55" s="55">
        <f t="shared" si="7"/>
        <v>62.75</v>
      </c>
      <c r="J55" s="68"/>
      <c r="K55" s="69"/>
    </row>
    <row r="56" spans="1:11" s="78" customFormat="1" ht="20.25" customHeight="1" x14ac:dyDescent="0.2">
      <c r="A56" s="350" t="s">
        <v>101</v>
      </c>
      <c r="B56" s="350"/>
      <c r="C56" s="350"/>
      <c r="D56" s="350"/>
      <c r="E56" s="74"/>
      <c r="F56" s="332"/>
      <c r="G56" s="76"/>
      <c r="H56" s="75"/>
      <c r="I56" s="43"/>
      <c r="J56" s="44" t="s">
        <v>23</v>
      </c>
      <c r="K56" s="77"/>
    </row>
    <row r="57" spans="1:11" s="61" customFormat="1" ht="21" customHeight="1" x14ac:dyDescent="0.2">
      <c r="A57" s="49" t="s">
        <v>102</v>
      </c>
      <c r="B57" s="63" t="s">
        <v>31</v>
      </c>
      <c r="C57" s="49" t="s">
        <v>26</v>
      </c>
      <c r="D57" s="64" t="s">
        <v>60</v>
      </c>
      <c r="E57" s="49" t="s">
        <v>33</v>
      </c>
      <c r="F57" s="331">
        <v>58.15</v>
      </c>
      <c r="G57" s="66">
        <v>2.69</v>
      </c>
      <c r="H57" s="67">
        <f t="shared" ref="H57:H63" si="8">G57*$L$9</f>
        <v>3.3624999999999998</v>
      </c>
      <c r="I57" s="55">
        <f t="shared" ref="I57:I63" si="9">+F57*H57</f>
        <v>195.52937499999999</v>
      </c>
      <c r="J57" s="68"/>
      <c r="K57" s="69"/>
    </row>
    <row r="58" spans="1:11" s="61" customFormat="1" ht="25.5" customHeight="1" x14ac:dyDescent="0.2">
      <c r="A58" s="49" t="s">
        <v>103</v>
      </c>
      <c r="B58" s="63" t="s">
        <v>62</v>
      </c>
      <c r="C58" s="49" t="s">
        <v>26</v>
      </c>
      <c r="D58" s="64" t="s">
        <v>63</v>
      </c>
      <c r="E58" s="49" t="s">
        <v>40</v>
      </c>
      <c r="F58" s="331">
        <v>42.75</v>
      </c>
      <c r="G58" s="66">
        <v>11.83</v>
      </c>
      <c r="H58" s="67">
        <f t="shared" si="8"/>
        <v>14.7875</v>
      </c>
      <c r="I58" s="55">
        <f t="shared" si="9"/>
        <v>632.16562499999998</v>
      </c>
      <c r="J58" s="68"/>
      <c r="K58" s="69"/>
    </row>
    <row r="59" spans="1:11" s="61" customFormat="1" ht="30" customHeight="1" x14ac:dyDescent="0.2">
      <c r="A59" s="49" t="s">
        <v>104</v>
      </c>
      <c r="B59" s="63" t="s">
        <v>65</v>
      </c>
      <c r="C59" s="49" t="s">
        <v>26</v>
      </c>
      <c r="D59" s="64" t="s">
        <v>66</v>
      </c>
      <c r="E59" s="49" t="s">
        <v>40</v>
      </c>
      <c r="F59" s="331">
        <v>46.4</v>
      </c>
      <c r="G59" s="66">
        <v>26.01</v>
      </c>
      <c r="H59" s="67">
        <f t="shared" si="8"/>
        <v>32.512500000000003</v>
      </c>
      <c r="I59" s="55">
        <f t="shared" si="9"/>
        <v>1508.5800000000002</v>
      </c>
      <c r="J59" s="68"/>
      <c r="K59" s="69"/>
    </row>
    <row r="60" spans="1:11" s="61" customFormat="1" ht="30" customHeight="1" x14ac:dyDescent="0.2">
      <c r="A60" s="49" t="s">
        <v>105</v>
      </c>
      <c r="B60" s="63" t="s">
        <v>42</v>
      </c>
      <c r="C60" s="49" t="s">
        <v>26</v>
      </c>
      <c r="D60" s="64" t="s">
        <v>43</v>
      </c>
      <c r="E60" s="49" t="s">
        <v>33</v>
      </c>
      <c r="F60" s="331">
        <v>15.44</v>
      </c>
      <c r="G60" s="66">
        <v>35.68</v>
      </c>
      <c r="H60" s="67">
        <f t="shared" si="8"/>
        <v>44.6</v>
      </c>
      <c r="I60" s="55">
        <f t="shared" si="9"/>
        <v>688.62400000000002</v>
      </c>
      <c r="J60" s="68"/>
      <c r="K60" s="69"/>
    </row>
    <row r="61" spans="1:11" s="61" customFormat="1" ht="41.25" customHeight="1" x14ac:dyDescent="0.2">
      <c r="A61" s="49" t="s">
        <v>106</v>
      </c>
      <c r="B61" s="63" t="s">
        <v>51</v>
      </c>
      <c r="C61" s="49" t="s">
        <v>26</v>
      </c>
      <c r="D61" s="64" t="s">
        <v>52</v>
      </c>
      <c r="E61" s="49" t="s">
        <v>53</v>
      </c>
      <c r="F61" s="331">
        <v>6</v>
      </c>
      <c r="G61" s="66">
        <v>7.4</v>
      </c>
      <c r="H61" s="67">
        <f t="shared" si="8"/>
        <v>9.25</v>
      </c>
      <c r="I61" s="55">
        <f t="shared" si="9"/>
        <v>55.5</v>
      </c>
      <c r="J61" s="68"/>
      <c r="K61" s="69"/>
    </row>
    <row r="62" spans="1:11" s="61" customFormat="1" ht="40.5" customHeight="1" x14ac:dyDescent="0.2">
      <c r="A62" s="49" t="s">
        <v>107</v>
      </c>
      <c r="B62" s="63" t="s">
        <v>55</v>
      </c>
      <c r="C62" s="49" t="s">
        <v>26</v>
      </c>
      <c r="D62" s="64" t="s">
        <v>56</v>
      </c>
      <c r="E62" s="49" t="s">
        <v>57</v>
      </c>
      <c r="F62" s="331">
        <v>1</v>
      </c>
      <c r="G62" s="53">
        <v>25.47</v>
      </c>
      <c r="H62" s="67">
        <f t="shared" si="8"/>
        <v>31.837499999999999</v>
      </c>
      <c r="I62" s="55">
        <f t="shared" si="9"/>
        <v>31.837499999999999</v>
      </c>
      <c r="J62" s="68"/>
      <c r="K62" s="69"/>
    </row>
    <row r="63" spans="1:11" s="61" customFormat="1" ht="30" customHeight="1" x14ac:dyDescent="0.2">
      <c r="A63" s="49" t="s">
        <v>108</v>
      </c>
      <c r="B63" s="63" t="s">
        <v>87</v>
      </c>
      <c r="C63" s="49" t="s">
        <v>26</v>
      </c>
      <c r="D63" s="64" t="s">
        <v>88</v>
      </c>
      <c r="E63" s="49" t="s">
        <v>57</v>
      </c>
      <c r="F63" s="331">
        <v>2</v>
      </c>
      <c r="G63" s="66">
        <v>25.1</v>
      </c>
      <c r="H63" s="67">
        <f t="shared" si="8"/>
        <v>31.375</v>
      </c>
      <c r="I63" s="55">
        <f t="shared" si="9"/>
        <v>62.75</v>
      </c>
      <c r="J63" s="68"/>
      <c r="K63" s="69"/>
    </row>
    <row r="64" spans="1:11" s="78" customFormat="1" ht="21" customHeight="1" x14ac:dyDescent="0.2">
      <c r="A64" s="350" t="s">
        <v>109</v>
      </c>
      <c r="B64" s="350"/>
      <c r="C64" s="350"/>
      <c r="D64" s="350"/>
      <c r="E64" s="74"/>
      <c r="F64" s="332"/>
      <c r="G64" s="76"/>
      <c r="H64" s="75"/>
      <c r="I64" s="43"/>
      <c r="J64" s="44" t="s">
        <v>23</v>
      </c>
      <c r="K64" s="77"/>
    </row>
    <row r="65" spans="1:11" s="61" customFormat="1" ht="21" customHeight="1" x14ac:dyDescent="0.2">
      <c r="A65" s="49" t="s">
        <v>110</v>
      </c>
      <c r="B65" s="63" t="s">
        <v>31</v>
      </c>
      <c r="C65" s="49" t="s">
        <v>26</v>
      </c>
      <c r="D65" s="64" t="s">
        <v>60</v>
      </c>
      <c r="E65" s="49" t="s">
        <v>33</v>
      </c>
      <c r="F65" s="331">
        <v>46</v>
      </c>
      <c r="G65" s="66">
        <v>2.6899000000000002</v>
      </c>
      <c r="H65" s="67">
        <f t="shared" ref="H65:H72" si="10">G65*$L$9</f>
        <v>3.3623750000000001</v>
      </c>
      <c r="I65" s="55">
        <f t="shared" ref="I65:I72" si="11">+F65*H65</f>
        <v>154.66925000000001</v>
      </c>
      <c r="J65" s="68"/>
      <c r="K65" s="69"/>
    </row>
    <row r="66" spans="1:11" s="61" customFormat="1" ht="25.5" customHeight="1" x14ac:dyDescent="0.2">
      <c r="A66" s="49" t="s">
        <v>111</v>
      </c>
      <c r="B66" s="63" t="s">
        <v>62</v>
      </c>
      <c r="C66" s="49" t="s">
        <v>26</v>
      </c>
      <c r="D66" s="64" t="s">
        <v>63</v>
      </c>
      <c r="E66" s="49" t="s">
        <v>40</v>
      </c>
      <c r="F66" s="331">
        <v>36.25</v>
      </c>
      <c r="G66" s="66">
        <v>11.83</v>
      </c>
      <c r="H66" s="67">
        <f t="shared" si="10"/>
        <v>14.7875</v>
      </c>
      <c r="I66" s="55">
        <f t="shared" si="11"/>
        <v>536.046875</v>
      </c>
      <c r="J66" s="68"/>
      <c r="K66" s="69"/>
    </row>
    <row r="67" spans="1:11" s="61" customFormat="1" ht="41.25" customHeight="1" x14ac:dyDescent="0.2">
      <c r="A67" s="49" t="s">
        <v>112</v>
      </c>
      <c r="B67" s="63" t="s">
        <v>51</v>
      </c>
      <c r="C67" s="49" t="s">
        <v>26</v>
      </c>
      <c r="D67" s="64" t="s">
        <v>113</v>
      </c>
      <c r="E67" s="49" t="s">
        <v>53</v>
      </c>
      <c r="F67" s="331">
        <v>4</v>
      </c>
      <c r="G67" s="66">
        <v>7.4</v>
      </c>
      <c r="H67" s="67">
        <f t="shared" si="10"/>
        <v>9.25</v>
      </c>
      <c r="I67" s="55">
        <f t="shared" si="11"/>
        <v>37</v>
      </c>
      <c r="J67" s="68"/>
      <c r="K67" s="69">
        <f>F65*H65</f>
        <v>154.66925000000001</v>
      </c>
    </row>
    <row r="68" spans="1:11" s="61" customFormat="1" ht="30" customHeight="1" x14ac:dyDescent="0.2">
      <c r="A68" s="49" t="s">
        <v>114</v>
      </c>
      <c r="B68" s="63" t="s">
        <v>115</v>
      </c>
      <c r="C68" s="49" t="s">
        <v>26</v>
      </c>
      <c r="D68" s="64" t="s">
        <v>116</v>
      </c>
      <c r="E68" s="49" t="s">
        <v>40</v>
      </c>
      <c r="F68" s="331">
        <v>1</v>
      </c>
      <c r="G68" s="66">
        <v>28.87</v>
      </c>
      <c r="H68" s="67">
        <f t="shared" si="10"/>
        <v>36.087499999999999</v>
      </c>
      <c r="I68" s="55">
        <f t="shared" si="11"/>
        <v>36.087499999999999</v>
      </c>
      <c r="J68" s="68"/>
      <c r="K68" s="69"/>
    </row>
    <row r="69" spans="1:11" s="61" customFormat="1" ht="30" customHeight="1" x14ac:dyDescent="0.2">
      <c r="A69" s="49" t="s">
        <v>117</v>
      </c>
      <c r="B69" s="63" t="s">
        <v>65</v>
      </c>
      <c r="C69" s="49" t="s">
        <v>26</v>
      </c>
      <c r="D69" s="64" t="s">
        <v>66</v>
      </c>
      <c r="E69" s="49" t="s">
        <v>40</v>
      </c>
      <c r="F69" s="331">
        <v>36.25</v>
      </c>
      <c r="G69" s="66">
        <v>26.01</v>
      </c>
      <c r="H69" s="67">
        <f t="shared" si="10"/>
        <v>32.512500000000003</v>
      </c>
      <c r="I69" s="55">
        <f t="shared" si="11"/>
        <v>1178.578125</v>
      </c>
      <c r="J69" s="68"/>
      <c r="K69" s="69"/>
    </row>
    <row r="70" spans="1:11" s="61" customFormat="1" ht="30" customHeight="1" x14ac:dyDescent="0.2">
      <c r="A70" s="49" t="s">
        <v>118</v>
      </c>
      <c r="B70" s="63" t="s">
        <v>42</v>
      </c>
      <c r="C70" s="49" t="s">
        <v>26</v>
      </c>
      <c r="D70" s="64" t="s">
        <v>43</v>
      </c>
      <c r="E70" s="49" t="s">
        <v>33</v>
      </c>
      <c r="F70" s="331">
        <v>9.75</v>
      </c>
      <c r="G70" s="66">
        <v>35.68</v>
      </c>
      <c r="H70" s="67">
        <f t="shared" si="10"/>
        <v>44.6</v>
      </c>
      <c r="I70" s="55">
        <f t="shared" si="11"/>
        <v>434.85</v>
      </c>
      <c r="J70" s="68"/>
      <c r="K70" s="69"/>
    </row>
    <row r="71" spans="1:11" s="61" customFormat="1" ht="40.5" customHeight="1" x14ac:dyDescent="0.2">
      <c r="A71" s="49" t="s">
        <v>119</v>
      </c>
      <c r="B71" s="63" t="s">
        <v>55</v>
      </c>
      <c r="C71" s="49" t="s">
        <v>26</v>
      </c>
      <c r="D71" s="64" t="s">
        <v>56</v>
      </c>
      <c r="E71" s="49" t="s">
        <v>57</v>
      </c>
      <c r="F71" s="331">
        <v>1</v>
      </c>
      <c r="G71" s="53">
        <v>25.47</v>
      </c>
      <c r="H71" s="67">
        <f t="shared" si="10"/>
        <v>31.837499999999999</v>
      </c>
      <c r="I71" s="55">
        <f t="shared" si="11"/>
        <v>31.837499999999999</v>
      </c>
      <c r="J71" s="68"/>
      <c r="K71" s="69"/>
    </row>
    <row r="72" spans="1:11" s="61" customFormat="1" ht="30" customHeight="1" x14ac:dyDescent="0.2">
      <c r="A72" s="49" t="s">
        <v>120</v>
      </c>
      <c r="B72" s="63" t="s">
        <v>87</v>
      </c>
      <c r="C72" s="49" t="s">
        <v>26</v>
      </c>
      <c r="D72" s="64" t="s">
        <v>88</v>
      </c>
      <c r="E72" s="49" t="s">
        <v>57</v>
      </c>
      <c r="F72" s="331">
        <v>2</v>
      </c>
      <c r="G72" s="66">
        <v>25.1</v>
      </c>
      <c r="H72" s="67">
        <f t="shared" si="10"/>
        <v>31.375</v>
      </c>
      <c r="I72" s="55">
        <f t="shared" si="11"/>
        <v>62.75</v>
      </c>
      <c r="J72" s="68"/>
      <c r="K72" s="69"/>
    </row>
    <row r="73" spans="1:11" s="78" customFormat="1" ht="19.5" customHeight="1" x14ac:dyDescent="0.2">
      <c r="A73" s="349" t="s">
        <v>121</v>
      </c>
      <c r="B73" s="349"/>
      <c r="C73" s="349"/>
      <c r="D73" s="349"/>
      <c r="E73" s="74"/>
      <c r="F73" s="332"/>
      <c r="G73" s="76"/>
      <c r="H73" s="75"/>
      <c r="I73" s="43"/>
      <c r="J73" s="44" t="s">
        <v>23</v>
      </c>
      <c r="K73" s="45"/>
    </row>
    <row r="74" spans="1:11" s="61" customFormat="1" ht="21" customHeight="1" x14ac:dyDescent="0.2">
      <c r="A74" s="49" t="s">
        <v>122</v>
      </c>
      <c r="B74" s="63" t="s">
        <v>31</v>
      </c>
      <c r="C74" s="49" t="s">
        <v>26</v>
      </c>
      <c r="D74" s="64" t="s">
        <v>60</v>
      </c>
      <c r="E74" s="49" t="s">
        <v>33</v>
      </c>
      <c r="F74" s="331">
        <v>17.66</v>
      </c>
      <c r="G74" s="66">
        <v>2.69</v>
      </c>
      <c r="H74" s="67">
        <f t="shared" ref="H74:H77" si="12">G74*$L$9</f>
        <v>3.3624999999999998</v>
      </c>
      <c r="I74" s="55">
        <f t="shared" ref="I74:I77" si="13">+F74*H74</f>
        <v>59.381749999999997</v>
      </c>
      <c r="J74" s="68"/>
      <c r="K74" s="69"/>
    </row>
    <row r="75" spans="1:11" s="61" customFormat="1" ht="25.5" customHeight="1" x14ac:dyDescent="0.2">
      <c r="A75" s="49" t="s">
        <v>123</v>
      </c>
      <c r="B75" s="63" t="s">
        <v>62</v>
      </c>
      <c r="C75" s="49" t="s">
        <v>26</v>
      </c>
      <c r="D75" s="64" t="s">
        <v>63</v>
      </c>
      <c r="E75" s="49" t="s">
        <v>40</v>
      </c>
      <c r="F75" s="331">
        <v>15.95</v>
      </c>
      <c r="G75" s="66">
        <v>11.83</v>
      </c>
      <c r="H75" s="67">
        <f t="shared" si="12"/>
        <v>14.7875</v>
      </c>
      <c r="I75" s="55">
        <f t="shared" si="13"/>
        <v>235.86062499999997</v>
      </c>
      <c r="J75" s="68"/>
      <c r="K75" s="69"/>
    </row>
    <row r="76" spans="1:11" s="61" customFormat="1" ht="30" customHeight="1" x14ac:dyDescent="0.2">
      <c r="A76" s="49" t="s">
        <v>124</v>
      </c>
      <c r="B76" s="63" t="s">
        <v>65</v>
      </c>
      <c r="C76" s="49" t="s">
        <v>26</v>
      </c>
      <c r="D76" s="64" t="s">
        <v>66</v>
      </c>
      <c r="E76" s="49" t="s">
        <v>40</v>
      </c>
      <c r="F76" s="331">
        <v>15.95</v>
      </c>
      <c r="G76" s="66">
        <v>26.01</v>
      </c>
      <c r="H76" s="67">
        <f t="shared" si="12"/>
        <v>32.512500000000003</v>
      </c>
      <c r="I76" s="55">
        <f t="shared" si="13"/>
        <v>518.57437500000003</v>
      </c>
      <c r="J76" s="68"/>
      <c r="K76" s="69"/>
    </row>
    <row r="77" spans="1:11" s="61" customFormat="1" ht="30" customHeight="1" x14ac:dyDescent="0.2">
      <c r="A77" s="49" t="s">
        <v>125</v>
      </c>
      <c r="B77" s="63" t="s">
        <v>42</v>
      </c>
      <c r="C77" s="49" t="s">
        <v>26</v>
      </c>
      <c r="D77" s="64" t="s">
        <v>43</v>
      </c>
      <c r="E77" s="49" t="s">
        <v>33</v>
      </c>
      <c r="F77" s="331">
        <v>1.71</v>
      </c>
      <c r="G77" s="66">
        <v>35.68</v>
      </c>
      <c r="H77" s="67">
        <f t="shared" si="12"/>
        <v>44.6</v>
      </c>
      <c r="I77" s="55">
        <f t="shared" si="13"/>
        <v>76.266000000000005</v>
      </c>
      <c r="J77" s="68"/>
      <c r="K77" s="69"/>
    </row>
    <row r="78" spans="1:11" s="78" customFormat="1" ht="22.5" customHeight="1" x14ac:dyDescent="0.2">
      <c r="A78" s="349" t="s">
        <v>126</v>
      </c>
      <c r="B78" s="349"/>
      <c r="C78" s="349"/>
      <c r="D78" s="349"/>
      <c r="E78" s="74"/>
      <c r="F78" s="332"/>
      <c r="G78" s="76"/>
      <c r="H78" s="75"/>
      <c r="I78" s="43"/>
      <c r="J78" s="44" t="s">
        <v>23</v>
      </c>
      <c r="K78" s="45"/>
    </row>
    <row r="79" spans="1:11" s="61" customFormat="1" ht="21" customHeight="1" x14ac:dyDescent="0.2">
      <c r="A79" s="49" t="s">
        <v>127</v>
      </c>
      <c r="B79" s="63" t="s">
        <v>31</v>
      </c>
      <c r="C79" s="49" t="s">
        <v>26</v>
      </c>
      <c r="D79" s="64" t="s">
        <v>60</v>
      </c>
      <c r="E79" s="49" t="s">
        <v>33</v>
      </c>
      <c r="F79" s="331">
        <v>42.9</v>
      </c>
      <c r="G79" s="66">
        <v>2.69</v>
      </c>
      <c r="H79" s="67">
        <f t="shared" ref="H79:H89" si="14">G79*$L$9</f>
        <v>3.3624999999999998</v>
      </c>
      <c r="I79" s="55">
        <f t="shared" ref="I79:I89" si="15">+F79*H79</f>
        <v>144.25125</v>
      </c>
      <c r="J79" s="68"/>
      <c r="K79" s="69"/>
    </row>
    <row r="80" spans="1:11" s="61" customFormat="1" ht="21" customHeight="1" x14ac:dyDescent="0.2">
      <c r="A80" s="49" t="s">
        <v>128</v>
      </c>
      <c r="B80" s="63" t="s">
        <v>35</v>
      </c>
      <c r="C80" s="49" t="s">
        <v>26</v>
      </c>
      <c r="D80" s="64" t="s">
        <v>74</v>
      </c>
      <c r="E80" s="49" t="s">
        <v>33</v>
      </c>
      <c r="F80" s="331">
        <v>3.3</v>
      </c>
      <c r="G80" s="66">
        <v>4.5599999999999996</v>
      </c>
      <c r="H80" s="67">
        <f t="shared" si="14"/>
        <v>5.6999999999999993</v>
      </c>
      <c r="I80" s="55">
        <f t="shared" si="15"/>
        <v>18.809999999999995</v>
      </c>
      <c r="J80" s="68"/>
      <c r="K80" s="69"/>
    </row>
    <row r="81" spans="1:11" s="61" customFormat="1" ht="21" customHeight="1" x14ac:dyDescent="0.2">
      <c r="A81" s="49" t="s">
        <v>129</v>
      </c>
      <c r="B81" s="63" t="s">
        <v>75</v>
      </c>
      <c r="C81" s="49" t="s">
        <v>26</v>
      </c>
      <c r="D81" s="64" t="s">
        <v>76</v>
      </c>
      <c r="E81" s="49" t="s">
        <v>33</v>
      </c>
      <c r="F81" s="331">
        <v>3.36</v>
      </c>
      <c r="G81" s="66">
        <v>4.05</v>
      </c>
      <c r="H81" s="67">
        <f t="shared" si="14"/>
        <v>5.0625</v>
      </c>
      <c r="I81" s="55">
        <f t="shared" si="15"/>
        <v>17.009999999999998</v>
      </c>
      <c r="J81" s="68"/>
      <c r="K81" s="69"/>
    </row>
    <row r="82" spans="1:11" s="61" customFormat="1" ht="25.5" customHeight="1" x14ac:dyDescent="0.2">
      <c r="A82" s="49" t="s">
        <v>130</v>
      </c>
      <c r="B82" s="63" t="s">
        <v>62</v>
      </c>
      <c r="C82" s="49" t="s">
        <v>26</v>
      </c>
      <c r="D82" s="64" t="s">
        <v>63</v>
      </c>
      <c r="E82" s="49" t="s">
        <v>40</v>
      </c>
      <c r="F82" s="331">
        <v>34.22</v>
      </c>
      <c r="G82" s="66">
        <v>11.83</v>
      </c>
      <c r="H82" s="67">
        <f t="shared" si="14"/>
        <v>14.7875</v>
      </c>
      <c r="I82" s="55">
        <f t="shared" si="15"/>
        <v>506.02824999999996</v>
      </c>
      <c r="J82" s="68"/>
      <c r="K82" s="69"/>
    </row>
    <row r="83" spans="1:11" s="61" customFormat="1" ht="30" customHeight="1" x14ac:dyDescent="0.2">
      <c r="A83" s="49" t="s">
        <v>131</v>
      </c>
      <c r="B83" s="63" t="s">
        <v>42</v>
      </c>
      <c r="C83" s="49" t="s">
        <v>26</v>
      </c>
      <c r="D83" s="64" t="s">
        <v>43</v>
      </c>
      <c r="E83" s="49" t="s">
        <v>33</v>
      </c>
      <c r="F83" s="331">
        <v>8.6999999999999993</v>
      </c>
      <c r="G83" s="66">
        <v>35.68</v>
      </c>
      <c r="H83" s="67">
        <f t="shared" si="14"/>
        <v>44.6</v>
      </c>
      <c r="I83" s="55">
        <f t="shared" si="15"/>
        <v>388.02</v>
      </c>
      <c r="J83" s="68"/>
      <c r="K83" s="69"/>
    </row>
    <row r="84" spans="1:11" s="61" customFormat="1" ht="30" customHeight="1" x14ac:dyDescent="0.2">
      <c r="A84" s="49" t="s">
        <v>132</v>
      </c>
      <c r="B84" s="63" t="s">
        <v>65</v>
      </c>
      <c r="C84" s="49" t="s">
        <v>26</v>
      </c>
      <c r="D84" s="64" t="s">
        <v>66</v>
      </c>
      <c r="E84" s="49" t="s">
        <v>40</v>
      </c>
      <c r="F84" s="331">
        <v>34.22</v>
      </c>
      <c r="G84" s="66">
        <v>26.01</v>
      </c>
      <c r="H84" s="67">
        <f t="shared" si="14"/>
        <v>32.512500000000003</v>
      </c>
      <c r="I84" s="55">
        <f t="shared" si="15"/>
        <v>1112.5777500000002</v>
      </c>
      <c r="J84" s="68"/>
      <c r="K84" s="69"/>
    </row>
    <row r="85" spans="1:11" s="61" customFormat="1" ht="24.75" customHeight="1" x14ac:dyDescent="0.2">
      <c r="A85" s="49" t="s">
        <v>133</v>
      </c>
      <c r="B85" s="63" t="s">
        <v>48</v>
      </c>
      <c r="C85" s="49" t="s">
        <v>26</v>
      </c>
      <c r="D85" s="64" t="s">
        <v>49</v>
      </c>
      <c r="E85" s="49" t="s">
        <v>33</v>
      </c>
      <c r="F85" s="331">
        <v>3.3</v>
      </c>
      <c r="G85" s="66">
        <v>34.28</v>
      </c>
      <c r="H85" s="67">
        <f t="shared" si="14"/>
        <v>42.85</v>
      </c>
      <c r="I85" s="55">
        <f t="shared" si="15"/>
        <v>141.405</v>
      </c>
      <c r="J85" s="68"/>
      <c r="K85" s="69"/>
    </row>
    <row r="86" spans="1:11" s="61" customFormat="1" ht="24.75" customHeight="1" x14ac:dyDescent="0.2">
      <c r="A86" s="49" t="s">
        <v>134</v>
      </c>
      <c r="B86" s="63" t="s">
        <v>79</v>
      </c>
      <c r="C86" s="49" t="s">
        <v>26</v>
      </c>
      <c r="D86" s="64" t="s">
        <v>80</v>
      </c>
      <c r="E86" s="49" t="s">
        <v>33</v>
      </c>
      <c r="F86" s="331">
        <v>3.36</v>
      </c>
      <c r="G86" s="66">
        <v>23.08</v>
      </c>
      <c r="H86" s="67">
        <f t="shared" si="14"/>
        <v>28.849999999999998</v>
      </c>
      <c r="I86" s="55">
        <f t="shared" si="15"/>
        <v>96.935999999999993</v>
      </c>
      <c r="J86" s="68"/>
      <c r="K86" s="69"/>
    </row>
    <row r="87" spans="1:11" s="61" customFormat="1" ht="30" customHeight="1" x14ac:dyDescent="0.2">
      <c r="A87" s="49" t="s">
        <v>135</v>
      </c>
      <c r="B87" s="63" t="s">
        <v>136</v>
      </c>
      <c r="C87" s="49" t="s">
        <v>26</v>
      </c>
      <c r="D87" s="64" t="s">
        <v>137</v>
      </c>
      <c r="E87" s="49" t="s">
        <v>57</v>
      </c>
      <c r="F87" s="331">
        <v>1</v>
      </c>
      <c r="G87" s="66">
        <v>886.33</v>
      </c>
      <c r="H87" s="67">
        <f t="shared" si="14"/>
        <v>1107.9125000000001</v>
      </c>
      <c r="I87" s="55">
        <f t="shared" si="15"/>
        <v>1107.9125000000001</v>
      </c>
      <c r="J87" s="68"/>
      <c r="K87" s="69"/>
    </row>
    <row r="88" spans="1:11" s="61" customFormat="1" ht="40.5" customHeight="1" x14ac:dyDescent="0.2">
      <c r="A88" s="49" t="s">
        <v>138</v>
      </c>
      <c r="B88" s="63" t="s">
        <v>55</v>
      </c>
      <c r="C88" s="49" t="s">
        <v>26</v>
      </c>
      <c r="D88" s="64" t="s">
        <v>56</v>
      </c>
      <c r="E88" s="49" t="s">
        <v>57</v>
      </c>
      <c r="F88" s="331">
        <v>1</v>
      </c>
      <c r="G88" s="53">
        <v>25.47</v>
      </c>
      <c r="H88" s="67">
        <f t="shared" si="14"/>
        <v>31.837499999999999</v>
      </c>
      <c r="I88" s="55">
        <f t="shared" si="15"/>
        <v>31.837499999999999</v>
      </c>
      <c r="J88" s="68"/>
      <c r="K88" s="69"/>
    </row>
    <row r="89" spans="1:11" s="61" customFormat="1" ht="30" customHeight="1" x14ac:dyDescent="0.2">
      <c r="A89" s="49" t="s">
        <v>139</v>
      </c>
      <c r="B89" s="63" t="s">
        <v>87</v>
      </c>
      <c r="C89" s="49" t="s">
        <v>26</v>
      </c>
      <c r="D89" s="64" t="s">
        <v>88</v>
      </c>
      <c r="E89" s="49" t="s">
        <v>57</v>
      </c>
      <c r="F89" s="331">
        <v>2</v>
      </c>
      <c r="G89" s="66">
        <v>25.1</v>
      </c>
      <c r="H89" s="67">
        <f t="shared" si="14"/>
        <v>31.375</v>
      </c>
      <c r="I89" s="55">
        <f t="shared" si="15"/>
        <v>62.75</v>
      </c>
      <c r="J89" s="68"/>
      <c r="K89" s="69"/>
    </row>
    <row r="90" spans="1:11" s="78" customFormat="1" ht="21" customHeight="1" x14ac:dyDescent="0.2">
      <c r="A90" s="349" t="s">
        <v>140</v>
      </c>
      <c r="B90" s="349"/>
      <c r="C90" s="349"/>
      <c r="D90" s="349"/>
      <c r="E90" s="74"/>
      <c r="F90" s="332"/>
      <c r="G90" s="75"/>
      <c r="H90" s="75"/>
      <c r="I90" s="43"/>
      <c r="J90" s="44" t="s">
        <v>23</v>
      </c>
      <c r="K90" s="45"/>
    </row>
    <row r="91" spans="1:11" s="61" customFormat="1" ht="21" customHeight="1" x14ac:dyDescent="0.2">
      <c r="A91" s="49" t="s">
        <v>141</v>
      </c>
      <c r="B91" s="63" t="s">
        <v>31</v>
      </c>
      <c r="C91" s="49" t="s">
        <v>26</v>
      </c>
      <c r="D91" s="64" t="s">
        <v>60</v>
      </c>
      <c r="E91" s="49" t="s">
        <v>33</v>
      </c>
      <c r="F91" s="331">
        <v>3.24</v>
      </c>
      <c r="G91" s="66">
        <v>2.69</v>
      </c>
      <c r="H91" s="67">
        <f t="shared" ref="H91:H104" si="16">G91*$L$9</f>
        <v>3.3624999999999998</v>
      </c>
      <c r="I91" s="55">
        <f t="shared" ref="I91:I104" si="17">+F91*H91</f>
        <v>10.894500000000001</v>
      </c>
      <c r="J91" s="68"/>
      <c r="K91" s="69"/>
    </row>
    <row r="92" spans="1:11" s="61" customFormat="1" ht="21" customHeight="1" x14ac:dyDescent="0.2">
      <c r="A92" s="49" t="s">
        <v>142</v>
      </c>
      <c r="B92" s="63" t="s">
        <v>35</v>
      </c>
      <c r="C92" s="49" t="s">
        <v>26</v>
      </c>
      <c r="D92" s="64" t="s">
        <v>74</v>
      </c>
      <c r="E92" s="49" t="s">
        <v>33</v>
      </c>
      <c r="F92" s="331">
        <v>1.2</v>
      </c>
      <c r="G92" s="66">
        <v>4.5599999999999996</v>
      </c>
      <c r="H92" s="67">
        <f t="shared" si="16"/>
        <v>5.6999999999999993</v>
      </c>
      <c r="I92" s="55">
        <f t="shared" si="17"/>
        <v>6.839999999999999</v>
      </c>
      <c r="J92" s="68"/>
      <c r="K92" s="69"/>
    </row>
    <row r="93" spans="1:11" s="61" customFormat="1" ht="21" customHeight="1" x14ac:dyDescent="0.2">
      <c r="A93" s="49" t="s">
        <v>143</v>
      </c>
      <c r="B93" s="63" t="s">
        <v>75</v>
      </c>
      <c r="C93" s="49" t="s">
        <v>26</v>
      </c>
      <c r="D93" s="64" t="s">
        <v>76</v>
      </c>
      <c r="E93" s="49" t="s">
        <v>33</v>
      </c>
      <c r="F93" s="331">
        <v>3.78</v>
      </c>
      <c r="G93" s="66">
        <v>4.05</v>
      </c>
      <c r="H93" s="67">
        <f t="shared" si="16"/>
        <v>5.0625</v>
      </c>
      <c r="I93" s="55">
        <f t="shared" si="17"/>
        <v>19.13625</v>
      </c>
      <c r="J93" s="68"/>
      <c r="K93" s="69"/>
    </row>
    <row r="94" spans="1:11" s="61" customFormat="1" ht="30" customHeight="1" x14ac:dyDescent="0.2">
      <c r="A94" s="49" t="s">
        <v>144</v>
      </c>
      <c r="B94" s="63" t="s">
        <v>42</v>
      </c>
      <c r="C94" s="49" t="s">
        <v>26</v>
      </c>
      <c r="D94" s="64" t="s">
        <v>43</v>
      </c>
      <c r="E94" s="49" t="s">
        <v>33</v>
      </c>
      <c r="F94" s="331">
        <v>3.24</v>
      </c>
      <c r="G94" s="66">
        <v>35.68</v>
      </c>
      <c r="H94" s="67">
        <f t="shared" si="16"/>
        <v>44.6</v>
      </c>
      <c r="I94" s="55">
        <f t="shared" si="17"/>
        <v>144.50400000000002</v>
      </c>
      <c r="J94" s="68"/>
      <c r="K94" s="69"/>
    </row>
    <row r="95" spans="1:11" s="61" customFormat="1" ht="24.75" customHeight="1" x14ac:dyDescent="0.2">
      <c r="A95" s="49" t="s">
        <v>145</v>
      </c>
      <c r="B95" s="63" t="s">
        <v>48</v>
      </c>
      <c r="C95" s="49" t="s">
        <v>26</v>
      </c>
      <c r="D95" s="64" t="s">
        <v>49</v>
      </c>
      <c r="E95" s="49" t="s">
        <v>33</v>
      </c>
      <c r="F95" s="331">
        <v>1.2</v>
      </c>
      <c r="G95" s="66">
        <v>34.28</v>
      </c>
      <c r="H95" s="67">
        <f t="shared" si="16"/>
        <v>42.85</v>
      </c>
      <c r="I95" s="55">
        <f t="shared" si="17"/>
        <v>51.42</v>
      </c>
      <c r="J95" s="68"/>
      <c r="K95" s="69"/>
    </row>
    <row r="96" spans="1:11" s="61" customFormat="1" ht="24.75" customHeight="1" x14ac:dyDescent="0.2">
      <c r="A96" s="49" t="s">
        <v>146</v>
      </c>
      <c r="B96" s="63" t="s">
        <v>79</v>
      </c>
      <c r="C96" s="49" t="s">
        <v>26</v>
      </c>
      <c r="D96" s="64" t="s">
        <v>80</v>
      </c>
      <c r="E96" s="49" t="s">
        <v>33</v>
      </c>
      <c r="F96" s="331">
        <v>3.78</v>
      </c>
      <c r="G96" s="66">
        <v>23.08</v>
      </c>
      <c r="H96" s="67">
        <f t="shared" si="16"/>
        <v>28.849999999999998</v>
      </c>
      <c r="I96" s="55">
        <f t="shared" si="17"/>
        <v>109.05299999999998</v>
      </c>
      <c r="J96" s="68"/>
      <c r="K96" s="69"/>
    </row>
    <row r="97" spans="1:18" s="61" customFormat="1" ht="31.9" customHeight="1" x14ac:dyDescent="0.2">
      <c r="A97" s="49" t="s">
        <v>147</v>
      </c>
      <c r="B97" s="48" t="s">
        <v>148</v>
      </c>
      <c r="C97" s="49" t="s">
        <v>26</v>
      </c>
      <c r="D97" s="79" t="s">
        <v>149</v>
      </c>
      <c r="E97" s="51" t="s">
        <v>57</v>
      </c>
      <c r="F97" s="329">
        <v>1</v>
      </c>
      <c r="G97" s="80">
        <v>915.71</v>
      </c>
      <c r="H97" s="67">
        <f t="shared" si="16"/>
        <v>1144.6375</v>
      </c>
      <c r="I97" s="55">
        <f t="shared" si="17"/>
        <v>1144.6375</v>
      </c>
      <c r="J97" s="81"/>
      <c r="K97" s="81"/>
      <c r="L97" s="59"/>
      <c r="M97" s="59"/>
      <c r="N97" s="59"/>
      <c r="O97" s="59"/>
      <c r="P97" s="59"/>
      <c r="Q97" s="59"/>
      <c r="R97" s="60"/>
    </row>
    <row r="98" spans="1:18" s="61" customFormat="1" ht="39" customHeight="1" x14ac:dyDescent="0.2">
      <c r="A98" s="49" t="s">
        <v>150</v>
      </c>
      <c r="B98" s="48" t="s">
        <v>151</v>
      </c>
      <c r="C98" s="49" t="s">
        <v>26</v>
      </c>
      <c r="D98" s="64" t="s">
        <v>152</v>
      </c>
      <c r="E98" s="51" t="s">
        <v>57</v>
      </c>
      <c r="F98" s="329">
        <v>1</v>
      </c>
      <c r="G98" s="80">
        <v>735.76</v>
      </c>
      <c r="H98" s="67">
        <f t="shared" si="16"/>
        <v>919.7</v>
      </c>
      <c r="I98" s="55">
        <f t="shared" si="17"/>
        <v>919.7</v>
      </c>
      <c r="J98" s="81"/>
      <c r="K98" s="81"/>
      <c r="L98" s="59"/>
      <c r="M98" s="59"/>
      <c r="N98" s="59"/>
      <c r="O98" s="59"/>
      <c r="P98" s="59"/>
      <c r="Q98" s="59"/>
      <c r="R98" s="60"/>
    </row>
    <row r="99" spans="1:18" s="61" customFormat="1" ht="26.25" customHeight="1" x14ac:dyDescent="0.2">
      <c r="A99" s="49" t="s">
        <v>153</v>
      </c>
      <c r="B99" s="48" t="s">
        <v>154</v>
      </c>
      <c r="C99" s="49" t="s">
        <v>26</v>
      </c>
      <c r="D99" s="64" t="s">
        <v>155</v>
      </c>
      <c r="E99" s="51" t="s">
        <v>57</v>
      </c>
      <c r="F99" s="329">
        <v>1</v>
      </c>
      <c r="G99" s="80">
        <v>50.19</v>
      </c>
      <c r="H99" s="67">
        <f t="shared" si="16"/>
        <v>62.737499999999997</v>
      </c>
      <c r="I99" s="55">
        <f t="shared" si="17"/>
        <v>62.737499999999997</v>
      </c>
      <c r="J99" s="81"/>
      <c r="K99" s="81"/>
      <c r="L99" s="59"/>
      <c r="M99" s="59"/>
      <c r="N99" s="59"/>
      <c r="O99" s="59"/>
      <c r="P99" s="59"/>
      <c r="Q99" s="59"/>
      <c r="R99" s="60"/>
    </row>
    <row r="100" spans="1:18" s="61" customFormat="1" ht="30.75" customHeight="1" x14ac:dyDescent="0.2">
      <c r="A100" s="49" t="s">
        <v>156</v>
      </c>
      <c r="B100" s="48" t="s">
        <v>157</v>
      </c>
      <c r="C100" s="49" t="s">
        <v>26</v>
      </c>
      <c r="D100" s="64" t="s">
        <v>158</v>
      </c>
      <c r="E100" s="51" t="s">
        <v>33</v>
      </c>
      <c r="F100" s="329">
        <v>2.1800000000000002</v>
      </c>
      <c r="G100" s="80">
        <v>18.309999999999999</v>
      </c>
      <c r="H100" s="67">
        <f t="shared" si="16"/>
        <v>22.887499999999999</v>
      </c>
      <c r="I100" s="55">
        <f t="shared" si="17"/>
        <v>49.894750000000002</v>
      </c>
      <c r="J100" s="81"/>
      <c r="K100" s="81"/>
      <c r="L100" s="59"/>
      <c r="M100" s="59"/>
      <c r="N100" s="59"/>
      <c r="O100" s="59"/>
      <c r="P100" s="59"/>
      <c r="Q100" s="59"/>
      <c r="R100" s="60"/>
    </row>
    <row r="101" spans="1:18" s="61" customFormat="1" ht="42.75" customHeight="1" x14ac:dyDescent="0.2">
      <c r="A101" s="49" t="s">
        <v>159</v>
      </c>
      <c r="B101" s="48" t="s">
        <v>160</v>
      </c>
      <c r="C101" s="49" t="s">
        <v>26</v>
      </c>
      <c r="D101" s="64" t="s">
        <v>161</v>
      </c>
      <c r="E101" s="51" t="s">
        <v>33</v>
      </c>
      <c r="F101" s="329">
        <v>2.1800000000000002</v>
      </c>
      <c r="G101" s="80">
        <v>70.33</v>
      </c>
      <c r="H101" s="67">
        <f t="shared" si="16"/>
        <v>87.912499999999994</v>
      </c>
      <c r="I101" s="55">
        <f t="shared" si="17"/>
        <v>191.64924999999999</v>
      </c>
      <c r="J101" s="81"/>
      <c r="K101" s="81"/>
      <c r="L101" s="59"/>
      <c r="M101" s="59"/>
      <c r="N101" s="59"/>
      <c r="O101" s="59"/>
      <c r="P101" s="59"/>
      <c r="Q101" s="59"/>
      <c r="R101" s="60"/>
    </row>
    <row r="102" spans="1:18" s="61" customFormat="1" ht="26.25" customHeight="1" x14ac:dyDescent="0.2">
      <c r="A102" s="49" t="s">
        <v>162</v>
      </c>
      <c r="B102" s="48" t="s">
        <v>163</v>
      </c>
      <c r="C102" s="49" t="s">
        <v>26</v>
      </c>
      <c r="D102" s="64" t="s">
        <v>164</v>
      </c>
      <c r="E102" s="51" t="s">
        <v>57</v>
      </c>
      <c r="F102" s="329">
        <v>1</v>
      </c>
      <c r="G102" s="80">
        <v>237.59</v>
      </c>
      <c r="H102" s="67">
        <f t="shared" si="16"/>
        <v>296.98750000000001</v>
      </c>
      <c r="I102" s="55">
        <f t="shared" si="17"/>
        <v>296.98750000000001</v>
      </c>
      <c r="J102" s="81"/>
      <c r="K102" s="81"/>
      <c r="L102" s="59"/>
      <c r="M102" s="59"/>
      <c r="N102" s="59"/>
      <c r="O102" s="59"/>
      <c r="P102" s="59"/>
      <c r="Q102" s="59"/>
      <c r="R102" s="60"/>
    </row>
    <row r="103" spans="1:18" s="61" customFormat="1" ht="40.5" customHeight="1" x14ac:dyDescent="0.2">
      <c r="A103" s="49" t="s">
        <v>165</v>
      </c>
      <c r="B103" s="63" t="s">
        <v>55</v>
      </c>
      <c r="C103" s="49" t="s">
        <v>26</v>
      </c>
      <c r="D103" s="64" t="s">
        <v>56</v>
      </c>
      <c r="E103" s="49" t="s">
        <v>57</v>
      </c>
      <c r="F103" s="331">
        <v>1</v>
      </c>
      <c r="G103" s="53">
        <v>25.47</v>
      </c>
      <c r="H103" s="67">
        <f t="shared" si="16"/>
        <v>31.837499999999999</v>
      </c>
      <c r="I103" s="55">
        <f t="shared" si="17"/>
        <v>31.837499999999999</v>
      </c>
      <c r="J103" s="68"/>
      <c r="K103" s="69"/>
    </row>
    <row r="104" spans="1:18" s="61" customFormat="1" ht="30" customHeight="1" x14ac:dyDescent="0.2">
      <c r="A104" s="49" t="s">
        <v>166</v>
      </c>
      <c r="B104" s="63" t="s">
        <v>87</v>
      </c>
      <c r="C104" s="49" t="s">
        <v>26</v>
      </c>
      <c r="D104" s="64" t="s">
        <v>88</v>
      </c>
      <c r="E104" s="49" t="s">
        <v>57</v>
      </c>
      <c r="F104" s="331">
        <v>2</v>
      </c>
      <c r="G104" s="66">
        <v>25.1</v>
      </c>
      <c r="H104" s="67">
        <f t="shared" si="16"/>
        <v>31.375</v>
      </c>
      <c r="I104" s="55">
        <f t="shared" si="17"/>
        <v>62.75</v>
      </c>
      <c r="J104" s="68"/>
      <c r="K104" s="69"/>
    </row>
    <row r="105" spans="1:18" s="78" customFormat="1" ht="20.25" customHeight="1" x14ac:dyDescent="0.2">
      <c r="A105" s="350" t="s">
        <v>167</v>
      </c>
      <c r="B105" s="350"/>
      <c r="C105" s="350"/>
      <c r="D105" s="350"/>
      <c r="E105" s="74"/>
      <c r="F105" s="332"/>
      <c r="G105" s="75"/>
      <c r="H105" s="75"/>
      <c r="I105" s="43"/>
      <c r="J105" s="44" t="s">
        <v>23</v>
      </c>
      <c r="K105" s="45"/>
    </row>
    <row r="106" spans="1:18" s="61" customFormat="1" ht="21" customHeight="1" x14ac:dyDescent="0.2">
      <c r="A106" s="49" t="s">
        <v>168</v>
      </c>
      <c r="B106" s="63" t="s">
        <v>31</v>
      </c>
      <c r="C106" s="49" t="s">
        <v>26</v>
      </c>
      <c r="D106" s="64" t="s">
        <v>60</v>
      </c>
      <c r="E106" s="49" t="s">
        <v>33</v>
      </c>
      <c r="F106" s="331">
        <v>62.93</v>
      </c>
      <c r="G106" s="66">
        <v>2.69</v>
      </c>
      <c r="H106" s="67">
        <f t="shared" ref="H106:H117" si="18">G106*$L$9</f>
        <v>3.3624999999999998</v>
      </c>
      <c r="I106" s="55">
        <f t="shared" ref="I106:I117" si="19">+F106*H106</f>
        <v>211.602125</v>
      </c>
      <c r="J106" s="68"/>
      <c r="K106" s="69"/>
    </row>
    <row r="107" spans="1:18" s="61" customFormat="1" ht="21" customHeight="1" x14ac:dyDescent="0.2">
      <c r="A107" s="49" t="s">
        <v>169</v>
      </c>
      <c r="B107" s="63" t="s">
        <v>35</v>
      </c>
      <c r="C107" s="49" t="s">
        <v>26</v>
      </c>
      <c r="D107" s="64" t="s">
        <v>74</v>
      </c>
      <c r="E107" s="49" t="s">
        <v>33</v>
      </c>
      <c r="F107" s="331">
        <v>4.2</v>
      </c>
      <c r="G107" s="66">
        <v>4.5599999999999996</v>
      </c>
      <c r="H107" s="67">
        <f t="shared" si="18"/>
        <v>5.6999999999999993</v>
      </c>
      <c r="I107" s="55">
        <f t="shared" si="19"/>
        <v>23.939999999999998</v>
      </c>
      <c r="J107" s="68"/>
      <c r="K107" s="69"/>
    </row>
    <row r="108" spans="1:18" s="61" customFormat="1" ht="21" customHeight="1" x14ac:dyDescent="0.2">
      <c r="A108" s="49" t="s">
        <v>170</v>
      </c>
      <c r="B108" s="63" t="s">
        <v>75</v>
      </c>
      <c r="C108" s="49" t="s">
        <v>26</v>
      </c>
      <c r="D108" s="64" t="s">
        <v>76</v>
      </c>
      <c r="E108" s="49" t="s">
        <v>33</v>
      </c>
      <c r="F108" s="331">
        <v>3.36</v>
      </c>
      <c r="G108" s="66">
        <v>4.05</v>
      </c>
      <c r="H108" s="67">
        <f t="shared" si="18"/>
        <v>5.0625</v>
      </c>
      <c r="I108" s="55">
        <f t="shared" si="19"/>
        <v>17.009999999999998</v>
      </c>
      <c r="J108" s="68"/>
      <c r="K108" s="69"/>
    </row>
    <row r="109" spans="1:18" s="61" customFormat="1" ht="25.5" customHeight="1" x14ac:dyDescent="0.2">
      <c r="A109" s="49" t="s">
        <v>171</v>
      </c>
      <c r="B109" s="63" t="s">
        <v>62</v>
      </c>
      <c r="C109" s="49" t="s">
        <v>26</v>
      </c>
      <c r="D109" s="64" t="s">
        <v>63</v>
      </c>
      <c r="E109" s="49" t="s">
        <v>40</v>
      </c>
      <c r="F109" s="331">
        <v>47.56</v>
      </c>
      <c r="G109" s="66">
        <v>11.83</v>
      </c>
      <c r="H109" s="67">
        <f t="shared" si="18"/>
        <v>14.7875</v>
      </c>
      <c r="I109" s="55">
        <f t="shared" si="19"/>
        <v>703.29349999999999</v>
      </c>
      <c r="J109" s="68"/>
      <c r="K109" s="69"/>
    </row>
    <row r="110" spans="1:18" s="61" customFormat="1" ht="30" customHeight="1" x14ac:dyDescent="0.2">
      <c r="A110" s="49" t="s">
        <v>172</v>
      </c>
      <c r="B110" s="63" t="s">
        <v>42</v>
      </c>
      <c r="C110" s="49" t="s">
        <v>26</v>
      </c>
      <c r="D110" s="64" t="s">
        <v>43</v>
      </c>
      <c r="E110" s="49" t="s">
        <v>33</v>
      </c>
      <c r="F110" s="331">
        <v>15.37</v>
      </c>
      <c r="G110" s="66">
        <v>35.68</v>
      </c>
      <c r="H110" s="67">
        <f t="shared" si="18"/>
        <v>44.6</v>
      </c>
      <c r="I110" s="55">
        <f t="shared" si="19"/>
        <v>685.50199999999995</v>
      </c>
      <c r="J110" s="68"/>
      <c r="K110" s="69"/>
    </row>
    <row r="111" spans="1:18" s="61" customFormat="1" ht="30" customHeight="1" x14ac:dyDescent="0.2">
      <c r="A111" s="49" t="s">
        <v>173</v>
      </c>
      <c r="B111" s="63" t="s">
        <v>65</v>
      </c>
      <c r="C111" s="49" t="s">
        <v>26</v>
      </c>
      <c r="D111" s="64" t="s">
        <v>66</v>
      </c>
      <c r="E111" s="49" t="s">
        <v>40</v>
      </c>
      <c r="F111" s="331">
        <v>47.56</v>
      </c>
      <c r="G111" s="66">
        <v>26.01</v>
      </c>
      <c r="H111" s="67">
        <f t="shared" si="18"/>
        <v>32.512500000000003</v>
      </c>
      <c r="I111" s="55">
        <f t="shared" si="19"/>
        <v>1546.2945000000002</v>
      </c>
      <c r="J111" s="68"/>
      <c r="K111" s="69"/>
    </row>
    <row r="112" spans="1:18" s="61" customFormat="1" ht="24.75" customHeight="1" x14ac:dyDescent="0.2">
      <c r="A112" s="49" t="s">
        <v>174</v>
      </c>
      <c r="B112" s="63" t="s">
        <v>48</v>
      </c>
      <c r="C112" s="49" t="s">
        <v>26</v>
      </c>
      <c r="D112" s="64" t="s">
        <v>49</v>
      </c>
      <c r="E112" s="49" t="s">
        <v>33</v>
      </c>
      <c r="F112" s="331">
        <v>4.2</v>
      </c>
      <c r="G112" s="66">
        <v>34.28</v>
      </c>
      <c r="H112" s="67">
        <f t="shared" si="18"/>
        <v>42.85</v>
      </c>
      <c r="I112" s="55">
        <f t="shared" si="19"/>
        <v>179.97000000000003</v>
      </c>
      <c r="J112" s="68"/>
      <c r="K112" s="69"/>
    </row>
    <row r="113" spans="1:11" s="61" customFormat="1" ht="24.75" customHeight="1" x14ac:dyDescent="0.2">
      <c r="A113" s="49" t="s">
        <v>175</v>
      </c>
      <c r="B113" s="63" t="s">
        <v>79</v>
      </c>
      <c r="C113" s="49" t="s">
        <v>26</v>
      </c>
      <c r="D113" s="64" t="s">
        <v>80</v>
      </c>
      <c r="E113" s="49" t="s">
        <v>33</v>
      </c>
      <c r="F113" s="331">
        <v>3.36</v>
      </c>
      <c r="G113" s="66">
        <v>23.08</v>
      </c>
      <c r="H113" s="67">
        <f t="shared" si="18"/>
        <v>28.849999999999998</v>
      </c>
      <c r="I113" s="55">
        <f t="shared" si="19"/>
        <v>96.935999999999993</v>
      </c>
      <c r="J113" s="68"/>
      <c r="K113" s="69"/>
    </row>
    <row r="114" spans="1:11" s="61" customFormat="1" ht="30" customHeight="1" x14ac:dyDescent="0.2">
      <c r="A114" s="49" t="s">
        <v>176</v>
      </c>
      <c r="B114" s="63" t="s">
        <v>136</v>
      </c>
      <c r="C114" s="49" t="s">
        <v>26</v>
      </c>
      <c r="D114" s="64" t="s">
        <v>137</v>
      </c>
      <c r="E114" s="49" t="s">
        <v>57</v>
      </c>
      <c r="F114" s="331">
        <v>1</v>
      </c>
      <c r="G114" s="66">
        <v>886.33</v>
      </c>
      <c r="H114" s="67">
        <f t="shared" si="18"/>
        <v>1107.9125000000001</v>
      </c>
      <c r="I114" s="55">
        <f t="shared" si="19"/>
        <v>1107.9125000000001</v>
      </c>
      <c r="J114" s="68"/>
      <c r="K114" s="69"/>
    </row>
    <row r="115" spans="1:11" s="61" customFormat="1" ht="41.25" customHeight="1" x14ac:dyDescent="0.2">
      <c r="A115" s="49" t="s">
        <v>177</v>
      </c>
      <c r="B115" s="63" t="s">
        <v>51</v>
      </c>
      <c r="C115" s="49" t="s">
        <v>26</v>
      </c>
      <c r="D115" s="64" t="s">
        <v>52</v>
      </c>
      <c r="E115" s="49" t="s">
        <v>53</v>
      </c>
      <c r="F115" s="331">
        <v>10</v>
      </c>
      <c r="G115" s="66">
        <v>7.4</v>
      </c>
      <c r="H115" s="67">
        <f t="shared" si="18"/>
        <v>9.25</v>
      </c>
      <c r="I115" s="55">
        <f t="shared" si="19"/>
        <v>92.5</v>
      </c>
      <c r="J115" s="68"/>
      <c r="K115" s="69"/>
    </row>
    <row r="116" spans="1:11" s="61" customFormat="1" ht="40.5" customHeight="1" x14ac:dyDescent="0.2">
      <c r="A116" s="49" t="s">
        <v>178</v>
      </c>
      <c r="B116" s="63" t="s">
        <v>55</v>
      </c>
      <c r="C116" s="49" t="s">
        <v>26</v>
      </c>
      <c r="D116" s="64" t="s">
        <v>56</v>
      </c>
      <c r="E116" s="49" t="s">
        <v>57</v>
      </c>
      <c r="F116" s="331">
        <v>1</v>
      </c>
      <c r="G116" s="53">
        <v>25.47</v>
      </c>
      <c r="H116" s="67">
        <f t="shared" si="18"/>
        <v>31.837499999999999</v>
      </c>
      <c r="I116" s="55">
        <f t="shared" si="19"/>
        <v>31.837499999999999</v>
      </c>
      <c r="J116" s="68"/>
      <c r="K116" s="69"/>
    </row>
    <row r="117" spans="1:11" s="61" customFormat="1" ht="30" customHeight="1" x14ac:dyDescent="0.2">
      <c r="A117" s="49" t="s">
        <v>179</v>
      </c>
      <c r="B117" s="63" t="s">
        <v>87</v>
      </c>
      <c r="C117" s="49" t="s">
        <v>26</v>
      </c>
      <c r="D117" s="64" t="s">
        <v>88</v>
      </c>
      <c r="E117" s="49" t="s">
        <v>57</v>
      </c>
      <c r="F117" s="331">
        <v>3</v>
      </c>
      <c r="G117" s="66">
        <v>25.1</v>
      </c>
      <c r="H117" s="67">
        <f t="shared" si="18"/>
        <v>31.375</v>
      </c>
      <c r="I117" s="55">
        <f t="shared" si="19"/>
        <v>94.125</v>
      </c>
      <c r="J117" s="68"/>
      <c r="K117" s="69"/>
    </row>
    <row r="118" spans="1:11" s="78" customFormat="1" ht="20.25" customHeight="1" x14ac:dyDescent="0.2">
      <c r="A118" s="349" t="s">
        <v>180</v>
      </c>
      <c r="B118" s="349"/>
      <c r="C118" s="349"/>
      <c r="D118" s="349"/>
      <c r="E118" s="74"/>
      <c r="F118" s="332"/>
      <c r="G118" s="75"/>
      <c r="H118" s="75"/>
      <c r="I118" s="43"/>
      <c r="J118" s="44" t="s">
        <v>23</v>
      </c>
      <c r="K118" s="82"/>
    </row>
    <row r="119" spans="1:11" s="61" customFormat="1" ht="21" customHeight="1" x14ac:dyDescent="0.2">
      <c r="A119" s="49" t="s">
        <v>181</v>
      </c>
      <c r="B119" s="63" t="s">
        <v>31</v>
      </c>
      <c r="C119" s="49" t="s">
        <v>26</v>
      </c>
      <c r="D119" s="64" t="s">
        <v>60</v>
      </c>
      <c r="E119" s="49" t="s">
        <v>33</v>
      </c>
      <c r="F119" s="331">
        <v>4.24</v>
      </c>
      <c r="G119" s="66">
        <v>2.69</v>
      </c>
      <c r="H119" s="67">
        <f t="shared" ref="H119:H128" si="20">G119*$L$9</f>
        <v>3.3624999999999998</v>
      </c>
      <c r="I119" s="55">
        <f t="shared" ref="I119:I128" si="21">+F119*H119</f>
        <v>14.257</v>
      </c>
      <c r="J119" s="68"/>
      <c r="K119" s="69"/>
    </row>
    <row r="120" spans="1:11" s="61" customFormat="1" ht="21" customHeight="1" x14ac:dyDescent="0.2">
      <c r="A120" s="49" t="s">
        <v>182</v>
      </c>
      <c r="B120" s="63" t="s">
        <v>75</v>
      </c>
      <c r="C120" s="49" t="s">
        <v>26</v>
      </c>
      <c r="D120" s="64" t="s">
        <v>76</v>
      </c>
      <c r="E120" s="49" t="s">
        <v>33</v>
      </c>
      <c r="F120" s="331">
        <v>3.36</v>
      </c>
      <c r="G120" s="66">
        <v>4.05</v>
      </c>
      <c r="H120" s="67">
        <f t="shared" si="20"/>
        <v>5.0625</v>
      </c>
      <c r="I120" s="55">
        <f t="shared" si="21"/>
        <v>17.009999999999998</v>
      </c>
      <c r="J120" s="68"/>
      <c r="K120" s="69"/>
    </row>
    <row r="121" spans="1:11" s="61" customFormat="1" ht="30" customHeight="1" x14ac:dyDescent="0.2">
      <c r="A121" s="49" t="s">
        <v>183</v>
      </c>
      <c r="B121" s="63" t="s">
        <v>42</v>
      </c>
      <c r="C121" s="49" t="s">
        <v>26</v>
      </c>
      <c r="D121" s="64" t="s">
        <v>43</v>
      </c>
      <c r="E121" s="49" t="s">
        <v>33</v>
      </c>
      <c r="F121" s="331">
        <v>4.24</v>
      </c>
      <c r="G121" s="66">
        <v>35.68</v>
      </c>
      <c r="H121" s="67">
        <f t="shared" si="20"/>
        <v>44.6</v>
      </c>
      <c r="I121" s="55">
        <f t="shared" si="21"/>
        <v>189.10400000000001</v>
      </c>
      <c r="J121" s="68"/>
      <c r="K121" s="69"/>
    </row>
    <row r="122" spans="1:11" s="61" customFormat="1" ht="24.75" customHeight="1" x14ac:dyDescent="0.2">
      <c r="A122" s="49" t="s">
        <v>184</v>
      </c>
      <c r="B122" s="63" t="s">
        <v>79</v>
      </c>
      <c r="C122" s="49" t="s">
        <v>26</v>
      </c>
      <c r="D122" s="64" t="s">
        <v>80</v>
      </c>
      <c r="E122" s="49" t="s">
        <v>33</v>
      </c>
      <c r="F122" s="331">
        <v>3.36</v>
      </c>
      <c r="G122" s="66">
        <v>23.08</v>
      </c>
      <c r="H122" s="67">
        <f t="shared" si="20"/>
        <v>28.849999999999998</v>
      </c>
      <c r="I122" s="55">
        <f t="shared" si="21"/>
        <v>96.935999999999993</v>
      </c>
      <c r="J122" s="68"/>
      <c r="K122" s="69"/>
    </row>
    <row r="123" spans="1:11" s="61" customFormat="1" ht="30" customHeight="1" x14ac:dyDescent="0.2">
      <c r="A123" s="49" t="s">
        <v>185</v>
      </c>
      <c r="B123" s="63" t="s">
        <v>136</v>
      </c>
      <c r="C123" s="49" t="s">
        <v>26</v>
      </c>
      <c r="D123" s="64" t="s">
        <v>137</v>
      </c>
      <c r="E123" s="49" t="s">
        <v>57</v>
      </c>
      <c r="F123" s="331">
        <v>1</v>
      </c>
      <c r="G123" s="66">
        <v>886.33</v>
      </c>
      <c r="H123" s="67">
        <f t="shared" si="20"/>
        <v>1107.9125000000001</v>
      </c>
      <c r="I123" s="55">
        <f t="shared" si="21"/>
        <v>1107.9125000000001</v>
      </c>
      <c r="J123" s="68"/>
      <c r="K123" s="69"/>
    </row>
    <row r="124" spans="1:11" s="61" customFormat="1" ht="30" customHeight="1" x14ac:dyDescent="0.2">
      <c r="A124" s="49" t="s">
        <v>186</v>
      </c>
      <c r="B124" s="63" t="s">
        <v>187</v>
      </c>
      <c r="C124" s="49" t="s">
        <v>26</v>
      </c>
      <c r="D124" s="64" t="s">
        <v>188</v>
      </c>
      <c r="E124" s="49" t="s">
        <v>57</v>
      </c>
      <c r="F124" s="331">
        <v>1</v>
      </c>
      <c r="G124" s="66">
        <v>40.909999999999997</v>
      </c>
      <c r="H124" s="67">
        <f t="shared" si="20"/>
        <v>51.137499999999996</v>
      </c>
      <c r="I124" s="55">
        <f t="shared" si="21"/>
        <v>51.137499999999996</v>
      </c>
      <c r="J124" s="68"/>
      <c r="K124" s="69"/>
    </row>
    <row r="125" spans="1:11" s="61" customFormat="1" ht="30" customHeight="1" x14ac:dyDescent="0.2">
      <c r="A125" s="49" t="s">
        <v>189</v>
      </c>
      <c r="B125" s="63" t="s">
        <v>190</v>
      </c>
      <c r="C125" s="49" t="s">
        <v>26</v>
      </c>
      <c r="D125" s="64" t="s">
        <v>191</v>
      </c>
      <c r="E125" s="49" t="s">
        <v>57</v>
      </c>
      <c r="F125" s="331">
        <v>2</v>
      </c>
      <c r="G125" s="66">
        <v>144.77000000000001</v>
      </c>
      <c r="H125" s="67">
        <f t="shared" si="20"/>
        <v>180.96250000000001</v>
      </c>
      <c r="I125" s="55">
        <f t="shared" si="21"/>
        <v>361.92500000000001</v>
      </c>
      <c r="J125" s="68"/>
      <c r="K125" s="69"/>
    </row>
    <row r="126" spans="1:11" s="61" customFormat="1" ht="30" customHeight="1" x14ac:dyDescent="0.2">
      <c r="A126" s="49" t="s">
        <v>192</v>
      </c>
      <c r="B126" s="63" t="s">
        <v>193</v>
      </c>
      <c r="C126" s="49" t="s">
        <v>26</v>
      </c>
      <c r="D126" s="64" t="s">
        <v>194</v>
      </c>
      <c r="E126" s="49" t="s">
        <v>57</v>
      </c>
      <c r="F126" s="331">
        <v>1</v>
      </c>
      <c r="G126" s="66">
        <v>107.2</v>
      </c>
      <c r="H126" s="67">
        <f t="shared" si="20"/>
        <v>134</v>
      </c>
      <c r="I126" s="55">
        <f t="shared" si="21"/>
        <v>134</v>
      </c>
      <c r="J126" s="68"/>
      <c r="K126" s="69"/>
    </row>
    <row r="127" spans="1:11" s="61" customFormat="1" ht="40.5" customHeight="1" x14ac:dyDescent="0.2">
      <c r="A127" s="49" t="s">
        <v>195</v>
      </c>
      <c r="B127" s="63" t="s">
        <v>55</v>
      </c>
      <c r="C127" s="49" t="s">
        <v>26</v>
      </c>
      <c r="D127" s="64" t="s">
        <v>56</v>
      </c>
      <c r="E127" s="49" t="s">
        <v>57</v>
      </c>
      <c r="F127" s="331">
        <v>1</v>
      </c>
      <c r="G127" s="53">
        <v>25.47</v>
      </c>
      <c r="H127" s="67">
        <f t="shared" si="20"/>
        <v>31.837499999999999</v>
      </c>
      <c r="I127" s="55">
        <f t="shared" si="21"/>
        <v>31.837499999999999</v>
      </c>
      <c r="J127" s="68"/>
      <c r="K127" s="69"/>
    </row>
    <row r="128" spans="1:11" s="61" customFormat="1" ht="30" customHeight="1" x14ac:dyDescent="0.2">
      <c r="A128" s="49" t="s">
        <v>196</v>
      </c>
      <c r="B128" s="63" t="s">
        <v>87</v>
      </c>
      <c r="C128" s="49" t="s">
        <v>26</v>
      </c>
      <c r="D128" s="64" t="s">
        <v>88</v>
      </c>
      <c r="E128" s="49" t="s">
        <v>57</v>
      </c>
      <c r="F128" s="331">
        <v>2</v>
      </c>
      <c r="G128" s="66">
        <v>25.1</v>
      </c>
      <c r="H128" s="67">
        <f t="shared" si="20"/>
        <v>31.375</v>
      </c>
      <c r="I128" s="55">
        <f t="shared" si="21"/>
        <v>62.75</v>
      </c>
      <c r="J128" s="68"/>
      <c r="K128" s="69"/>
    </row>
    <row r="129" spans="1:12" s="78" customFormat="1" ht="21" customHeight="1" x14ac:dyDescent="0.2">
      <c r="A129" s="350" t="s">
        <v>197</v>
      </c>
      <c r="B129" s="350"/>
      <c r="C129" s="350"/>
      <c r="D129" s="350"/>
      <c r="E129" s="74"/>
      <c r="F129" s="332"/>
      <c r="G129" s="75"/>
      <c r="H129" s="75"/>
      <c r="I129" s="43"/>
      <c r="J129" s="44" t="s">
        <v>23</v>
      </c>
      <c r="K129" s="82"/>
    </row>
    <row r="130" spans="1:12" s="61" customFormat="1" ht="21" customHeight="1" x14ac:dyDescent="0.2">
      <c r="A130" s="49" t="s">
        <v>198</v>
      </c>
      <c r="B130" s="63" t="s">
        <v>31</v>
      </c>
      <c r="C130" s="49" t="s">
        <v>26</v>
      </c>
      <c r="D130" s="64" t="s">
        <v>60</v>
      </c>
      <c r="E130" s="49" t="s">
        <v>33</v>
      </c>
      <c r="F130" s="331">
        <v>65.819999999999993</v>
      </c>
      <c r="G130" s="66">
        <v>2.69</v>
      </c>
      <c r="H130" s="67">
        <f t="shared" ref="H130:H139" si="22">G130*$L$9</f>
        <v>3.3624999999999998</v>
      </c>
      <c r="I130" s="55">
        <f t="shared" ref="I130:I139" si="23">+F130*H130</f>
        <v>221.31974999999997</v>
      </c>
      <c r="J130" s="68"/>
      <c r="K130" s="69"/>
    </row>
    <row r="131" spans="1:12" s="61" customFormat="1" ht="21" customHeight="1" x14ac:dyDescent="0.2">
      <c r="A131" s="49" t="s">
        <v>199</v>
      </c>
      <c r="B131" s="63" t="s">
        <v>75</v>
      </c>
      <c r="C131" s="49" t="s">
        <v>26</v>
      </c>
      <c r="D131" s="64" t="s">
        <v>76</v>
      </c>
      <c r="E131" s="49" t="s">
        <v>33</v>
      </c>
      <c r="F131" s="331">
        <v>3.36</v>
      </c>
      <c r="G131" s="66">
        <v>4.05</v>
      </c>
      <c r="H131" s="67">
        <f t="shared" si="22"/>
        <v>5.0625</v>
      </c>
      <c r="I131" s="55">
        <f t="shared" si="23"/>
        <v>17.009999999999998</v>
      </c>
      <c r="J131" s="68"/>
      <c r="K131" s="69"/>
    </row>
    <row r="132" spans="1:12" s="61" customFormat="1" ht="25.5" customHeight="1" x14ac:dyDescent="0.2">
      <c r="A132" s="49" t="s">
        <v>200</v>
      </c>
      <c r="B132" s="63" t="s">
        <v>62</v>
      </c>
      <c r="C132" s="49" t="s">
        <v>26</v>
      </c>
      <c r="D132" s="64" t="s">
        <v>63</v>
      </c>
      <c r="E132" s="49" t="s">
        <v>40</v>
      </c>
      <c r="F132" s="331">
        <v>38.950000000000003</v>
      </c>
      <c r="G132" s="66">
        <v>11.83</v>
      </c>
      <c r="H132" s="67">
        <f t="shared" si="22"/>
        <v>14.7875</v>
      </c>
      <c r="I132" s="55">
        <f t="shared" si="23"/>
        <v>575.97312499999998</v>
      </c>
      <c r="J132" s="68"/>
      <c r="K132" s="69"/>
    </row>
    <row r="133" spans="1:12" s="61" customFormat="1" ht="30" customHeight="1" x14ac:dyDescent="0.2">
      <c r="A133" s="49" t="s">
        <v>201</v>
      </c>
      <c r="B133" s="63" t="s">
        <v>42</v>
      </c>
      <c r="C133" s="49" t="s">
        <v>26</v>
      </c>
      <c r="D133" s="64" t="s">
        <v>43</v>
      </c>
      <c r="E133" s="49" t="s">
        <v>33</v>
      </c>
      <c r="F133" s="331">
        <v>16.87</v>
      </c>
      <c r="G133" s="66">
        <v>35.68</v>
      </c>
      <c r="H133" s="67">
        <f t="shared" si="22"/>
        <v>44.6</v>
      </c>
      <c r="I133" s="55">
        <f t="shared" si="23"/>
        <v>752.40200000000004</v>
      </c>
      <c r="J133" s="68"/>
      <c r="K133" s="69"/>
    </row>
    <row r="134" spans="1:12" s="61" customFormat="1" ht="30" customHeight="1" x14ac:dyDescent="0.2">
      <c r="A134" s="49" t="s">
        <v>202</v>
      </c>
      <c r="B134" s="63" t="s">
        <v>65</v>
      </c>
      <c r="C134" s="49" t="s">
        <v>26</v>
      </c>
      <c r="D134" s="64" t="s">
        <v>66</v>
      </c>
      <c r="E134" s="49" t="s">
        <v>40</v>
      </c>
      <c r="F134" s="331">
        <v>38.950000000000003</v>
      </c>
      <c r="G134" s="66">
        <v>26.01</v>
      </c>
      <c r="H134" s="67">
        <f t="shared" si="22"/>
        <v>32.512500000000003</v>
      </c>
      <c r="I134" s="55">
        <f t="shared" si="23"/>
        <v>1266.3618750000003</v>
      </c>
      <c r="J134" s="83">
        <v>48.95</v>
      </c>
      <c r="K134" s="84">
        <v>1591.49</v>
      </c>
      <c r="L134" s="70">
        <f>K134-I134</f>
        <v>325.12812499999973</v>
      </c>
    </row>
    <row r="135" spans="1:12" s="61" customFormat="1" ht="24.75" customHeight="1" x14ac:dyDescent="0.2">
      <c r="A135" s="49" t="s">
        <v>203</v>
      </c>
      <c r="B135" s="63" t="s">
        <v>79</v>
      </c>
      <c r="C135" s="49" t="s">
        <v>26</v>
      </c>
      <c r="D135" s="64" t="s">
        <v>80</v>
      </c>
      <c r="E135" s="49" t="s">
        <v>33</v>
      </c>
      <c r="F135" s="331">
        <v>3.36</v>
      </c>
      <c r="G135" s="66">
        <v>23.08</v>
      </c>
      <c r="H135" s="67">
        <f t="shared" si="22"/>
        <v>28.849999999999998</v>
      </c>
      <c r="I135" s="55">
        <f t="shared" si="23"/>
        <v>96.935999999999993</v>
      </c>
      <c r="J135" s="68"/>
      <c r="K135" s="69"/>
      <c r="L135" s="70">
        <f>L134+L165+L20</f>
        <v>1561.032875000001</v>
      </c>
    </row>
    <row r="136" spans="1:12" s="61" customFormat="1" ht="26.25" customHeight="1" x14ac:dyDescent="0.2">
      <c r="A136" s="49" t="s">
        <v>204</v>
      </c>
      <c r="B136" s="63" t="s">
        <v>205</v>
      </c>
      <c r="C136" s="49" t="s">
        <v>26</v>
      </c>
      <c r="D136" s="64" t="s">
        <v>206</v>
      </c>
      <c r="E136" s="49" t="s">
        <v>33</v>
      </c>
      <c r="F136" s="331">
        <v>1</v>
      </c>
      <c r="G136" s="66">
        <v>16.46</v>
      </c>
      <c r="H136" s="67">
        <f t="shared" si="22"/>
        <v>20.575000000000003</v>
      </c>
      <c r="I136" s="55">
        <f t="shared" si="23"/>
        <v>20.575000000000003</v>
      </c>
      <c r="J136" s="68"/>
      <c r="K136" s="69"/>
    </row>
    <row r="137" spans="1:12" s="61" customFormat="1" ht="27.75" customHeight="1" x14ac:dyDescent="0.2">
      <c r="A137" s="49" t="s">
        <v>207</v>
      </c>
      <c r="B137" s="63" t="s">
        <v>208</v>
      </c>
      <c r="C137" s="49" t="s">
        <v>26</v>
      </c>
      <c r="D137" s="64" t="s">
        <v>209</v>
      </c>
      <c r="E137" s="49" t="s">
        <v>210</v>
      </c>
      <c r="F137" s="331">
        <v>1</v>
      </c>
      <c r="G137" s="66">
        <v>661.47</v>
      </c>
      <c r="H137" s="67">
        <f t="shared" si="22"/>
        <v>826.83750000000009</v>
      </c>
      <c r="I137" s="55">
        <f t="shared" si="23"/>
        <v>826.83750000000009</v>
      </c>
      <c r="J137" s="68"/>
      <c r="K137" s="69"/>
      <c r="L137" s="70">
        <f>L135-I13</f>
        <v>1561.032875000001</v>
      </c>
    </row>
    <row r="138" spans="1:12" s="61" customFormat="1" ht="40.5" customHeight="1" x14ac:dyDescent="0.2">
      <c r="A138" s="49" t="s">
        <v>211</v>
      </c>
      <c r="B138" s="63" t="s">
        <v>55</v>
      </c>
      <c r="C138" s="49" t="s">
        <v>26</v>
      </c>
      <c r="D138" s="64" t="s">
        <v>56</v>
      </c>
      <c r="E138" s="49" t="s">
        <v>57</v>
      </c>
      <c r="F138" s="331">
        <v>1</v>
      </c>
      <c r="G138" s="53">
        <v>25.47</v>
      </c>
      <c r="H138" s="67">
        <f t="shared" si="22"/>
        <v>31.837499999999999</v>
      </c>
      <c r="I138" s="55">
        <f t="shared" si="23"/>
        <v>31.837499999999999</v>
      </c>
      <c r="J138" s="68"/>
      <c r="K138" s="69"/>
    </row>
    <row r="139" spans="1:12" s="61" customFormat="1" ht="30" customHeight="1" x14ac:dyDescent="0.2">
      <c r="A139" s="49" t="s">
        <v>212</v>
      </c>
      <c r="B139" s="63" t="s">
        <v>87</v>
      </c>
      <c r="C139" s="49" t="s">
        <v>26</v>
      </c>
      <c r="D139" s="64" t="s">
        <v>88</v>
      </c>
      <c r="E139" s="49" t="s">
        <v>57</v>
      </c>
      <c r="F139" s="331">
        <v>4</v>
      </c>
      <c r="G139" s="66">
        <v>25.1</v>
      </c>
      <c r="H139" s="67">
        <f t="shared" si="22"/>
        <v>31.375</v>
      </c>
      <c r="I139" s="55">
        <f t="shared" si="23"/>
        <v>125.5</v>
      </c>
      <c r="J139" s="68"/>
      <c r="K139" s="69"/>
    </row>
    <row r="140" spans="1:12" s="78" customFormat="1" ht="21.75" customHeight="1" x14ac:dyDescent="0.2">
      <c r="A140" s="350" t="s">
        <v>213</v>
      </c>
      <c r="B140" s="350"/>
      <c r="C140" s="350"/>
      <c r="D140" s="350"/>
      <c r="E140" s="74"/>
      <c r="F140" s="332"/>
      <c r="G140" s="75"/>
      <c r="H140" s="75"/>
      <c r="I140" s="43"/>
      <c r="J140" s="44" t="s">
        <v>23</v>
      </c>
      <c r="K140" s="82"/>
    </row>
    <row r="141" spans="1:12" s="61" customFormat="1" ht="21" customHeight="1" x14ac:dyDescent="0.2">
      <c r="A141" s="49" t="s">
        <v>214</v>
      </c>
      <c r="B141" s="63" t="s">
        <v>31</v>
      </c>
      <c r="C141" s="49" t="s">
        <v>26</v>
      </c>
      <c r="D141" s="64" t="s">
        <v>60</v>
      </c>
      <c r="E141" s="49" t="s">
        <v>33</v>
      </c>
      <c r="F141" s="331">
        <v>44.27</v>
      </c>
      <c r="G141" s="66">
        <v>2.69</v>
      </c>
      <c r="H141" s="67">
        <f t="shared" ref="H141:H147" si="24">G141*$L$9</f>
        <v>3.3624999999999998</v>
      </c>
      <c r="I141" s="55">
        <f t="shared" ref="I141:I147" si="25">+F141*H141</f>
        <v>148.85787500000001</v>
      </c>
      <c r="J141" s="68"/>
      <c r="K141" s="69"/>
    </row>
    <row r="142" spans="1:12" s="61" customFormat="1" ht="30" customHeight="1" x14ac:dyDescent="0.2">
      <c r="A142" s="49" t="s">
        <v>215</v>
      </c>
      <c r="B142" s="63" t="s">
        <v>42</v>
      </c>
      <c r="C142" s="49" t="s">
        <v>26</v>
      </c>
      <c r="D142" s="64" t="s">
        <v>43</v>
      </c>
      <c r="E142" s="49" t="s">
        <v>33</v>
      </c>
      <c r="F142" s="331">
        <v>7.91</v>
      </c>
      <c r="G142" s="66">
        <v>35.68</v>
      </c>
      <c r="H142" s="67">
        <f t="shared" si="24"/>
        <v>44.6</v>
      </c>
      <c r="I142" s="55">
        <f t="shared" si="25"/>
        <v>352.786</v>
      </c>
      <c r="J142" s="68"/>
      <c r="K142" s="69"/>
    </row>
    <row r="143" spans="1:12" s="61" customFormat="1" ht="25.5" customHeight="1" x14ac:dyDescent="0.2">
      <c r="A143" s="49" t="s">
        <v>216</v>
      </c>
      <c r="B143" s="63" t="s">
        <v>217</v>
      </c>
      <c r="C143" s="49" t="s">
        <v>26</v>
      </c>
      <c r="D143" s="85" t="s">
        <v>218</v>
      </c>
      <c r="E143" s="49" t="s">
        <v>40</v>
      </c>
      <c r="F143" s="331">
        <v>36.36</v>
      </c>
      <c r="G143" s="66">
        <v>21.47</v>
      </c>
      <c r="H143" s="67">
        <f t="shared" si="24"/>
        <v>26.837499999999999</v>
      </c>
      <c r="I143" s="55">
        <f t="shared" si="25"/>
        <v>975.81149999999991</v>
      </c>
      <c r="J143" s="68"/>
      <c r="K143" s="69"/>
    </row>
    <row r="144" spans="1:12" s="61" customFormat="1" ht="41.25" customHeight="1" x14ac:dyDescent="0.2">
      <c r="A144" s="49" t="s">
        <v>219</v>
      </c>
      <c r="B144" s="63" t="s">
        <v>51</v>
      </c>
      <c r="C144" s="49" t="s">
        <v>26</v>
      </c>
      <c r="D144" s="64" t="s">
        <v>52</v>
      </c>
      <c r="E144" s="49" t="s">
        <v>53</v>
      </c>
      <c r="F144" s="331">
        <v>3</v>
      </c>
      <c r="G144" s="66">
        <v>7.4</v>
      </c>
      <c r="H144" s="67">
        <f t="shared" si="24"/>
        <v>9.25</v>
      </c>
      <c r="I144" s="55">
        <f t="shared" si="25"/>
        <v>27.75</v>
      </c>
      <c r="J144" s="68"/>
      <c r="K144" s="69"/>
    </row>
    <row r="145" spans="1:12" s="61" customFormat="1" ht="30" customHeight="1" x14ac:dyDescent="0.2">
      <c r="A145" s="49" t="s">
        <v>220</v>
      </c>
      <c r="B145" s="63" t="s">
        <v>45</v>
      </c>
      <c r="C145" s="49" t="s">
        <v>26</v>
      </c>
      <c r="D145" s="64" t="s">
        <v>46</v>
      </c>
      <c r="E145" s="49" t="s">
        <v>40</v>
      </c>
      <c r="F145" s="331">
        <v>36.36</v>
      </c>
      <c r="G145" s="66">
        <v>14.1</v>
      </c>
      <c r="H145" s="67">
        <f t="shared" si="24"/>
        <v>17.625</v>
      </c>
      <c r="I145" s="55">
        <f t="shared" si="25"/>
        <v>640.84500000000003</v>
      </c>
      <c r="J145" s="68"/>
      <c r="K145" s="69"/>
    </row>
    <row r="146" spans="1:12" s="61" customFormat="1" ht="40.5" customHeight="1" x14ac:dyDescent="0.2">
      <c r="A146" s="49" t="s">
        <v>221</v>
      </c>
      <c r="B146" s="63" t="s">
        <v>55</v>
      </c>
      <c r="C146" s="49" t="s">
        <v>26</v>
      </c>
      <c r="D146" s="64" t="s">
        <v>56</v>
      </c>
      <c r="E146" s="49" t="s">
        <v>57</v>
      </c>
      <c r="F146" s="331">
        <v>1</v>
      </c>
      <c r="G146" s="53">
        <v>25.47</v>
      </c>
      <c r="H146" s="67">
        <f t="shared" si="24"/>
        <v>31.837499999999999</v>
      </c>
      <c r="I146" s="55">
        <f t="shared" si="25"/>
        <v>31.837499999999999</v>
      </c>
      <c r="J146" s="68"/>
      <c r="K146" s="69"/>
    </row>
    <row r="147" spans="1:12" s="61" customFormat="1" ht="30" customHeight="1" x14ac:dyDescent="0.2">
      <c r="A147" s="49" t="s">
        <v>222</v>
      </c>
      <c r="B147" s="63" t="s">
        <v>87</v>
      </c>
      <c r="C147" s="49" t="s">
        <v>26</v>
      </c>
      <c r="D147" s="64" t="s">
        <v>88</v>
      </c>
      <c r="E147" s="49" t="s">
        <v>57</v>
      </c>
      <c r="F147" s="331">
        <v>1</v>
      </c>
      <c r="G147" s="66">
        <v>25.1</v>
      </c>
      <c r="H147" s="67">
        <f t="shared" si="24"/>
        <v>31.375</v>
      </c>
      <c r="I147" s="55">
        <f t="shared" si="25"/>
        <v>31.375</v>
      </c>
      <c r="J147" s="68"/>
      <c r="K147" s="69"/>
    </row>
    <row r="148" spans="1:12" s="78" customFormat="1" ht="19.5" customHeight="1" x14ac:dyDescent="0.2">
      <c r="A148" s="349" t="s">
        <v>223</v>
      </c>
      <c r="B148" s="349"/>
      <c r="C148" s="349"/>
      <c r="D148" s="349"/>
      <c r="E148" s="74"/>
      <c r="F148" s="332"/>
      <c r="G148" s="75"/>
      <c r="H148" s="75"/>
      <c r="I148" s="43"/>
      <c r="J148" s="44" t="s">
        <v>23</v>
      </c>
      <c r="K148" s="82"/>
    </row>
    <row r="149" spans="1:12" s="61" customFormat="1" ht="21" customHeight="1" x14ac:dyDescent="0.2">
      <c r="A149" s="49" t="s">
        <v>224</v>
      </c>
      <c r="B149" s="63" t="s">
        <v>31</v>
      </c>
      <c r="C149" s="49" t="s">
        <v>26</v>
      </c>
      <c r="D149" s="64" t="s">
        <v>60</v>
      </c>
      <c r="E149" s="49" t="s">
        <v>33</v>
      </c>
      <c r="F149" s="331">
        <v>36.200000000000003</v>
      </c>
      <c r="G149" s="66">
        <v>2.69</v>
      </c>
      <c r="H149" s="67">
        <f t="shared" ref="H149:H156" si="26">G149*$L$9</f>
        <v>3.3624999999999998</v>
      </c>
      <c r="I149" s="55">
        <f t="shared" ref="I149:I156" si="27">+F149*H149</f>
        <v>121.7225</v>
      </c>
      <c r="J149" s="68"/>
      <c r="K149" s="69"/>
    </row>
    <row r="150" spans="1:12" s="61" customFormat="1" ht="21" customHeight="1" x14ac:dyDescent="0.2">
      <c r="A150" s="49" t="s">
        <v>225</v>
      </c>
      <c r="B150" s="63" t="s">
        <v>35</v>
      </c>
      <c r="C150" s="49" t="s">
        <v>26</v>
      </c>
      <c r="D150" s="64" t="s">
        <v>74</v>
      </c>
      <c r="E150" s="49" t="s">
        <v>33</v>
      </c>
      <c r="F150" s="331">
        <v>3.78</v>
      </c>
      <c r="G150" s="66">
        <v>4.5599999999999996</v>
      </c>
      <c r="H150" s="67">
        <f t="shared" si="26"/>
        <v>5.6999999999999993</v>
      </c>
      <c r="I150" s="55">
        <f t="shared" si="27"/>
        <v>21.545999999999996</v>
      </c>
      <c r="J150" s="68"/>
      <c r="K150" s="69"/>
    </row>
    <row r="151" spans="1:12" s="61" customFormat="1" ht="25.5" customHeight="1" x14ac:dyDescent="0.2">
      <c r="A151" s="49" t="s">
        <v>226</v>
      </c>
      <c r="B151" s="63" t="s">
        <v>62</v>
      </c>
      <c r="C151" s="49" t="s">
        <v>26</v>
      </c>
      <c r="D151" s="64" t="s">
        <v>63</v>
      </c>
      <c r="E151" s="49" t="s">
        <v>40</v>
      </c>
      <c r="F151" s="331">
        <v>29.99</v>
      </c>
      <c r="G151" s="66">
        <v>11.83</v>
      </c>
      <c r="H151" s="67">
        <f t="shared" si="26"/>
        <v>14.7875</v>
      </c>
      <c r="I151" s="55">
        <f t="shared" si="27"/>
        <v>443.47712499999994</v>
      </c>
      <c r="J151" s="68"/>
      <c r="K151" s="69"/>
    </row>
    <row r="152" spans="1:12" s="61" customFormat="1" ht="30" customHeight="1" x14ac:dyDescent="0.2">
      <c r="A152" s="49" t="s">
        <v>227</v>
      </c>
      <c r="B152" s="63" t="s">
        <v>42</v>
      </c>
      <c r="C152" s="49" t="s">
        <v>26</v>
      </c>
      <c r="D152" s="64" t="s">
        <v>43</v>
      </c>
      <c r="E152" s="49" t="s">
        <v>33</v>
      </c>
      <c r="F152" s="331">
        <v>6.21</v>
      </c>
      <c r="G152" s="66">
        <v>35.68</v>
      </c>
      <c r="H152" s="67">
        <f t="shared" si="26"/>
        <v>44.6</v>
      </c>
      <c r="I152" s="55">
        <f t="shared" si="27"/>
        <v>276.96600000000001</v>
      </c>
      <c r="J152" s="68"/>
      <c r="K152" s="69"/>
    </row>
    <row r="153" spans="1:12" s="61" customFormat="1" ht="24.75" customHeight="1" x14ac:dyDescent="0.2">
      <c r="A153" s="49" t="s">
        <v>228</v>
      </c>
      <c r="B153" s="63" t="s">
        <v>48</v>
      </c>
      <c r="C153" s="49" t="s">
        <v>26</v>
      </c>
      <c r="D153" s="64" t="s">
        <v>49</v>
      </c>
      <c r="E153" s="49" t="s">
        <v>33</v>
      </c>
      <c r="F153" s="331">
        <v>3.78</v>
      </c>
      <c r="G153" s="66">
        <v>34.28</v>
      </c>
      <c r="H153" s="67">
        <f t="shared" si="26"/>
        <v>42.85</v>
      </c>
      <c r="I153" s="55">
        <f t="shared" si="27"/>
        <v>161.97299999999998</v>
      </c>
      <c r="J153" s="68"/>
      <c r="K153" s="69"/>
    </row>
    <row r="154" spans="1:12" s="61" customFormat="1" ht="30" customHeight="1" x14ac:dyDescent="0.2">
      <c r="A154" s="49" t="s">
        <v>229</v>
      </c>
      <c r="B154" s="63" t="s">
        <v>45</v>
      </c>
      <c r="C154" s="49" t="s">
        <v>26</v>
      </c>
      <c r="D154" s="64" t="s">
        <v>46</v>
      </c>
      <c r="E154" s="49" t="s">
        <v>40</v>
      </c>
      <c r="F154" s="331">
        <v>29.99</v>
      </c>
      <c r="G154" s="66">
        <v>14.1</v>
      </c>
      <c r="H154" s="67">
        <f t="shared" si="26"/>
        <v>17.625</v>
      </c>
      <c r="I154" s="55">
        <f t="shared" si="27"/>
        <v>528.57375000000002</v>
      </c>
      <c r="J154" s="68"/>
      <c r="K154" s="69"/>
    </row>
    <row r="155" spans="1:12" s="61" customFormat="1" ht="40.5" customHeight="1" x14ac:dyDescent="0.2">
      <c r="A155" s="49" t="s">
        <v>230</v>
      </c>
      <c r="B155" s="63" t="s">
        <v>55</v>
      </c>
      <c r="C155" s="49" t="s">
        <v>26</v>
      </c>
      <c r="D155" s="64" t="s">
        <v>56</v>
      </c>
      <c r="E155" s="49" t="s">
        <v>57</v>
      </c>
      <c r="F155" s="331">
        <v>1</v>
      </c>
      <c r="G155" s="53">
        <v>25.47</v>
      </c>
      <c r="H155" s="67">
        <f t="shared" si="26"/>
        <v>31.837499999999999</v>
      </c>
      <c r="I155" s="55">
        <f t="shared" si="27"/>
        <v>31.837499999999999</v>
      </c>
      <c r="J155" s="68"/>
      <c r="K155" s="69"/>
    </row>
    <row r="156" spans="1:12" s="61" customFormat="1" ht="30" customHeight="1" x14ac:dyDescent="0.2">
      <c r="A156" s="49" t="s">
        <v>231</v>
      </c>
      <c r="B156" s="63" t="s">
        <v>87</v>
      </c>
      <c r="C156" s="49" t="s">
        <v>26</v>
      </c>
      <c r="D156" s="64" t="s">
        <v>88</v>
      </c>
      <c r="E156" s="49" t="s">
        <v>57</v>
      </c>
      <c r="F156" s="331">
        <v>1</v>
      </c>
      <c r="G156" s="66">
        <v>25.1</v>
      </c>
      <c r="H156" s="67">
        <f t="shared" si="26"/>
        <v>31.375</v>
      </c>
      <c r="I156" s="55">
        <f t="shared" si="27"/>
        <v>31.375</v>
      </c>
      <c r="J156" s="68"/>
      <c r="K156" s="69"/>
    </row>
    <row r="157" spans="1:12" s="78" customFormat="1" ht="20.25" customHeight="1" x14ac:dyDescent="0.2">
      <c r="A157" s="349" t="s">
        <v>232</v>
      </c>
      <c r="B157" s="349"/>
      <c r="C157" s="349"/>
      <c r="D157" s="349"/>
      <c r="E157" s="74"/>
      <c r="F157" s="332"/>
      <c r="G157" s="75"/>
      <c r="H157" s="75"/>
      <c r="I157" s="43"/>
      <c r="J157" s="44" t="s">
        <v>23</v>
      </c>
      <c r="K157" s="82"/>
      <c r="L157" s="86"/>
    </row>
    <row r="158" spans="1:12" s="61" customFormat="1" ht="21" customHeight="1" x14ac:dyDescent="0.2">
      <c r="A158" s="49" t="s">
        <v>233</v>
      </c>
      <c r="B158" s="63" t="s">
        <v>31</v>
      </c>
      <c r="C158" s="49" t="s">
        <v>26</v>
      </c>
      <c r="D158" s="64" t="s">
        <v>60</v>
      </c>
      <c r="E158" s="49" t="s">
        <v>33</v>
      </c>
      <c r="F158" s="331">
        <v>16.25</v>
      </c>
      <c r="G158" s="66">
        <v>2.69</v>
      </c>
      <c r="H158" s="67">
        <f t="shared" ref="H158:H160" si="28">G158*$L$9</f>
        <v>3.3624999999999998</v>
      </c>
      <c r="I158" s="55">
        <f t="shared" ref="I158:I160" si="29">+F158*H158</f>
        <v>54.640625</v>
      </c>
      <c r="J158" s="68"/>
      <c r="K158" s="69"/>
    </row>
    <row r="159" spans="1:12" s="61" customFormat="1" ht="25.5" customHeight="1" x14ac:dyDescent="0.2">
      <c r="A159" s="49" t="s">
        <v>234</v>
      </c>
      <c r="B159" s="63" t="s">
        <v>38</v>
      </c>
      <c r="C159" s="49" t="s">
        <v>26</v>
      </c>
      <c r="D159" s="64" t="s">
        <v>39</v>
      </c>
      <c r="E159" s="49" t="s">
        <v>40</v>
      </c>
      <c r="F159" s="331">
        <v>16.25</v>
      </c>
      <c r="G159" s="66">
        <v>13.9</v>
      </c>
      <c r="H159" s="67">
        <f t="shared" si="28"/>
        <v>17.375</v>
      </c>
      <c r="I159" s="55">
        <f t="shared" si="29"/>
        <v>282.34375</v>
      </c>
      <c r="J159" s="68"/>
      <c r="K159" s="69"/>
    </row>
    <row r="160" spans="1:12" s="61" customFormat="1" ht="30" customHeight="1" x14ac:dyDescent="0.2">
      <c r="A160" s="49" t="s">
        <v>235</v>
      </c>
      <c r="B160" s="63" t="s">
        <v>45</v>
      </c>
      <c r="C160" s="49" t="s">
        <v>26</v>
      </c>
      <c r="D160" s="64" t="s">
        <v>46</v>
      </c>
      <c r="E160" s="49" t="s">
        <v>40</v>
      </c>
      <c r="F160" s="331">
        <v>16.25</v>
      </c>
      <c r="G160" s="66">
        <v>14.1</v>
      </c>
      <c r="H160" s="67">
        <f t="shared" si="28"/>
        <v>17.625</v>
      </c>
      <c r="I160" s="55">
        <f t="shared" si="29"/>
        <v>286.40625</v>
      </c>
      <c r="J160" s="68"/>
      <c r="K160" s="69"/>
    </row>
    <row r="161" spans="1:12" s="46" customFormat="1" ht="21" customHeight="1" x14ac:dyDescent="0.2">
      <c r="A161" s="350" t="s">
        <v>236</v>
      </c>
      <c r="B161" s="350"/>
      <c r="C161" s="350"/>
      <c r="D161" s="350"/>
      <c r="E161" s="40"/>
      <c r="F161" s="333"/>
      <c r="G161" s="42"/>
      <c r="H161" s="88"/>
      <c r="I161" s="89"/>
      <c r="J161" s="44" t="s">
        <v>23</v>
      </c>
      <c r="K161" s="82"/>
    </row>
    <row r="162" spans="1:12" s="61" customFormat="1" ht="21" customHeight="1" x14ac:dyDescent="0.2">
      <c r="A162" s="49" t="s">
        <v>237</v>
      </c>
      <c r="B162" s="63" t="s">
        <v>31</v>
      </c>
      <c r="C162" s="49" t="s">
        <v>26</v>
      </c>
      <c r="D162" s="64" t="s">
        <v>238</v>
      </c>
      <c r="E162" s="49" t="s">
        <v>33</v>
      </c>
      <c r="F162" s="331">
        <v>259.27999999999997</v>
      </c>
      <c r="G162" s="66">
        <v>2.69</v>
      </c>
      <c r="H162" s="67">
        <f t="shared" ref="H162:H165" si="30">G162*$L$9</f>
        <v>3.3624999999999998</v>
      </c>
      <c r="I162" s="55">
        <f t="shared" ref="I162:I165" si="31">+F162*H162</f>
        <v>871.82899999999984</v>
      </c>
      <c r="J162" s="68">
        <v>279.27999999999997</v>
      </c>
      <c r="K162" s="69">
        <v>939.08</v>
      </c>
      <c r="L162" s="70">
        <f t="shared" ref="L162:L164" si="32">K162-I162</f>
        <v>67.251000000000204</v>
      </c>
    </row>
    <row r="163" spans="1:12" s="61" customFormat="1" ht="25.5" customHeight="1" x14ac:dyDescent="0.2">
      <c r="A163" s="47" t="s">
        <v>239</v>
      </c>
      <c r="B163" s="90" t="s">
        <v>38</v>
      </c>
      <c r="C163" s="47" t="s">
        <v>26</v>
      </c>
      <c r="D163" s="91" t="s">
        <v>39</v>
      </c>
      <c r="E163" s="47" t="s">
        <v>40</v>
      </c>
      <c r="F163" s="334">
        <v>259.27999999999997</v>
      </c>
      <c r="G163" s="93">
        <v>13.9</v>
      </c>
      <c r="H163" s="54">
        <f t="shared" si="30"/>
        <v>17.375</v>
      </c>
      <c r="I163" s="94">
        <f t="shared" si="31"/>
        <v>4504.99</v>
      </c>
      <c r="J163" s="53">
        <v>279.27999999999997</v>
      </c>
      <c r="K163" s="69">
        <v>4852.49</v>
      </c>
      <c r="L163" s="70">
        <f t="shared" si="32"/>
        <v>347.5</v>
      </c>
    </row>
    <row r="164" spans="1:12" s="61" customFormat="1" ht="30" customHeight="1" x14ac:dyDescent="0.2">
      <c r="A164" s="47" t="s">
        <v>240</v>
      </c>
      <c r="B164" s="90" t="s">
        <v>45</v>
      </c>
      <c r="C164" s="47" t="s">
        <v>26</v>
      </c>
      <c r="D164" s="91" t="s">
        <v>46</v>
      </c>
      <c r="E164" s="47" t="s">
        <v>40</v>
      </c>
      <c r="F164" s="334">
        <v>259.27999999999997</v>
      </c>
      <c r="G164" s="93">
        <v>14.1</v>
      </c>
      <c r="H164" s="54">
        <f t="shared" si="30"/>
        <v>17.625</v>
      </c>
      <c r="I164" s="94">
        <f t="shared" si="31"/>
        <v>4569.8099999999995</v>
      </c>
      <c r="J164" s="53">
        <v>279.27999999999997</v>
      </c>
      <c r="K164" s="69">
        <v>4922.3100000000004</v>
      </c>
      <c r="L164" s="71">
        <f t="shared" si="32"/>
        <v>352.50000000000091</v>
      </c>
    </row>
    <row r="165" spans="1:12" s="61" customFormat="1" ht="29.45" customHeight="1" x14ac:dyDescent="0.2">
      <c r="A165" s="49" t="s">
        <v>241</v>
      </c>
      <c r="B165" s="63" t="s">
        <v>242</v>
      </c>
      <c r="C165" s="49" t="s">
        <v>26</v>
      </c>
      <c r="D165" s="85" t="s">
        <v>243</v>
      </c>
      <c r="E165" s="49" t="s">
        <v>33</v>
      </c>
      <c r="F165" s="335">
        <v>196.84</v>
      </c>
      <c r="G165" s="55">
        <v>6.56</v>
      </c>
      <c r="H165" s="55">
        <f t="shared" si="30"/>
        <v>8.1999999999999993</v>
      </c>
      <c r="I165" s="55">
        <f t="shared" si="31"/>
        <v>1614.088</v>
      </c>
      <c r="J165" s="96"/>
      <c r="K165" s="97">
        <f>1614.09+0.09</f>
        <v>1614.1799999999998</v>
      </c>
      <c r="L165" s="98">
        <f>SUM(L162:L164)</f>
        <v>767.25100000000111</v>
      </c>
    </row>
    <row r="166" spans="1:12" ht="30" customHeight="1" x14ac:dyDescent="0.2">
      <c r="A166" s="351"/>
      <c r="B166" s="351"/>
      <c r="C166" s="351"/>
      <c r="D166" s="351"/>
      <c r="E166" s="352" t="s">
        <v>244</v>
      </c>
      <c r="F166" s="352"/>
      <c r="G166" s="352"/>
      <c r="H166" s="99"/>
      <c r="I166" s="100">
        <f>SUM(I14:I165)</f>
        <v>53498.553000000022</v>
      </c>
      <c r="J166" s="101"/>
      <c r="K166" s="102"/>
      <c r="L166" s="8" t="e">
        <f>SUM(#REF!,#REF!,#REF!,#REF!,#REF!,#REF!,#REF!)</f>
        <v>#REF!</v>
      </c>
    </row>
    <row r="167" spans="1:12" x14ac:dyDescent="0.2">
      <c r="A167" s="103"/>
      <c r="B167" s="104"/>
      <c r="C167" s="105"/>
      <c r="D167" s="106"/>
      <c r="E167" s="107"/>
      <c r="I167" s="108"/>
      <c r="J167" s="101"/>
      <c r="K167" s="102"/>
      <c r="L167" s="109"/>
    </row>
    <row r="168" spans="1:12" x14ac:dyDescent="0.2">
      <c r="A168" s="103"/>
      <c r="B168" s="104"/>
      <c r="C168" s="105"/>
      <c r="D168" s="106"/>
      <c r="E168" s="107"/>
      <c r="I168" s="108"/>
      <c r="K168" s="101"/>
      <c r="L168" s="109"/>
    </row>
    <row r="169" spans="1:12" x14ac:dyDescent="0.2">
      <c r="A169" s="353" t="s">
        <v>245</v>
      </c>
      <c r="B169" s="353"/>
      <c r="C169" s="353"/>
      <c r="D169" s="353"/>
      <c r="E169" s="353"/>
      <c r="F169" s="353"/>
      <c r="G169" s="353"/>
      <c r="H169" s="353"/>
      <c r="I169" s="353"/>
      <c r="K169" s="110"/>
    </row>
    <row r="170" spans="1:12" x14ac:dyDescent="0.2">
      <c r="A170" s="353" t="s">
        <v>246</v>
      </c>
      <c r="B170" s="353"/>
      <c r="C170" s="353"/>
      <c r="D170" s="353"/>
      <c r="E170" s="353"/>
      <c r="F170" s="353"/>
      <c r="G170" s="353"/>
      <c r="H170" s="353"/>
      <c r="I170" s="353"/>
      <c r="J170" s="111"/>
      <c r="K170" s="112">
        <f>53498.46+0.09</f>
        <v>53498.549999999996</v>
      </c>
    </row>
    <row r="171" spans="1:12" x14ac:dyDescent="0.2">
      <c r="A171" s="103"/>
      <c r="B171" s="104"/>
      <c r="C171" s="105"/>
      <c r="D171" s="113"/>
      <c r="E171" s="105"/>
      <c r="I171" s="108"/>
      <c r="K171" s="114"/>
    </row>
    <row r="172" spans="1:12" x14ac:dyDescent="0.2">
      <c r="A172" s="103"/>
      <c r="B172" s="104"/>
      <c r="C172" s="105"/>
      <c r="D172" s="113"/>
      <c r="E172" s="105"/>
      <c r="I172" s="108"/>
      <c r="K172" s="114"/>
    </row>
    <row r="173" spans="1:12" x14ac:dyDescent="0.2">
      <c r="A173" s="353"/>
      <c r="B173" s="353"/>
      <c r="C173" s="353"/>
      <c r="D173" s="353"/>
      <c r="E173" s="353"/>
      <c r="F173" s="353"/>
      <c r="G173" s="353"/>
      <c r="H173" s="353"/>
      <c r="I173" s="353"/>
      <c r="K173" s="110"/>
    </row>
    <row r="174" spans="1:12" x14ac:dyDescent="0.2">
      <c r="A174" s="353"/>
      <c r="B174" s="353"/>
      <c r="C174" s="353"/>
      <c r="D174" s="353"/>
      <c r="E174" s="353"/>
      <c r="F174" s="353"/>
      <c r="G174" s="353"/>
      <c r="H174" s="353"/>
      <c r="I174" s="353"/>
      <c r="J174" s="111"/>
      <c r="K174" s="110"/>
    </row>
    <row r="175" spans="1:12" x14ac:dyDescent="0.2">
      <c r="A175" s="115"/>
      <c r="B175" s="116"/>
      <c r="C175" s="117"/>
      <c r="D175" s="118"/>
      <c r="E175" s="117"/>
      <c r="F175" s="119"/>
      <c r="G175" s="120"/>
      <c r="H175" s="119"/>
      <c r="I175" s="121"/>
      <c r="J175" s="111"/>
      <c r="K175" s="114"/>
    </row>
    <row r="176" spans="1:12" x14ac:dyDescent="0.2">
      <c r="J176" s="119"/>
      <c r="K176" s="114"/>
    </row>
    <row r="177" spans="11:12" x14ac:dyDescent="0.2">
      <c r="K177" s="122"/>
    </row>
    <row r="179" spans="11:12" x14ac:dyDescent="0.2">
      <c r="L179" s="8"/>
    </row>
  </sheetData>
  <sheetProtection selectLockedCells="1" selectUnlockedCells="1"/>
  <mergeCells count="40">
    <mergeCell ref="A166:D166"/>
    <mergeCell ref="E166:G166"/>
    <mergeCell ref="A169:I169"/>
    <mergeCell ref="A170:I170"/>
    <mergeCell ref="A173:I173"/>
    <mergeCell ref="A174:I174"/>
    <mergeCell ref="A118:D118"/>
    <mergeCell ref="A129:D129"/>
    <mergeCell ref="A140:D140"/>
    <mergeCell ref="A148:D148"/>
    <mergeCell ref="A157:D157"/>
    <mergeCell ref="A161:D161"/>
    <mergeCell ref="A56:D56"/>
    <mergeCell ref="A64:D64"/>
    <mergeCell ref="A73:D73"/>
    <mergeCell ref="A78:D78"/>
    <mergeCell ref="A90:D90"/>
    <mergeCell ref="A105:D105"/>
    <mergeCell ref="G10:H10"/>
    <mergeCell ref="A13:D13"/>
    <mergeCell ref="A15:D15"/>
    <mergeCell ref="A24:D24"/>
    <mergeCell ref="A31:D31"/>
    <mergeCell ref="A44:D44"/>
    <mergeCell ref="A7:D7"/>
    <mergeCell ref="A8:D8"/>
    <mergeCell ref="E8:I8"/>
    <mergeCell ref="A9:D9"/>
    <mergeCell ref="A10:A12"/>
    <mergeCell ref="B10:B12"/>
    <mergeCell ref="C10:C12"/>
    <mergeCell ref="D10:D12"/>
    <mergeCell ref="E10:E12"/>
    <mergeCell ref="F10:F12"/>
    <mergeCell ref="A1:I1"/>
    <mergeCell ref="A2:I2"/>
    <mergeCell ref="A3:D3"/>
    <mergeCell ref="A4:D4"/>
    <mergeCell ref="A5:D5"/>
    <mergeCell ref="A6:D6"/>
  </mergeCells>
  <printOptions horizontalCentered="1"/>
  <pageMargins left="0.23611111111111113" right="0.19652777777777777" top="0.43333333333333335" bottom="0.27569444444444446" header="0.51181102362204722" footer="0.15763888888888888"/>
  <pageSetup paperSize="9" scale="44" firstPageNumber="0" orientation="portrait" horizontalDpi="300" verticalDpi="300" r:id="rId1"/>
  <headerFooter alignWithMargins="0">
    <oddFooter>&amp;CPágina &amp;P de &amp;N</oddFooter>
  </headerFooter>
  <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Mlh6XJW30tEUMgWgRrpj1DMPxDqA1oUDb4kQVRBLZ8A=</DigestValue>
    </Reference>
    <Reference Type="http://www.w3.org/2000/09/xmldsig#Object" URI="#idOfficeObject">
      <DigestMethod Algorithm="http://www.w3.org/2001/04/xmlenc#sha256"/>
      <DigestValue>+knhtkniEhS0IyqnHYBzM5NTkzyRW9p4EKnIfwFBfOU=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YUFmn5mqnzixSqnhNAA6aIw1vaCWx9KUxXSwUAYwE0k=</DigestValue>
    </Reference>
  </SignedInfo>
  <SignatureValue>pPtOwumXyAnHnKsX9y6jW0Nz1feV28exskzdnlk29TdceZrt73XRuWJPInLF0tHjLX9Zq6abEp3h
n2xA+vK+UGvLIHV5rbkkd+4pa8QxTLUmd20H76FhgSnKKtsJHHtaXkR/RK1Bf9YSrMachGRcwizd
XR5qSxlZ6rePghGM+y6xFm0vhsTQIRDrscdKDDENU8m78NndFewZfAxoBj4N5N8/6BSqZkAoftQy
ewsdjbuYQetVApr0ws+njcXUXA9nn+/u+uogSJVi424BQkNCLQP4qFoFWYz/X6/ki2vb4it3WzeC
BUrOz+Ku0duinCyWacsiRis90iw1Hp9B5QoBcQ==</SignatureValue>
  <KeyInfo>
    <X509Data>
      <X509Certificate>MIIHXjCCBUagAwIBAgIISFRlQWPqULUwDQYJKoZIhvcNAQELBQAwczELMAkGA1UEBhMCQlIxEzARBgNVBAoTCklDUC1CcmFzaWwxNjA0BgNVBAsTLVNlY3JldGFyaWEgZGEgUmVjZWl0YSBGZWRlcmFsIGRvIEJyYXNpbCAtIFJGQjEXMBUGA1UEAxMOQUMgTElOSyBSRkIgdjIwHhcNMjQwOTIxMDAwMDAwWhcNMjcwOTIxMDAwMDAwWjCB5TELMAkGA1UEBhMCQlIxEzARBgNVBAoTCklDUC1CcmFzaWwxFzAVBgNVBAsTDjE3MDI0NzYzMDAwMTc1MTYwNAYDVQQLEy1TZWNyZXRhcmlhIGRhIFJlY2VpdGEgRmVkZXJhbCBkbyBCcmFzaWwgLSBSRkIxFTATBgNVBAsTDFJGQiBlLUNQRiBBMzEUMBIGA1UECxMLKEVNIEJSQU5DTykxEzARBgNVBAsTCnByZXNlbmNpYWwxLjAsBgNVBAMTJUpPQVFVSU0gTkVSRVMgWEFWSUVSIERJQVM6NTc5MTMyMzQ2ODcwggEiMA0GCSqGSIb3DQEBAQUAA4IBDwAwggEKAoIBAQDO9FgfF3NIGXiGAn8KaLCezFtFhPYBX0snpe5/AkkHfkYUtfo3GMe/dJfTUArdAESC59bmT1EVbLRqTT0HaISx3/+6I/MtUjsgO9zih5B+zGiQkP1EeRLxy/W4TNvABp1De/0qu+N093uJ95q2Fc21mXi1x2ki+BuzXN0GPcIOekerdJn0cYgD/ZbTLYcP0pxPwf0cgwWZiQj42f+kW1gpaWvHyxWEoZt3mmg5uPpg27TC9GlhYr6NEZe+TS1vdjV5Jd72xXR3DkgMHQ1HL0jemOduZOdrjMhrcVCckS1Xykds2w7pNRn6QeKl+Gg1yZ+KG8q1QThvcCi6AgPZQFNhAgMBAAGjggKBMIICfTAfBgNVHSMEGDAWgBQN39ZH9BNO5SJYMixmpucu5Fe8AjAOBgNVHQ8BAf8EBAMCBeAwbAYDVR0gBGUwYzBhBgZgTAECAzgwVzBVBggrBgEFBQcCARZJaHR0cDovL3JlcG9zaXRvcmlvLmxpbmtjZXJ0aWZpY2FjYW8uY29tLmJyL2FjLWxpbmtyZmIvYWMtbGluay1yZmItZHBjLnBkZjCBsAYDVR0fBIGoMIGlMFCgTqBMhkpodHRwOi8vcmVwb3NpdG9yaW8ubGlua2NlcnRpZmljYWNhby5jb20uYnIvYWMtbGlua3JmYi9sY3ItYWMtbGlua3JmYnY1LmNybDBRoE+gTYZLaHR0cDovL3JlcG9zaXRvcmlvMi5saW5rY2VydGlmaWNhY2FvLmNvbS5ici9hYy1saW5rcmZiL2xjci1hYy1saW5rcmZidjUuY3JsMGIGCCsGAQUFBwEBBFYwVDBSBggrBgEFBQcwAoZGaHR0cDovL3JlcG9zaXRvcmlvLmxpbmtjZXJ0aWZpY2FjYW8uY29tLmJyL2FjLWxpbmtyZmIvYWMtbGlua3JmYnY1LnA3YjCBmgYDVR0RBIGSMIGPgRpHQUJJTkVURUBTQUxJTkFTLk1HLkdPVi5CUqA4BgVgTAEDAaAvEy0wMzA4MTk2NTU3OTEzMjM0Njg3MDAwMDAwMDAwMDAwMDAwMDAwMDAwMDAwMDCgHgYFYEwBAwWgFRMTMDAwMDAwMDAwMDAwMDAwMDAwMKAXBgVgTAEDBqAOEwwwMDAwMDAwMDAwMDAwHQYDVR0lBBYwFAYIKwYBBQUHAwIGCCsGAQUFBwMEMAkGA1UdEwQCMAAwDQYJKoZIhvcNAQELBQADggIBAHVEv4DQu9M0iJXjWLeG7U3PcE+YhKW29HoZoBwWZ3JUDfydmIPdoyARRnQWAtqSN2Ht5G5XIGr+4vj00Dpg1YFxVUEZFYxar0H+oQMTS5RKN6tyMCfgNz8fsjfls/t+1RTerLTp3JCFxpW0rKDvrTtl6e1G6pnCyqF5lasULhaytHSisAuGMloYl6tR128IaHeS3bWXlASTDKTgRYGWLPBv/yXCQJOpesCNGMdbeyjcJHu9sAaNgr/opluO7bGBehE8uJrduM/b1TKZbN/Oz4RnEOpkhUTfieKz+qvEe9SXkCBW+RR7X4pKVCF9ryuTqNgOCHjfGXFhs0wI2++0CU73U06/6pYxGp5GKVpOhJ1pZp5oqjsK/oyBlBXgKhrP3KKJtYiLKciQMYQxMgOWgVRzkHkfN6OUz3IhL5WKOz5dGuoaIwrzGVHmWjr0G3U0XxvEzOJHK/lGZ2JYWBH2I6TdQh4+rj3TXMrjt2r1o5PWii8yJUvWvUaHouAOMjYdKAllRe19bfg8F+9SO4l1a+6Dm1s7fhlZtMwrW+eyZVJMKLbWXFm8dFDodQByQAQ8v1dK9Pb7LwrRUDqH77KNDLG9arIVTfey/ycm+Cw39eY4cf16bvbGbqwbS0Gctr6oHiaziEq+wmpY+rYDpplbPpUwosQ+bXozxCBne+JJ6UB2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IOLXOhYzN8brqrE1H7jdTvSsMr/dAtxaVPj+527rOys=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_rels/drawing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_rels/drawing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_rels/drawing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SJwzmqemBBw2/aIGl2ICONiiY3q88C67v4s+5ovzYv0=</DigestValue>
      </Reference>
      <Reference URI="/xl/drawings/drawing2.xml?ContentType=application/vnd.openxmlformats-officedocument.drawing+xml">
        <DigestMethod Algorithm="http://www.w3.org/2001/04/xmlenc#sha256"/>
        <DigestValue>ZT/zsBCz4T0zozLpCgzjJJGG/fSIEeYl8hVSJwvQCCY=</DigestValue>
      </Reference>
      <Reference URI="/xl/drawings/drawing3.xml?ContentType=application/vnd.openxmlformats-officedocument.drawing+xml">
        <DigestMethod Algorithm="http://www.w3.org/2001/04/xmlenc#sha256"/>
        <DigestValue>MDruzNUZyGAS6Vz1dtXBfheysb5FI47Sl9VlgAX07Jw=</DigestValue>
      </Reference>
      <Reference URI="/xl/drawings/drawing4.xml?ContentType=application/vnd.openxmlformats-officedocument.drawing+xml">
        <DigestMethod Algorithm="http://www.w3.org/2001/04/xmlenc#sha256"/>
        <DigestValue>tmzxnYlmG0VNckw4uosMr/BIzYvJgfo1LkqcrBTh19c=</DigestValue>
      </Reference>
      <Reference URI="/xl/media/image1.png?ContentType=image/png">
        <DigestMethod Algorithm="http://www.w3.org/2001/04/xmlenc#sha256"/>
        <DigestValue>avaLz9S1pPXg7aB039/3jFVFhd/56d4SMtYao1tOOaM=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96epVYOuGLL3WV44+9M4gmjMomp1sPrxf4Zdk2neZU0=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7HlX5TXbAe1nyFWaYEsp18yKvJAD2VBemPSWeA2+wa0=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7HlX5TXbAe1nyFWaYEsp18yKvJAD2VBemPSWeA2+wa0=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7HlX5TXbAe1nyFWaYEsp18yKvJAD2VBemPSWeA2+wa0=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96epVYOuGLL3WV44+9M4gmjMomp1sPrxf4Zdk2neZU0=</DigestValue>
      </Reference>
      <Reference URI="/xl/sharedStrings.xml?ContentType=application/vnd.openxmlformats-officedocument.spreadsheetml.sharedStrings+xml">
        <DigestMethod Algorithm="http://www.w3.org/2001/04/xmlenc#sha256"/>
        <DigestValue>GEsDEyAnAQc/ryM+C33pe27P8gfmBcf4M37VduhKQic=</DigestValue>
      </Reference>
      <Reference URI="/xl/styles.xml?ContentType=application/vnd.openxmlformats-officedocument.spreadsheetml.styles+xml">
        <DigestMethod Algorithm="http://www.w3.org/2001/04/xmlenc#sha256"/>
        <DigestValue>clKQSSV6A3UTKrmb5P+cQTzeH+1jI5qgXOProD3Oo7Q=</DigestValue>
      </Reference>
      <Reference URI="/xl/theme/theme1.xml?ContentType=application/vnd.openxmlformats-officedocument.theme+xml">
        <DigestMethod Algorithm="http://www.w3.org/2001/04/xmlenc#sha256"/>
        <DigestValue>9SwvrHfBK1OI0D6P2XpoJaIkFjdqUIwDfj0CRUVMqG8=</DigestValue>
      </Reference>
      <Reference URI="/xl/workbook.xml?ContentType=application/vnd.openxmlformats-officedocument.spreadsheetml.sheet.main+xml">
        <DigestMethod Algorithm="http://www.w3.org/2001/04/xmlenc#sha256"/>
        <DigestValue>BVdQ/AXaEZmVhGF9uCpMckmYP7Smf2Ovx+/NJRG6OqY=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+xv39IL7tPpsXHT+vo405BfLsmjmbjvDNJ7rppqDbsg=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eQV2FY1L2l1QSXsKJj5WPN19GWIuFsPPhd+e1hYjLic=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kAJ1oeQNNg8HxU6Ejt0NPsQTd4QbuWb/PydCbS8Oz30=</DigestValue>
      </Reference>
      <Reference URI="/xl/worksheets/sheet1.xml?ContentType=application/vnd.openxmlformats-officedocument.spreadsheetml.worksheet+xml">
        <DigestMethod Algorithm="http://www.w3.org/2001/04/xmlenc#sha256"/>
        <DigestValue>YukOIPi872v5kdL0enuJXS7FlbcR5x98bcCx15MjqII=</DigestValue>
      </Reference>
      <Reference URI="/xl/worksheets/sheet2.xml?ContentType=application/vnd.openxmlformats-officedocument.spreadsheetml.worksheet+xml">
        <DigestMethod Algorithm="http://www.w3.org/2001/04/xmlenc#sha256"/>
        <DigestValue>E85xt06MJwh2knowP4dcy8/3YMJgERwIt1Q4HpDyaZM=</DigestValue>
      </Reference>
      <Reference URI="/xl/worksheets/sheet3.xml?ContentType=application/vnd.openxmlformats-officedocument.spreadsheetml.worksheet+xml">
        <DigestMethod Algorithm="http://www.w3.org/2001/04/xmlenc#sha256"/>
        <DigestValue>jLJb/x+gSGzL69+JCWnP5X5KKqcbKH+OjXQr8/unlZM=</DigestValue>
      </Reference>
      <Reference URI="/xl/worksheets/sheet4.xml?ContentType=application/vnd.openxmlformats-officedocument.spreadsheetml.worksheet+xml">
        <DigestMethod Algorithm="http://www.w3.org/2001/04/xmlenc#sha256"/>
        <DigestValue>v94+W9E6PZXyhkXqlvUW5dCFBefD1lIHcGubzH2aEDk=</DigestValue>
      </Reference>
      <Reference URI="/xl/worksheets/sheet5.xml?ContentType=application/vnd.openxmlformats-officedocument.spreadsheetml.worksheet+xml">
        <DigestMethod Algorithm="http://www.w3.org/2001/04/xmlenc#sha256"/>
        <DigestValue>XV7bgzWDNPAhzbK45k968R8U4V6UcP0Xc+wfFJpyolk=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2026-03-12T10:49:08Z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2026-03-12T10:49:08Z</xd:SigningTime>
          <xd:SigningCertificate>
            <xd:Cert>
              <xd:CertDigest>
                <DigestMethod Algorithm="http://www.w3.org/2001/04/xmlenc#sha256"/>
                <DigestValue>0vE0IOtVcBkxgqAk4OQ6sOtxixirWQ8UPiHPavWpVIw=</DigestValue>
              </xd:CertDigest>
              <xd:IssuerSerial>
                <X509IssuerName>CN=AC LINK RFB v2, OU=Secretaria da Receita Federal do Brasil - RFB, O=ICP-Brasil, C=BR</X509IssuerName>
                <X509SerialNumber>5211902000298086581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1jCCBL6gAwIBAgIBFjANBgkqhkiG9w0BAQ0FADCBkDELMAkGA1UEBhMCQlIxEzARBgNVBAoMCklDUC1CcmFzaWwxNDAyBgNVBAsMK0F1dG9yaWRhZGUgQ2VydGlmaWNhZG9yYSBSYWl6IEJyYXNpbGVpcmEgdjUxNjA0BgNVBAMMLUFDIFNlY3JldGFyaWEgZGEgUmVjZWl0YSBGZWRlcmFsIGRvIEJyYXNpbCB2NDAeFw0xODAyMjcxMzQyNDBaFw0yOTAyMjAxMjAwMDRaMHMxCzAJBgNVBAYTAkJSMRMwEQYDVQQKEwpJQ1AtQnJhc2lsMTYwNAYDVQQLEy1TZWNyZXRhcmlhIGRhIFJlY2VpdGEgRmVkZXJhbCBkbyBCcmFzaWwgLSBSRkIxFzAVBgNVBAMTDkFDIExJTksgUkZCIHYyMIICIjANBgkqhkiG9w0BAQEFAAOCAg8AMIICCgKCAgEAiSglOWWKSbm3JTm+yZ1EioJ6gfv1IJvafMW5fM9Xj/3KL1v+hEgAY9a2h8K1KXZJ3Vtt+7V4Tx44Dwtdp7Pkr5FQUo4yFhnruYfu4gQFW5xr8E1soJr13hbE7oElWujsaVPXlv7GAhxHKuFyPhyRmHMhsb/JrOmb/+4vOE/3P9OOEGgr/vZ7cv3nKvMEqhOh21W/7/f8Wk93IPSgs59GLVecr+Cmc0yu3fYmxhrf2LqNhru5QoeL4QNjlXQjWPdgVf9QbEU1SwO90fOybPvcziLQIv6jdyRjPJofdKbhsgEvaA+CAPme/WMkBo9AZ+kDN4I1Lyx5d+m6kkGiAOCluHsL6xhV45xzvnjNd9n3EJxDd6ms4py0a5ynVvkaVBCvfnQw46AVjMdIW4HUA0YS7CMSZUe8jY7jthz76cCBwrAjFIuj5Zt1MWQju+LeDA9Mg3kQxOcE9rD26FpJknBmTiMcSZPBqP4d8TsOqcTuEIWxRlusKf1d97daggPsmgY4NtnUyNF+OZKdWCWLLoF1ofjVRPmjRKIfoiurJGd8FvXiK1gS/kUeOaU0Z9gsv/PboF2lU0OoXeRPDQSLxH/aRLevtRJGy1Y/v4loOKhfh29yZrZp6qswRPAfuAMxgTQqr/W78WKlcgboiCHSA/4QQpU3ph+iYJSrZJSCtx3WCaECAwEAAaOCAVUwggFRMIGnBgNVHSAEgZ8wgZwwTAYGYEwBAgE7MEIwQAYIKwYBBQUHAgEWNGh0dHA6Ly93d3cucmVjZWl0YS5mYXplbmRhLmdvdi5ici9hY3JmYi9kcGNhY3JmYi5wZGYwTAYGYEwBAgM4MEIwQAYIKwYBBQUHAgEWNGh0dHA6Ly93d3cucmVjZWl0YS5mYXplbmRhLmdvdi5ici9hY3JmYi9kcGNhY3JmYi5wZGYwRAYDVR0fBD0wOzA5oDegNYYzaHR0cDovL3d3dy5yZWNlaXRhLmZhemVuZGEuZ292LmJyL2FjcmZiL2FjcmZidjQuY3JsMB8GA1UdIwQYMBaAFBqY5kPKHN2SnpljRVoq6R+HIM01MB0GA1UdDgQWBBQN39ZH9BNO5SJYMixmpucu5Fe8AjAPBgNVHRMBAf8EBTADAQH/MA4GA1UdDwEB/wQEAwIBBjANBgkqhkiG9w0BAQ0FAAOCAgEAQa/CcUbwxj7LFydJBwLGPvn3bXmgoqIADDSra8PZoklFhjazOkhn6qnMR+8K2piYxN0c7A9YZvAeFt0Y1eSSkCbvQxhFgv97i2C/MZpsjXR+WbNhq11eUwGbAMe/4QE5KbQXzJ2L5Htrvg+GCp4+dtjUIWoVgadJwThE1XdaFlYoMRY+ARmZt/+BYr3kfd9WTt32cevUD05rh/1AgWLQwE3drBhehCg5ApLP1UHVkjU4tM4bUa+J0vwbgodnSKJoVCZQnev6g+tjjZxGQOD3hpG4DiOIDa4lhDuqv7A9yLmpeolTY000WPbnMY3EccwxrqPavmt41tIAKy5jIDRID8o8nRurWbsX509YV05M9vmHbSwBSC2qg6nIOSyWUywl+lyhmw1Hgis3ZSLLHSzM+P0IPOeWNaDv1b4oxQrn+Xd2gw8BVrAri4P6Lp/RiCfVEPqXHRZXFg9WXIq6ggftMoRMZysKrMpQtFhrZ6YvKF1qyh66IveBX1iLcz671HBcHO3LYp/uS0RWJJxDlzIxnQBY3a0UnoAKg4eleQPxIbcM8lLFgj0k3vPgjfhGsScwBqfMWo3XjBo2HTvmXaN/Myo0aWBp9SWfxtZofXwGp9GsuZnQp/yXd1TDvZHAILhkJQIoPw0NP1QukpnaoUqSO4LVGpJEiMRrDsNXnMj2Yjk=</xd:EncapsulatedX509Certificate>
            <xd:EncapsulatedX509Certificate>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/csX2yNEOVJjr/SeuSv5bE0gIc/kUjoYVNMuUe+CTBY/gkoIiwR7qr7Dsp9jn8FTLnALrn6j1sbbkoD4ytTI3WHUuiefz/oApv+H5zPswj3JqUyXaK7bzN5Akc3PNFUzRb3+UbtYA2fXinBAewxrpZidGX0A+ioC++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+UFag+ypZhyk8voAaXQjw3qGubWI68jFNZTrNXjQThIlJWI83OWjcvmIr4SPgbf9hIIHzznSdzqPXXdAZRNS9fxrxmgoTcG4I7cu1hZgBv9HHIaUKr2MwXAdNiqoe71wDkLCKUx8/fVJnhswqHBHYAj+KjBwyoJW1JliL91QOT3Bjz2epj7kj7tAgMBAAGjgbswgbgwHQYDVR0OBBYEFBqY5kPKHN2SnpljRVoq6R+HIM01MA8GA1UdEwEB/wQFMAMBAf8wDgYDVR0PAQH/BAQDAgEGMBQGA1UdIAQNMAswCQYFYEwBAQgwADA/BgNVHR8EODA2MDSgMqAwhi5odHRwOi8vYWNyYWl6LmljcGJyYXNpbC5nb3YuYnIvTENSYWNyYWl6djUuY3JsMB8GA1UdIwQYMBaAFGmovnXZxO9s5xNF5GFu5Wj4tkBeMA0GCSqGSIb3DQEBDQUAA4ICAQBrQuAL6TWbdnOpHbgSzAd9Pkc+vr5uTd7ml4xfPPs/I+BNCGT9Q6OTx/26m6q9rOrl6/9AASYDE5esiwBlaQ4OPzQQ37zrf5d4FnGxnsRMdjEL2pjks7ull66LZX8k5HOfnxy5iYo1hTy46UYg28PXdL55qTljilj4LueNFlTCmK2m9Vo1E6F/Ss79D31uwVBadgoK/i95dFONNlSj/w3/sa9Pbkq3JCJ10ET01GmBSTrtired+zzcj26QT0hjQQ5PUB6wV2+bhUx+WN/rXiLph/DPvy7gg8hrn4mVHBYOEPPoq7qBsX77cswycENKXrlq+gHA2Lj8hkrbfQt4pZQzT+6nLOSOyqMI21ql781eErJySwJ0R9LdPQNm3MUS/ifoRPdjFGWUktBRue/03QrVYtwFBMaIjF/p93Bmb/42xfkL/TG/W6EicBcGLms2SU4pBtw+NDFMQ1YXxNJQoNJ2uzxnzBSqdr5bF5qZth4EHob+I8uUFYylIoCHWvMD1pAxTu8fC9366lkt7cpBARiOdB2MN31JQK3nxjeQeXHiudm8twSzNp0wbJViUiRfNZbqH3yNe8ZTYUQds7hCCcZh3pZbe4PNWS2WDiifF9uXRdfAL3qsEubQOrA/s+EvZha6afCs4d4BlGKQsf64r0iPnX6hFxR4h4sXRI9x5xRMtA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14</vt:i4>
      </vt:variant>
    </vt:vector>
  </HeadingPairs>
  <TitlesOfParts>
    <vt:vector size="19" baseType="lpstr">
      <vt:lpstr>PLANILHA</vt:lpstr>
      <vt:lpstr>COMPOSIÇÃO DE BDI</vt:lpstr>
      <vt:lpstr>CRONOGRAMA VÁLIDO</vt:lpstr>
      <vt:lpstr>CRONOGRAMA</vt:lpstr>
      <vt:lpstr>PLANILHA AJUSTES 20.02</vt:lpstr>
      <vt:lpstr>'COMPOSIÇÃO DE BDI'!Area_de_impressao</vt:lpstr>
      <vt:lpstr>CRONOGRAMA!Area_de_impressao</vt:lpstr>
      <vt:lpstr>'CRONOGRAMA VÁLIDO'!Area_de_impressao</vt:lpstr>
      <vt:lpstr>PLANILHA!Area_de_impressao</vt:lpstr>
      <vt:lpstr>'PLANILHA AJUSTES 20.02'!Area_de_impressao</vt:lpstr>
      <vt:lpstr>'COMPOSIÇÃO DE BDI'!Excel_BuiltIn_Print_Area</vt:lpstr>
      <vt:lpstr>CRONOGRAMA!Excel_BuiltIn_Print_Area</vt:lpstr>
      <vt:lpstr>'CRONOGRAMA VÁLIDO'!Excel_BuiltIn_Print_Area</vt:lpstr>
      <vt:lpstr>PLANILHA!Excel_BuiltIn_Print_Area</vt:lpstr>
      <vt:lpstr>'PLANILHA AJUSTES 20.02'!Excel_BuiltIn_Print_Area</vt:lpstr>
      <vt:lpstr>PLANILHA!Excel_BuiltIn_Print_Titles</vt:lpstr>
      <vt:lpstr>'PLANILHA AJUSTES 20.02'!Excel_BuiltIn_Print_Titles</vt:lpstr>
      <vt:lpstr>PLANILHA!Titulos_de_impressao</vt:lpstr>
      <vt:lpstr>'PLANILHA AJUSTES 20.02'!Titulos_de_impressao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LICITAÇÃO</dc:creator>
  <cp:lastModifiedBy>wishley henrique alexandre silva</cp:lastModifiedBy>
  <dcterms:created xsi:type="dcterms:W3CDTF">2026-03-12T10:48:54Z</dcterms:created>
  <dcterms:modified xsi:type="dcterms:W3CDTF">2026-03-12T10:48:54Z</dcterms:modified>
</cp:coreProperties>
</file>