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Engenharia\Desktop\Kimberly\Praça Saudade\Praça Saudade\Licitação\Licitação\Licitação Transferência Especial nº 1301002170_2026\"/>
    </mc:Choice>
  </mc:AlternateContent>
  <xr:revisionPtr revIDLastSave="0" documentId="13_ncr:1_{D0B135F9-77B5-4D63-ACC6-6F26725AB071}" xr6:coauthVersionLast="47" xr6:coauthVersionMax="47" xr10:uidLastSave="{00000000-0000-0000-0000-000000000000}"/>
  <bookViews>
    <workbookView xWindow="-120" yWindow="-120" windowWidth="29040" windowHeight="15840" tabRatio="601" xr2:uid="{00000000-000D-0000-FFFF-FFFF00000000}"/>
  </bookViews>
  <sheets>
    <sheet name="PLANILHA" sheetId="6" r:id="rId1"/>
    <sheet name="MEMORIAL DE CÁLCULO" sheetId="7" r:id="rId2"/>
    <sheet name="CRONOGRAMA" sheetId="2" r:id="rId3"/>
    <sheet name="BDI" sheetId="3" r:id="rId4"/>
  </sheets>
  <definedNames>
    <definedName name="_xlnm.Print_Area" localSheetId="3">BDI!$A$5:$G$33</definedName>
    <definedName name="_xlnm.Print_Area" localSheetId="2">CRONOGRAMA!$A$5:$M$55</definedName>
    <definedName name="_xlnm.Print_Area" localSheetId="1">'MEMORIAL DE CÁLCULO'!$A$5:$J$362</definedName>
    <definedName name="_xlnm.Print_Area" localSheetId="0">PLANILHA!$A$5:$J$121</definedName>
    <definedName name="_xlnm.Print_Titles" localSheetId="1">'MEMORIAL DE CÁLCULO'!$5:$13</definedName>
    <definedName name="_xlnm.Print_Titles" localSheetId="0">PLANILHA!$5:$16</definedName>
  </definedNames>
  <calcPr calcId="191029"/>
</workbook>
</file>

<file path=xl/calcChain.xml><?xml version="1.0" encoding="utf-8"?>
<calcChain xmlns="http://schemas.openxmlformats.org/spreadsheetml/2006/main">
  <c r="B12" i="3" l="1"/>
  <c r="L46" i="2"/>
  <c r="K46" i="2"/>
  <c r="J46" i="2"/>
  <c r="I46" i="2"/>
  <c r="H46" i="2"/>
  <c r="G46" i="2"/>
  <c r="F46" i="2"/>
  <c r="E46" i="2"/>
  <c r="L44" i="2"/>
  <c r="K44" i="2"/>
  <c r="J44" i="2"/>
  <c r="I44" i="2"/>
  <c r="H44" i="2"/>
  <c r="G44" i="2"/>
  <c r="F44" i="2"/>
  <c r="E44" i="2"/>
  <c r="M43" i="2"/>
  <c r="L43" i="2"/>
  <c r="K43" i="2"/>
  <c r="J43" i="2"/>
  <c r="I43" i="2"/>
  <c r="H43" i="2"/>
  <c r="G43" i="2"/>
  <c r="F43" i="2"/>
  <c r="E43" i="2"/>
  <c r="M42" i="2"/>
  <c r="L42" i="2"/>
  <c r="K42" i="2"/>
  <c r="J42" i="2"/>
  <c r="I42" i="2"/>
  <c r="H42" i="2"/>
  <c r="G42" i="2"/>
  <c r="F42" i="2"/>
  <c r="E42" i="2"/>
  <c r="D42" i="2"/>
  <c r="C42" i="2"/>
  <c r="M41" i="2"/>
  <c r="L41" i="2"/>
  <c r="K41" i="2"/>
  <c r="J41" i="2"/>
  <c r="I41" i="2"/>
  <c r="H41" i="2"/>
  <c r="G41" i="2"/>
  <c r="F41" i="2"/>
  <c r="E41" i="2"/>
  <c r="M40" i="2"/>
  <c r="D40" i="2"/>
  <c r="C40" i="2"/>
  <c r="B40" i="2"/>
  <c r="M39" i="2"/>
  <c r="L39" i="2"/>
  <c r="K39" i="2"/>
  <c r="J39" i="2"/>
  <c r="I39" i="2"/>
  <c r="H39" i="2"/>
  <c r="G39" i="2"/>
  <c r="F39" i="2"/>
  <c r="E39" i="2"/>
  <c r="M38" i="2"/>
  <c r="D38" i="2"/>
  <c r="C38" i="2"/>
  <c r="B38" i="2"/>
  <c r="M37" i="2"/>
  <c r="L37" i="2"/>
  <c r="K37" i="2"/>
  <c r="J37" i="2"/>
  <c r="I37" i="2"/>
  <c r="H37" i="2"/>
  <c r="G37" i="2"/>
  <c r="F37" i="2"/>
  <c r="E37" i="2"/>
  <c r="M36" i="2"/>
  <c r="D36" i="2"/>
  <c r="C36" i="2"/>
  <c r="B36" i="2"/>
  <c r="M35" i="2"/>
  <c r="L35" i="2"/>
  <c r="K35" i="2"/>
  <c r="J35" i="2"/>
  <c r="I35" i="2"/>
  <c r="H35" i="2"/>
  <c r="G35" i="2"/>
  <c r="F35" i="2"/>
  <c r="E35" i="2"/>
  <c r="M34" i="2"/>
  <c r="D34" i="2"/>
  <c r="C34" i="2"/>
  <c r="B34" i="2"/>
  <c r="M33" i="2"/>
  <c r="L33" i="2"/>
  <c r="K33" i="2"/>
  <c r="J33" i="2"/>
  <c r="I33" i="2"/>
  <c r="H33" i="2"/>
  <c r="G33" i="2"/>
  <c r="F33" i="2"/>
  <c r="E33" i="2"/>
  <c r="M32" i="2"/>
  <c r="D32" i="2"/>
  <c r="C32" i="2"/>
  <c r="B32" i="2"/>
  <c r="M31" i="2"/>
  <c r="L31" i="2"/>
  <c r="K31" i="2"/>
  <c r="J31" i="2"/>
  <c r="I31" i="2"/>
  <c r="H31" i="2"/>
  <c r="G31" i="2"/>
  <c r="F31" i="2"/>
  <c r="E31" i="2"/>
  <c r="M30" i="2"/>
  <c r="D30" i="2"/>
  <c r="C30" i="2"/>
  <c r="B30" i="2"/>
  <c r="M29" i="2"/>
  <c r="L29" i="2"/>
  <c r="K29" i="2"/>
  <c r="J29" i="2"/>
  <c r="I29" i="2"/>
  <c r="H29" i="2"/>
  <c r="G29" i="2"/>
  <c r="F29" i="2"/>
  <c r="E29" i="2"/>
  <c r="M28" i="2"/>
  <c r="D28" i="2"/>
  <c r="C28" i="2"/>
  <c r="B28" i="2"/>
  <c r="M27" i="2"/>
  <c r="L27" i="2"/>
  <c r="K27" i="2"/>
  <c r="J27" i="2"/>
  <c r="I27" i="2"/>
  <c r="H27" i="2"/>
  <c r="G27" i="2"/>
  <c r="F27" i="2"/>
  <c r="E27" i="2"/>
  <c r="M26" i="2"/>
  <c r="D26" i="2"/>
  <c r="C26" i="2"/>
  <c r="B26" i="2"/>
  <c r="M25" i="2"/>
  <c r="L25" i="2"/>
  <c r="K25" i="2"/>
  <c r="J25" i="2"/>
  <c r="I25" i="2"/>
  <c r="H25" i="2"/>
  <c r="G25" i="2"/>
  <c r="F25" i="2"/>
  <c r="E25" i="2"/>
  <c r="M24" i="2"/>
  <c r="D24" i="2"/>
  <c r="C24" i="2"/>
  <c r="B24" i="2"/>
  <c r="M23" i="2"/>
  <c r="L23" i="2"/>
  <c r="K23" i="2"/>
  <c r="J23" i="2"/>
  <c r="I23" i="2"/>
  <c r="H23" i="2"/>
  <c r="G23" i="2"/>
  <c r="F23" i="2"/>
  <c r="E23" i="2"/>
  <c r="M22" i="2"/>
  <c r="D22" i="2"/>
  <c r="C22" i="2"/>
  <c r="B22" i="2"/>
  <c r="M21" i="2"/>
  <c r="L21" i="2"/>
  <c r="K21" i="2"/>
  <c r="J21" i="2"/>
  <c r="I21" i="2"/>
  <c r="H21" i="2"/>
  <c r="G21" i="2"/>
  <c r="F21" i="2"/>
  <c r="E21" i="2"/>
  <c r="M20" i="2"/>
  <c r="D20" i="2"/>
  <c r="C20" i="2"/>
  <c r="B20" i="2"/>
  <c r="M19" i="2"/>
  <c r="L19" i="2"/>
  <c r="K19" i="2"/>
  <c r="J19" i="2"/>
  <c r="I19" i="2"/>
  <c r="H19" i="2"/>
  <c r="G19" i="2"/>
  <c r="F19" i="2"/>
  <c r="E19" i="2"/>
  <c r="M18" i="2"/>
  <c r="D18" i="2"/>
  <c r="C18" i="2"/>
  <c r="B18" i="2"/>
  <c r="M17" i="2"/>
  <c r="L17" i="2"/>
  <c r="K17" i="2"/>
  <c r="J17" i="2"/>
  <c r="I17" i="2"/>
  <c r="H17" i="2"/>
  <c r="G17" i="2"/>
  <c r="F17" i="2"/>
  <c r="E17" i="2"/>
  <c r="M16" i="2"/>
  <c r="D16" i="2"/>
  <c r="C16" i="2"/>
  <c r="B16" i="2"/>
  <c r="M15" i="2"/>
  <c r="L15" i="2"/>
  <c r="K15" i="2"/>
  <c r="J15" i="2"/>
  <c r="I15" i="2"/>
  <c r="H15" i="2"/>
  <c r="G15" i="2"/>
  <c r="F15" i="2"/>
  <c r="E15" i="2"/>
  <c r="M14" i="2"/>
  <c r="D14" i="2"/>
  <c r="C14" i="2"/>
  <c r="B14" i="2"/>
  <c r="B12" i="2"/>
  <c r="C11" i="2"/>
  <c r="B11" i="2"/>
  <c r="J354" i="7"/>
  <c r="I354" i="7"/>
  <c r="I353" i="7"/>
  <c r="J351" i="7"/>
  <c r="I351" i="7"/>
  <c r="D351" i="7"/>
  <c r="C351" i="7"/>
  <c r="B351" i="7"/>
  <c r="A351" i="7"/>
  <c r="B350" i="7"/>
  <c r="A350" i="7"/>
  <c r="J349" i="7"/>
  <c r="I349" i="7"/>
  <c r="I348" i="7"/>
  <c r="H348" i="7"/>
  <c r="J346" i="7"/>
  <c r="I346" i="7"/>
  <c r="D346" i="7"/>
  <c r="C346" i="7"/>
  <c r="B346" i="7"/>
  <c r="A346" i="7"/>
  <c r="J345" i="7"/>
  <c r="I345" i="7"/>
  <c r="I344" i="7"/>
  <c r="H344" i="7"/>
  <c r="J342" i="7"/>
  <c r="I342" i="7"/>
  <c r="D342" i="7"/>
  <c r="C342" i="7"/>
  <c r="B342" i="7"/>
  <c r="A342" i="7"/>
  <c r="J341" i="7"/>
  <c r="I341" i="7"/>
  <c r="I340" i="7"/>
  <c r="H340" i="7"/>
  <c r="J338" i="7"/>
  <c r="I338" i="7"/>
  <c r="D338" i="7"/>
  <c r="C338" i="7"/>
  <c r="B338" i="7"/>
  <c r="A338" i="7"/>
  <c r="J337" i="7"/>
  <c r="J334" i="7"/>
  <c r="I334" i="7"/>
  <c r="D334" i="7"/>
  <c r="C334" i="7"/>
  <c r="B334" i="7"/>
  <c r="A334" i="7"/>
  <c r="B333" i="7"/>
  <c r="J332" i="7"/>
  <c r="J329" i="7"/>
  <c r="I329" i="7"/>
  <c r="D329" i="7"/>
  <c r="C329" i="7"/>
  <c r="B329" i="7"/>
  <c r="A329" i="7"/>
  <c r="J328" i="7"/>
  <c r="I328" i="7"/>
  <c r="F327" i="7"/>
  <c r="J325" i="7"/>
  <c r="I325" i="7"/>
  <c r="D325" i="7"/>
  <c r="C325" i="7"/>
  <c r="B325" i="7"/>
  <c r="A325" i="7"/>
  <c r="B324" i="7"/>
  <c r="A324" i="7"/>
  <c r="J323" i="7"/>
  <c r="I323" i="7"/>
  <c r="C322" i="7"/>
  <c r="J320" i="7"/>
  <c r="I320" i="7"/>
  <c r="D320" i="7"/>
  <c r="C320" i="7"/>
  <c r="B320" i="7"/>
  <c r="A320" i="7"/>
  <c r="I319" i="7"/>
  <c r="C318" i="7"/>
  <c r="J316" i="7"/>
  <c r="I316" i="7"/>
  <c r="D316" i="7"/>
  <c r="C316" i="7"/>
  <c r="B316" i="7"/>
  <c r="A316" i="7"/>
  <c r="J315" i="7"/>
  <c r="I315" i="7"/>
  <c r="I314" i="7"/>
  <c r="J312" i="7"/>
  <c r="I312" i="7"/>
  <c r="D312" i="7"/>
  <c r="C312" i="7"/>
  <c r="B312" i="7"/>
  <c r="A312" i="7"/>
  <c r="J311" i="7"/>
  <c r="I311" i="7"/>
  <c r="I310" i="7"/>
  <c r="J308" i="7"/>
  <c r="I308" i="7"/>
  <c r="D308" i="7"/>
  <c r="C308" i="7"/>
  <c r="B308" i="7"/>
  <c r="A308" i="7"/>
  <c r="J307" i="7"/>
  <c r="I307" i="7"/>
  <c r="J304" i="7"/>
  <c r="I304" i="7"/>
  <c r="D304" i="7"/>
  <c r="C304" i="7"/>
  <c r="B304" i="7"/>
  <c r="A304" i="7"/>
  <c r="B303" i="7"/>
  <c r="A303" i="7"/>
  <c r="J302" i="7"/>
  <c r="I302" i="7"/>
  <c r="I301" i="7"/>
  <c r="J299" i="7"/>
  <c r="I299" i="7"/>
  <c r="D299" i="7"/>
  <c r="C299" i="7"/>
  <c r="B299" i="7"/>
  <c r="A299" i="7"/>
  <c r="J298" i="7"/>
  <c r="I298" i="7"/>
  <c r="I297" i="7"/>
  <c r="J295" i="7"/>
  <c r="I295" i="7"/>
  <c r="D295" i="7"/>
  <c r="C295" i="7"/>
  <c r="B295" i="7"/>
  <c r="A295" i="7"/>
  <c r="B294" i="7"/>
  <c r="A294" i="7"/>
  <c r="J293" i="7"/>
  <c r="I293" i="7"/>
  <c r="I292" i="7"/>
  <c r="J290" i="7"/>
  <c r="I290" i="7"/>
  <c r="D290" i="7"/>
  <c r="C290" i="7"/>
  <c r="B290" i="7"/>
  <c r="A290" i="7"/>
  <c r="J289" i="7"/>
  <c r="I289" i="7"/>
  <c r="I288" i="7"/>
  <c r="J286" i="7"/>
  <c r="I286" i="7"/>
  <c r="D286" i="7"/>
  <c r="C286" i="7"/>
  <c r="B286" i="7"/>
  <c r="A286" i="7"/>
  <c r="J285" i="7"/>
  <c r="I285" i="7"/>
  <c r="J282" i="7"/>
  <c r="D282" i="7"/>
  <c r="C282" i="7"/>
  <c r="B282" i="7"/>
  <c r="A282" i="7"/>
  <c r="J281" i="7"/>
  <c r="I281" i="7"/>
  <c r="I280" i="7"/>
  <c r="J278" i="7"/>
  <c r="I278" i="7"/>
  <c r="D278" i="7"/>
  <c r="C278" i="7"/>
  <c r="B278" i="7"/>
  <c r="A278" i="7"/>
  <c r="J277" i="7"/>
  <c r="I277" i="7"/>
  <c r="I276" i="7"/>
  <c r="J274" i="7"/>
  <c r="I274" i="7"/>
  <c r="D274" i="7"/>
  <c r="C274" i="7"/>
  <c r="B274" i="7"/>
  <c r="A274" i="7"/>
  <c r="J273" i="7"/>
  <c r="I273" i="7"/>
  <c r="I272" i="7"/>
  <c r="J270" i="7"/>
  <c r="I270" i="7"/>
  <c r="D270" i="7"/>
  <c r="C270" i="7"/>
  <c r="B270" i="7"/>
  <c r="A270" i="7"/>
  <c r="J269" i="7"/>
  <c r="I269" i="7"/>
  <c r="I268" i="7"/>
  <c r="J266" i="7"/>
  <c r="I266" i="7"/>
  <c r="D266" i="7"/>
  <c r="C266" i="7"/>
  <c r="B266" i="7"/>
  <c r="A266" i="7"/>
  <c r="J265" i="7"/>
  <c r="I265" i="7"/>
  <c r="I264" i="7"/>
  <c r="J262" i="7"/>
  <c r="I262" i="7"/>
  <c r="D262" i="7"/>
  <c r="C262" i="7"/>
  <c r="B262" i="7"/>
  <c r="A262" i="7"/>
  <c r="J261" i="7"/>
  <c r="I261" i="7"/>
  <c r="I260" i="7"/>
  <c r="J258" i="7"/>
  <c r="I258" i="7"/>
  <c r="D258" i="7"/>
  <c r="C258" i="7"/>
  <c r="B258" i="7"/>
  <c r="A258" i="7"/>
  <c r="J257" i="7"/>
  <c r="I257" i="7"/>
  <c r="I256" i="7"/>
  <c r="J254" i="7"/>
  <c r="I254" i="7"/>
  <c r="D254" i="7"/>
  <c r="C254" i="7"/>
  <c r="B254" i="7"/>
  <c r="A254" i="7"/>
  <c r="J253" i="7"/>
  <c r="I253" i="7"/>
  <c r="I252" i="7"/>
  <c r="J250" i="7"/>
  <c r="I250" i="7"/>
  <c r="D250" i="7"/>
  <c r="C250" i="7"/>
  <c r="B250" i="7"/>
  <c r="A250" i="7"/>
  <c r="J249" i="7"/>
  <c r="I249" i="7"/>
  <c r="I248" i="7"/>
  <c r="J246" i="7"/>
  <c r="I246" i="7"/>
  <c r="D246" i="7"/>
  <c r="C246" i="7"/>
  <c r="B246" i="7"/>
  <c r="A246" i="7"/>
  <c r="J245" i="7"/>
  <c r="I245" i="7"/>
  <c r="I244" i="7"/>
  <c r="J242" i="7"/>
  <c r="I242" i="7"/>
  <c r="D242" i="7"/>
  <c r="C242" i="7"/>
  <c r="B242" i="7"/>
  <c r="A242" i="7"/>
  <c r="J241" i="7"/>
  <c r="I241" i="7"/>
  <c r="I240" i="7"/>
  <c r="J238" i="7"/>
  <c r="I238" i="7"/>
  <c r="D238" i="7"/>
  <c r="C238" i="7"/>
  <c r="B238" i="7"/>
  <c r="A238" i="7"/>
  <c r="J237" i="7"/>
  <c r="I237" i="7"/>
  <c r="I236" i="7"/>
  <c r="J234" i="7"/>
  <c r="I234" i="7"/>
  <c r="D234" i="7"/>
  <c r="C234" i="7"/>
  <c r="B234" i="7"/>
  <c r="A234" i="7"/>
  <c r="J233" i="7"/>
  <c r="I233" i="7"/>
  <c r="I232" i="7"/>
  <c r="J230" i="7"/>
  <c r="I230" i="7"/>
  <c r="D230" i="7"/>
  <c r="C230" i="7"/>
  <c r="B230" i="7"/>
  <c r="A230" i="7"/>
  <c r="J229" i="7"/>
  <c r="I229" i="7"/>
  <c r="I228" i="7"/>
  <c r="J226" i="7"/>
  <c r="I226" i="7"/>
  <c r="D226" i="7"/>
  <c r="C226" i="7"/>
  <c r="B226" i="7"/>
  <c r="A226" i="7"/>
  <c r="J225" i="7"/>
  <c r="I225" i="7"/>
  <c r="I224" i="7"/>
  <c r="J222" i="7"/>
  <c r="I222" i="7"/>
  <c r="D222" i="7"/>
  <c r="C222" i="7"/>
  <c r="B222" i="7"/>
  <c r="A222" i="7"/>
  <c r="J221" i="7"/>
  <c r="I221" i="7"/>
  <c r="I220" i="7"/>
  <c r="C220" i="7"/>
  <c r="J218" i="7"/>
  <c r="I218" i="7"/>
  <c r="D218" i="7"/>
  <c r="C218" i="7"/>
  <c r="B218" i="7"/>
  <c r="A218" i="7"/>
  <c r="J217" i="7"/>
  <c r="I217" i="7"/>
  <c r="I216" i="7"/>
  <c r="C216" i="7"/>
  <c r="J214" i="7"/>
  <c r="I214" i="7"/>
  <c r="D214" i="7"/>
  <c r="C214" i="7"/>
  <c r="B214" i="7"/>
  <c r="A214" i="7"/>
  <c r="J213" i="7"/>
  <c r="I213" i="7"/>
  <c r="I212" i="7"/>
  <c r="C212" i="7"/>
  <c r="J210" i="7"/>
  <c r="I210" i="7"/>
  <c r="D210" i="7"/>
  <c r="C210" i="7"/>
  <c r="B210" i="7"/>
  <c r="A210" i="7"/>
  <c r="J209" i="7"/>
  <c r="I209" i="7"/>
  <c r="I208" i="7"/>
  <c r="J206" i="7"/>
  <c r="I206" i="7"/>
  <c r="D206" i="7"/>
  <c r="C206" i="7"/>
  <c r="B206" i="7"/>
  <c r="A206" i="7"/>
  <c r="J205" i="7"/>
  <c r="I205" i="7"/>
  <c r="I204" i="7"/>
  <c r="F204" i="7"/>
  <c r="J202" i="7"/>
  <c r="I202" i="7"/>
  <c r="D202" i="7"/>
  <c r="C202" i="7"/>
  <c r="B202" i="7"/>
  <c r="A202" i="7"/>
  <c r="J201" i="7"/>
  <c r="I201" i="7"/>
  <c r="I200" i="7"/>
  <c r="F200" i="7"/>
  <c r="J198" i="7"/>
  <c r="I198" i="7"/>
  <c r="D198" i="7"/>
  <c r="C198" i="7"/>
  <c r="B198" i="7"/>
  <c r="A198" i="7"/>
  <c r="D197" i="7"/>
  <c r="A197" i="7"/>
  <c r="J196" i="7"/>
  <c r="I196" i="7"/>
  <c r="I195" i="7"/>
  <c r="J193" i="7"/>
  <c r="I193" i="7"/>
  <c r="D193" i="7"/>
  <c r="C193" i="7"/>
  <c r="B193" i="7"/>
  <c r="A193" i="7"/>
  <c r="J192" i="7"/>
  <c r="I192" i="7"/>
  <c r="I191" i="7"/>
  <c r="J189" i="7"/>
  <c r="I189" i="7"/>
  <c r="D189" i="7"/>
  <c r="C189" i="7"/>
  <c r="B189" i="7"/>
  <c r="A189" i="7"/>
  <c r="J188" i="7"/>
  <c r="I188" i="7"/>
  <c r="I187" i="7"/>
  <c r="J185" i="7"/>
  <c r="I185" i="7"/>
  <c r="D185" i="7"/>
  <c r="C185" i="7"/>
  <c r="B185" i="7"/>
  <c r="A185" i="7"/>
  <c r="D184" i="7"/>
  <c r="A184" i="7"/>
  <c r="J183" i="7"/>
  <c r="I183" i="7"/>
  <c r="C182" i="7"/>
  <c r="J180" i="7"/>
  <c r="I180" i="7"/>
  <c r="D180" i="7"/>
  <c r="C180" i="7"/>
  <c r="B180" i="7"/>
  <c r="A180" i="7"/>
  <c r="J179" i="7"/>
  <c r="I179" i="7"/>
  <c r="I178" i="7"/>
  <c r="J176" i="7"/>
  <c r="I176" i="7"/>
  <c r="D176" i="7"/>
  <c r="C176" i="7"/>
  <c r="B176" i="7"/>
  <c r="A176" i="7"/>
  <c r="J175" i="7"/>
  <c r="I175" i="7"/>
  <c r="I174" i="7"/>
  <c r="J172" i="7"/>
  <c r="I172" i="7"/>
  <c r="D172" i="7"/>
  <c r="C172" i="7"/>
  <c r="B172" i="7"/>
  <c r="A172" i="7"/>
  <c r="J171" i="7"/>
  <c r="I171" i="7"/>
  <c r="I170" i="7"/>
  <c r="J168" i="7"/>
  <c r="I168" i="7"/>
  <c r="D168" i="7"/>
  <c r="C168" i="7"/>
  <c r="B168" i="7"/>
  <c r="A168" i="7"/>
  <c r="D167" i="7"/>
  <c r="A167" i="7"/>
  <c r="J166" i="7"/>
  <c r="I166" i="7"/>
  <c r="I165" i="7"/>
  <c r="H165" i="7"/>
  <c r="J163" i="7"/>
  <c r="I163" i="7"/>
  <c r="D163" i="7"/>
  <c r="C163" i="7"/>
  <c r="B163" i="7"/>
  <c r="A163" i="7"/>
  <c r="D162" i="7"/>
  <c r="A162" i="7"/>
  <c r="J161" i="7"/>
  <c r="I161" i="7"/>
  <c r="J158" i="7"/>
  <c r="I158" i="7"/>
  <c r="D158" i="7"/>
  <c r="C158" i="7"/>
  <c r="B158" i="7"/>
  <c r="A158" i="7"/>
  <c r="J157" i="7"/>
  <c r="I157" i="7"/>
  <c r="I156" i="7"/>
  <c r="H156" i="7"/>
  <c r="J154" i="7"/>
  <c r="I154" i="7"/>
  <c r="D154" i="7"/>
  <c r="C154" i="7"/>
  <c r="B154" i="7"/>
  <c r="A154" i="7"/>
  <c r="J153" i="7"/>
  <c r="I153" i="7"/>
  <c r="I152" i="7"/>
  <c r="H152" i="7"/>
  <c r="J150" i="7"/>
  <c r="I150" i="7"/>
  <c r="D150" i="7"/>
  <c r="C150" i="7"/>
  <c r="B150" i="7"/>
  <c r="A150" i="7"/>
  <c r="J149" i="7"/>
  <c r="I149" i="7"/>
  <c r="I148" i="7"/>
  <c r="H148" i="7"/>
  <c r="J146" i="7"/>
  <c r="I146" i="7"/>
  <c r="D146" i="7"/>
  <c r="C146" i="7"/>
  <c r="B146" i="7"/>
  <c r="A146" i="7"/>
  <c r="J145" i="7"/>
  <c r="I145" i="7"/>
  <c r="I144" i="7"/>
  <c r="H144" i="7"/>
  <c r="J142" i="7"/>
  <c r="I142" i="7"/>
  <c r="D142" i="7"/>
  <c r="C142" i="7"/>
  <c r="B142" i="7"/>
  <c r="A142" i="7"/>
  <c r="D141" i="7"/>
  <c r="A141" i="7"/>
  <c r="J140" i="7"/>
  <c r="I140" i="7"/>
  <c r="I139" i="7"/>
  <c r="J137" i="7"/>
  <c r="I137" i="7"/>
  <c r="D137" i="7"/>
  <c r="C137" i="7"/>
  <c r="B137" i="7"/>
  <c r="A137" i="7"/>
  <c r="J136" i="7"/>
  <c r="I136" i="7"/>
  <c r="I135" i="7"/>
  <c r="J133" i="7"/>
  <c r="I133" i="7"/>
  <c r="D133" i="7"/>
  <c r="C133" i="7"/>
  <c r="B133" i="7"/>
  <c r="A133" i="7"/>
  <c r="D132" i="7"/>
  <c r="A132" i="7"/>
  <c r="J131" i="7"/>
  <c r="I131" i="7"/>
  <c r="I130" i="7"/>
  <c r="J128" i="7"/>
  <c r="I128" i="7"/>
  <c r="D128" i="7"/>
  <c r="C128" i="7"/>
  <c r="B128" i="7"/>
  <c r="A128" i="7"/>
  <c r="J127" i="7"/>
  <c r="I127" i="7"/>
  <c r="I126" i="7"/>
  <c r="H126" i="7"/>
  <c r="F126" i="7"/>
  <c r="J124" i="7"/>
  <c r="I124" i="7"/>
  <c r="D124" i="7"/>
  <c r="C124" i="7"/>
  <c r="B124" i="7"/>
  <c r="A124" i="7"/>
  <c r="J123" i="7"/>
  <c r="I123" i="7"/>
  <c r="I122" i="7"/>
  <c r="H122" i="7"/>
  <c r="J120" i="7"/>
  <c r="I120" i="7"/>
  <c r="D120" i="7"/>
  <c r="C120" i="7"/>
  <c r="B120" i="7"/>
  <c r="A120" i="7"/>
  <c r="J119" i="7"/>
  <c r="I119" i="7"/>
  <c r="I118" i="7"/>
  <c r="H118" i="7"/>
  <c r="J116" i="7"/>
  <c r="I116" i="7"/>
  <c r="D116" i="7"/>
  <c r="C116" i="7"/>
  <c r="B116" i="7"/>
  <c r="A116" i="7"/>
  <c r="J115" i="7"/>
  <c r="I115" i="7"/>
  <c r="I114" i="7"/>
  <c r="J112" i="7"/>
  <c r="I112" i="7"/>
  <c r="D112" i="7"/>
  <c r="C112" i="7"/>
  <c r="B112" i="7"/>
  <c r="A112" i="7"/>
  <c r="J111" i="7"/>
  <c r="I111" i="7"/>
  <c r="I110" i="7"/>
  <c r="J108" i="7"/>
  <c r="I108" i="7"/>
  <c r="D108" i="7"/>
  <c r="C108" i="7"/>
  <c r="B108" i="7"/>
  <c r="A108" i="7"/>
  <c r="J107" i="7"/>
  <c r="I107" i="7"/>
  <c r="I106" i="7"/>
  <c r="H106" i="7"/>
  <c r="J104" i="7"/>
  <c r="I104" i="7"/>
  <c r="D104" i="7"/>
  <c r="C104" i="7"/>
  <c r="B104" i="7"/>
  <c r="A104" i="7"/>
  <c r="J103" i="7"/>
  <c r="I103" i="7"/>
  <c r="I102" i="7"/>
  <c r="J100" i="7"/>
  <c r="I100" i="7"/>
  <c r="D100" i="7"/>
  <c r="C100" i="7"/>
  <c r="B100" i="7"/>
  <c r="A100" i="7"/>
  <c r="J99" i="7"/>
  <c r="I99" i="7"/>
  <c r="I98" i="7"/>
  <c r="G98" i="7"/>
  <c r="J96" i="7"/>
  <c r="I96" i="7"/>
  <c r="D96" i="7"/>
  <c r="C96" i="7"/>
  <c r="B96" i="7"/>
  <c r="A96" i="7"/>
  <c r="J95" i="7"/>
  <c r="I95" i="7"/>
  <c r="I94" i="7"/>
  <c r="J92" i="7"/>
  <c r="I92" i="7"/>
  <c r="D92" i="7"/>
  <c r="C92" i="7"/>
  <c r="B92" i="7"/>
  <c r="A92" i="7"/>
  <c r="D91" i="7"/>
  <c r="A91" i="7"/>
  <c r="J90" i="7"/>
  <c r="I90" i="7"/>
  <c r="I89" i="7"/>
  <c r="F89" i="7"/>
  <c r="J87" i="7"/>
  <c r="I87" i="7"/>
  <c r="D87" i="7"/>
  <c r="C87" i="7"/>
  <c r="B87" i="7"/>
  <c r="A87" i="7"/>
  <c r="J86" i="7"/>
  <c r="I86" i="7"/>
  <c r="I85" i="7"/>
  <c r="J83" i="7"/>
  <c r="I83" i="7"/>
  <c r="D83" i="7"/>
  <c r="C83" i="7"/>
  <c r="B83" i="7"/>
  <c r="A83" i="7"/>
  <c r="J82" i="7"/>
  <c r="I82" i="7"/>
  <c r="I81" i="7"/>
  <c r="J79" i="7"/>
  <c r="I79" i="7"/>
  <c r="D79" i="7"/>
  <c r="C79" i="7"/>
  <c r="B79" i="7"/>
  <c r="A79" i="7"/>
  <c r="J78" i="7"/>
  <c r="I78" i="7"/>
  <c r="I77" i="7"/>
  <c r="J75" i="7"/>
  <c r="I75" i="7"/>
  <c r="D75" i="7"/>
  <c r="C75" i="7"/>
  <c r="B75" i="7"/>
  <c r="A75" i="7"/>
  <c r="J74" i="7"/>
  <c r="I74" i="7"/>
  <c r="J71" i="7"/>
  <c r="I71" i="7"/>
  <c r="D71" i="7"/>
  <c r="C71" i="7"/>
  <c r="B71" i="7"/>
  <c r="A71" i="7"/>
  <c r="J70" i="7"/>
  <c r="I70" i="7"/>
  <c r="I69" i="7"/>
  <c r="J67" i="7"/>
  <c r="I67" i="7"/>
  <c r="D67" i="7"/>
  <c r="C67" i="7"/>
  <c r="B67" i="7"/>
  <c r="A67" i="7"/>
  <c r="J66" i="7"/>
  <c r="I66" i="7"/>
  <c r="I65" i="7"/>
  <c r="J63" i="7"/>
  <c r="I63" i="7"/>
  <c r="D63" i="7"/>
  <c r="C63" i="7"/>
  <c r="B63" i="7"/>
  <c r="A63" i="7"/>
  <c r="J62" i="7"/>
  <c r="I62" i="7"/>
  <c r="I61" i="7"/>
  <c r="J59" i="7"/>
  <c r="I59" i="7"/>
  <c r="D59" i="7"/>
  <c r="C59" i="7"/>
  <c r="B59" i="7"/>
  <c r="A59" i="7"/>
  <c r="J58" i="7"/>
  <c r="J55" i="7"/>
  <c r="I55" i="7"/>
  <c r="D55" i="7"/>
  <c r="C55" i="7"/>
  <c r="B55" i="7"/>
  <c r="A55" i="7"/>
  <c r="J54" i="7"/>
  <c r="I54" i="7"/>
  <c r="I53" i="7"/>
  <c r="J51" i="7"/>
  <c r="I51" i="7"/>
  <c r="D51" i="7"/>
  <c r="C51" i="7"/>
  <c r="B51" i="7"/>
  <c r="A51" i="7"/>
  <c r="D50" i="7"/>
  <c r="A50" i="7"/>
  <c r="J49" i="7"/>
  <c r="I49" i="7"/>
  <c r="I48" i="7"/>
  <c r="J46" i="7"/>
  <c r="I46" i="7"/>
  <c r="D46" i="7"/>
  <c r="C46" i="7"/>
  <c r="B46" i="7"/>
  <c r="A46" i="7"/>
  <c r="J45" i="7"/>
  <c r="I45" i="7"/>
  <c r="I44" i="7"/>
  <c r="J42" i="7"/>
  <c r="I42" i="7"/>
  <c r="D42" i="7"/>
  <c r="C42" i="7"/>
  <c r="B42" i="7"/>
  <c r="A42" i="7"/>
  <c r="J41" i="7"/>
  <c r="I41" i="7"/>
  <c r="I40" i="7"/>
  <c r="J38" i="7"/>
  <c r="I38" i="7"/>
  <c r="D38" i="7"/>
  <c r="C38" i="7"/>
  <c r="B38" i="7"/>
  <c r="A38" i="7"/>
  <c r="J37" i="7"/>
  <c r="I37" i="7"/>
  <c r="I36" i="7"/>
  <c r="J34" i="7"/>
  <c r="I34" i="7"/>
  <c r="D34" i="7"/>
  <c r="C34" i="7"/>
  <c r="B34" i="7"/>
  <c r="A34" i="7"/>
  <c r="J33" i="7"/>
  <c r="I33" i="7"/>
  <c r="I32" i="7"/>
  <c r="J30" i="7"/>
  <c r="I30" i="7"/>
  <c r="D30" i="7"/>
  <c r="C30" i="7"/>
  <c r="B30" i="7"/>
  <c r="A30" i="7"/>
  <c r="J29" i="7"/>
  <c r="I29" i="7"/>
  <c r="I28" i="7"/>
  <c r="J26" i="7"/>
  <c r="I26" i="7"/>
  <c r="D26" i="7"/>
  <c r="C26" i="7"/>
  <c r="B26" i="7"/>
  <c r="A26" i="7"/>
  <c r="J25" i="7"/>
  <c r="I25" i="7"/>
  <c r="I24" i="7"/>
  <c r="J22" i="7"/>
  <c r="I22" i="7"/>
  <c r="D22" i="7"/>
  <c r="C22" i="7"/>
  <c r="B22" i="7"/>
  <c r="A22" i="7"/>
  <c r="J21" i="7"/>
  <c r="I21" i="7"/>
  <c r="I20" i="7"/>
  <c r="J18" i="7"/>
  <c r="I18" i="7"/>
  <c r="D18" i="7"/>
  <c r="C18" i="7"/>
  <c r="B18" i="7"/>
  <c r="A18" i="7"/>
  <c r="D17" i="7"/>
  <c r="A17" i="7"/>
  <c r="B12" i="7"/>
  <c r="D11" i="7"/>
  <c r="B11" i="7"/>
  <c r="J112" i="6"/>
  <c r="J111" i="6"/>
  <c r="I111" i="6"/>
  <c r="H111" i="6"/>
  <c r="J110" i="6"/>
  <c r="J109" i="6"/>
  <c r="I109" i="6"/>
  <c r="H109" i="6"/>
  <c r="F109" i="6"/>
  <c r="J108" i="6"/>
  <c r="I108" i="6"/>
  <c r="H108" i="6"/>
  <c r="F108" i="6"/>
  <c r="J107" i="6"/>
  <c r="I107" i="6"/>
  <c r="H107" i="6"/>
  <c r="F107" i="6"/>
  <c r="J106" i="6"/>
  <c r="I106" i="6"/>
  <c r="H106" i="6"/>
  <c r="F106" i="6"/>
  <c r="J105" i="6"/>
  <c r="J104" i="6"/>
  <c r="I104" i="6"/>
  <c r="H104" i="6"/>
  <c r="F104" i="6"/>
  <c r="J103" i="6"/>
  <c r="I103" i="6"/>
  <c r="H103" i="6"/>
  <c r="J102" i="6"/>
  <c r="J101" i="6"/>
  <c r="I101" i="6"/>
  <c r="H101" i="6"/>
  <c r="J100" i="6"/>
  <c r="I100" i="6"/>
  <c r="H100" i="6"/>
  <c r="J99" i="6"/>
  <c r="I99" i="6"/>
  <c r="H99" i="6"/>
  <c r="J98" i="6"/>
  <c r="I98" i="6"/>
  <c r="H98" i="6"/>
  <c r="J97" i="6"/>
  <c r="I97" i="6"/>
  <c r="H97" i="6"/>
  <c r="J96" i="6"/>
  <c r="J95" i="6"/>
  <c r="I95" i="6"/>
  <c r="H95" i="6"/>
  <c r="J94" i="6"/>
  <c r="I94" i="6"/>
  <c r="H94" i="6"/>
  <c r="J93" i="6"/>
  <c r="J92" i="6"/>
  <c r="I92" i="6"/>
  <c r="H92" i="6"/>
  <c r="J91" i="6"/>
  <c r="I91" i="6"/>
  <c r="H91" i="6"/>
  <c r="J90" i="6"/>
  <c r="I90" i="6"/>
  <c r="H90" i="6"/>
  <c r="J89" i="6"/>
  <c r="I89" i="6"/>
  <c r="H89" i="6"/>
  <c r="J88" i="6"/>
  <c r="I88" i="6"/>
  <c r="H88" i="6"/>
  <c r="J87" i="6"/>
  <c r="I87" i="6"/>
  <c r="H87" i="6"/>
  <c r="J86" i="6"/>
  <c r="I86" i="6"/>
  <c r="H86" i="6"/>
  <c r="J85" i="6"/>
  <c r="I85" i="6"/>
  <c r="H85" i="6"/>
  <c r="J84" i="6"/>
  <c r="I84" i="6"/>
  <c r="H84" i="6"/>
  <c r="J83" i="6"/>
  <c r="I83" i="6"/>
  <c r="H83" i="6"/>
  <c r="J82" i="6"/>
  <c r="I82" i="6"/>
  <c r="H82" i="6"/>
  <c r="J81" i="6"/>
  <c r="I81" i="6"/>
  <c r="H81" i="6"/>
  <c r="J80" i="6"/>
  <c r="I80" i="6"/>
  <c r="H80" i="6"/>
  <c r="J79" i="6"/>
  <c r="I79" i="6"/>
  <c r="H79" i="6"/>
  <c r="J78" i="6"/>
  <c r="I78" i="6"/>
  <c r="H78" i="6"/>
  <c r="J77" i="6"/>
  <c r="I77" i="6"/>
  <c r="H77" i="6"/>
  <c r="J76" i="6"/>
  <c r="I76" i="6"/>
  <c r="H76" i="6"/>
  <c r="J75" i="6"/>
  <c r="I75" i="6"/>
  <c r="H75" i="6"/>
  <c r="J74" i="6"/>
  <c r="I74" i="6"/>
  <c r="H74" i="6"/>
  <c r="F74" i="6"/>
  <c r="J73" i="6"/>
  <c r="I73" i="6"/>
  <c r="H73" i="6"/>
  <c r="J72" i="6"/>
  <c r="I72" i="6"/>
  <c r="H72" i="6"/>
  <c r="J71" i="6"/>
  <c r="I71" i="6"/>
  <c r="H71" i="6"/>
  <c r="J70" i="6"/>
  <c r="I70" i="6"/>
  <c r="H70" i="6"/>
  <c r="J69" i="6"/>
  <c r="I69" i="6"/>
  <c r="H69" i="6"/>
  <c r="J68" i="6"/>
  <c r="J67" i="6"/>
  <c r="I67" i="6"/>
  <c r="H67" i="6"/>
  <c r="F67" i="6"/>
  <c r="N66" i="6"/>
  <c r="J66" i="6"/>
  <c r="I66" i="6"/>
  <c r="H66" i="6"/>
  <c r="F66" i="6"/>
  <c r="J65" i="6"/>
  <c r="I65" i="6"/>
  <c r="H65" i="6"/>
  <c r="F65" i="6"/>
  <c r="J64" i="6"/>
  <c r="J63" i="6"/>
  <c r="I63" i="6"/>
  <c r="H63" i="6"/>
  <c r="J62" i="6"/>
  <c r="I62" i="6"/>
  <c r="H62" i="6"/>
  <c r="F62" i="6"/>
  <c r="J61" i="6"/>
  <c r="I61" i="6"/>
  <c r="H61" i="6"/>
  <c r="J60" i="6"/>
  <c r="I60" i="6"/>
  <c r="H60" i="6"/>
  <c r="J59" i="6"/>
  <c r="J58" i="6"/>
  <c r="I58" i="6"/>
  <c r="H58" i="6"/>
  <c r="J57" i="6"/>
  <c r="J56" i="6"/>
  <c r="I56" i="6"/>
  <c r="H56" i="6"/>
  <c r="J55" i="6"/>
  <c r="I55" i="6"/>
  <c r="H55" i="6"/>
  <c r="J54" i="6"/>
  <c r="I54" i="6"/>
  <c r="H54" i="6"/>
  <c r="J53" i="6"/>
  <c r="I53" i="6"/>
  <c r="H53" i="6"/>
  <c r="J52" i="6"/>
  <c r="I52" i="6"/>
  <c r="H52" i="6"/>
  <c r="F52" i="6"/>
  <c r="J51" i="6"/>
  <c r="J50" i="6"/>
  <c r="I50" i="6"/>
  <c r="H50" i="6"/>
  <c r="F50" i="6"/>
  <c r="J49" i="6"/>
  <c r="I49" i="6"/>
  <c r="H49" i="6"/>
  <c r="F49" i="6"/>
  <c r="J48" i="6"/>
  <c r="J47" i="6"/>
  <c r="I47" i="6"/>
  <c r="H47" i="6"/>
  <c r="J46" i="6"/>
  <c r="I46" i="6"/>
  <c r="H46" i="6"/>
  <c r="F46" i="6"/>
  <c r="J45" i="6"/>
  <c r="I45" i="6"/>
  <c r="H45" i="6"/>
  <c r="F45" i="6"/>
  <c r="J44" i="6"/>
  <c r="I44" i="6"/>
  <c r="H44" i="6"/>
  <c r="F44" i="6"/>
  <c r="J43" i="6"/>
  <c r="I43" i="6"/>
  <c r="H43" i="6"/>
  <c r="F43" i="6"/>
  <c r="J42" i="6"/>
  <c r="I42" i="6"/>
  <c r="H42" i="6"/>
  <c r="F42" i="6"/>
  <c r="J41" i="6"/>
  <c r="I41" i="6"/>
  <c r="H41" i="6"/>
  <c r="F41" i="6"/>
  <c r="J40" i="6"/>
  <c r="I40" i="6"/>
  <c r="H40" i="6"/>
  <c r="F40" i="6"/>
  <c r="J39" i="6"/>
  <c r="I39" i="6"/>
  <c r="H39" i="6"/>
  <c r="F39" i="6"/>
  <c r="J38" i="6"/>
  <c r="I38" i="6"/>
  <c r="H38" i="6"/>
  <c r="F38" i="6"/>
  <c r="J37" i="6"/>
  <c r="J36" i="6"/>
  <c r="I36" i="6"/>
  <c r="H36" i="6"/>
  <c r="F36" i="6"/>
  <c r="J35" i="6"/>
  <c r="I35" i="6"/>
  <c r="H35" i="6"/>
  <c r="J34" i="6"/>
  <c r="I34" i="6"/>
  <c r="H34" i="6"/>
  <c r="J33" i="6"/>
  <c r="I33" i="6"/>
  <c r="H33" i="6"/>
  <c r="F33" i="6"/>
  <c r="J32" i="6"/>
  <c r="I32" i="6"/>
  <c r="H32" i="6"/>
  <c r="F32" i="6"/>
  <c r="J31" i="6"/>
  <c r="I31" i="6"/>
  <c r="H31" i="6"/>
  <c r="F31" i="6"/>
  <c r="J30" i="6"/>
  <c r="I30" i="6"/>
  <c r="H30" i="6"/>
  <c r="J29" i="6"/>
  <c r="I29" i="6"/>
  <c r="H29" i="6"/>
  <c r="J28" i="6"/>
  <c r="I28" i="6"/>
  <c r="H28" i="6"/>
  <c r="J27" i="6"/>
  <c r="I27" i="6"/>
  <c r="H27" i="6"/>
  <c r="F27" i="6"/>
  <c r="J26" i="6"/>
  <c r="J25" i="6"/>
  <c r="I25" i="6"/>
  <c r="H25" i="6"/>
  <c r="F25" i="6"/>
  <c r="J24" i="6"/>
  <c r="I24" i="6"/>
  <c r="H24" i="6"/>
  <c r="F24" i="6"/>
  <c r="J23" i="6"/>
  <c r="I23" i="6"/>
  <c r="H23" i="6"/>
  <c r="J22" i="6"/>
  <c r="I22" i="6"/>
  <c r="H22" i="6"/>
  <c r="J21" i="6"/>
  <c r="I21" i="6"/>
  <c r="H21" i="6"/>
  <c r="J20" i="6"/>
  <c r="I20" i="6"/>
  <c r="H20" i="6"/>
  <c r="J19" i="6"/>
  <c r="I19" i="6"/>
  <c r="H19" i="6"/>
  <c r="J18" i="6"/>
  <c r="I18" i="6"/>
  <c r="H18" i="6"/>
  <c r="J17" i="6"/>
  <c r="B11" i="6"/>
  <c r="D26" i="3"/>
  <c r="D19" i="3"/>
  <c r="G13" i="3"/>
  <c r="C11" i="3"/>
  <c r="B11" i="3"/>
</calcChain>
</file>

<file path=xl/sharedStrings.xml><?xml version="1.0" encoding="utf-8"?>
<sst xmlns="http://schemas.openxmlformats.org/spreadsheetml/2006/main" count="1487" uniqueCount="391">
  <si>
    <t>PLANILHA ORÇAMENTARIA DE CUSTOS - REFORMA DE PRAÇA PÚBLICA -  SEM DESONERAÇÃO</t>
  </si>
  <si>
    <r>
      <rPr>
        <b/>
        <sz val="11"/>
        <color theme="1"/>
        <rFont val="Calibri"/>
        <charset val="134"/>
        <scheme val="minor"/>
      </rPr>
      <t xml:space="preserve">OBRA: </t>
    </r>
    <r>
      <rPr>
        <sz val="11"/>
        <color theme="1"/>
        <rFont val="Calibri"/>
        <charset val="134"/>
        <scheme val="minor"/>
      </rPr>
      <t>REFORMA DE PRAÇA PÚBLICA NO BAIRRO SAUDADE.</t>
    </r>
  </si>
  <si>
    <r>
      <t xml:space="preserve">LOCAL: </t>
    </r>
    <r>
      <rPr>
        <sz val="11"/>
        <color theme="1"/>
        <rFont val="Calibri"/>
        <charset val="134"/>
        <scheme val="minor"/>
      </rPr>
      <t>AVENIDA DA SAUDADE, BAIRRO SAUDADE.</t>
    </r>
  </si>
  <si>
    <r>
      <rPr>
        <b/>
        <sz val="11"/>
        <color theme="1"/>
        <rFont val="Calibri"/>
        <charset val="134"/>
        <scheme val="minor"/>
      </rPr>
      <t xml:space="preserve">RESPONSÁVEL TÉCNICO PELA ORÇAMENTO: </t>
    </r>
    <r>
      <rPr>
        <sz val="11"/>
        <color theme="1"/>
        <rFont val="Calibri"/>
        <charset val="134"/>
        <scheme val="minor"/>
      </rPr>
      <t>KIMBERLY MOREIRA DE SOUZA - CREA/MG: 294.926/D</t>
    </r>
  </si>
  <si>
    <r>
      <t xml:space="preserve">RESPONSÁVEL LEGAL DO MUNICÍPIO: </t>
    </r>
    <r>
      <rPr>
        <sz val="11"/>
        <color theme="1"/>
        <rFont val="Calibri"/>
        <charset val="134"/>
        <scheme val="minor"/>
      </rPr>
      <t>ZILMAR PINHEIRO LOPES</t>
    </r>
  </si>
  <si>
    <t>% DE BDI:</t>
  </si>
  <si>
    <t xml:space="preserve">EXECUÇÃO DA OBRA: (  ) DIRETA   (X) INDIRETA </t>
  </si>
  <si>
    <t>FONTE:</t>
  </si>
  <si>
    <t>PLANILHA ORÇAMENTÁRIA</t>
  </si>
  <si>
    <t xml:space="preserve">Item </t>
  </si>
  <si>
    <t>Código</t>
  </si>
  <si>
    <t>Fonte</t>
  </si>
  <si>
    <t>Descrição</t>
  </si>
  <si>
    <t>Uni.</t>
  </si>
  <si>
    <t>Quant.</t>
  </si>
  <si>
    <t>Valores orçamento (R$)</t>
  </si>
  <si>
    <t>Custo (s/ BDI)</t>
  </si>
  <si>
    <t>Preço (c/BDI)</t>
  </si>
  <si>
    <t>Unitário</t>
  </si>
  <si>
    <t>Total Item</t>
  </si>
  <si>
    <t>1.</t>
  </si>
  <si>
    <t>IMPLANTAÇÃO DA OBRA E SERVIÇOS PRELIMINARES</t>
  </si>
  <si>
    <t>Subtotal:</t>
  </si>
  <si>
    <t>1.1</t>
  </si>
  <si>
    <t>ED-16660</t>
  </si>
  <si>
    <t>SETOP</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</si>
  <si>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</si>
  <si>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M²</t>
  </si>
  <si>
    <t>1.2</t>
  </si>
  <si>
    <t>SINAPI</t>
  </si>
  <si>
    <t>LOCACAO DE CONTAINER 2,30 X 6,00 M, ALT. 2,50 M, PARA ESCRITORIO, SEM DIVISORIAS INTERNAS E SEM SANITARIO (NAO INCLUI MOBILIZACAO/DESMOBILIZACAO)</t>
  </si>
  <si>
    <t>MÊS</t>
  </si>
  <si>
    <t>1.3</t>
  </si>
  <si>
    <t>ED-50137</t>
  </si>
  <si>
    <t>MOBILIZAÇÃO E DESMOBILIZAÇÃO DE CONTAINER, INCLUSIVE CARGA, DESCARGA E TRANSPORTE EM CAMINHÃO CARROCERIA COM GUINDAUTO (MUNCK), EXCLUSIVE LOCAÇÃO DO CONTAINER</t>
  </si>
  <si>
    <t>UNIT.</t>
  </si>
  <si>
    <t>1.4</t>
  </si>
  <si>
    <t>ED-50276</t>
  </si>
  <si>
    <t>LOCAÇÃO TOPOGRÁFICA ACIMA DE CINQUENTA (50) PONTOS REFERENCIAIS, INCLUSIVE ESTACA (PIQUETE) DE MARCAÇÃO (PRAÇA)</t>
  </si>
  <si>
    <t>1.5</t>
  </si>
  <si>
    <t>LOCAÇÃO CONVENCIONAL DE OBRA, UTILIZANDO GABARITO DE TÁBUAS CORRIDAS PONTALETADAS A CADA
1,50M - 2 UTILIZAÇÕES. AF_03/2024</t>
  </si>
  <si>
    <t>M</t>
  </si>
  <si>
    <t>1.6</t>
  </si>
  <si>
    <t>ED-14457</t>
  </si>
  <si>
    <t>PORTÃO PARA TAPUME FIXO DE PROTEÇÃO COM FECHAMENTO DE OBRA EM TELHA METÁLICA GALVANIZADA, TIPO TRAPEZOIDAL ESP. 0,5MM, COM MÓDULO NA  DIMENSÃO DE (300X220)CM, EXCLUSIVE PINTURA ESMALTE</t>
  </si>
  <si>
    <t>m2</t>
  </si>
  <si>
    <t>1.7</t>
  </si>
  <si>
    <t>ED-2982</t>
  </si>
  <si>
    <t>TAPUME FIXO DE PROTEÇÃO PARA FECHAMENTO DE OBRA EM TELHA METÁLICA GALVANIZADA, TIPO TRAPEZOIDAL, ESP. 0,5MM, COM MÓDULO NA DIMENSÃO DE (300X220)CM, COM
REAPROVEITAMENTO, EXCLUSIVE PINTURA ESMALTE, INCLUSIVE PONTALETE E FIXAÇÃO</t>
  </si>
  <si>
    <t>1.8</t>
  </si>
  <si>
    <t xml:space="preserve">ED-50166 </t>
  </si>
  <si>
    <t xml:space="preserve"> REMANEJAMENTO DE TAPUME FIXO DE PROTEÇÃO PARA
FECHAMENTO DE OBRA, INCLUSIVE ESCAVAÇÃO MANUAL E
REATERRO COMPACTADO</t>
  </si>
  <si>
    <t>2.</t>
  </si>
  <si>
    <t>MOVIMENTAÇÃO DE TERRA, JARDINAGEM E DEMOLIÇÃO.</t>
  </si>
  <si>
    <t>2.1</t>
  </si>
  <si>
    <t>ED-48489</t>
  </si>
  <si>
    <t>DEMOLIÇÃO MECANIZADA DE LAJE DE CONCRETO ARMADO, COM ESPESSURA DE ATÉ 15CM, , COM EQUIPAMENTO ELÉTRICO, INCLUSIVE AFASTAMENTO E EMPILHAMENTO, EXCLUSIVE TRANSPORTE E RETIRADA DO MATERIAL DEMOLIDO</t>
  </si>
  <si>
    <t>2.2</t>
  </si>
  <si>
    <t>DEMOLIÇÃO DE ALVENARIA PARA QUALQUER TIPO DE BLOCO, DE FORMA MECANIZADA, SEM  REAPROVEITAMENTO. AF_09/2023</t>
  </si>
  <si>
    <t>M³</t>
  </si>
  <si>
    <t>2.3</t>
  </si>
  <si>
    <t>ED-48476</t>
  </si>
  <si>
    <t>REMOÇÃO MANUAL DE PAVIMENTAÇÃO INTERTRAVADA OU SEXTAVADO EM PRÉ-MOLDADO DE CONCRETO, COM REAPROVEITAMENTO, INCLUSIVE AFASTAMENTO E EMPILHAMENTO, EXCLUSIVE TRANSPORTE E RETIRADA DO MATERIAL REMOVIDO NÃO REAPROVEITÁVEL</t>
  </si>
  <si>
    <t>2.4</t>
  </si>
  <si>
    <t>ED-48472</t>
  </si>
  <si>
    <t>REMOÇÃO MANUAL DE GUIA DE MEIO-FIO PRÉ-MOLDADA EM
CONCRETO, COM REAPROVEITAMENTO, INCLUSIVE
AFASTAMENTO E EMPILHAMENTO, EXCLUSIVE TRANSPORTE E
RETIRADA DO MATERIAL REMOVIDO NÃO REAPROVEITÁVEL</t>
  </si>
  <si>
    <t>2.5</t>
  </si>
  <si>
    <t>APLICAÇÃO DE ADUBO EM SOLO. AF_07/2024</t>
  </si>
  <si>
    <t>2.6</t>
  </si>
  <si>
    <t>ED-50437</t>
  </si>
  <si>
    <t>PLANTIO DE GRAMA ESMERALDA EM PLACAS, INCLUSIVE TERRA VEGETAL E CONSERVAÇÃO POR TRINTA (30) DIAS</t>
  </si>
  <si>
    <t>2.7</t>
  </si>
  <si>
    <t>PLANTIO DE PALMEIRA COM ALTURA DE MUDA MENOR OU IGUAL A 2,00 M . AF_07/2024</t>
  </si>
  <si>
    <t>UND</t>
  </si>
  <si>
    <t>2.8</t>
  </si>
  <si>
    <t>PLANTIO DE ÁRVORE ORNAMENTAL COM ALTURA DE MUDA MAIOR QUE 2,00 M E MENOR OU IGUAL A 4,00 M .
AF_07/2024</t>
  </si>
  <si>
    <t>2.9</t>
  </si>
  <si>
    <t>ED-51100</t>
  </si>
  <si>
    <t>CORTE E DESATERRO MECÂNICO PARA REGULARIZAÇÃO, COM TRATOR DE ESTEIRA, INCLUSIVE ARRASTAMENTO NIVELADO, AFASTAMENTO E EMPILHAMENTO, EXCLUSIVE CARGA, TRANSPORTE E DESCARGA</t>
  </si>
  <si>
    <t>2.10</t>
  </si>
  <si>
    <t>ED-51122</t>
  </si>
  <si>
    <t>REGULARIZAÇÃO E COMPACTAÇÃO DE TERRENO MANUAL COM SOQUETE, EXCLUSIVE DESMATAMENTO, DESTOCAMENTO, LIMPEZA/ROÇADA DO TERRENO</t>
  </si>
  <si>
    <t>3.</t>
  </si>
  <si>
    <t>FUNDAÇÕES</t>
  </si>
  <si>
    <t>3.1</t>
  </si>
  <si>
    <t>ESCAVAÇÃO MANUAL PARA VIGA BALDRAME OU SAPATA CORRIDA (INCLUINDO ESCAVAÇÃO PARA COLOCAÇÃO DE FÔRMAS). AF_01/2024</t>
  </si>
  <si>
    <t>3.2</t>
  </si>
  <si>
    <t>ESCAVAÇÃO MANUAL PARA BLOCO DE COROAMENTO OU SAPATA (INCLUINDO ESCAVAÇÃO PARA COLOCAÇÃO DE FÔRMAS). AF_01/2024</t>
  </si>
  <si>
    <t>3.3</t>
  </si>
  <si>
    <t>ED-31563</t>
  </si>
  <si>
    <t>FÔRMA E DESFORMA PARA PILAR COM CHAPA DE COMPENSADO
PLASTIFICADO, ESP. 14MM, REAPROVEITAMENTO (5X),
EXCLUSIVE ESCORAMENTO</t>
  </si>
  <si>
    <t>3.4</t>
  </si>
  <si>
    <t>ED-49787</t>
  </si>
  <si>
    <t>FORNECIMENTO DE CONCRETO ESTRUTURAL, PREPARADO EM OBRA COM BETONEIRA, COM FCK 25MPA, INCLUSIVE LANÇAMENTO, ADENSAMENTO E ACABAMENTO (FUNDAÇÃO)</t>
  </si>
  <si>
    <t>3.5</t>
  </si>
  <si>
    <t>ARMAÇÃO DE BLOCO UTILIZANDO AÇO CA-50 DE 6,3 MM - MONTAGEM. AF_01/2024</t>
  </si>
  <si>
    <t>KG</t>
  </si>
  <si>
    <t>3.6</t>
  </si>
  <si>
    <t>ARMAÇÃO DE BLOCO UTILIZANDO AÇO CA-50 DE 8 MM - MONTAGEM. AF_01/2024</t>
  </si>
  <si>
    <t>3.7</t>
  </si>
  <si>
    <t>ARMAÇÃO DE BLOCO UTILIZANDO AÇO CA-60 DE 5 MM - MONTAGEM. AF_01/2024</t>
  </si>
  <si>
    <t>3.8</t>
  </si>
  <si>
    <t>ARMAÇÃO DE BLOCO UTILIZANDO AÇO CA-50 DE 10 MM - MONTAGEM. AF_01/2024</t>
  </si>
  <si>
    <t>3.9</t>
  </si>
  <si>
    <t>IMPERMEABILIZAÇÃO DE SUPERFÍCIE COM EMULSÃO ASFÁLTICA, 2 DEMÃOS. AF_09/2023</t>
  </si>
  <si>
    <t>3.10</t>
  </si>
  <si>
    <t>EXECUÇÃO DE RADIER, ESPESSURA DE 15 CM, FCK = 30 MPA, COM USO DE FORMAS EM MADEIRA SERRADA.AF_09/2021</t>
  </si>
  <si>
    <t>4.</t>
  </si>
  <si>
    <t>ESTRUTURA</t>
  </si>
  <si>
    <t>4.1</t>
  </si>
  <si>
    <t>CONCRETAGEM DE ESCADAS, FCK=25 MPA, COM USO DE BOMBA - LANÇAMENTO, ADENSAMENTO E ACABAMENTO. AF_02/2022_PS</t>
  </si>
  <si>
    <t>4.2</t>
  </si>
  <si>
    <t>FABRICAÇÃO DE FÔRMA PARA ESCADAS, COM 1 LANCE E LAJE CASCATA, EM CHAPA DE MADEIRA COMPENSADA PLASTIFICADA, E=18 MM. AF_11/2020</t>
  </si>
  <si>
    <t>5.</t>
  </si>
  <si>
    <t>PISOS E ACESSIBILIDADE</t>
  </si>
  <si>
    <t>5.1</t>
  </si>
  <si>
    <t>PISO EM CONCRETO 20 MPA PREPARO MECÂNICO, ESPESSURA 7CM. AF_09/2020</t>
  </si>
  <si>
    <t>5.2</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</si>
  <si>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</si>
  <si>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</si>
  <si>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5.3</t>
  </si>
  <si>
    <t>EXECUÇÃO DE PAVIMENTO EM PISO INTERTRAVADO, COM BLOCO RETANGULAR COLORIDO DE 20 X 10 CM, ESPESSURA 8 CM. AF_10/2022</t>
  </si>
  <si>
    <t>5.4</t>
  </si>
  <si>
    <t>ED-51139</t>
  </si>
  <si>
    <t>GUIA DE MEIO-FIO, EM CONCRETO COM FCK 20MPA, PRÉ-
MOLDADA, MFC-01 PADRÃO DER-MG, DIMENSÕES (12X16,7X35)CM , EXCLUSIVE SARJETA, INCLUSIVE ESCAVAÇÃO, APILOAMENTO E TRANSPORTE COM RETIRADA DO MATERIAL ESCAVADO (EM
CAÇAMBA)</t>
  </si>
  <si>
    <t>5.5</t>
  </si>
  <si>
    <t>ED-51148</t>
  </si>
  <si>
    <t>RAMPA PARA ACESSO DE DEFICIENTE, EM CONCRETO SIMPLES FCK = 25 MPA, DESEMPENADA, COM PINTURA INDICATIVA, 02 DEMÃOS</t>
  </si>
  <si>
    <t>U</t>
  </si>
  <si>
    <t>6.</t>
  </si>
  <si>
    <t>PAVIMENTOS</t>
  </si>
  <si>
    <t>6.1</t>
  </si>
  <si>
    <t>EXECUÇÃO DE PAVIMENTO EM PISO INTERTRAVADO, COM BLOCO SEXTAVADO DE 25 X 25 CM, ESPESSURA 10 CM. AF_10/2022</t>
  </si>
  <si>
    <t>7.</t>
  </si>
  <si>
    <t>ESTRUTURA DE CONCRETO - BANCOS</t>
  </si>
  <si>
    <t>7.1</t>
  </si>
  <si>
    <t>INSTALAÇÃO DE BANCO METÁLICO COM ENCOSTO, 1,60 M DE COMPRIMENTO, EM TUBO DE AÇO CARBONO COM PINTURA ELETROSTÁTICA, SOBRE PISO DE CONCRETO EXISTENTE. AF_11/2021</t>
  </si>
  <si>
    <t>7.2</t>
  </si>
  <si>
    <t>ED-48354</t>
  </si>
  <si>
    <t>BANCO INTERNO EM CONCRETO APARENTE, ALTURA 45 CM, LARGURA 30 CM</t>
  </si>
  <si>
    <t>7.3</t>
  </si>
  <si>
    <t>ED-50525</t>
  </si>
  <si>
    <t>PINTURA COM VERNIZ ACRÍLICO EM ALVENARIA OU CONCRETO, DUAS (2) DEMÃOS, COM APLICAÇÃO MANUAL, INCLUSIVE PREPARAÇÃO DA SUPERFÍCIE COM LIXAMENTO</t>
  </si>
  <si>
    <t>7.4</t>
  </si>
  <si>
    <t>ED-15449</t>
  </si>
  <si>
    <t>BANCO EM CONCRETO APARENTE, SEM ENCOSTO, POLIDO COM ACABAMENTO EM VERNIZ, ESP. 8CM, COMPRIMENTO 200CM, LARGURA 40CM, ALTURA 55CM, EXCLUSIVE FIXAÇÃO EM PISO</t>
  </si>
  <si>
    <t>8.</t>
  </si>
  <si>
    <t>ALVENARIAS</t>
  </si>
  <si>
    <t>8.1</t>
  </si>
  <si>
    <t>CHAPISCO APLICADO EM ALVENARIA (COM PRESENÇA DE VÃOS) E ESTRUTURAS DE CONCRETO DE FACHADA, COM COLHER DE PEDREIRO. ARGAMASSA TRAÇO 1:3 COM PREPARO MANUAL. AF_10/2022</t>
  </si>
  <si>
    <t>8.2</t>
  </si>
  <si>
    <t>ED-50760</t>
  </si>
  <si>
    <t>REBOCO COM ARGAMASSA, TRAÇO 1:2:9 (CIMENTO, CAL E AREIA) , COM ADITIVO IMPERMEABILIZANTE, ESP. 20MM, APLICAÇÃO MANUAL, INCLUSIVE ARGAMASSA COM PREPARO MECANIZADO, EXCLUSIVE CHAPISCO</t>
  </si>
  <si>
    <t>8.3</t>
  </si>
  <si>
    <t>ED-48213</t>
  </si>
  <si>
    <t>ALVENARIA DE BLOCO DE CONCRETO CHEIO COM ARMAÇÃO, EM CONCRETO COM FCK 15MPA , ESP. 14CM, PARA REVESTIMENTO, INCLUSIVE ARGAMASSA PARA ASSENTAMENTO (DETALHE D - CADERNO SEDS)</t>
  </si>
  <si>
    <t>9.</t>
  </si>
  <si>
    <t>ELÉTRICO</t>
  </si>
  <si>
    <t>9.1</t>
  </si>
  <si>
    <t>ED-48989</t>
  </si>
  <si>
    <t>CABO UNIPOLAR DE COBRE FLEXÍVEL, CLASSE 5, ISOLAMENTO TIPO EPR/HEPR, NÃO HALOGENADO E ANTICHAMA, DIÂMETRO DA SEÇÃO DE 2,5MM2, TEMPERATURA DE TRABALHO 90°C, TENSÃO NOMINAL DE OPERAÇÃO 0,6/1KV</t>
  </si>
  <si>
    <t>9.2</t>
  </si>
  <si>
    <t>ED-48992</t>
  </si>
  <si>
    <t>CABO UNIPOLAR DE COBRE FLEXÍVEL, CLASSE 5, ISOLAMENTO TIPO EPR/HEPR, NÃO HALOGENADO E ANTICHAMA, DIÂMETRO DA SEÇÃO DE 4,0MM2, TEMPERATURA DE TRABALHO 90°C, TENSÃO NOMINAL DE OPERAÇÃO 0,6/1KV</t>
  </si>
  <si>
    <t>9.3</t>
  </si>
  <si>
    <t>ED-48995</t>
  </si>
  <si>
    <t>CABO UNIPOLAR DE COBRE FLEXÍVEL, CLASSE 5, ISOLAMENTO TIPO EPR/HEPR, NÃO HALOGENADO E ANTICHAMA, DIÂMETRO DA SEÇÃO DE 6,0MM2, TEMPERATURA DE TRABALHO 90°C, TENSÃO NOMINAL DE OPERAÇÃO 0,6/1KV</t>
  </si>
  <si>
    <t>9.4</t>
  </si>
  <si>
    <t>ED-49001</t>
  </si>
  <si>
    <t>9.5</t>
  </si>
  <si>
    <t>ED-26658</t>
  </si>
  <si>
    <t xml:space="preserve"> DUTO CORRUGADO HELICOIDAL, EM POLIETILENO DE ALTA
DENSIDADE (PEAD), DIÂMETRO DE 1.1/4", PARA CABO
SUBTERRÂNEO, EXCLUSIVE ESCAVAÇÃO</t>
  </si>
  <si>
    <t>9.6</t>
  </si>
  <si>
    <t>ED-49168</t>
  </si>
  <si>
    <t>CAIXA DE PASSAGEM EM ALVENARIA E TAMPA DE CONCRETO, FUNDO DE BRITA, TIPO 1, DIMENSÃO (30X30X40)CM, INCLUSIVE ESCAVAÇÃO, REATERRO E BOTA-FORA</t>
  </si>
  <si>
    <t>9.7</t>
  </si>
  <si>
    <t>ED-17953</t>
  </si>
  <si>
    <t>ELETRODUTO FLEXÍVEL CORRUGADO, PVC, ANTICHAMA, DN 32MM (1"), APLICADO EM ALVENARIA, EXCLUSIVE RASGO</t>
  </si>
  <si>
    <t>9.8</t>
  </si>
  <si>
    <t>ED-15748</t>
  </si>
  <si>
    <t>CONJUNTO DE UMA (1) TOMADA PADRÃO, TRÊS (3) POLOS, CORRENTE 10A, TENSÃO 250V, (2P+T/10A- 250V), COM PLACA 4"X2" DE UM (1) POSTO, INCLUSIVE FORNECIMENTO, INSTALAÇÃO, SUPORTE, MÓDULO E PLACA</t>
  </si>
  <si>
    <t>9.9</t>
  </si>
  <si>
    <t>ED-15749</t>
  </si>
  <si>
    <t>CONJUNTO DE UMA (1) TOMADA PADRÃO, TRÊS (3) POLOS, CORRENTE 20A, TENSÃO 250V, (2P+T/20A- 250V), COM PLACA 4"X2" DE UM (1) POSTO, INCLUSIVE FORNECIMENTO, INSTALAÇÃO, SUPORTE, MÓDULO E PLACA</t>
  </si>
  <si>
    <t>9.10</t>
  </si>
  <si>
    <t>ED-15733</t>
  </si>
  <si>
    <t>CONJUNTO DE UM (1) INTERRUPTOR SIMPLES, CORRENTE 10A, TENSÃO 250V, (10A-250V), COM PLACA 4"X2" DE UM (1) POSTO, INCLUSIVE FORNECIMENTO, INSTALAÇÃO, SUPORTE, MÓDULO E PLACA</t>
  </si>
  <si>
    <t>9.11</t>
  </si>
  <si>
    <t>ED-14194</t>
  </si>
  <si>
    <t>QUADRO DE DISTRIBUIÇÃO DE SOBREPOR EM CHAPA, PARA 34 DISJUNTORES DIN, INCLUSIVE BARRAMENTOS NEUTRO/TERRA E BARRAMENTO TRIFÁSICO DE 100A</t>
  </si>
  <si>
    <t>9.12</t>
  </si>
  <si>
    <t>ED-34462</t>
  </si>
  <si>
    <t>DISJUNTOR MONOPOLAR TIPO DIN, CORRENTE NOMINAL DE 20A, FORNECIMENTO E INSTALAÇÃO, INCLUSIVE TERMINAL ILHÓS</t>
  </si>
  <si>
    <t>9.13</t>
  </si>
  <si>
    <t>ED-34475</t>
  </si>
  <si>
    <t>DISJUNTOR BIPOLAR TIPO DIN, CORRENTE NOMINAL DE 20A, FORNECIMENTO E INSTALAÇÃO, INCLUSIVE TERMINAL ILHÓS</t>
  </si>
  <si>
    <t>9.14</t>
  </si>
  <si>
    <t>ED-34464</t>
  </si>
  <si>
    <t>DISJUNTOR MONOPOLAR TIPO DIN, CORRENTE NOMINAL DE 32A, FORNECIMENTO E INSTALAÇÃO, INCLUSIVE TERMINAL ILHÓS</t>
  </si>
  <si>
    <t>9.15</t>
  </si>
  <si>
    <t>ED-34478</t>
  </si>
  <si>
    <t>DISJUNTOR BIPOLAR TIPO DIN, CORRENTE NOMINAL DE 40A FORNECIMENTO E INSTALAÇÃO, INCLUSIVE TERMINAL ILHÓS</t>
  </si>
  <si>
    <t>9.16</t>
  </si>
  <si>
    <t>ED-34493</t>
  </si>
  <si>
    <t>DISJUNTOR TRIPOLAR TIPO DIN, CORRENTE NOMINAL DE 63A, FORNECIMENTO E INSTALAÇÃO, INCLUSIVE TERMINAL ILHÓS</t>
  </si>
  <si>
    <t>9.17</t>
  </si>
  <si>
    <t>ED-15115</t>
  </si>
  <si>
    <t>DISJUNTOR DE PROTEÇÃO DIFERENCIAL RESIDUAL (DR), BIPOLAR TIPO DIN, CORRENTE NOMINAL DE 40A, SENSIBILIDADE DE 30MA, FORNECIMENTO E INSTALAÇÃO, INCLUSIVE TERMINAL ILHÓS</t>
  </si>
  <si>
    <t>9.18</t>
  </si>
  <si>
    <t>ED-15114</t>
  </si>
  <si>
    <t>DISJUNTOR DE PROTEÇÃO DIFERENCIAL RESIDUAL (DR), BIPOLAR TIPO DIN, CORRENTE NOMINAL DE 25A, SENSIBILIDADE DE 30MA, FORNECIMENTO E INSTALAÇÃO, INCLUSIVE TERMINAL ILHÓS</t>
  </si>
  <si>
    <t>9.19</t>
  </si>
  <si>
    <t>ED-15117</t>
  </si>
  <si>
    <t>DISJUNTOR DE PROTEÇÃO DIFERENCIAL RESIDUAL (DR), TETRAPOLAR TIPO DIN, CORRENTE NOMINAL DE 63A, SENSIBILIDADE DE 30MA, FORNECIMENTO E INSTALAÇÃO, INCLUSIVE TERMINAL ILHÓS</t>
  </si>
  <si>
    <t>9.20</t>
  </si>
  <si>
    <t>ED-16600</t>
  </si>
  <si>
    <t>DISPOSITIVO DE PROTEÇÃO CONTRA SURTOS (DPS) MONOPOLAR, CORRENTE DE INTERRUPÇÃO 20KA, INCLUSIVE TERMINAL ILHÓS</t>
  </si>
  <si>
    <t>9.21</t>
  </si>
  <si>
    <t>ED-22380</t>
  </si>
  <si>
    <t>POSTE DE AÇO GALVANIZADO, ALTURA LIVRE MÍNIMA DE 6M, COM 2 REFLETORES DE LED, POTÊNCIA DE 200W CADA, INCLUSIVE FIAÇÃO, SUPORTE E FUNDAÇÃO</t>
  </si>
  <si>
    <t>9.22</t>
  </si>
  <si>
    <t>ED-22381</t>
  </si>
  <si>
    <t>POSTE DE AÇO GALVANIZADO, ALTURA LIVRE MÍNIMA DE 6M, COM 4 REFLETORES DE LED, POTÊNCIA DE 200W CADA, INCLUSIVE FIAÇÃO, SUPORTE E FUNDAÇÃO</t>
  </si>
  <si>
    <t>9.23</t>
  </si>
  <si>
    <t>ED-13357</t>
  </si>
  <si>
    <t>LUMINÁRIA PLAFON REDONDO DE VIDRO JATEADO REDONDO COMPLETA, DIÂMETRO 25 CM, PARA UMA (1) LÂMPADA LED, POTÊNCIA 15W, BULBO A65, FORNECIMENTO E INSTALAÇÃO, INCLUSIVE BASE E LÂMPADA</t>
  </si>
  <si>
    <t>9.24</t>
  </si>
  <si>
    <t>ED-49524</t>
  </si>
  <si>
    <t>RELÉ FOTOELÉTRICO, TENSÃO 220V COM CAPACIDADE DE
CARGA 1800VA, INCLUSIVE BASE E INSTALAÇÃO</t>
  </si>
  <si>
    <t>10.</t>
  </si>
  <si>
    <t>INSTALAÇÕES HIDROSSANITÁRIAS, LOUÇAS E METAIS</t>
  </si>
  <si>
    <t>10.1</t>
  </si>
  <si>
    <t>ED-50019</t>
  </si>
  <si>
    <t>FORNECIMENTO E ASSENTAMENTO DE TUBO PVC RÍGIDO
SOLDÁVEL, ÁGUA FRIA, DN 20 MM (1/2"), INCLUSIVE CONEXÕES</t>
  </si>
  <si>
    <t>10.2</t>
  </si>
  <si>
    <t>ED-32664</t>
  </si>
  <si>
    <t>TORNEIRA PLÁSTICA PARA TANQUE/IRRIGAÇÃO, BICO COM
ROSCA</t>
  </si>
  <si>
    <t>11.</t>
  </si>
  <si>
    <t>ACESSÓRIOS - ACADEMIA</t>
  </si>
  <si>
    <t>11.1</t>
  </si>
  <si>
    <t>INSTALAÇÃO DE LIXEIRA METÁLICA DUPLA, CAPACIDADE DE 60 L, EM TUBO DE AÇO CARBONO E CESTOS EM CHAPA DE AÇO COM PINTURA ELETROSTÁTICA, SOBRE PISO DE CONCRETO EXISTENTE. AF_11/2021</t>
  </si>
  <si>
    <t>11.2</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</si>
  <si>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</si>
  <si>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</si>
  <si>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11.3</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</si>
  <si>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</si>
  <si>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</si>
  <si>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11.4</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</si>
  <si>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</si>
  <si>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</si>
  <si>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11.5</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</si>
  <si>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</si>
  <si>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</si>
  <si>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GUARDA CORPO</t>
  </si>
  <si>
    <t>12.1</t>
  </si>
  <si>
    <t>GUARDA-CORPO DE AÇO GALVANIZADO DE 1,10M, MONTANTES TUBULARES DE 1.1/4" ESPAÇADOS 1,20M,
TRAVESSA SUPERIOR DE 1.1/2", GRADIL FORMADO POR TUBOS HORIZONTAIS DE 1" E VERTICAIS DE 3/4", FIXADO
COM ADESIVO ESTRUTURAL EPOXI. AF_10/2025_PS</t>
  </si>
  <si>
    <t>12.2</t>
  </si>
  <si>
    <t>CORRIMÃO SIMPLES, DIÂMETRO EXTERNO = 1 1/2", EM ALUMÍNIO. AF_04/2019_PS</t>
  </si>
  <si>
    <t>13.</t>
  </si>
  <si>
    <t>PINTURA</t>
  </si>
  <si>
    <t>13.1</t>
  </si>
  <si>
    <t>PINTURA VERNIZ (INCOLOR) ALQUÍDICO EM MADEIRA, USO INTERNO E EXTERNO, 2 DEMÃOS. AF_01/2021</t>
  </si>
  <si>
    <t>13.2</t>
  </si>
  <si>
    <t>PINTURA COM TINTA ALQUÍDICA DE ACABAMENTO (ESMALTE SINTÉTICO ACETINADO) APLICADA A ROLO OU PINCEL SOBRE SUPERFÍCIES METÁLICAS (EXCETO PERFIL) EXECUTADO EM OBRA (02 DEMÃOS). AF_01/2020</t>
  </si>
  <si>
    <t>13.3</t>
  </si>
  <si>
    <t>APLICAÇÃO MANUAL DE FUNDO SELADOR ACRÍLICO EM PAREDES EXTERNAS DE CASAS. AF_03/2024</t>
  </si>
  <si>
    <t>13.4</t>
  </si>
  <si>
    <t>APLICAÇÃO MANUAL DE TINTA LÁTEX ACRÍLICA EM PAREDE EXTERNAS DE CASAS, DUAS DEMÃOS. AF_03/2024</t>
  </si>
  <si>
    <t>14.</t>
  </si>
  <si>
    <t>LIMPEZA FINAL</t>
  </si>
  <si>
    <t>14.1</t>
  </si>
  <si>
    <t>LIMPEZA DE SUPERFÍCIE COM JATO DE ALTA PRESSÃO. AF_04/2019</t>
  </si>
  <si>
    <t>MEMORIAL DE CÁLCULO - REFORMA DE PRAÇA PÚBLICA</t>
  </si>
  <si>
    <r>
      <rPr>
        <b/>
        <sz val="11"/>
        <color theme="1"/>
        <rFont val="Calibri"/>
        <charset val="134"/>
        <scheme val="minor"/>
      </rPr>
      <t>OBRA:</t>
    </r>
    <r>
      <rPr>
        <sz val="11"/>
        <color theme="1"/>
        <rFont val="Calibri"/>
        <charset val="134"/>
        <scheme val="minor"/>
      </rPr>
      <t xml:space="preserve"> REFORMA DE PRAÇA PÚBLICA NO BAIRRO SAUDADE.</t>
    </r>
  </si>
  <si>
    <r>
      <rPr>
        <b/>
        <sz val="11"/>
        <color theme="1"/>
        <rFont val="Calibri"/>
        <charset val="134"/>
        <scheme val="minor"/>
      </rPr>
      <t xml:space="preserve">LOCAL: </t>
    </r>
    <r>
      <rPr>
        <sz val="11"/>
        <color theme="1"/>
        <rFont val="Calibri"/>
        <charset val="134"/>
        <scheme val="minor"/>
      </rPr>
      <t>AVENIDA DA SAUDADE, BAIRRO SAUDADE.</t>
    </r>
  </si>
  <si>
    <t>LEVANTAMENTO DE SERVIÇOS</t>
  </si>
  <si>
    <t>DESCRIÇÃO DETALHADA</t>
  </si>
  <si>
    <t>C (m)</t>
  </si>
  <si>
    <t>L(m)</t>
  </si>
  <si>
    <t>H(m)</t>
  </si>
  <si>
    <t>A(m²)</t>
  </si>
  <si>
    <t>V(m³)</t>
  </si>
  <si>
    <t>DMT</t>
  </si>
  <si>
    <t>TOTAL</t>
  </si>
  <si>
    <t>OBS:</t>
  </si>
  <si>
    <t>PLACA DE OBRA DIMENSÕES</t>
  </si>
  <si>
    <t>CONTAINER</t>
  </si>
  <si>
    <t>QTD</t>
  </si>
  <si>
    <t>REFERENCIA TOPOGRAFICA</t>
  </si>
  <si>
    <t>FECHAMENTO DA OBRA</t>
  </si>
  <si>
    <t>Em frente ao cemitério</t>
  </si>
  <si>
    <t>OBS: Demolição diversos</t>
  </si>
  <si>
    <t>DEMOLIÇÃO PISO EXISTENTE</t>
  </si>
  <si>
    <t>Área da Academia</t>
  </si>
  <si>
    <t>ALVENARIA EXISTENTE DA ACADEMIA</t>
  </si>
  <si>
    <t>PAVIMENTO INTERTRAVADO</t>
  </si>
  <si>
    <t>MEIO FIO</t>
  </si>
  <si>
    <t>TRATAMENTO DE SOLO EM JARDINS</t>
  </si>
  <si>
    <t>Conforme projeto arquitetonico, área de jardins</t>
  </si>
  <si>
    <t>PLANTIO DE GRAMA</t>
  </si>
  <si>
    <t>gramas, jardins, conforme projeto arquitetonico</t>
  </si>
  <si>
    <t>PALMEIRAS</t>
  </si>
  <si>
    <t>Conforme projeto arquitetonico</t>
  </si>
  <si>
    <t>ARVORES DIVERSAS</t>
  </si>
  <si>
    <t>Conforme projeto arquitetonico.</t>
  </si>
  <si>
    <t>CORREÇÃO DO SOLO</t>
  </si>
  <si>
    <t>Jardim existente.</t>
  </si>
  <si>
    <t>Regularização de terrenos</t>
  </si>
  <si>
    <t>ESCAVAÇÃO DE VIGAS BALDRAMES</t>
  </si>
  <si>
    <t>Volume de escavação.</t>
  </si>
  <si>
    <t>EMPOLAMENTO (%)</t>
  </si>
  <si>
    <t>ESCAVAÇÃO BLOCOS</t>
  </si>
  <si>
    <t>Volume  de escavação.</t>
  </si>
  <si>
    <t>FUNDAÇÃO</t>
  </si>
  <si>
    <t>Conforme projeto estrutural.</t>
  </si>
  <si>
    <t>SAPATAS E VIGAS BALDRAMES</t>
  </si>
  <si>
    <t>Peso (KG)</t>
  </si>
  <si>
    <t>Conforme projeto.</t>
  </si>
  <si>
    <t>ESCADA</t>
  </si>
  <si>
    <t>Conforme projeto estrutural, foi considerado a escada da praça.</t>
  </si>
  <si>
    <t>Rampas</t>
  </si>
  <si>
    <t>CONFORME PROJETO</t>
  </si>
  <si>
    <t>MEIO FIO PRAÇA</t>
  </si>
  <si>
    <t>COMFORME PROJETO</t>
  </si>
  <si>
    <t>PAVIMENTO EM NOVA RUA</t>
  </si>
  <si>
    <t>BANCOS DA PRAÇA</t>
  </si>
  <si>
    <t>De acordo projeto arquitetonico</t>
  </si>
  <si>
    <t>CONTENÇÕES</t>
  </si>
  <si>
    <t>CONFORME PROJETO ELÉTRICO</t>
  </si>
  <si>
    <t>CONFORME PROJETO ARQUITETONICO</t>
  </si>
  <si>
    <t>De acordo projeto elétrico</t>
  </si>
  <si>
    <t>Placa de inauguração</t>
  </si>
  <si>
    <t xml:space="preserve">OBRA EM GERAL </t>
  </si>
  <si>
    <t>CRONOGRAMA FISICO FINANCEIRO - REFORMA DE PRAÇA PÚBLICA</t>
  </si>
  <si>
    <t>ETAPA</t>
  </si>
  <si>
    <t>METAS</t>
  </si>
  <si>
    <t>vl. etapa</t>
  </si>
  <si>
    <t>peso(%)</t>
  </si>
  <si>
    <t>MÊS 01</t>
  </si>
  <si>
    <t>MÊS 02</t>
  </si>
  <si>
    <t>MÊS 03</t>
  </si>
  <si>
    <t>MÊS 04</t>
  </si>
  <si>
    <t>MÊS 05</t>
  </si>
  <si>
    <t>MÊS 06</t>
  </si>
  <si>
    <t>MÊS 07</t>
  </si>
  <si>
    <t>MÊS 08</t>
  </si>
  <si>
    <t>TOTAL (R$)</t>
  </si>
  <si>
    <t>SOMA</t>
  </si>
  <si>
    <t>EXECUÇÃO FÍSICA MENSAL (%)</t>
  </si>
  <si>
    <t>EXECUÇÃO FINANCEIRA ACUMULADA</t>
  </si>
  <si>
    <t>1/1</t>
  </si>
  <si>
    <t>EXECUÇÃO FÍSICA ACUMULADA (%)</t>
  </si>
  <si>
    <t>BDI - REFORMA DE PRAÇA PÚBLICA</t>
  </si>
  <si>
    <t>INTERVALOS ADMISSÍVEIS SEM JUSTIFICATIVA</t>
  </si>
  <si>
    <t>COMPOSIÇÃO BDI</t>
  </si>
  <si>
    <t>BDI PROPOSTO</t>
  </si>
  <si>
    <t>Garantia (G) + Seguros (S)</t>
  </si>
  <si>
    <t>De 0,32% até 0,74%</t>
  </si>
  <si>
    <t>GARANTIA</t>
  </si>
  <si>
    <t>Risco ( R)</t>
  </si>
  <si>
    <t>De 0,50% até 0,97%</t>
  </si>
  <si>
    <t>RISCO</t>
  </si>
  <si>
    <t>Despesas financeiras (DF)</t>
  </si>
  <si>
    <t>De 1,02% até 1,21%</t>
  </si>
  <si>
    <t>DESPESAS FINANCEIRAS</t>
  </si>
  <si>
    <t>Administração Central (AC)</t>
  </si>
  <si>
    <t>De 3,80% até 4,67%</t>
  </si>
  <si>
    <t>ADMINISTRAÇÃO CENTRAL</t>
  </si>
  <si>
    <t>Lucro (L)</t>
  </si>
  <si>
    <t>De 6,64% até 8,69%</t>
  </si>
  <si>
    <t>LUCRO</t>
  </si>
  <si>
    <t>Tributos (T)</t>
  </si>
  <si>
    <t>De 4,65% até 6,65%</t>
  </si>
  <si>
    <t>*TRIBUTOS</t>
  </si>
  <si>
    <t>* TRIBUTOS ADOTADOR E JUSTIFICADOS</t>
  </si>
  <si>
    <t>cofins</t>
  </si>
  <si>
    <t>pis</t>
  </si>
  <si>
    <t>ISS(5%)</t>
  </si>
  <si>
    <t>CPRB*</t>
  </si>
  <si>
    <t>VALOR TOTAL DA OBRA:</t>
  </si>
  <si>
    <t>_________________________________________________
Kimberly Moreira de Souza
Engenheiro Civil - CREA/MG: 294.926/D
Técnico responsável pela elaboração do orçamento</t>
  </si>
  <si>
    <r>
      <t xml:space="preserve">DATA: </t>
    </r>
    <r>
      <rPr>
        <sz val="11"/>
        <color theme="1"/>
        <rFont val="Calibri"/>
        <charset val="134"/>
        <scheme val="minor"/>
      </rPr>
      <t>15/06/2026</t>
    </r>
  </si>
  <si>
    <r>
      <t>OBRA:</t>
    </r>
    <r>
      <rPr>
        <sz val="11"/>
        <color theme="1"/>
        <rFont val="Arial"/>
        <family val="2"/>
      </rPr>
      <t xml:space="preserve"> REFORMA DE PRAÇA PÚBLICA NO BAIRRO SAUDADE.</t>
    </r>
  </si>
  <si>
    <r>
      <t xml:space="preserve">LOCAL: </t>
    </r>
    <r>
      <rPr>
        <sz val="11"/>
        <color theme="1"/>
        <rFont val="Arial"/>
        <family val="2"/>
      </rPr>
      <t>AVENIDA DA SAUDADE, BAIRRO SAUDADE.</t>
    </r>
  </si>
  <si>
    <r>
      <t xml:space="preserve">RESPONSÁVEL TÉCNICO PELA ORÇAMENTO: </t>
    </r>
    <r>
      <rPr>
        <sz val="11"/>
        <color theme="1"/>
        <rFont val="Arial"/>
        <family val="2"/>
      </rPr>
      <t>KIMBERLY MOREIRA DE SOUZA - CREA/MG: 294.926/D</t>
    </r>
  </si>
  <si>
    <r>
      <t xml:space="preserve">RESPONSÁVEL LEGAL DO MUNICÍPIO: </t>
    </r>
    <r>
      <rPr>
        <sz val="11"/>
        <color theme="1"/>
        <rFont val="Arial"/>
        <family val="2"/>
      </rPr>
      <t>ZILMAR PINHEIRO LOPES</t>
    </r>
  </si>
  <si>
    <r>
      <t xml:space="preserve">DATA: </t>
    </r>
    <r>
      <rPr>
        <sz val="11"/>
        <color theme="1"/>
        <rFont val="Arial"/>
        <family val="2"/>
      </rPr>
      <t>15/06/2026</t>
    </r>
  </si>
  <si>
    <t>_________________________________________________
Zilmar Pinheiro Lopes
Prefeito Municipal
Representante legal do município</t>
  </si>
  <si>
    <t>_________________________________________________
Zilmar Pinheiro Lopes
Prefeito Muicipal
Representante legal do município</t>
  </si>
  <si>
    <t>CABO UNIPOLAR DE COBRE FLEXÍVEL, CLASSE 5, ISOLAMENTO TIPO EPR/HEPR, NÃO HALOGENADO E ANTICHAMA, DIÂMETRO DA SEÇÃO DE 16,0MM2, TEMPERATURA DE TRABALHO 90°C, TENSÃO NOMINAL DE OPERAÇÃO 0,6/1KV</t>
  </si>
  <si>
    <t>SINAPI 02/2026 - SEM DESONERAÇÃO, SICRO  01/2026 - SEM DESONERAÇÃO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</si>
</sst>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R$&quot;\ * #,##0.00_-;\-&quot;R$&quot;\ * #,##0.00_-;_-&quot;R$&quot;\ * &quot;-&quot;??_-;_-@_-"/>
    <numFmt numFmtId="165" formatCode="_(&quot;R$&quot;* #,##0.00_);_(&quot;R$&quot;* \(#,##0.00\);_(&quot;R$&quot;* \-??_);_(@_)"/>
    <numFmt numFmtId="166" formatCode="_(* #,##0.00_);_(* \(#,##0.00\);_(* \-??_);_(@_)"/>
    <numFmt numFmtId="167" formatCode="0.0000"/>
    <numFmt numFmtId="168" formatCode="mm/yy"/>
    <numFmt numFmtId="169" formatCode="_-&quot;R$&quot;\ * #,##0.000_-;\-&quot;R$&quot;\ * #,##0.000_-;_-&quot;R$&quot;\ * &quot;-&quot;??_-;_-@_-"/>
  </numFmts>
  <fonts count="18">
    <font>
      <sz val="11"/>
      <color theme="1"/>
      <name val="Calibri"/>
      <charset val="134"/>
      <scheme val="minor"/>
    </font>
    <font>
      <sz val="12"/>
      <color theme="1"/>
      <name val="Calibri"/>
      <charset val="134"/>
      <scheme val="minor"/>
    </font>
    <font>
      <b/>
      <sz val="18"/>
      <color theme="1"/>
      <name val="Calibri"/>
      <charset val="134"/>
      <scheme val="minor"/>
    </font>
    <font>
      <b/>
      <sz val="11"/>
      <color theme="1"/>
      <name val="Calibri"/>
      <charset val="134"/>
      <scheme val="minor"/>
    </font>
    <font>
      <i/>
      <sz val="11"/>
      <color theme="1"/>
      <name val="Calibri"/>
      <charset val="134"/>
      <scheme val="minor"/>
    </font>
    <font>
      <b/>
      <i/>
      <sz val="11"/>
      <color theme="1"/>
      <name val="Calibri"/>
      <charset val="134"/>
      <scheme val="minor"/>
    </font>
    <font>
      <b/>
      <sz val="9"/>
      <color theme="1"/>
      <name val="Calibri"/>
      <charset val="134"/>
      <scheme val="minor"/>
    </font>
    <font>
      <sz val="14"/>
      <color theme="1"/>
      <name val="Calibri"/>
      <charset val="134"/>
      <scheme val="minor"/>
    </font>
    <font>
      <b/>
      <sz val="14"/>
      <color theme="1"/>
      <name val="Calibri"/>
      <charset val="134"/>
      <scheme val="minor"/>
    </font>
    <font>
      <sz val="10"/>
      <name val="Arial"/>
      <charset val="134"/>
    </font>
    <font>
      <sz val="11"/>
      <color theme="1"/>
      <name val="Calibri"/>
      <charset val="134"/>
      <scheme val="minor"/>
    </font>
    <font>
      <b/>
      <sz val="12"/>
      <color theme="1"/>
      <name val="Calibri"/>
      <family val="2"/>
      <scheme val="minor"/>
    </font>
    <font>
      <sz val="14"/>
      <color theme="1"/>
      <name val="Calibri"/>
      <family val="2"/>
      <scheme val="minor"/>
    </font>
    <font>
      <b/>
      <sz val="11"/>
      <color theme="1"/>
      <name val="Arial"/>
      <family val="2"/>
    </font>
    <font>
      <sz val="11"/>
      <color theme="1"/>
      <name val="Arial"/>
      <family val="2"/>
    </font>
    <font>
      <sz val="11"/>
      <name val="Arial"/>
      <family val="2"/>
    </font>
    <font>
      <b/>
      <sz val="11"/>
      <name val="Arial"/>
      <family val="2"/>
    </font>
    <font>
      <sz val="14"/>
      <color theme="1"/>
      <name val="Arial"/>
      <family val="2"/>
    </font>
  </fonts>
  <fills count="8">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indexed="22"/>
        <bgColor indexed="31"/>
      </patternFill>
    </fill>
    <fill>
      <patternFill patternType="solid">
        <fgColor indexed="9"/>
        <bgColor indexed="26"/>
      </patternFill>
    </fill>
    <fill>
      <patternFill patternType="solid">
        <fgColor theme="0" tint="-0.249977111117893"/>
        <bgColor indexed="64"/>
      </patternFill>
    </fill>
    <fill>
      <patternFill patternType="solid">
        <fgColor theme="0" tint="-0.249977111117893"/>
        <bgColor indexed="31"/>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s>
  <cellStyleXfs count="8">
    <xf numFmtId="0" fontId="0"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xf numFmtId="165" fontId="9" fillId="0" borderId="0" applyFill="0" applyBorder="0" applyAlignment="0" applyProtection="0"/>
    <xf numFmtId="3" fontId="9" fillId="0" borderId="0"/>
    <xf numFmtId="9" fontId="9" fillId="0" borderId="0" applyFill="0" applyBorder="0" applyAlignment="0" applyProtection="0"/>
    <xf numFmtId="166" fontId="9" fillId="0" borderId="0" applyFill="0" applyBorder="0" applyAlignment="0" applyProtection="0"/>
  </cellStyleXfs>
  <cellXfs count="177">
    <xf numFmtId="0" fontId="0" fillId="0" borderId="0" xfId="0"/>
    <xf numFmtId="0" fontId="0" fillId="2" borderId="0" xfId="0" applyFill="1"/>
    <xf numFmtId="0" fontId="1" fillId="0" borderId="0" xfId="0" applyFont="1"/>
    <xf numFmtId="0" fontId="0" fillId="2" borderId="1" xfId="0" applyFill="1" applyBorder="1" applyAlignment="1">
      <alignment horizontal="center"/>
    </xf>
    <xf numFmtId="0" fontId="3" fillId="0" borderId="1" xfId="0" applyFont="1" applyBorder="1"/>
    <xf numFmtId="10" fontId="0" fillId="0" borderId="1" xfId="0" applyNumberFormat="1" applyBorder="1" applyAlignment="1">
      <alignment horizontal="left"/>
    </xf>
    <xf numFmtId="0" fontId="4" fillId="2" borderId="1" xfId="0" applyFont="1" applyFill="1" applyBorder="1"/>
    <xf numFmtId="0" fontId="0" fillId="0" borderId="1" xfId="0" applyBorder="1"/>
    <xf numFmtId="0" fontId="5" fillId="0" borderId="1" xfId="0" applyFont="1" applyBorder="1"/>
    <xf numFmtId="10" fontId="5" fillId="3" borderId="1" xfId="0" applyNumberFormat="1" applyFont="1" applyFill="1" applyBorder="1"/>
    <xf numFmtId="0" fontId="0" fillId="2" borderId="1" xfId="0" applyFill="1" applyBorder="1"/>
    <xf numFmtId="10" fontId="0" fillId="0" borderId="1" xfId="3" applyNumberFormat="1" applyFont="1" applyFill="1" applyBorder="1"/>
    <xf numFmtId="0" fontId="0" fillId="0" borderId="5" xfId="0" applyBorder="1"/>
    <xf numFmtId="0" fontId="0" fillId="0" borderId="6" xfId="0" applyBorder="1"/>
    <xf numFmtId="0" fontId="0" fillId="0" borderId="7" xfId="0" applyBorder="1"/>
    <xf numFmtId="0" fontId="6" fillId="2" borderId="0" xfId="0" applyFont="1" applyFill="1"/>
    <xf numFmtId="10" fontId="0" fillId="0" borderId="1" xfId="3" applyNumberFormat="1" applyFont="1" applyBorder="1"/>
    <xf numFmtId="0" fontId="1" fillId="2" borderId="0" xfId="0" applyFont="1" applyFill="1" applyAlignment="1">
      <alignment horizontal="right"/>
    </xf>
    <xf numFmtId="0" fontId="1" fillId="2" borderId="0" xfId="0" applyFont="1" applyFill="1"/>
    <xf numFmtId="164" fontId="1" fillId="2" borderId="0" xfId="2" applyFont="1" applyFill="1" applyBorder="1"/>
    <xf numFmtId="0" fontId="1" fillId="2" borderId="0" xfId="0" applyFont="1" applyFill="1" applyAlignment="1">
      <alignment wrapText="1"/>
    </xf>
    <xf numFmtId="0" fontId="0" fillId="0" borderId="1" xfId="0" applyBorder="1" applyAlignment="1">
      <alignment horizontal="center"/>
    </xf>
    <xf numFmtId="10" fontId="0" fillId="0" borderId="0" xfId="0" applyNumberFormat="1" applyAlignment="1">
      <alignment horizontal="right"/>
    </xf>
    <xf numFmtId="167" fontId="0" fillId="0" borderId="0" xfId="3" applyNumberFormat="1" applyFont="1" applyBorder="1"/>
    <xf numFmtId="0" fontId="0" fillId="2" borderId="0" xfId="0" applyFill="1" applyAlignment="1">
      <alignment horizontal="right"/>
    </xf>
    <xf numFmtId="164" fontId="0" fillId="2" borderId="0" xfId="2" applyFont="1" applyFill="1" applyBorder="1"/>
    <xf numFmtId="0" fontId="0" fillId="6" borderId="0" xfId="0" applyFill="1" applyAlignment="1">
      <alignment vertical="center"/>
    </xf>
    <xf numFmtId="0" fontId="0" fillId="0" borderId="0" xfId="0" applyAlignment="1">
      <alignment horizontal="center"/>
    </xf>
    <xf numFmtId="0" fontId="0" fillId="0" borderId="0" xfId="0" applyAlignment="1">
      <alignment wrapText="1"/>
    </xf>
    <xf numFmtId="0" fontId="3" fillId="0" borderId="10" xfId="0" applyFont="1" applyBorder="1"/>
    <xf numFmtId="10" fontId="0" fillId="0" borderId="10" xfId="0" applyNumberFormat="1" applyBorder="1" applyAlignment="1">
      <alignment horizontal="right"/>
    </xf>
    <xf numFmtId="167" fontId="0" fillId="0" borderId="10" xfId="3" applyNumberFormat="1" applyFont="1" applyBorder="1"/>
    <xf numFmtId="0" fontId="3" fillId="0" borderId="9" xfId="0" applyFont="1" applyBorder="1"/>
    <xf numFmtId="0" fontId="0" fillId="0" borderId="11" xfId="0" applyBorder="1"/>
    <xf numFmtId="0" fontId="0" fillId="0" borderId="13" xfId="0" applyBorder="1"/>
    <xf numFmtId="0" fontId="0" fillId="0" borderId="1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3" borderId="1" xfId="0" applyFill="1" applyBorder="1"/>
    <xf numFmtId="0" fontId="0" fillId="3" borderId="1" xfId="0" applyFill="1" applyBorder="1" applyAlignment="1">
      <alignment horizontal="center"/>
    </xf>
    <xf numFmtId="2" fontId="0" fillId="2" borderId="1" xfId="0" applyNumberFormat="1" applyFill="1" applyBorder="1"/>
    <xf numFmtId="164" fontId="0" fillId="0" borderId="0" xfId="0" applyNumberFormat="1"/>
    <xf numFmtId="0" fontId="0" fillId="0" borderId="1" xfId="0" applyBorder="1" applyAlignment="1">
      <alignment horizontal="right"/>
    </xf>
    <xf numFmtId="0" fontId="0" fillId="0" borderId="1" xfId="0" applyBorder="1" applyAlignment="1">
      <alignment vertical="center"/>
    </xf>
    <xf numFmtId="164" fontId="0" fillId="0" borderId="1" xfId="2" applyFont="1" applyBorder="1"/>
    <xf numFmtId="0" fontId="0" fillId="0" borderId="2" xfId="0" applyBorder="1"/>
    <xf numFmtId="0" fontId="0" fillId="0" borderId="4" xfId="0" applyBorder="1"/>
    <xf numFmtId="164" fontId="0" fillId="2" borderId="1" xfId="2" applyFont="1" applyFill="1" applyBorder="1"/>
    <xf numFmtId="0" fontId="0" fillId="3" borderId="1" xfId="0" applyFill="1" applyBorder="1" applyAlignment="1">
      <alignment vertical="center"/>
    </xf>
    <xf numFmtId="164" fontId="0" fillId="3" borderId="1" xfId="2" applyFont="1" applyFill="1" applyBorder="1"/>
    <xf numFmtId="0" fontId="0" fillId="2" borderId="1" xfId="0" applyFill="1" applyBorder="1" applyAlignment="1">
      <alignment vertical="center" wrapText="1"/>
    </xf>
    <xf numFmtId="164" fontId="0" fillId="2" borderId="1" xfId="2" applyFont="1" applyFill="1" applyBorder="1" applyAlignment="1">
      <alignment horizontal="left"/>
    </xf>
    <xf numFmtId="0" fontId="0" fillId="2" borderId="1" xfId="0" applyFill="1" applyBorder="1" applyAlignment="1">
      <alignment vertical="center"/>
    </xf>
    <xf numFmtId="2" fontId="0" fillId="2" borderId="1" xfId="0" applyNumberFormat="1" applyFill="1" applyBorder="1" applyAlignment="1">
      <alignment horizontal="right"/>
    </xf>
    <xf numFmtId="9" fontId="0" fillId="2" borderId="0" xfId="3" applyFont="1" applyFill="1"/>
    <xf numFmtId="0" fontId="0" fillId="0" borderId="1" xfId="0" applyBorder="1" applyAlignment="1">
      <alignment vertical="center" wrapText="1"/>
    </xf>
    <xf numFmtId="0" fontId="0" fillId="3" borderId="1" xfId="0" applyFill="1" applyBorder="1" applyAlignment="1">
      <alignment horizontal="left"/>
    </xf>
    <xf numFmtId="0" fontId="0" fillId="2" borderId="0" xfId="0" applyFill="1" applyAlignment="1">
      <alignment vertical="center"/>
    </xf>
    <xf numFmtId="0" fontId="0" fillId="0" borderId="10" xfId="0" applyBorder="1"/>
    <xf numFmtId="0" fontId="0" fillId="0" borderId="10" xfId="0" applyBorder="1" applyAlignment="1">
      <alignment horizontal="right"/>
    </xf>
    <xf numFmtId="0" fontId="0" fillId="0" borderId="10" xfId="0" applyBorder="1" applyAlignment="1">
      <alignment vertical="center"/>
    </xf>
    <xf numFmtId="164" fontId="0" fillId="0" borderId="10" xfId="2" applyFont="1" applyBorder="1"/>
    <xf numFmtId="2" fontId="0" fillId="2" borderId="0" xfId="0" applyNumberFormat="1" applyFill="1"/>
    <xf numFmtId="169" fontId="0" fillId="0" borderId="1" xfId="2" applyNumberFormat="1" applyFont="1" applyBorder="1" applyAlignment="1">
      <alignment horizontal="left" indent="1"/>
    </xf>
    <xf numFmtId="0" fontId="7" fillId="2" borderId="0" xfId="0" applyFont="1" applyFill="1" applyAlignment="1">
      <alignment wrapText="1"/>
    </xf>
    <xf numFmtId="0" fontId="7" fillId="2" borderId="0" xfId="0" applyFont="1" applyFill="1" applyAlignment="1">
      <alignment vertical="center" wrapText="1"/>
    </xf>
    <xf numFmtId="0" fontId="8" fillId="2" borderId="0" xfId="0" applyFont="1" applyFill="1"/>
    <xf numFmtId="164" fontId="11" fillId="0" borderId="1" xfId="2" applyFont="1" applyFill="1" applyBorder="1" applyAlignment="1">
      <alignment vertical="center"/>
    </xf>
    <xf numFmtId="164" fontId="0" fillId="0" borderId="4" xfId="2" applyFont="1" applyBorder="1"/>
    <xf numFmtId="164" fontId="0" fillId="3" borderId="4" xfId="2" applyFont="1" applyFill="1" applyBorder="1"/>
    <xf numFmtId="0" fontId="0" fillId="0" borderId="3" xfId="0" applyBorder="1"/>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43" fontId="0" fillId="0" borderId="1" xfId="1" applyFont="1" applyFill="1" applyBorder="1"/>
    <xf numFmtId="43" fontId="0" fillId="0" borderId="1" xfId="1" applyFont="1" applyFill="1" applyBorder="1" applyAlignment="1">
      <alignment wrapText="1"/>
    </xf>
    <xf numFmtId="43" fontId="0" fillId="0" borderId="1" xfId="0" applyNumberFormat="1" applyBorder="1"/>
    <xf numFmtId="0" fontId="0" fillId="0" borderId="1" xfId="0" applyBorder="1" applyAlignment="1">
      <alignment wrapText="1"/>
    </xf>
    <xf numFmtId="2" fontId="0" fillId="0" borderId="1" xfId="0" applyNumberFormat="1" applyBorder="1"/>
    <xf numFmtId="0" fontId="0" fillId="0" borderId="8" xfId="0" applyBorder="1"/>
    <xf numFmtId="0" fontId="0" fillId="0" borderId="3" xfId="0" applyBorder="1" applyAlignment="1">
      <alignment horizontal="center"/>
    </xf>
    <xf numFmtId="0" fontId="0" fillId="0" borderId="3" xfId="0" applyBorder="1" applyAlignment="1">
      <alignment wrapText="1"/>
    </xf>
    <xf numFmtId="0" fontId="13" fillId="0" borderId="1" xfId="0" applyFont="1" applyBorder="1"/>
    <xf numFmtId="10" fontId="14" fillId="0" borderId="1" xfId="0" applyNumberFormat="1" applyFont="1" applyBorder="1" applyAlignment="1">
      <alignment horizontal="left"/>
    </xf>
    <xf numFmtId="3" fontId="15" fillId="0" borderId="1" xfId="5" applyFont="1" applyBorder="1" applyAlignment="1">
      <alignment horizontal="center"/>
    </xf>
    <xf numFmtId="168" fontId="15" fillId="0" borderId="1" xfId="5" applyNumberFormat="1" applyFont="1" applyBorder="1"/>
    <xf numFmtId="10" fontId="15" fillId="4" borderId="1" xfId="6" applyNumberFormat="1" applyFont="1" applyFill="1" applyBorder="1" applyAlignment="1" applyProtection="1">
      <alignment horizontal="right"/>
    </xf>
    <xf numFmtId="9" fontId="15" fillId="4" borderId="1" xfId="7" applyNumberFormat="1" applyFont="1" applyFill="1" applyBorder="1" applyAlignment="1" applyProtection="1">
      <alignment horizontal="right"/>
    </xf>
    <xf numFmtId="166" fontId="15" fillId="5" borderId="1" xfId="4" applyNumberFormat="1" applyFont="1" applyFill="1" applyBorder="1" applyAlignment="1" applyProtection="1">
      <alignment horizontal="right"/>
    </xf>
    <xf numFmtId="166" fontId="15" fillId="5" borderId="1" xfId="7" applyFont="1" applyFill="1" applyBorder="1" applyAlignment="1" applyProtection="1">
      <alignment horizontal="right"/>
    </xf>
    <xf numFmtId="164" fontId="14" fillId="0" borderId="1" xfId="2" applyFont="1" applyBorder="1"/>
    <xf numFmtId="9" fontId="15" fillId="0" borderId="1" xfId="6" applyFont="1" applyFill="1" applyBorder="1" applyAlignment="1" applyProtection="1">
      <alignment horizontal="center"/>
    </xf>
    <xf numFmtId="166" fontId="15" fillId="5" borderId="1" xfId="6" applyNumberFormat="1" applyFont="1" applyFill="1" applyBorder="1" applyAlignment="1" applyProtection="1"/>
    <xf numFmtId="10" fontId="15" fillId="5" borderId="1" xfId="6" applyNumberFormat="1" applyFont="1" applyFill="1" applyBorder="1" applyAlignment="1" applyProtection="1"/>
    <xf numFmtId="49" fontId="15" fillId="7" borderId="1" xfId="5" applyNumberFormat="1" applyFont="1" applyFill="1" applyBorder="1" applyAlignment="1">
      <alignment horizontal="center" vertical="center"/>
    </xf>
    <xf numFmtId="10" fontId="14" fillId="6" borderId="1" xfId="3" applyNumberFormat="1" applyFont="1" applyFill="1" applyBorder="1" applyAlignment="1">
      <alignment vertical="center"/>
    </xf>
    <xf numFmtId="0" fontId="14" fillId="2" borderId="0" xfId="0" applyFont="1" applyFill="1"/>
    <xf numFmtId="164" fontId="14" fillId="2" borderId="0" xfId="2" applyFont="1" applyFill="1" applyBorder="1"/>
    <xf numFmtId="0" fontId="14" fillId="0" borderId="0" xfId="0" applyFont="1"/>
    <xf numFmtId="0" fontId="14" fillId="2" borderId="0" xfId="0" applyFont="1" applyFill="1" applyAlignment="1">
      <alignment horizontal="right"/>
    </xf>
    <xf numFmtId="0" fontId="0" fillId="2" borderId="1" xfId="0" applyFill="1" applyBorder="1" applyAlignment="1">
      <alignment horizontal="center"/>
    </xf>
    <xf numFmtId="0" fontId="3" fillId="0" borderId="1" xfId="0" applyFont="1" applyBorder="1" applyAlignment="1">
      <alignment horizontal="left"/>
    </xf>
    <xf numFmtId="10" fontId="0" fillId="0" borderId="2" xfId="0" applyNumberFormat="1" applyBorder="1" applyAlignment="1">
      <alignment horizontal="center"/>
    </xf>
    <xf numFmtId="10" fontId="0" fillId="0" borderId="3" xfId="0" applyNumberFormat="1" applyBorder="1" applyAlignment="1">
      <alignment horizontal="center"/>
    </xf>
    <xf numFmtId="10" fontId="0" fillId="0" borderId="4" xfId="0" applyNumberFormat="1" applyBorder="1" applyAlignment="1">
      <alignment horizontal="center"/>
    </xf>
    <xf numFmtId="0" fontId="0" fillId="0" borderId="1" xfId="0" applyBorder="1" applyAlignment="1">
      <alignment horizontal="left"/>
    </xf>
    <xf numFmtId="0" fontId="4" fillId="2" borderId="1" xfId="0" applyFont="1" applyFill="1" applyBorder="1" applyAlignment="1">
      <alignment horizontal="center"/>
    </xf>
    <xf numFmtId="0" fontId="1" fillId="2" borderId="0" xfId="0" applyFont="1" applyFill="1" applyAlignment="1">
      <alignment horizontal="center" wrapText="1"/>
    </xf>
    <xf numFmtId="0" fontId="2" fillId="0" borderId="1" xfId="0" applyFont="1" applyBorder="1" applyAlignment="1">
      <alignment horizontal="center"/>
    </xf>
    <xf numFmtId="0" fontId="0" fillId="2" borderId="11"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2" borderId="8" xfId="0" applyFill="1" applyBorder="1" applyAlignment="1">
      <alignment horizontal="center"/>
    </xf>
    <xf numFmtId="0" fontId="0" fillId="2" borderId="0" xfId="0" applyFill="1" applyAlignment="1">
      <alignment horizontal="center"/>
    </xf>
    <xf numFmtId="0" fontId="0" fillId="2" borderId="5" xfId="0" applyFill="1" applyBorder="1" applyAlignment="1">
      <alignment horizontal="center"/>
    </xf>
    <xf numFmtId="0" fontId="0" fillId="2" borderId="14"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12" fillId="2" borderId="0" xfId="0" applyFont="1" applyFill="1" applyAlignment="1">
      <alignment horizontal="center" wrapText="1"/>
    </xf>
    <xf numFmtId="0" fontId="7" fillId="2" borderId="0" xfId="0" applyFont="1" applyFill="1" applyAlignment="1">
      <alignment horizontal="center" wrapText="1"/>
    </xf>
    <xf numFmtId="0" fontId="0" fillId="3" borderId="1" xfId="0" applyFill="1" applyBorder="1" applyAlignment="1">
      <alignment horizontal="center"/>
    </xf>
    <xf numFmtId="0" fontId="11" fillId="0" borderId="1" xfId="0" applyFont="1" applyBorder="1" applyAlignment="1">
      <alignment horizontal="right"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3" fillId="0" borderId="1" xfId="0" applyFont="1" applyBorder="1" applyAlignment="1">
      <alignment horizontal="center"/>
    </xf>
    <xf numFmtId="164" fontId="0" fillId="2" borderId="1" xfId="2" applyFont="1" applyFill="1" applyBorder="1" applyAlignment="1">
      <alignment horizontal="center"/>
    </xf>
    <xf numFmtId="0" fontId="0" fillId="2" borderId="1" xfId="0" applyFill="1" applyBorder="1" applyAlignment="1">
      <alignment horizontal="center" vertical="center"/>
    </xf>
    <xf numFmtId="0" fontId="0" fillId="0" borderId="1" xfId="0"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0" fillId="0" borderId="1" xfId="0" applyBorder="1" applyAlignment="1">
      <alignment horizontal="left" vertical="top" wrapText="1"/>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2" xfId="0" applyBorder="1" applyAlignment="1">
      <alignment horizontal="center" wrapText="1"/>
    </xf>
    <xf numFmtId="0" fontId="0" fillId="0" borderId="4" xfId="0" applyBorder="1" applyAlignment="1">
      <alignment horizontal="center" wrapText="1"/>
    </xf>
    <xf numFmtId="0" fontId="0" fillId="0" borderId="2" xfId="0" applyBorder="1" applyAlignment="1">
      <alignment horizontal="left" wrapText="1"/>
    </xf>
    <xf numFmtId="0" fontId="0" fillId="0" borderId="4" xfId="0" applyBorder="1" applyAlignment="1">
      <alignment horizontal="left" wrapText="1"/>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17" fillId="2" borderId="0" xfId="0" applyFont="1" applyFill="1" applyAlignment="1">
      <alignment horizontal="center" wrapText="1"/>
    </xf>
    <xf numFmtId="166" fontId="15" fillId="6" borderId="1" xfId="5" applyNumberFormat="1" applyFont="1" applyFill="1" applyBorder="1" applyAlignment="1">
      <alignment horizontal="center" vertical="center"/>
    </xf>
    <xf numFmtId="166" fontId="15" fillId="6" borderId="9" xfId="5" applyNumberFormat="1" applyFont="1" applyFill="1" applyBorder="1" applyAlignment="1">
      <alignment horizontal="center" vertical="center"/>
    </xf>
    <xf numFmtId="49" fontId="15" fillId="7" borderId="1" xfId="5" applyNumberFormat="1" applyFont="1" applyFill="1" applyBorder="1" applyAlignment="1">
      <alignment horizontal="center" vertical="center"/>
    </xf>
    <xf numFmtId="49" fontId="15" fillId="7" borderId="9" xfId="5" applyNumberFormat="1" applyFont="1" applyFill="1" applyBorder="1" applyAlignment="1">
      <alignment horizontal="center" vertical="center"/>
    </xf>
    <xf numFmtId="3" fontId="16" fillId="6" borderId="1" xfId="5" applyFont="1" applyFill="1" applyBorder="1" applyAlignment="1">
      <alignment horizontal="center" vertical="center"/>
    </xf>
    <xf numFmtId="3" fontId="16" fillId="6" borderId="9" xfId="5" applyFont="1" applyFill="1" applyBorder="1" applyAlignment="1">
      <alignment horizontal="center" vertical="center"/>
    </xf>
    <xf numFmtId="10" fontId="15" fillId="0" borderId="1" xfId="6" applyNumberFormat="1" applyFont="1" applyFill="1" applyBorder="1" applyAlignment="1" applyProtection="1">
      <alignment horizontal="center" vertical="center"/>
    </xf>
    <xf numFmtId="3" fontId="15" fillId="0" borderId="9" xfId="5" applyFont="1" applyBorder="1" applyAlignment="1">
      <alignment vertical="center" wrapText="1"/>
    </xf>
    <xf numFmtId="3" fontId="15" fillId="0" borderId="10" xfId="5" applyFont="1" applyBorder="1" applyAlignment="1">
      <alignment vertical="center" wrapText="1"/>
    </xf>
    <xf numFmtId="3" fontId="15" fillId="0" borderId="1" xfId="5" applyFont="1" applyBorder="1" applyAlignment="1">
      <alignment vertical="center" wrapText="1"/>
    </xf>
    <xf numFmtId="4" fontId="15" fillId="0" borderId="1" xfId="5" applyNumberFormat="1" applyFont="1" applyBorder="1" applyAlignment="1">
      <alignment horizontal="right" vertical="center" wrapText="1"/>
    </xf>
    <xf numFmtId="166" fontId="15" fillId="0" borderId="1" xfId="7" applyFont="1" applyFill="1" applyBorder="1" applyAlignment="1" applyProtection="1">
      <alignment horizontal="right" vertical="center"/>
    </xf>
    <xf numFmtId="166" fontId="15" fillId="0" borderId="9" xfId="7" applyFont="1" applyFill="1" applyBorder="1" applyAlignment="1" applyProtection="1">
      <alignment horizontal="right" vertical="center"/>
    </xf>
    <xf numFmtId="166" fontId="15" fillId="0" borderId="10" xfId="7" applyFont="1" applyFill="1" applyBorder="1" applyAlignment="1" applyProtection="1">
      <alignment horizontal="right" vertical="center"/>
    </xf>
    <xf numFmtId="0" fontId="14" fillId="6" borderId="1" xfId="0" applyFont="1" applyFill="1" applyBorder="1" applyAlignment="1">
      <alignment horizontal="center" vertical="center"/>
    </xf>
    <xf numFmtId="3" fontId="15" fillId="0" borderId="1" xfId="5" applyFont="1" applyBorder="1" applyAlignment="1">
      <alignment horizontal="center" vertical="center"/>
    </xf>
    <xf numFmtId="0" fontId="13" fillId="0" borderId="1" xfId="0" applyFont="1" applyBorder="1" applyAlignment="1">
      <alignment horizontal="left"/>
    </xf>
    <xf numFmtId="10" fontId="14" fillId="0" borderId="2" xfId="0" applyNumberFormat="1" applyFont="1" applyBorder="1" applyAlignment="1">
      <alignment horizontal="center"/>
    </xf>
    <xf numFmtId="10" fontId="14" fillId="0" borderId="3" xfId="0" applyNumberFormat="1" applyFont="1" applyBorder="1" applyAlignment="1">
      <alignment horizontal="center"/>
    </xf>
    <xf numFmtId="10" fontId="14" fillId="0" borderId="4" xfId="0" applyNumberFormat="1" applyFont="1" applyBorder="1" applyAlignment="1">
      <alignment horizontal="center"/>
    </xf>
    <xf numFmtId="0" fontId="14" fillId="0" borderId="1" xfId="0" applyFont="1" applyBorder="1" applyAlignment="1">
      <alignment horizontal="left"/>
    </xf>
    <xf numFmtId="3" fontId="16" fillId="0" borderId="1" xfId="5" applyFont="1" applyBorder="1" applyAlignment="1">
      <alignment horizontal="center"/>
    </xf>
    <xf numFmtId="3" fontId="16" fillId="0" borderId="2" xfId="5" applyFont="1" applyBorder="1" applyAlignment="1">
      <alignment horizontal="center"/>
    </xf>
    <xf numFmtId="3" fontId="16" fillId="0" borderId="3" xfId="5" applyFont="1" applyBorder="1" applyAlignment="1">
      <alignment horizontal="center"/>
    </xf>
    <xf numFmtId="3" fontId="16" fillId="0" borderId="4" xfId="5" applyFont="1" applyBorder="1" applyAlignment="1">
      <alignment horizontal="center"/>
    </xf>
    <xf numFmtId="3" fontId="15" fillId="0" borderId="1" xfId="5" applyFont="1" applyBorder="1" applyAlignment="1">
      <alignment horizontal="left" vertical="center" wrapText="1"/>
    </xf>
    <xf numFmtId="0" fontId="13" fillId="0" borderId="1" xfId="0" applyFont="1" applyBorder="1" applyAlignment="1">
      <alignment horizontal="center"/>
    </xf>
  </cellXfs>
  <cellStyles count="8">
    <cellStyle name="Moeda" xfId="2" builtinId="4"/>
    <cellStyle name="Moeda_E M B DR JOAO ALVES R" xfId="4" xr:uid="{00000000-0005-0000-0000-000031000000}"/>
    <cellStyle name="Normal" xfId="0" builtinId="0"/>
    <cellStyle name="Normal_E M B DR JOAO ALVES R" xfId="5" xr:uid="{00000000-0005-0000-0000-000032000000}"/>
    <cellStyle name="Porcentagem" xfId="3" builtinId="5"/>
    <cellStyle name="Porcentagem_E M B DR JOAO ALVES R" xfId="6" xr:uid="{00000000-0005-0000-0000-000033000000}"/>
    <cellStyle name="Separador de milhares_E M B DR JOAO ALVES R" xfId="7" xr:uid="{00000000-0005-0000-0000-00003400000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542925</xdr:colOff>
          <xdr:row>0</xdr:row>
          <xdr:rowOff>104775</xdr:rowOff>
        </xdr:from>
        <xdr:to>
          <xdr:col>1</xdr:col>
          <xdr:colOff>466725</xdr:colOff>
          <xdr:row>3</xdr:row>
          <xdr:rowOff>161925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1143000</xdr:colOff>
      <xdr:row>0</xdr:row>
      <xdr:rowOff>34290</xdr:rowOff>
    </xdr:from>
    <xdr:to>
      <xdr:col>3</xdr:col>
      <xdr:colOff>3467100</xdr:colOff>
      <xdr:row>3</xdr:row>
      <xdr:rowOff>234315</xdr:rowOff>
    </xdr:to>
    <xdr:sp macro="" textlink="">
      <xdr:nvSpPr>
        <xdr:cNvPr id="3" name="Caixa de Texto 1">
          <a:extLst>
            <a:ext uri="{FF2B5EF4-FFF2-40B4-BE49-F238E27FC236}">
              <a16:creationId xmlns:a16="http://schemas.microsoft.com/office/drawing/2014/main" id="{00000000-0008-0000-0000-000003000000}"/>
            </a:ext>
          </a:extLst>
        </xdr:cNvPr>
        <xdr:cNvSpPr txBox="1">
          <a:spLocks noChangeArrowheads="1"/>
        </xdr:cNvSpPr>
      </xdr:nvSpPr>
      <xdr:spPr bwMode="auto">
        <a:xfrm>
          <a:off x="1983441" y="34290"/>
          <a:ext cx="4341159" cy="771525"/>
        </a:xfrm>
        <a:prstGeom prst="rect">
          <a:avLst/>
        </a:prstGeom>
        <a:solidFill>
          <a:srgbClr val="FFFFFF"/>
        </a:solidFill>
        <a:ln>
          <a:noFill/>
        </a:ln>
      </xdr:spPr>
      <xdr:txBody>
        <a:bodyPr rot="0" vert="horz" wrap="square" lIns="91440" tIns="45720" rIns="91440" bIns="45720" anchor="t" anchorCtr="0" upright="1">
          <a:noAutofit/>
        </a:bodyPr>
        <a:lstStyle/>
        <a:p>
          <a:pPr algn="ctr"/>
          <a:r>
            <a:rPr lang="en-US" altLang="zh-CN" sz="2000" b="1" kern="100">
              <a:solidFill>
                <a:srgbClr val="008000"/>
              </a:solidFill>
              <a:latin typeface="Arial" panose="020B0604020202020204"/>
              <a:ea typeface="Bookman Old Style"/>
              <a:cs typeface="Cambria Math" panose="02040503050406030204"/>
              <a:sym typeface="Times New Roman" panose="02020603050405020304" pitchFamily="12"/>
            </a:rPr>
            <a:t>Prefeitura Municipal de Turmalina</a:t>
          </a:r>
        </a:p>
        <a:p>
          <a:pPr algn="ctr"/>
          <a:r>
            <a:rPr lang="en-US" altLang="zh-CN" sz="1200" kern="100">
              <a:solidFill>
                <a:srgbClr val="008000"/>
              </a:solidFill>
              <a:latin typeface="Arial" panose="020B0604020202020204"/>
              <a:ea typeface="Bookman Old Style"/>
              <a:cs typeface="Cambria Math" panose="02040503050406030204"/>
              <a:sym typeface="Times New Roman" panose="02020603050405020304" pitchFamily="12"/>
            </a:rPr>
            <a:t>AVENIDA LAURO MACHADO, 230 - CENTRO</a:t>
          </a:r>
        </a:p>
        <a:p>
          <a:pPr algn="ctr"/>
          <a:r>
            <a:rPr lang="en-US" altLang="zh-CN" sz="1200" kern="100">
              <a:solidFill>
                <a:srgbClr val="008000"/>
              </a:solidFill>
              <a:latin typeface="Arial" panose="020B0604020202020204"/>
              <a:ea typeface="Bookman Old Style"/>
              <a:cs typeface="Cambria Math" panose="02040503050406030204"/>
              <a:sym typeface="Times New Roman" panose="02020603050405020304" pitchFamily="12"/>
            </a:rPr>
            <a:t>CEP: 39.660-000 – ESTADO DE MINAS GERAIS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515620</xdr:colOff>
      <xdr:row>0</xdr:row>
      <xdr:rowOff>24130</xdr:rowOff>
    </xdr:from>
    <xdr:to>
      <xdr:col>5</xdr:col>
      <xdr:colOff>48260</xdr:colOff>
      <xdr:row>3</xdr:row>
      <xdr:rowOff>259080</xdr:rowOff>
    </xdr:to>
    <xdr:sp macro="" textlink="">
      <xdr:nvSpPr>
        <xdr:cNvPr id="4" name="Caixa de Texto 1">
          <a:extLst>
            <a:ext uri="{FF2B5EF4-FFF2-40B4-BE49-F238E27FC236}">
              <a16:creationId xmlns:a16="http://schemas.microsoft.com/office/drawing/2014/main" id="{00000000-0008-0000-0100-000004000000}"/>
            </a:ext>
          </a:extLst>
        </xdr:cNvPr>
        <xdr:cNvSpPr txBox="1">
          <a:spLocks noChangeArrowheads="1"/>
        </xdr:cNvSpPr>
      </xdr:nvSpPr>
      <xdr:spPr bwMode="auto">
        <a:xfrm>
          <a:off x="2172970" y="24130"/>
          <a:ext cx="4342765" cy="806450"/>
        </a:xfrm>
        <a:prstGeom prst="rect">
          <a:avLst/>
        </a:prstGeom>
        <a:solidFill>
          <a:srgbClr val="FFFFFF"/>
        </a:solidFill>
        <a:ln>
          <a:noFill/>
        </a:ln>
      </xdr:spPr>
      <xdr:txBody>
        <a:bodyPr rot="0" vert="horz" wrap="square" lIns="91440" tIns="45720" rIns="91440" bIns="45720" anchor="t" anchorCtr="0" upright="1"/>
        <a:lstStyle/>
        <a:p>
          <a:pPr algn="ctr"/>
          <a:r>
            <a:rPr lang="en-US" altLang="zh-CN" sz="2000" b="1" kern="100">
              <a:solidFill>
                <a:srgbClr val="008000"/>
              </a:solidFill>
              <a:latin typeface="Arial" panose="020B0604020202020204"/>
              <a:ea typeface="Bookman Old Style"/>
              <a:cs typeface="Cambria Math" panose="02040503050406030204"/>
              <a:sym typeface="Times New Roman" panose="02020603050405020304" pitchFamily="12"/>
            </a:rPr>
            <a:t>Prefeitura Municipal de Turmalina</a:t>
          </a:r>
        </a:p>
        <a:p>
          <a:pPr algn="ctr"/>
          <a:r>
            <a:rPr lang="en-US" altLang="zh-CN" sz="1200" kern="100">
              <a:solidFill>
                <a:srgbClr val="008000"/>
              </a:solidFill>
              <a:latin typeface="Arial" panose="020B0604020202020204"/>
              <a:ea typeface="Bookman Old Style"/>
              <a:cs typeface="Cambria Math" panose="02040503050406030204"/>
              <a:sym typeface="Times New Roman" panose="02020603050405020304" pitchFamily="12"/>
            </a:rPr>
            <a:t>AVENIDA LAURO MACHADO, 230 - CENTRO</a:t>
          </a:r>
        </a:p>
        <a:p>
          <a:pPr algn="ctr"/>
          <a:r>
            <a:rPr lang="en-US" altLang="zh-CN" sz="1200" kern="100">
              <a:solidFill>
                <a:srgbClr val="008000"/>
              </a:solidFill>
              <a:latin typeface="Arial" panose="020B0604020202020204"/>
              <a:ea typeface="Bookman Old Style"/>
              <a:cs typeface="Cambria Math" panose="02040503050406030204"/>
              <a:sym typeface="Times New Roman" panose="02020603050405020304" pitchFamily="12"/>
            </a:rPr>
            <a:t>CEP: 39.660-000 – ESTADO DE MINAS GERAIS</a:t>
          </a:r>
        </a:p>
      </xdr:txBody>
    </xdr:sp>
    <xdr:clientData/>
  </xdr:twoCellAnchor>
  <mc:AlternateContent xmlns:mc="http://schemas.openxmlformats.org/markup-compatibility/2006">
    <mc:Choice xmlns:a14="http://schemas.microsoft.com/office/drawing/2010/main" Requires="a14">
      <xdr:twoCellAnchor editAs="oneCell">
        <xdr:from>
          <xdr:col>0</xdr:col>
          <xdr:colOff>1009650</xdr:colOff>
          <xdr:row>0</xdr:row>
          <xdr:rowOff>123825</xdr:rowOff>
        </xdr:from>
        <xdr:to>
          <xdr:col>1</xdr:col>
          <xdr:colOff>114300</xdr:colOff>
          <xdr:row>3</xdr:row>
          <xdr:rowOff>180975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285750</xdr:colOff>
          <xdr:row>1</xdr:row>
          <xdr:rowOff>104775</xdr:rowOff>
        </xdr:from>
        <xdr:to>
          <xdr:col>1</xdr:col>
          <xdr:colOff>133350</xdr:colOff>
          <xdr:row>3</xdr:row>
          <xdr:rowOff>352425</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435610</xdr:colOff>
      <xdr:row>1</xdr:row>
      <xdr:rowOff>27305</xdr:rowOff>
    </xdr:from>
    <xdr:to>
      <xdr:col>3</xdr:col>
      <xdr:colOff>330200</xdr:colOff>
      <xdr:row>3</xdr:row>
      <xdr:rowOff>453390</xdr:rowOff>
    </xdr:to>
    <xdr:sp macro="" textlink="">
      <xdr:nvSpPr>
        <xdr:cNvPr id="3" name="Caixa de Texto 1">
          <a:extLst>
            <a:ext uri="{FF2B5EF4-FFF2-40B4-BE49-F238E27FC236}">
              <a16:creationId xmlns:a16="http://schemas.microsoft.com/office/drawing/2014/main" id="{00000000-0008-0000-0200-000003000000}"/>
            </a:ext>
          </a:extLst>
        </xdr:cNvPr>
        <xdr:cNvSpPr txBox="1">
          <a:spLocks noChangeArrowheads="1"/>
        </xdr:cNvSpPr>
      </xdr:nvSpPr>
      <xdr:spPr>
        <a:xfrm>
          <a:off x="1350010" y="217805"/>
          <a:ext cx="4342765" cy="807085"/>
        </a:xfrm>
        <a:prstGeom prst="rect">
          <a:avLst/>
        </a:prstGeom>
        <a:solidFill>
          <a:srgbClr val="FFFFFF"/>
        </a:solidFill>
        <a:ln>
          <a:noFill/>
        </a:ln>
      </xdr:spPr>
      <xdr:txBody>
        <a:bodyPr rot="0" vert="horz" wrap="square" lIns="91440" tIns="45720" rIns="91440" bIns="45720" anchor="t" anchorCtr="0" upright="1"/>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ctr"/>
          <a:r>
            <a:rPr lang="en-US" altLang="zh-CN" sz="2000" b="1" kern="100">
              <a:solidFill>
                <a:srgbClr val="008000"/>
              </a:solidFill>
              <a:latin typeface="Arial" panose="020B0604020202020204"/>
              <a:ea typeface="Bookman Old Style"/>
              <a:cs typeface="Cambria Math" panose="02040503050406030204"/>
              <a:sym typeface="Times New Roman" panose="02020603050405020304" pitchFamily="12"/>
            </a:rPr>
            <a:t>Prefeitura Municipal de Turmalina</a:t>
          </a:r>
        </a:p>
        <a:p>
          <a:pPr algn="ctr"/>
          <a:r>
            <a:rPr lang="en-US" altLang="zh-CN" sz="1200" kern="100">
              <a:solidFill>
                <a:srgbClr val="008000"/>
              </a:solidFill>
              <a:latin typeface="Arial" panose="020B0604020202020204"/>
              <a:ea typeface="Bookman Old Style"/>
              <a:cs typeface="Cambria Math" panose="02040503050406030204"/>
              <a:sym typeface="Times New Roman" panose="02020603050405020304" pitchFamily="12"/>
            </a:rPr>
            <a:t>AVENIDA LAURO MACHADO, 230 - CENTRO</a:t>
          </a:r>
        </a:p>
        <a:p>
          <a:pPr algn="ctr"/>
          <a:r>
            <a:rPr lang="en-US" altLang="zh-CN" sz="1200" kern="100">
              <a:solidFill>
                <a:srgbClr val="008000"/>
              </a:solidFill>
              <a:latin typeface="Arial" panose="020B0604020202020204"/>
              <a:ea typeface="Bookman Old Style"/>
              <a:cs typeface="Cambria Math" panose="02040503050406030204"/>
              <a:sym typeface="Times New Roman" panose="02020603050405020304" pitchFamily="12"/>
            </a:rPr>
            <a:t>CEP: 39.660-000 – ESTADO DE MINAS GERAIS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438150</xdr:colOff>
      <xdr:row>13</xdr:row>
      <xdr:rowOff>91440</xdr:rowOff>
    </xdr:from>
    <xdr:to>
      <xdr:col>6</xdr:col>
      <xdr:colOff>964160</xdr:colOff>
      <xdr:row>18</xdr:row>
      <xdr:rowOff>144864</xdr:rowOff>
    </xdr:to>
    <xdr:pic>
      <xdr:nvPicPr>
        <xdr:cNvPr id="3" name="Imagem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5562600" y="2756535"/>
          <a:ext cx="2602230" cy="100584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466725</xdr:colOff>
          <xdr:row>0</xdr:row>
          <xdr:rowOff>123825</xdr:rowOff>
        </xdr:from>
        <xdr:to>
          <xdr:col>0</xdr:col>
          <xdr:colOff>1228725</xdr:colOff>
          <xdr:row>3</xdr:row>
          <xdr:rowOff>180975</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1247775</xdr:colOff>
      <xdr:row>0</xdr:row>
      <xdr:rowOff>66675</xdr:rowOff>
    </xdr:from>
    <xdr:to>
      <xdr:col>4</xdr:col>
      <xdr:colOff>542290</xdr:colOff>
      <xdr:row>3</xdr:row>
      <xdr:rowOff>36195</xdr:rowOff>
    </xdr:to>
    <xdr:sp macro="" textlink="">
      <xdr:nvSpPr>
        <xdr:cNvPr id="2" name="Caixa de Texto 1">
          <a:extLst>
            <a:ext uri="{FF2B5EF4-FFF2-40B4-BE49-F238E27FC236}">
              <a16:creationId xmlns:a16="http://schemas.microsoft.com/office/drawing/2014/main" id="{00000000-0008-0000-0300-000002000000}"/>
            </a:ext>
          </a:extLst>
        </xdr:cNvPr>
        <xdr:cNvSpPr txBox="1">
          <a:spLocks noChangeArrowheads="1"/>
        </xdr:cNvSpPr>
      </xdr:nvSpPr>
      <xdr:spPr>
        <a:xfrm>
          <a:off x="1247775" y="66675"/>
          <a:ext cx="4418965" cy="541020"/>
        </a:xfrm>
        <a:prstGeom prst="rect">
          <a:avLst/>
        </a:prstGeom>
        <a:solidFill>
          <a:srgbClr val="FFFFFF"/>
        </a:solidFill>
        <a:ln>
          <a:noFill/>
        </a:ln>
      </xdr:spPr>
      <xdr:txBody>
        <a:bodyPr rot="0" vert="horz" wrap="square" lIns="91440" tIns="45720" rIns="91440" bIns="45720" anchor="t" anchorCtr="0" upright="1"/>
        <a:lstStyle>
          <a:defPPr>
            <a:defRPr lang="pt-BR"/>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ctr"/>
          <a:r>
            <a:rPr lang="en-US" altLang="zh-CN" b="1" kern="100">
              <a:solidFill>
                <a:srgbClr val="008000"/>
              </a:solidFill>
              <a:latin typeface="Arial" panose="020B0604020202020204"/>
              <a:ea typeface="Bookman Old Style"/>
              <a:cs typeface="Cambria Math" panose="02040503050406030204"/>
              <a:sym typeface="Times New Roman" panose="02020603050405020304" pitchFamily="12"/>
            </a:rPr>
            <a:t>Prefeitura Municipal de Turmalina</a:t>
          </a:r>
        </a:p>
        <a:p>
          <a:pPr algn="ctr"/>
          <a:r>
            <a:rPr lang="en-US" altLang="zh-CN" kern="100">
              <a:solidFill>
                <a:srgbClr val="008000"/>
              </a:solidFill>
              <a:latin typeface="Arial" panose="020B0604020202020204"/>
              <a:ea typeface="Bookman Old Style"/>
              <a:cs typeface="Cambria Math" panose="02040503050406030204"/>
              <a:sym typeface="Times New Roman" panose="02020603050405020304" pitchFamily="12"/>
            </a:rPr>
            <a:t>AVENIDA LAURO MACHADO, 230 - CENTRO</a:t>
          </a:r>
        </a:p>
        <a:p>
          <a:pPr algn="ctr"/>
          <a:r>
            <a:rPr lang="en-US" altLang="zh-CN" kern="100">
              <a:solidFill>
                <a:srgbClr val="008000"/>
              </a:solidFill>
              <a:latin typeface="Arial" panose="020B0604020202020204"/>
              <a:ea typeface="Bookman Old Style"/>
              <a:cs typeface="Cambria Math" panose="02040503050406030204"/>
              <a:sym typeface="Times New Roman" panose="02020603050405020304" pitchFamily="12"/>
            </a:rPr>
            <a:t>CEP: 39.660-000 – ESTADO DE MINAS GERAIS</a:t>
          </a: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image" Target="../media/image1.emf"/><Relationship Id="rId5" Type="http://schemas.openxmlformats.org/officeDocument/2006/relationships/oleObject" Target="../embeddings/oleObject1.bin"/><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image" Target="../media/image1.emf"/><Relationship Id="rId5" Type="http://schemas.openxmlformats.org/officeDocument/2006/relationships/oleObject" Target="../embeddings/oleObject2.bin"/><Relationship Id="rId4" Type="http://schemas.openxmlformats.org/officeDocument/2006/relationships/vmlDrawing" Target="../drawings/vmlDrawing4.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image" Target="../media/image1.emf"/><Relationship Id="rId5" Type="http://schemas.openxmlformats.org/officeDocument/2006/relationships/oleObject" Target="../embeddings/oleObject3.bin"/><Relationship Id="rId4" Type="http://schemas.openxmlformats.org/officeDocument/2006/relationships/vmlDrawing" Target="../drawings/vmlDrawing6.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image" Target="../media/image1.emf"/><Relationship Id="rId5" Type="http://schemas.openxmlformats.org/officeDocument/2006/relationships/oleObject" Target="../embeddings/oleObject4.bin"/><Relationship Id="rId4"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202"/>
  <sheetViews>
    <sheetView tabSelected="1" zoomScale="85" zoomScaleNormal="85" workbookViewId="0">
      <pane xSplit="9" ySplit="16" topLeftCell="J71" activePane="bottomRight" state="frozen"/>
      <selection pane="topRight" activeCell="J1" sqref="J1"/>
      <selection pane="bottomLeft" activeCell="A17" sqref="A17"/>
      <selection pane="bottomRight" activeCell="D72" sqref="D72"/>
    </sheetView>
  </sheetViews>
  <sheetFormatPr defaultColWidth="9" defaultRowHeight="15"/>
  <cols>
    <col min="1" max="1" width="12.5703125" style="7" customWidth="1"/>
    <col min="2" max="2" width="21.140625" style="42" customWidth="1"/>
    <col min="3" max="3" width="9.140625" style="7" customWidth="1"/>
    <col min="4" max="4" width="52.85546875" style="43" customWidth="1"/>
    <col min="5" max="5" width="9.140625" style="7"/>
    <col min="6" max="6" width="12.28515625" style="7" customWidth="1"/>
    <col min="7" max="7" width="20.7109375" style="44" customWidth="1"/>
    <col min="8" max="8" width="17.28515625" style="44" customWidth="1"/>
    <col min="9" max="9" width="19.28515625" style="44" customWidth="1"/>
    <col min="10" max="10" width="19.42578125" style="44" customWidth="1"/>
    <col min="11" max="11" width="10.7109375" style="1" customWidth="1"/>
    <col min="12" max="13" width="9.140625" style="1"/>
    <col min="14" max="14" width="10.7109375" style="1" customWidth="1"/>
    <col min="15" max="38" width="9.140625" style="1"/>
  </cols>
  <sheetData>
    <row r="1" spans="1:10" s="1" customFormat="1">
      <c r="A1" s="110"/>
      <c r="B1" s="111"/>
      <c r="C1" s="111"/>
      <c r="D1" s="111"/>
      <c r="E1" s="111"/>
      <c r="F1" s="111"/>
      <c r="G1" s="111"/>
      <c r="H1" s="111"/>
      <c r="I1" s="111"/>
      <c r="J1" s="112"/>
    </row>
    <row r="2" spans="1:10" s="1" customFormat="1">
      <c r="A2" s="113"/>
      <c r="B2" s="114"/>
      <c r="C2" s="114"/>
      <c r="D2" s="114"/>
      <c r="E2" s="114"/>
      <c r="F2" s="114"/>
      <c r="G2" s="114"/>
      <c r="H2" s="114"/>
      <c r="I2" s="114"/>
      <c r="J2" s="115"/>
    </row>
    <row r="3" spans="1:10" s="1" customFormat="1">
      <c r="A3" s="113"/>
      <c r="B3" s="114"/>
      <c r="C3" s="114"/>
      <c r="D3" s="114"/>
      <c r="E3" s="114"/>
      <c r="F3" s="114"/>
      <c r="G3" s="114"/>
      <c r="H3" s="114"/>
      <c r="I3" s="114"/>
      <c r="J3" s="115"/>
    </row>
    <row r="4" spans="1:10" s="1" customFormat="1" ht="27.95" customHeight="1">
      <c r="A4" s="116"/>
      <c r="B4" s="117"/>
      <c r="C4" s="117"/>
      <c r="D4" s="117"/>
      <c r="E4" s="117"/>
      <c r="F4" s="117"/>
      <c r="G4" s="117"/>
      <c r="H4" s="117"/>
      <c r="I4" s="117"/>
      <c r="J4" s="118"/>
    </row>
    <row r="5" spans="1:10" ht="23.25">
      <c r="A5" s="109" t="s">
        <v>0</v>
      </c>
      <c r="B5" s="109"/>
      <c r="C5" s="109"/>
      <c r="D5" s="109"/>
      <c r="E5" s="109"/>
      <c r="F5" s="109"/>
      <c r="G5" s="109"/>
      <c r="H5" s="109"/>
      <c r="I5" s="109"/>
      <c r="J5" s="109"/>
    </row>
    <row r="6" spans="1:10">
      <c r="A6" s="102" t="s">
        <v>1</v>
      </c>
      <c r="B6" s="102"/>
      <c r="C6" s="102"/>
      <c r="D6" s="102"/>
      <c r="E6" s="102"/>
      <c r="F6" s="102"/>
      <c r="G6" s="102"/>
      <c r="H6" s="102"/>
      <c r="I6" s="102"/>
      <c r="J6" s="102"/>
    </row>
    <row r="7" spans="1:10">
      <c r="A7" s="102" t="s">
        <v>2</v>
      </c>
      <c r="B7" s="102"/>
      <c r="C7" s="102"/>
      <c r="D7" s="102"/>
      <c r="E7" s="102"/>
      <c r="F7" s="102"/>
      <c r="G7" s="102"/>
      <c r="H7" s="102"/>
      <c r="I7" s="102"/>
      <c r="J7" s="102"/>
    </row>
    <row r="8" spans="1:10">
      <c r="A8" s="102" t="s">
        <v>3</v>
      </c>
      <c r="B8" s="102"/>
      <c r="C8" s="102"/>
      <c r="D8" s="102"/>
      <c r="E8" s="102"/>
      <c r="F8" s="102"/>
      <c r="G8" s="102"/>
      <c r="H8" s="102"/>
      <c r="I8" s="102"/>
      <c r="J8" s="102"/>
    </row>
    <row r="9" spans="1:10">
      <c r="A9" s="102" t="s">
        <v>4</v>
      </c>
      <c r="B9" s="102"/>
      <c r="C9" s="102"/>
      <c r="D9" s="102"/>
      <c r="E9" s="102"/>
      <c r="F9" s="102"/>
      <c r="G9" s="102"/>
      <c r="H9" s="102"/>
      <c r="I9" s="102"/>
      <c r="J9" s="102"/>
    </row>
    <row r="10" spans="1:10">
      <c r="A10" s="102" t="s">
        <v>381</v>
      </c>
      <c r="B10" s="102"/>
      <c r="C10" s="102"/>
      <c r="D10" s="102"/>
      <c r="E10" s="102"/>
      <c r="F10" s="102"/>
      <c r="G10" s="102"/>
      <c r="H10" s="102"/>
      <c r="I10" s="102"/>
      <c r="J10" s="102"/>
    </row>
    <row r="11" spans="1:10">
      <c r="A11" s="29" t="s">
        <v>5</v>
      </c>
      <c r="B11" s="30">
        <f>BDI!G13</f>
        <v>0.24666704095238101</v>
      </c>
      <c r="C11" s="31">
        <v>1.2466999999999999</v>
      </c>
      <c r="D11" s="123" t="s">
        <v>6</v>
      </c>
      <c r="E11" s="124"/>
      <c r="F11" s="124"/>
      <c r="G11" s="124"/>
      <c r="H11" s="124"/>
      <c r="I11" s="124"/>
      <c r="J11" s="125"/>
    </row>
    <row r="12" spans="1:10">
      <c r="A12" s="4" t="s">
        <v>7</v>
      </c>
      <c r="B12" s="45" t="s">
        <v>390</v>
      </c>
      <c r="C12" s="46"/>
      <c r="D12" s="35"/>
      <c r="E12" s="36"/>
      <c r="F12" s="36"/>
      <c r="G12" s="36"/>
      <c r="H12" s="36"/>
      <c r="I12" s="36"/>
      <c r="J12" s="37"/>
    </row>
    <row r="13" spans="1:10">
      <c r="A13" s="126" t="s">
        <v>8</v>
      </c>
      <c r="B13" s="126"/>
      <c r="C13" s="126"/>
      <c r="D13" s="126"/>
      <c r="E13" s="126"/>
      <c r="F13" s="126"/>
      <c r="G13" s="126"/>
      <c r="H13" s="126"/>
      <c r="I13" s="126"/>
      <c r="J13" s="126"/>
    </row>
    <row r="14" spans="1:10" s="1" customFormat="1">
      <c r="A14" s="128" t="s">
        <v>9</v>
      </c>
      <c r="B14" s="128" t="s">
        <v>10</v>
      </c>
      <c r="C14" s="128" t="s">
        <v>11</v>
      </c>
      <c r="D14" s="128" t="s">
        <v>12</v>
      </c>
      <c r="E14" s="128" t="s">
        <v>13</v>
      </c>
      <c r="F14" s="128" t="s">
        <v>14</v>
      </c>
      <c r="G14" s="127" t="s">
        <v>15</v>
      </c>
      <c r="H14" s="127"/>
      <c r="I14" s="127"/>
      <c r="J14" s="127"/>
    </row>
    <row r="15" spans="1:10" s="1" customFormat="1">
      <c r="A15" s="128"/>
      <c r="B15" s="128"/>
      <c r="C15" s="128"/>
      <c r="D15" s="128"/>
      <c r="E15" s="128"/>
      <c r="F15" s="128"/>
      <c r="G15" s="127" t="s">
        <v>16</v>
      </c>
      <c r="H15" s="127"/>
      <c r="I15" s="127" t="s">
        <v>17</v>
      </c>
      <c r="J15" s="127"/>
    </row>
    <row r="16" spans="1:10" s="1" customFormat="1">
      <c r="A16" s="128"/>
      <c r="B16" s="128"/>
      <c r="C16" s="128"/>
      <c r="D16" s="128"/>
      <c r="E16" s="128"/>
      <c r="F16" s="128"/>
      <c r="G16" s="47" t="s">
        <v>18</v>
      </c>
      <c r="H16" s="47" t="s">
        <v>19</v>
      </c>
      <c r="I16" s="47" t="s">
        <v>18</v>
      </c>
      <c r="J16" s="47" t="s">
        <v>19</v>
      </c>
    </row>
    <row r="17" spans="1:10">
      <c r="A17" s="38" t="s">
        <v>20</v>
      </c>
      <c r="B17" s="39"/>
      <c r="C17" s="38"/>
      <c r="D17" s="48" t="s">
        <v>21</v>
      </c>
      <c r="E17" s="38"/>
      <c r="F17" s="38"/>
      <c r="G17" s="49"/>
      <c r="H17" s="49"/>
      <c r="I17" s="49" t="s">
        <v>22</v>
      </c>
      <c r="J17" s="49">
        <f>SUBTOTAL(9,J18:J25)</f>
        <v>52395.69</v>
      </c>
    </row>
    <row r="18" spans="1:10" s="1" customFormat="1" ht="105">
      <c r="A18" s="10" t="s">
        <v>23</v>
      </c>
      <c r="B18" s="3" t="s">
        <v>24</v>
      </c>
      <c r="C18" s="10" t="s">
        <v>25</v>
      </c>
      <c r="D18" s="50" t="s">
        <v>26</v>
      </c>
      <c r="E18" s="10" t="s">
        <v>27</v>
      </c>
      <c r="F18" s="10">
        <v>4.5</v>
      </c>
      <c r="G18" s="47">
        <v>268.16000000000003</v>
      </c>
      <c r="H18" s="44">
        <f>ROUND(F18*G18,2)</f>
        <v>1206.72</v>
      </c>
      <c r="I18" s="68">
        <f>ROUND(G18*$C$11,2)</f>
        <v>334.32</v>
      </c>
      <c r="J18" s="44">
        <f>ROUND(F18*I18,2)</f>
        <v>1504.44</v>
      </c>
    </row>
    <row r="19" spans="1:10" s="1" customFormat="1" ht="60">
      <c r="A19" s="10" t="s">
        <v>28</v>
      </c>
      <c r="B19" s="3">
        <v>10776</v>
      </c>
      <c r="C19" s="10" t="s">
        <v>29</v>
      </c>
      <c r="D19" s="50" t="s">
        <v>30</v>
      </c>
      <c r="E19" s="10" t="s">
        <v>31</v>
      </c>
      <c r="F19" s="10">
        <v>8</v>
      </c>
      <c r="G19" s="47">
        <v>789.06</v>
      </c>
      <c r="H19" s="44">
        <f t="shared" ref="H19:H81" si="0">ROUND(F19*G19,2)</f>
        <v>6312.48</v>
      </c>
      <c r="I19" s="68">
        <f t="shared" ref="I19:I25" si="1">ROUND(G19*$C$11,2)</f>
        <v>983.72</v>
      </c>
      <c r="J19" s="44">
        <f t="shared" ref="J19:J25" si="2">ROUND(F19*I19,2)</f>
        <v>7869.76</v>
      </c>
    </row>
    <row r="20" spans="1:10" s="1" customFormat="1" ht="60">
      <c r="A20" s="10" t="s">
        <v>32</v>
      </c>
      <c r="B20" s="3" t="s">
        <v>33</v>
      </c>
      <c r="C20" s="10" t="s">
        <v>25</v>
      </c>
      <c r="D20" s="50" t="s">
        <v>34</v>
      </c>
      <c r="E20" s="10" t="s">
        <v>35</v>
      </c>
      <c r="F20" s="10">
        <v>1</v>
      </c>
      <c r="G20" s="47">
        <v>1702.32</v>
      </c>
      <c r="H20" s="44">
        <f t="shared" si="0"/>
        <v>1702.32</v>
      </c>
      <c r="I20" s="68">
        <f t="shared" si="1"/>
        <v>2122.2800000000002</v>
      </c>
      <c r="J20" s="44">
        <f t="shared" si="2"/>
        <v>2122.2800000000002</v>
      </c>
    </row>
    <row r="21" spans="1:10" s="1" customFormat="1" ht="45">
      <c r="A21" s="10" t="s">
        <v>36</v>
      </c>
      <c r="B21" s="3" t="s">
        <v>37</v>
      </c>
      <c r="C21" s="10" t="s">
        <v>25</v>
      </c>
      <c r="D21" s="50" t="s">
        <v>38</v>
      </c>
      <c r="E21" s="10" t="s">
        <v>35</v>
      </c>
      <c r="F21" s="10">
        <v>80</v>
      </c>
      <c r="G21" s="47">
        <v>44.1</v>
      </c>
      <c r="H21" s="44">
        <f t="shared" si="0"/>
        <v>3528</v>
      </c>
      <c r="I21" s="68">
        <f t="shared" si="1"/>
        <v>54.98</v>
      </c>
      <c r="J21" s="44">
        <f t="shared" si="2"/>
        <v>4398.3999999999996</v>
      </c>
    </row>
    <row r="22" spans="1:10" s="1" customFormat="1" ht="45">
      <c r="A22" s="10" t="s">
        <v>39</v>
      </c>
      <c r="B22" s="3">
        <v>105009</v>
      </c>
      <c r="C22" s="10" t="s">
        <v>29</v>
      </c>
      <c r="D22" s="50" t="s">
        <v>40</v>
      </c>
      <c r="E22" s="10" t="s">
        <v>41</v>
      </c>
      <c r="F22" s="10">
        <v>46.3</v>
      </c>
      <c r="G22" s="47">
        <v>95.54</v>
      </c>
      <c r="H22" s="44">
        <f t="shared" si="0"/>
        <v>4423.5</v>
      </c>
      <c r="I22" s="68">
        <f t="shared" si="1"/>
        <v>119.11</v>
      </c>
      <c r="J22" s="44">
        <f t="shared" si="2"/>
        <v>5514.79</v>
      </c>
    </row>
    <row r="23" spans="1:10" s="1" customFormat="1" ht="75">
      <c r="A23" s="10" t="s">
        <v>42</v>
      </c>
      <c r="B23" s="3" t="s">
        <v>43</v>
      </c>
      <c r="C23" s="10" t="s">
        <v>25</v>
      </c>
      <c r="D23" s="50" t="s">
        <v>44</v>
      </c>
      <c r="E23" s="10" t="s">
        <v>45</v>
      </c>
      <c r="F23" s="10">
        <v>10</v>
      </c>
      <c r="G23" s="47">
        <v>194.75</v>
      </c>
      <c r="H23" s="44">
        <f t="shared" si="0"/>
        <v>1947.5</v>
      </c>
      <c r="I23" s="68">
        <f t="shared" si="1"/>
        <v>242.79</v>
      </c>
      <c r="J23" s="44">
        <f t="shared" si="2"/>
        <v>2427.9</v>
      </c>
    </row>
    <row r="24" spans="1:10" s="1" customFormat="1" ht="90">
      <c r="A24" s="10" t="s">
        <v>46</v>
      </c>
      <c r="B24" s="3" t="s">
        <v>47</v>
      </c>
      <c r="C24" s="10" t="s">
        <v>25</v>
      </c>
      <c r="D24" s="50" t="s">
        <v>48</v>
      </c>
      <c r="E24" s="10" t="s">
        <v>45</v>
      </c>
      <c r="F24" s="10">
        <f>162*2</f>
        <v>324</v>
      </c>
      <c r="G24" s="47">
        <v>68.22</v>
      </c>
      <c r="H24" s="44">
        <f t="shared" si="0"/>
        <v>22103.279999999999</v>
      </c>
      <c r="I24" s="68">
        <f t="shared" si="1"/>
        <v>85.05</v>
      </c>
      <c r="J24" s="44">
        <f t="shared" si="2"/>
        <v>27556.2</v>
      </c>
    </row>
    <row r="25" spans="1:10" s="1" customFormat="1" ht="60">
      <c r="A25" s="10" t="s">
        <v>49</v>
      </c>
      <c r="B25" s="3" t="s">
        <v>50</v>
      </c>
      <c r="C25" s="10" t="s">
        <v>25</v>
      </c>
      <c r="D25" s="50" t="s">
        <v>51</v>
      </c>
      <c r="E25" s="10" t="s">
        <v>45</v>
      </c>
      <c r="F25" s="10">
        <f>(19+6+6)*2</f>
        <v>62</v>
      </c>
      <c r="G25" s="47">
        <v>12.96</v>
      </c>
      <c r="H25" s="44">
        <f t="shared" si="0"/>
        <v>803.52</v>
      </c>
      <c r="I25" s="68">
        <f t="shared" si="1"/>
        <v>16.16</v>
      </c>
      <c r="J25" s="44">
        <f t="shared" si="2"/>
        <v>1001.92</v>
      </c>
    </row>
    <row r="26" spans="1:10">
      <c r="A26" s="38" t="s">
        <v>52</v>
      </c>
      <c r="B26" s="39"/>
      <c r="C26" s="38"/>
      <c r="D26" s="48" t="s">
        <v>53</v>
      </c>
      <c r="E26" s="38"/>
      <c r="F26" s="38"/>
      <c r="G26" s="49"/>
      <c r="H26" s="49"/>
      <c r="I26" s="69" t="s">
        <v>22</v>
      </c>
      <c r="J26" s="49">
        <f>SUBTOTAL(9,J27:J36)</f>
        <v>71559.740000000005</v>
      </c>
    </row>
    <row r="27" spans="1:10" s="1" customFormat="1" ht="81" customHeight="1">
      <c r="A27" s="10" t="s">
        <v>54</v>
      </c>
      <c r="B27" s="3" t="s">
        <v>55</v>
      </c>
      <c r="C27" s="10" t="s">
        <v>25</v>
      </c>
      <c r="D27" s="50" t="s">
        <v>56</v>
      </c>
      <c r="E27" s="10" t="s">
        <v>27</v>
      </c>
      <c r="F27" s="10">
        <f>62.28</f>
        <v>62.28</v>
      </c>
      <c r="G27" s="51">
        <v>27.44</v>
      </c>
      <c r="H27" s="44">
        <f t="shared" si="0"/>
        <v>1708.96</v>
      </c>
      <c r="I27" s="68">
        <f t="shared" ref="I27" si="3">ROUND(G27*$C$11,2)</f>
        <v>34.21</v>
      </c>
      <c r="J27" s="44">
        <f t="shared" ref="J27" si="4">ROUND(F27*I27,2)</f>
        <v>2130.6</v>
      </c>
    </row>
    <row r="28" spans="1:10" s="1" customFormat="1" ht="45">
      <c r="A28" s="10" t="s">
        <v>57</v>
      </c>
      <c r="B28" s="3">
        <v>97625</v>
      </c>
      <c r="C28" s="10" t="s">
        <v>29</v>
      </c>
      <c r="D28" s="50" t="s">
        <v>58</v>
      </c>
      <c r="E28" s="10" t="s">
        <v>59</v>
      </c>
      <c r="F28" s="10">
        <v>20</v>
      </c>
      <c r="G28" s="51">
        <v>53.4</v>
      </c>
      <c r="H28" s="44">
        <f t="shared" si="0"/>
        <v>1068</v>
      </c>
      <c r="I28" s="68">
        <f t="shared" ref="I28:I36" si="5">ROUND(G28*$C$11,2)</f>
        <v>66.569999999999993</v>
      </c>
      <c r="J28" s="44">
        <f t="shared" ref="J28:J36" si="6">ROUND(F28*I28,2)</f>
        <v>1331.4</v>
      </c>
    </row>
    <row r="29" spans="1:10" s="1" customFormat="1" ht="75">
      <c r="A29" s="10" t="s">
        <v>60</v>
      </c>
      <c r="B29" s="3" t="s">
        <v>61</v>
      </c>
      <c r="C29" s="10" t="s">
        <v>25</v>
      </c>
      <c r="D29" s="50" t="s">
        <v>62</v>
      </c>
      <c r="E29" s="10" t="s">
        <v>27</v>
      </c>
      <c r="F29" s="10">
        <v>50</v>
      </c>
      <c r="G29" s="51">
        <v>17.57</v>
      </c>
      <c r="H29" s="44">
        <f t="shared" si="0"/>
        <v>878.5</v>
      </c>
      <c r="I29" s="68">
        <f t="shared" si="5"/>
        <v>21.9</v>
      </c>
      <c r="J29" s="44">
        <f t="shared" si="6"/>
        <v>1095</v>
      </c>
    </row>
    <row r="30" spans="1:10" s="1" customFormat="1" ht="105">
      <c r="A30" s="10" t="s">
        <v>63</v>
      </c>
      <c r="B30" s="3" t="s">
        <v>64</v>
      </c>
      <c r="C30" s="10" t="s">
        <v>25</v>
      </c>
      <c r="D30" s="50" t="s">
        <v>65</v>
      </c>
      <c r="E30" s="10" t="s">
        <v>41</v>
      </c>
      <c r="F30" s="10">
        <v>50</v>
      </c>
      <c r="G30" s="51">
        <v>13.81</v>
      </c>
      <c r="H30" s="44">
        <f t="shared" si="0"/>
        <v>690.5</v>
      </c>
      <c r="I30" s="68">
        <f t="shared" si="5"/>
        <v>17.22</v>
      </c>
      <c r="J30" s="44">
        <f t="shared" si="6"/>
        <v>861</v>
      </c>
    </row>
    <row r="31" spans="1:10" s="1" customFormat="1">
      <c r="A31" s="10" t="s">
        <v>66</v>
      </c>
      <c r="B31" s="3">
        <v>98520</v>
      </c>
      <c r="C31" s="10" t="s">
        <v>29</v>
      </c>
      <c r="D31" s="52" t="s">
        <v>67</v>
      </c>
      <c r="E31" s="10" t="s">
        <v>27</v>
      </c>
      <c r="F31" s="10">
        <f>F32+13.45</f>
        <v>435.18</v>
      </c>
      <c r="G31" s="51">
        <v>6.16</v>
      </c>
      <c r="H31" s="44">
        <f t="shared" si="0"/>
        <v>2680.71</v>
      </c>
      <c r="I31" s="68">
        <f t="shared" si="5"/>
        <v>7.68</v>
      </c>
      <c r="J31" s="44">
        <f t="shared" si="6"/>
        <v>3342.18</v>
      </c>
    </row>
    <row r="32" spans="1:10" s="1" customFormat="1" ht="30">
      <c r="A32" s="10" t="s">
        <v>68</v>
      </c>
      <c r="B32" s="3" t="s">
        <v>69</v>
      </c>
      <c r="C32" s="10" t="s">
        <v>25</v>
      </c>
      <c r="D32" s="50" t="s">
        <v>70</v>
      </c>
      <c r="E32" s="10" t="s">
        <v>27</v>
      </c>
      <c r="F32" s="1">
        <f>103.58+169.11+3.23+4.6+3.25+1.9+12.97+12.64+6.53+6.85+10.51+2.64+13.24+9.87+25.84+6.54+6.25+3.14+9.04+10</f>
        <v>421.73</v>
      </c>
      <c r="G32" s="51">
        <v>38.090000000000003</v>
      </c>
      <c r="H32" s="44">
        <f t="shared" si="0"/>
        <v>16063.7</v>
      </c>
      <c r="I32" s="68">
        <f t="shared" si="5"/>
        <v>47.49</v>
      </c>
      <c r="J32" s="44">
        <f t="shared" si="6"/>
        <v>20027.96</v>
      </c>
    </row>
    <row r="33" spans="1:10" s="1" customFormat="1" ht="30">
      <c r="A33" s="10" t="s">
        <v>71</v>
      </c>
      <c r="B33" s="3">
        <v>98516</v>
      </c>
      <c r="C33" s="10" t="s">
        <v>29</v>
      </c>
      <c r="D33" s="50" t="s">
        <v>72</v>
      </c>
      <c r="E33" s="10" t="s">
        <v>73</v>
      </c>
      <c r="F33" s="53">
        <f>19</f>
        <v>19</v>
      </c>
      <c r="G33" s="51">
        <v>367.48</v>
      </c>
      <c r="H33" s="44">
        <f t="shared" si="0"/>
        <v>6982.12</v>
      </c>
      <c r="I33" s="68">
        <f t="shared" si="5"/>
        <v>458.14</v>
      </c>
      <c r="J33" s="44">
        <f t="shared" si="6"/>
        <v>8704.66</v>
      </c>
    </row>
    <row r="34" spans="1:10" s="1" customFormat="1" ht="45">
      <c r="A34" s="10" t="s">
        <v>74</v>
      </c>
      <c r="B34" s="3">
        <v>98511</v>
      </c>
      <c r="C34" s="10" t="s">
        <v>29</v>
      </c>
      <c r="D34" s="50" t="s">
        <v>75</v>
      </c>
      <c r="E34" s="10" t="s">
        <v>73</v>
      </c>
      <c r="F34" s="53">
        <v>115</v>
      </c>
      <c r="G34" s="51">
        <v>190</v>
      </c>
      <c r="H34" s="44">
        <f t="shared" si="0"/>
        <v>21850</v>
      </c>
      <c r="I34" s="68">
        <f t="shared" si="5"/>
        <v>236.87</v>
      </c>
      <c r="J34" s="44">
        <f t="shared" si="6"/>
        <v>27240.05</v>
      </c>
    </row>
    <row r="35" spans="1:10" s="1" customFormat="1" ht="60">
      <c r="A35" s="10" t="s">
        <v>76</v>
      </c>
      <c r="B35" s="3" t="s">
        <v>77</v>
      </c>
      <c r="C35" s="10" t="s">
        <v>25</v>
      </c>
      <c r="D35" s="50" t="s">
        <v>78</v>
      </c>
      <c r="E35" s="10" t="s">
        <v>59</v>
      </c>
      <c r="F35" s="53">
        <v>100</v>
      </c>
      <c r="G35" s="51">
        <v>4.16</v>
      </c>
      <c r="H35" s="44">
        <f t="shared" si="0"/>
        <v>416</v>
      </c>
      <c r="I35" s="68">
        <f t="shared" si="5"/>
        <v>5.19</v>
      </c>
      <c r="J35" s="44">
        <f t="shared" si="6"/>
        <v>519</v>
      </c>
    </row>
    <row r="36" spans="1:10" s="1" customFormat="1" ht="45">
      <c r="A36" s="10" t="s">
        <v>79</v>
      </c>
      <c r="B36" s="3" t="s">
        <v>80</v>
      </c>
      <c r="C36" s="10" t="s">
        <v>25</v>
      </c>
      <c r="D36" s="50" t="s">
        <v>81</v>
      </c>
      <c r="E36" s="10" t="s">
        <v>27</v>
      </c>
      <c r="F36" s="53">
        <f>(122.15+49.58+17.25+17.35+7.35+9.87+4.87+8.4+9.37+6.82+1.87+116+47.52+100)*0.8</f>
        <v>414.72</v>
      </c>
      <c r="G36" s="51">
        <v>12.2</v>
      </c>
      <c r="H36" s="44">
        <f t="shared" si="0"/>
        <v>5059.58</v>
      </c>
      <c r="I36" s="68">
        <f t="shared" si="5"/>
        <v>15.21</v>
      </c>
      <c r="J36" s="44">
        <f t="shared" si="6"/>
        <v>6307.89</v>
      </c>
    </row>
    <row r="37" spans="1:10">
      <c r="A37" s="38" t="s">
        <v>82</v>
      </c>
      <c r="B37" s="39"/>
      <c r="C37" s="38"/>
      <c r="D37" s="48" t="s">
        <v>83</v>
      </c>
      <c r="E37" s="38"/>
      <c r="F37" s="38"/>
      <c r="G37" s="49"/>
      <c r="H37" s="49"/>
      <c r="I37" s="69" t="s">
        <v>22</v>
      </c>
      <c r="J37" s="49">
        <f>SUBTOTAL(9,J38:J47)</f>
        <v>155770.70000000001</v>
      </c>
    </row>
    <row r="38" spans="1:10" s="1" customFormat="1" ht="45">
      <c r="A38" s="10" t="s">
        <v>84</v>
      </c>
      <c r="B38" s="3">
        <v>96527</v>
      </c>
      <c r="C38" s="10" t="s">
        <v>29</v>
      </c>
      <c r="D38" s="50" t="s">
        <v>85</v>
      </c>
      <c r="E38" s="10" t="s">
        <v>59</v>
      </c>
      <c r="F38" s="40">
        <f>((53+28+12+12+14.66+16.52+15.72+9.45+15.72+11.82+20.54+3.19+2.35+1.35+1.35+1.35+8.3*2+0.85*2+1.45*2+1.35+2.07+38.3+5.2+1.5*2+1.55+5.2*4+1.15*2)*0.3*0.5)-2.52</f>
        <v>44.698500000000003</v>
      </c>
      <c r="G38" s="47">
        <v>121.2</v>
      </c>
      <c r="H38" s="44">
        <f t="shared" si="0"/>
        <v>5417.46</v>
      </c>
      <c r="I38" s="68">
        <f t="shared" ref="I38:I47" si="7">ROUND(G38*$C$11,2)</f>
        <v>151.1</v>
      </c>
      <c r="J38" s="44">
        <f t="shared" ref="J38:J47" si="8">ROUND(F38*I38,2)</f>
        <v>6753.94</v>
      </c>
    </row>
    <row r="39" spans="1:10" s="1" customFormat="1" ht="45">
      <c r="A39" s="10" t="s">
        <v>86</v>
      </c>
      <c r="B39" s="3">
        <v>96523</v>
      </c>
      <c r="C39" s="10" t="s">
        <v>29</v>
      </c>
      <c r="D39" s="50" t="s">
        <v>87</v>
      </c>
      <c r="E39" s="10" t="s">
        <v>59</v>
      </c>
      <c r="F39" s="40">
        <f>((0.8*0.6*1*32+0.7*0.6*1*43)*1.2)-2.52</f>
        <v>37.584000000000003</v>
      </c>
      <c r="G39" s="47">
        <v>110.24</v>
      </c>
      <c r="H39" s="44">
        <f t="shared" si="0"/>
        <v>4143.26</v>
      </c>
      <c r="I39" s="68">
        <f t="shared" si="7"/>
        <v>137.44</v>
      </c>
      <c r="J39" s="44">
        <f t="shared" si="8"/>
        <v>5165.54</v>
      </c>
    </row>
    <row r="40" spans="1:10" s="1" customFormat="1" ht="60">
      <c r="A40" s="10" t="s">
        <v>88</v>
      </c>
      <c r="B40" s="3" t="s">
        <v>89</v>
      </c>
      <c r="C40" s="10" t="s">
        <v>25</v>
      </c>
      <c r="D40" s="50" t="s">
        <v>90</v>
      </c>
      <c r="E40" s="10" t="s">
        <v>27</v>
      </c>
      <c r="F40" s="40">
        <f>(40.88+81.09+17.4+13.5+55.57+7.92+24.32+58.19+8.32+22.17+39.43+22.26+115.28)</f>
        <v>506.33</v>
      </c>
      <c r="G40" s="47">
        <v>68.87</v>
      </c>
      <c r="H40" s="44">
        <f t="shared" si="0"/>
        <v>34870.949999999997</v>
      </c>
      <c r="I40" s="68">
        <f t="shared" si="7"/>
        <v>85.86</v>
      </c>
      <c r="J40" s="44">
        <f t="shared" si="8"/>
        <v>43473.49</v>
      </c>
    </row>
    <row r="41" spans="1:10" s="1" customFormat="1" ht="49.9" customHeight="1">
      <c r="A41" s="10" t="s">
        <v>91</v>
      </c>
      <c r="B41" s="3" t="s">
        <v>92</v>
      </c>
      <c r="C41" s="10" t="s">
        <v>25</v>
      </c>
      <c r="D41" s="50" t="s">
        <v>93</v>
      </c>
      <c r="E41" s="10" t="s">
        <v>59</v>
      </c>
      <c r="F41" s="62">
        <f>5.18+5.62+2.21+0.73+3.57+0.45+0.43+3.09+3.73+0.29+0.45+1.39+2.7+2.75+7.69+0.58</f>
        <v>40.86</v>
      </c>
      <c r="G41" s="47">
        <v>832.33</v>
      </c>
      <c r="H41" s="44">
        <f t="shared" si="0"/>
        <v>34009</v>
      </c>
      <c r="I41" s="68">
        <f t="shared" si="7"/>
        <v>1037.67</v>
      </c>
      <c r="J41" s="44">
        <f t="shared" si="8"/>
        <v>42399.199999999997</v>
      </c>
    </row>
    <row r="42" spans="1:10" s="1" customFormat="1" ht="30">
      <c r="A42" s="10" t="s">
        <v>94</v>
      </c>
      <c r="B42" s="3">
        <v>96544</v>
      </c>
      <c r="C42" s="10" t="s">
        <v>29</v>
      </c>
      <c r="D42" s="50" t="s">
        <v>95</v>
      </c>
      <c r="E42" s="10" t="s">
        <v>96</v>
      </c>
      <c r="F42" s="40">
        <f>37</f>
        <v>37</v>
      </c>
      <c r="G42" s="47">
        <v>18.48</v>
      </c>
      <c r="H42" s="44">
        <f t="shared" si="0"/>
        <v>683.76</v>
      </c>
      <c r="I42" s="68">
        <f t="shared" si="7"/>
        <v>23.04</v>
      </c>
      <c r="J42" s="44">
        <f t="shared" si="8"/>
        <v>852.48</v>
      </c>
    </row>
    <row r="43" spans="1:10" s="1" customFormat="1" ht="30">
      <c r="A43" s="10" t="s">
        <v>97</v>
      </c>
      <c r="B43" s="3">
        <v>96545</v>
      </c>
      <c r="C43" s="10" t="s">
        <v>29</v>
      </c>
      <c r="D43" s="50" t="s">
        <v>98</v>
      </c>
      <c r="E43" s="10" t="s">
        <v>96</v>
      </c>
      <c r="F43" s="40">
        <f>113.6+97.5+61.8+96.7+15+39.1+19.8+183.3</f>
        <v>626.79999999999995</v>
      </c>
      <c r="G43" s="47">
        <v>16.21</v>
      </c>
      <c r="H43" s="44">
        <f t="shared" si="0"/>
        <v>10160.43</v>
      </c>
      <c r="I43" s="68">
        <f t="shared" si="7"/>
        <v>20.21</v>
      </c>
      <c r="J43" s="44">
        <f t="shared" si="8"/>
        <v>12667.63</v>
      </c>
    </row>
    <row r="44" spans="1:10" s="1" customFormat="1" ht="30">
      <c r="A44" s="10" t="s">
        <v>99</v>
      </c>
      <c r="B44" s="3">
        <v>96543</v>
      </c>
      <c r="C44" s="10" t="s">
        <v>29</v>
      </c>
      <c r="D44" s="50" t="s">
        <v>100</v>
      </c>
      <c r="E44" s="10" t="s">
        <v>96</v>
      </c>
      <c r="F44" s="40">
        <f>24.1+51.6+26.5+52.6+15.8+21.3+41+19.1+104.9+16.7</f>
        <v>373.6</v>
      </c>
      <c r="G44" s="47">
        <v>21.22</v>
      </c>
      <c r="H44" s="44">
        <f t="shared" si="0"/>
        <v>7927.79</v>
      </c>
      <c r="I44" s="68">
        <f t="shared" si="7"/>
        <v>26.45</v>
      </c>
      <c r="J44" s="44">
        <f t="shared" si="8"/>
        <v>9881.7199999999993</v>
      </c>
    </row>
    <row r="45" spans="1:10" s="1" customFormat="1" ht="36.75" customHeight="1">
      <c r="A45" s="10" t="s">
        <v>101</v>
      </c>
      <c r="B45" s="3">
        <v>96546</v>
      </c>
      <c r="C45" s="10" t="s">
        <v>29</v>
      </c>
      <c r="D45" s="50" t="s">
        <v>102</v>
      </c>
      <c r="E45" s="10" t="s">
        <v>96</v>
      </c>
      <c r="F45" s="62">
        <f>362.3+68.6+157+45.6+40.8+28.8+221.7+46.4+29.9+20.4+110.3+209.1+165.6+37.1</f>
        <v>1543.6</v>
      </c>
      <c r="G45" s="47">
        <v>13.92</v>
      </c>
      <c r="H45" s="44">
        <f t="shared" si="0"/>
        <v>21486.91</v>
      </c>
      <c r="I45" s="68">
        <f t="shared" si="7"/>
        <v>17.350000000000001</v>
      </c>
      <c r="J45" s="44">
        <f t="shared" si="8"/>
        <v>26781.46</v>
      </c>
    </row>
    <row r="46" spans="1:10" ht="30">
      <c r="A46" s="10" t="s">
        <v>103</v>
      </c>
      <c r="B46" s="3">
        <v>98557</v>
      </c>
      <c r="C46" s="10" t="s">
        <v>29</v>
      </c>
      <c r="D46" s="50" t="s">
        <v>104</v>
      </c>
      <c r="E46" s="10" t="s">
        <v>27</v>
      </c>
      <c r="F46" s="40">
        <f>(14.16+16.52+15.72+9.45+15.72+11.82+20.57+3.19+2.35+1.35+1.35+1.35+8.3*2+0.85*2+1.45*2+1.35+2.07)*0.95</f>
        <v>131.26150000000001</v>
      </c>
      <c r="G46" s="47">
        <v>42.25</v>
      </c>
      <c r="H46" s="44">
        <f t="shared" si="0"/>
        <v>5545.8</v>
      </c>
      <c r="I46" s="68">
        <f t="shared" si="7"/>
        <v>52.67</v>
      </c>
      <c r="J46" s="44">
        <f t="shared" si="8"/>
        <v>6913.54</v>
      </c>
    </row>
    <row r="47" spans="1:10" ht="45">
      <c r="A47" s="10" t="s">
        <v>105</v>
      </c>
      <c r="B47" s="3">
        <v>97102</v>
      </c>
      <c r="C47" s="10" t="s">
        <v>29</v>
      </c>
      <c r="D47" s="50" t="s">
        <v>106</v>
      </c>
      <c r="E47" s="10" t="s">
        <v>27</v>
      </c>
      <c r="F47" s="40">
        <v>2.95</v>
      </c>
      <c r="G47" s="47">
        <v>239.74</v>
      </c>
      <c r="H47" s="44">
        <f t="shared" si="0"/>
        <v>707.23</v>
      </c>
      <c r="I47" s="68">
        <f t="shared" si="7"/>
        <v>298.88</v>
      </c>
      <c r="J47" s="44">
        <f t="shared" si="8"/>
        <v>881.7</v>
      </c>
    </row>
    <row r="48" spans="1:10">
      <c r="A48" s="38" t="s">
        <v>107</v>
      </c>
      <c r="B48" s="39"/>
      <c r="C48" s="38"/>
      <c r="D48" s="48" t="s">
        <v>108</v>
      </c>
      <c r="E48" s="38"/>
      <c r="F48" s="38"/>
      <c r="G48" s="49"/>
      <c r="H48" s="49"/>
      <c r="I48" s="69" t="s">
        <v>22</v>
      </c>
      <c r="J48" s="49">
        <f>SUBTOTAL(9,J49:J50)</f>
        <v>30560.53</v>
      </c>
    </row>
    <row r="49" spans="1:10" s="1" customFormat="1" ht="45">
      <c r="A49" s="10" t="s">
        <v>109</v>
      </c>
      <c r="B49" s="3">
        <v>103686</v>
      </c>
      <c r="C49" s="10" t="s">
        <v>29</v>
      </c>
      <c r="D49" s="50" t="s">
        <v>110</v>
      </c>
      <c r="E49" s="10" t="s">
        <v>59</v>
      </c>
      <c r="F49" s="10">
        <f>F50*0.12+2.17</f>
        <v>11.323600000000001</v>
      </c>
      <c r="G49" s="47">
        <v>792.87</v>
      </c>
      <c r="H49" s="44">
        <f t="shared" si="0"/>
        <v>8978.14</v>
      </c>
      <c r="I49" s="68">
        <f t="shared" ref="I49:I50" si="9">ROUND(G49*$C$11,2)</f>
        <v>988.47</v>
      </c>
      <c r="J49" s="44">
        <f t="shared" ref="J49:J50" si="10">ROUND(F49*I49,2)</f>
        <v>11193.04</v>
      </c>
    </row>
    <row r="50" spans="1:10" s="1" customFormat="1" ht="45">
      <c r="A50" s="10" t="s">
        <v>111</v>
      </c>
      <c r="B50" s="3">
        <v>101997</v>
      </c>
      <c r="C50" s="10" t="s">
        <v>29</v>
      </c>
      <c r="D50" s="50" t="s">
        <v>112</v>
      </c>
      <c r="E50" s="10" t="s">
        <v>27</v>
      </c>
      <c r="F50" s="10">
        <f>76.28</f>
        <v>76.28</v>
      </c>
      <c r="G50" s="47">
        <v>203.66</v>
      </c>
      <c r="H50" s="44">
        <f t="shared" si="0"/>
        <v>15535.18</v>
      </c>
      <c r="I50" s="68">
        <f t="shared" si="9"/>
        <v>253.9</v>
      </c>
      <c r="J50" s="44">
        <f t="shared" si="10"/>
        <v>19367.490000000002</v>
      </c>
    </row>
    <row r="51" spans="1:10">
      <c r="A51" s="38" t="s">
        <v>113</v>
      </c>
      <c r="B51" s="39"/>
      <c r="C51" s="38"/>
      <c r="D51" s="48" t="s">
        <v>114</v>
      </c>
      <c r="E51" s="38"/>
      <c r="F51" s="38"/>
      <c r="G51" s="49"/>
      <c r="H51" s="49"/>
      <c r="I51" s="69" t="s">
        <v>22</v>
      </c>
      <c r="J51" s="49">
        <f>SUBTOTAL(9,J52:J56)</f>
        <v>173134.79</v>
      </c>
    </row>
    <row r="52" spans="1:10" s="1" customFormat="1" ht="30">
      <c r="A52" s="10" t="s">
        <v>115</v>
      </c>
      <c r="B52" s="3">
        <v>101747</v>
      </c>
      <c r="C52" s="10" t="s">
        <v>29</v>
      </c>
      <c r="D52" s="50" t="s">
        <v>116</v>
      </c>
      <c r="E52" s="10" t="s">
        <v>27</v>
      </c>
      <c r="F52" s="10">
        <f>39.89</f>
        <v>39.89</v>
      </c>
      <c r="G52" s="47">
        <v>78.61</v>
      </c>
      <c r="H52" s="44">
        <f t="shared" si="0"/>
        <v>3135.75</v>
      </c>
      <c r="I52" s="68">
        <f t="shared" ref="I52" si="11">ROUND(G52*$C$11,2)</f>
        <v>98</v>
      </c>
      <c r="J52" s="44">
        <f t="shared" ref="J52" si="12">ROUND(F52*I52,2)</f>
        <v>3909.22</v>
      </c>
    </row>
    <row r="53" spans="1:10" s="1" customFormat="1" ht="90">
      <c r="A53" s="10" t="s">
        <v>117</v>
      </c>
      <c r="B53" s="3" t="s">
        <v>118</v>
      </c>
      <c r="C53" s="10" t="s">
        <v>25</v>
      </c>
      <c r="D53" s="50" t="s">
        <v>119</v>
      </c>
      <c r="E53" s="10" t="s">
        <v>27</v>
      </c>
      <c r="F53" s="10">
        <v>750</v>
      </c>
      <c r="G53" s="47">
        <v>95.99</v>
      </c>
      <c r="H53" s="44">
        <f t="shared" si="0"/>
        <v>71992.5</v>
      </c>
      <c r="I53" s="68">
        <f t="shared" ref="I53:I56" si="13">ROUND(G53*$C$11,2)</f>
        <v>119.67</v>
      </c>
      <c r="J53" s="44">
        <f t="shared" ref="J53:J56" si="14">ROUND(F53*I53,2)</f>
        <v>89752.5</v>
      </c>
    </row>
    <row r="54" spans="1:10" s="1" customFormat="1" ht="45">
      <c r="A54" s="10" t="s">
        <v>120</v>
      </c>
      <c r="B54" s="3">
        <v>93681</v>
      </c>
      <c r="C54" s="10" t="s">
        <v>29</v>
      </c>
      <c r="D54" s="50" t="s">
        <v>121</v>
      </c>
      <c r="E54" s="10" t="s">
        <v>27</v>
      </c>
      <c r="F54" s="10">
        <v>250</v>
      </c>
      <c r="G54" s="47">
        <v>118.76</v>
      </c>
      <c r="H54" s="44">
        <f t="shared" si="0"/>
        <v>29690</v>
      </c>
      <c r="I54" s="68">
        <f t="shared" si="13"/>
        <v>148.06</v>
      </c>
      <c r="J54" s="44">
        <f t="shared" si="14"/>
        <v>37015</v>
      </c>
    </row>
    <row r="55" spans="1:10" s="1" customFormat="1" ht="90">
      <c r="A55" s="10" t="s">
        <v>122</v>
      </c>
      <c r="B55" s="3" t="s">
        <v>123</v>
      </c>
      <c r="C55" s="10" t="s">
        <v>25</v>
      </c>
      <c r="D55" s="50" t="s">
        <v>124</v>
      </c>
      <c r="E55" s="10" t="s">
        <v>41</v>
      </c>
      <c r="F55" s="10">
        <v>391</v>
      </c>
      <c r="G55" s="47">
        <v>83.21</v>
      </c>
      <c r="H55" s="44">
        <f t="shared" si="0"/>
        <v>32535.11</v>
      </c>
      <c r="I55" s="68">
        <f t="shared" si="13"/>
        <v>103.74</v>
      </c>
      <c r="J55" s="44">
        <f t="shared" si="14"/>
        <v>40562.339999999997</v>
      </c>
    </row>
    <row r="56" spans="1:10" s="1" customFormat="1" ht="45">
      <c r="A56" s="10" t="s">
        <v>125</v>
      </c>
      <c r="B56" s="3" t="s">
        <v>126</v>
      </c>
      <c r="C56" s="10" t="s">
        <v>25</v>
      </c>
      <c r="D56" s="50" t="s">
        <v>127</v>
      </c>
      <c r="E56" s="10" t="s">
        <v>128</v>
      </c>
      <c r="F56" s="10">
        <v>3</v>
      </c>
      <c r="G56" s="47">
        <v>506.87</v>
      </c>
      <c r="H56" s="44">
        <f t="shared" si="0"/>
        <v>1520.61</v>
      </c>
      <c r="I56" s="68">
        <f t="shared" si="13"/>
        <v>631.91</v>
      </c>
      <c r="J56" s="44">
        <f t="shared" si="14"/>
        <v>1895.73</v>
      </c>
    </row>
    <row r="57" spans="1:10">
      <c r="A57" s="38" t="s">
        <v>129</v>
      </c>
      <c r="B57" s="121" t="s">
        <v>130</v>
      </c>
      <c r="C57" s="121"/>
      <c r="D57" s="121"/>
      <c r="E57" s="121"/>
      <c r="F57" s="121"/>
      <c r="G57" s="121"/>
      <c r="H57" s="121"/>
      <c r="I57" s="69" t="s">
        <v>22</v>
      </c>
      <c r="J57" s="49">
        <f>SUBTOTAL(9,J58)</f>
        <v>62022.98</v>
      </c>
    </row>
    <row r="58" spans="1:10" s="1" customFormat="1" ht="45">
      <c r="A58" s="10" t="s">
        <v>131</v>
      </c>
      <c r="B58" s="3">
        <v>92395</v>
      </c>
      <c r="C58" s="10" t="s">
        <v>29</v>
      </c>
      <c r="D58" s="50" t="s">
        <v>132</v>
      </c>
      <c r="E58" s="10" t="s">
        <v>27</v>
      </c>
      <c r="F58" s="10">
        <v>367.5</v>
      </c>
      <c r="G58" s="47">
        <v>135.37</v>
      </c>
      <c r="H58" s="44">
        <f t="shared" si="0"/>
        <v>49748.480000000003</v>
      </c>
      <c r="I58" s="68">
        <f t="shared" ref="I58" si="15">ROUND(G58*$C$11,2)</f>
        <v>168.77</v>
      </c>
      <c r="J58" s="44">
        <f t="shared" ref="J58" si="16">ROUND(F58*I58,2)</f>
        <v>62022.98</v>
      </c>
    </row>
    <row r="59" spans="1:10">
      <c r="A59" s="38" t="s">
        <v>133</v>
      </c>
      <c r="B59" s="121" t="s">
        <v>134</v>
      </c>
      <c r="C59" s="121"/>
      <c r="D59" s="121"/>
      <c r="E59" s="121"/>
      <c r="F59" s="121"/>
      <c r="G59" s="121"/>
      <c r="H59" s="121"/>
      <c r="I59" s="69" t="s">
        <v>22</v>
      </c>
      <c r="J59" s="49">
        <f>SUBTOTAL(9,J60:J63)</f>
        <v>15772.18</v>
      </c>
    </row>
    <row r="60" spans="1:10" s="1" customFormat="1" ht="60">
      <c r="A60" s="10" t="s">
        <v>135</v>
      </c>
      <c r="B60" s="3">
        <v>103304</v>
      </c>
      <c r="C60" s="3" t="s">
        <v>29</v>
      </c>
      <c r="D60" s="50" t="s">
        <v>136</v>
      </c>
      <c r="E60" s="10" t="s">
        <v>73</v>
      </c>
      <c r="F60" s="10">
        <v>2</v>
      </c>
      <c r="G60" s="51">
        <v>1256.52</v>
      </c>
      <c r="H60" s="44">
        <f t="shared" si="0"/>
        <v>2513.04</v>
      </c>
      <c r="I60" s="68">
        <f t="shared" ref="I60" si="17">ROUND(G60*$C$11,2)</f>
        <v>1566.5</v>
      </c>
      <c r="J60" s="44">
        <f t="shared" ref="J60" si="18">ROUND(F60*I60,2)</f>
        <v>3133</v>
      </c>
    </row>
    <row r="61" spans="1:10" s="1" customFormat="1" ht="30">
      <c r="A61" s="10" t="s">
        <v>137</v>
      </c>
      <c r="B61" s="3" t="s">
        <v>138</v>
      </c>
      <c r="C61" s="10" t="s">
        <v>25</v>
      </c>
      <c r="D61" s="50" t="s">
        <v>139</v>
      </c>
      <c r="E61" s="10" t="s">
        <v>41</v>
      </c>
      <c r="F61" s="10">
        <v>27</v>
      </c>
      <c r="G61" s="51">
        <v>182</v>
      </c>
      <c r="H61" s="44">
        <f t="shared" si="0"/>
        <v>4914</v>
      </c>
      <c r="I61" s="68">
        <f t="shared" ref="I61:I63" si="19">ROUND(G61*$C$11,2)</f>
        <v>226.9</v>
      </c>
      <c r="J61" s="44">
        <f t="shared" ref="J61:J63" si="20">ROUND(F61*I61,2)</f>
        <v>6126.3</v>
      </c>
    </row>
    <row r="62" spans="1:10" s="1" customFormat="1" ht="60">
      <c r="A62" s="10" t="s">
        <v>140</v>
      </c>
      <c r="B62" s="3" t="s">
        <v>141</v>
      </c>
      <c r="C62" s="10" t="s">
        <v>25</v>
      </c>
      <c r="D62" s="50" t="s">
        <v>142</v>
      </c>
      <c r="E62" s="10" t="s">
        <v>27</v>
      </c>
      <c r="F62" s="10">
        <f>1.8*3*27</f>
        <v>145.80000000000001</v>
      </c>
      <c r="G62" s="51">
        <v>20.29</v>
      </c>
      <c r="H62" s="44">
        <f t="shared" si="0"/>
        <v>2958.28</v>
      </c>
      <c r="I62" s="68">
        <f t="shared" si="19"/>
        <v>25.3</v>
      </c>
      <c r="J62" s="44">
        <f t="shared" si="20"/>
        <v>3688.74</v>
      </c>
    </row>
    <row r="63" spans="1:10" s="1" customFormat="1" ht="60">
      <c r="A63" s="10" t="s">
        <v>143</v>
      </c>
      <c r="B63" s="3" t="s">
        <v>144</v>
      </c>
      <c r="C63" s="10" t="s">
        <v>25</v>
      </c>
      <c r="D63" s="50" t="s">
        <v>145</v>
      </c>
      <c r="E63" s="10" t="s">
        <v>73</v>
      </c>
      <c r="F63" s="10">
        <v>6</v>
      </c>
      <c r="G63" s="51">
        <v>377.55</v>
      </c>
      <c r="H63" s="44">
        <f t="shared" si="0"/>
        <v>2265.3000000000002</v>
      </c>
      <c r="I63" s="68">
        <f t="shared" si="19"/>
        <v>470.69</v>
      </c>
      <c r="J63" s="44">
        <f t="shared" si="20"/>
        <v>2824.14</v>
      </c>
    </row>
    <row r="64" spans="1:10">
      <c r="A64" s="38" t="s">
        <v>146</v>
      </c>
      <c r="B64" s="121" t="s">
        <v>147</v>
      </c>
      <c r="C64" s="121"/>
      <c r="D64" s="121"/>
      <c r="E64" s="121"/>
      <c r="F64" s="121"/>
      <c r="G64" s="121"/>
      <c r="H64" s="121"/>
      <c r="I64" s="69" t="s">
        <v>22</v>
      </c>
      <c r="J64" s="49">
        <f>SUBTOTAL(9,J65:J67)</f>
        <v>24870.31</v>
      </c>
    </row>
    <row r="65" spans="1:14" s="1" customFormat="1" ht="60">
      <c r="A65" s="10" t="s">
        <v>148</v>
      </c>
      <c r="B65" s="3">
        <v>87904</v>
      </c>
      <c r="C65" s="10" t="s">
        <v>29</v>
      </c>
      <c r="D65" s="50" t="s">
        <v>149</v>
      </c>
      <c r="E65" s="10" t="s">
        <v>27</v>
      </c>
      <c r="F65" s="10">
        <f>10.46*0.5+49.04*0.9+14.52*1.08</f>
        <v>65.047600000000003</v>
      </c>
      <c r="G65" s="47">
        <v>10.039999999999999</v>
      </c>
      <c r="H65" s="44">
        <f t="shared" si="0"/>
        <v>653.08000000000004</v>
      </c>
      <c r="I65" s="68">
        <f t="shared" ref="I65" si="21">ROUND(G65*$C$11,2)</f>
        <v>12.52</v>
      </c>
      <c r="J65" s="44">
        <f t="shared" ref="J65" si="22">ROUND(F65*I65,2)</f>
        <v>814.4</v>
      </c>
    </row>
    <row r="66" spans="1:14" s="1" customFormat="1" ht="60">
      <c r="A66" s="10" t="s">
        <v>150</v>
      </c>
      <c r="B66" s="3" t="s">
        <v>151</v>
      </c>
      <c r="C66" s="10" t="s">
        <v>25</v>
      </c>
      <c r="D66" s="50" t="s">
        <v>152</v>
      </c>
      <c r="E66" s="10" t="s">
        <v>27</v>
      </c>
      <c r="F66" s="10">
        <f>10.46*0.5+49.04*0.9+14.52*1.08</f>
        <v>65.047600000000003</v>
      </c>
      <c r="G66" s="47">
        <v>57.9</v>
      </c>
      <c r="H66" s="44">
        <f t="shared" si="0"/>
        <v>3766.26</v>
      </c>
      <c r="I66" s="68">
        <f t="shared" ref="I66:I67" si="23">ROUND(G66*$C$11,2)</f>
        <v>72.180000000000007</v>
      </c>
      <c r="J66" s="44">
        <f t="shared" ref="J66:J67" si="24">ROUND(F66*I66,2)</f>
        <v>4695.1400000000003</v>
      </c>
      <c r="N66" s="54">
        <f>J55/J112</f>
        <v>5.44028338485903E-2</v>
      </c>
    </row>
    <row r="67" spans="1:14" s="1" customFormat="1" ht="60">
      <c r="A67" s="10" t="s">
        <v>153</v>
      </c>
      <c r="B67" s="3" t="s">
        <v>154</v>
      </c>
      <c r="C67" s="10" t="s">
        <v>25</v>
      </c>
      <c r="D67" s="50" t="s">
        <v>155</v>
      </c>
      <c r="E67" s="10" t="s">
        <v>27</v>
      </c>
      <c r="F67" s="10">
        <f>10.46*0.5+49.04*0.9+14.52*1.08</f>
        <v>65.047600000000003</v>
      </c>
      <c r="G67" s="47">
        <v>238.74</v>
      </c>
      <c r="H67" s="44">
        <f t="shared" si="0"/>
        <v>15529.46</v>
      </c>
      <c r="I67" s="68">
        <f t="shared" si="23"/>
        <v>297.64</v>
      </c>
      <c r="J67" s="44">
        <f t="shared" si="24"/>
        <v>19360.77</v>
      </c>
    </row>
    <row r="68" spans="1:14">
      <c r="A68" s="38" t="s">
        <v>156</v>
      </c>
      <c r="B68" s="121" t="s">
        <v>157</v>
      </c>
      <c r="C68" s="121"/>
      <c r="D68" s="121"/>
      <c r="E68" s="121"/>
      <c r="F68" s="121"/>
      <c r="G68" s="121"/>
      <c r="H68" s="121"/>
      <c r="I68" s="69" t="s">
        <v>22</v>
      </c>
      <c r="J68" s="49">
        <f>SUBTOTAL(9,J69:J92)</f>
        <v>86520.07</v>
      </c>
    </row>
    <row r="69" spans="1:14" s="1" customFormat="1" ht="75">
      <c r="A69" s="10" t="s">
        <v>158</v>
      </c>
      <c r="B69" s="3" t="s">
        <v>159</v>
      </c>
      <c r="C69" s="10" t="s">
        <v>25</v>
      </c>
      <c r="D69" s="50" t="s">
        <v>160</v>
      </c>
      <c r="E69" s="10" t="s">
        <v>41</v>
      </c>
      <c r="F69" s="10">
        <v>800</v>
      </c>
      <c r="G69" s="47">
        <v>5.49</v>
      </c>
      <c r="H69" s="44">
        <f t="shared" si="0"/>
        <v>4392</v>
      </c>
      <c r="I69" s="68">
        <f t="shared" ref="I69" si="25">ROUND(G69*$C$11,2)</f>
        <v>6.84</v>
      </c>
      <c r="J69" s="44">
        <f t="shared" ref="J69" si="26">ROUND(F69*I69,2)</f>
        <v>5472</v>
      </c>
    </row>
    <row r="70" spans="1:14" s="1" customFormat="1" ht="75">
      <c r="A70" s="10" t="s">
        <v>161</v>
      </c>
      <c r="B70" s="3" t="s">
        <v>162</v>
      </c>
      <c r="C70" s="10" t="s">
        <v>25</v>
      </c>
      <c r="D70" s="50" t="s">
        <v>163</v>
      </c>
      <c r="E70" s="10" t="s">
        <v>41</v>
      </c>
      <c r="F70" s="10">
        <v>295.89</v>
      </c>
      <c r="G70" s="47">
        <v>7.98</v>
      </c>
      <c r="H70" s="44">
        <f t="shared" si="0"/>
        <v>2361.1999999999998</v>
      </c>
      <c r="I70" s="68">
        <f t="shared" ref="I70:I92" si="27">ROUND(G70*$C$11,2)</f>
        <v>9.9499999999999993</v>
      </c>
      <c r="J70" s="44">
        <f t="shared" ref="J70:J92" si="28">ROUND(F70*I70,2)</f>
        <v>2944.11</v>
      </c>
    </row>
    <row r="71" spans="1:14" s="1" customFormat="1" ht="75">
      <c r="A71" s="10" t="s">
        <v>164</v>
      </c>
      <c r="B71" s="3" t="s">
        <v>165</v>
      </c>
      <c r="C71" s="10" t="s">
        <v>25</v>
      </c>
      <c r="D71" s="50" t="s">
        <v>166</v>
      </c>
      <c r="E71" s="10" t="s">
        <v>41</v>
      </c>
      <c r="F71" s="10">
        <v>874.9</v>
      </c>
      <c r="G71" s="47">
        <v>10.51</v>
      </c>
      <c r="H71" s="44">
        <f t="shared" si="0"/>
        <v>9195.2000000000007</v>
      </c>
      <c r="I71" s="68">
        <f t="shared" si="27"/>
        <v>13.1</v>
      </c>
      <c r="J71" s="44">
        <f t="shared" si="28"/>
        <v>11461.19</v>
      </c>
    </row>
    <row r="72" spans="1:14" s="1" customFormat="1" ht="75">
      <c r="A72" s="10" t="s">
        <v>167</v>
      </c>
      <c r="B72" s="3" t="s">
        <v>168</v>
      </c>
      <c r="C72" s="10" t="s">
        <v>25</v>
      </c>
      <c r="D72" s="50" t="s">
        <v>389</v>
      </c>
      <c r="E72" s="10" t="s">
        <v>41</v>
      </c>
      <c r="F72" s="10">
        <v>120</v>
      </c>
      <c r="G72" s="47">
        <v>22.9</v>
      </c>
      <c r="H72" s="44">
        <f t="shared" si="0"/>
        <v>2748</v>
      </c>
      <c r="I72" s="68">
        <f t="shared" si="27"/>
        <v>28.55</v>
      </c>
      <c r="J72" s="44">
        <f t="shared" si="28"/>
        <v>3426</v>
      </c>
    </row>
    <row r="73" spans="1:14" s="1" customFormat="1" ht="45.75" customHeight="1">
      <c r="A73" s="10" t="s">
        <v>169</v>
      </c>
      <c r="B73" s="3" t="s">
        <v>170</v>
      </c>
      <c r="C73" s="10" t="s">
        <v>25</v>
      </c>
      <c r="D73" s="50" t="s">
        <v>171</v>
      </c>
      <c r="E73" s="10" t="s">
        <v>41</v>
      </c>
      <c r="F73" s="10">
        <v>436.36</v>
      </c>
      <c r="G73" s="47">
        <v>7.76</v>
      </c>
      <c r="H73" s="44">
        <f t="shared" si="0"/>
        <v>3386.15</v>
      </c>
      <c r="I73" s="68">
        <f t="shared" si="27"/>
        <v>9.67</v>
      </c>
      <c r="J73" s="44">
        <f t="shared" si="28"/>
        <v>4219.6000000000004</v>
      </c>
    </row>
    <row r="74" spans="1:14" s="1" customFormat="1" ht="60">
      <c r="A74" s="10" t="s">
        <v>172</v>
      </c>
      <c r="B74" s="3" t="s">
        <v>173</v>
      </c>
      <c r="C74" s="10" t="s">
        <v>25</v>
      </c>
      <c r="D74" s="50" t="s">
        <v>174</v>
      </c>
      <c r="E74" s="10" t="s">
        <v>73</v>
      </c>
      <c r="F74" s="10">
        <f>30-4</f>
        <v>26</v>
      </c>
      <c r="G74" s="47">
        <v>217.08</v>
      </c>
      <c r="H74" s="44">
        <f t="shared" si="0"/>
        <v>5644.08</v>
      </c>
      <c r="I74" s="68">
        <f t="shared" si="27"/>
        <v>270.63</v>
      </c>
      <c r="J74" s="44">
        <f t="shared" si="28"/>
        <v>7036.38</v>
      </c>
    </row>
    <row r="75" spans="1:14" s="1" customFormat="1" ht="45">
      <c r="A75" s="10" t="s">
        <v>175</v>
      </c>
      <c r="B75" s="3" t="s">
        <v>176</v>
      </c>
      <c r="C75" s="10" t="s">
        <v>25</v>
      </c>
      <c r="D75" s="50" t="s">
        <v>177</v>
      </c>
      <c r="E75" s="10" t="s">
        <v>41</v>
      </c>
      <c r="F75" s="1">
        <v>156.66999999999999</v>
      </c>
      <c r="G75" s="47">
        <v>7.4</v>
      </c>
      <c r="H75" s="44">
        <f t="shared" si="0"/>
        <v>1159.3599999999999</v>
      </c>
      <c r="I75" s="68">
        <f t="shared" si="27"/>
        <v>9.23</v>
      </c>
      <c r="J75" s="44">
        <f t="shared" si="28"/>
        <v>1446.06</v>
      </c>
    </row>
    <row r="76" spans="1:14" s="1" customFormat="1" ht="75">
      <c r="A76" s="10" t="s">
        <v>178</v>
      </c>
      <c r="B76" s="3" t="s">
        <v>179</v>
      </c>
      <c r="C76" s="10" t="s">
        <v>25</v>
      </c>
      <c r="D76" s="50" t="s">
        <v>180</v>
      </c>
      <c r="E76" s="10" t="s">
        <v>73</v>
      </c>
      <c r="F76" s="10">
        <v>3</v>
      </c>
      <c r="G76" s="47">
        <v>34.590000000000003</v>
      </c>
      <c r="H76" s="44">
        <f t="shared" si="0"/>
        <v>103.77</v>
      </c>
      <c r="I76" s="68">
        <f t="shared" si="27"/>
        <v>43.12</v>
      </c>
      <c r="J76" s="44">
        <f t="shared" si="28"/>
        <v>129.36000000000001</v>
      </c>
    </row>
    <row r="77" spans="1:14" s="1" customFormat="1" ht="75">
      <c r="A77" s="10" t="s">
        <v>181</v>
      </c>
      <c r="B77" s="3" t="s">
        <v>182</v>
      </c>
      <c r="C77" s="10" t="s">
        <v>25</v>
      </c>
      <c r="D77" s="50" t="s">
        <v>183</v>
      </c>
      <c r="E77" s="10" t="s">
        <v>73</v>
      </c>
      <c r="F77" s="10">
        <v>3</v>
      </c>
      <c r="G77" s="47">
        <v>38.450000000000003</v>
      </c>
      <c r="H77" s="44">
        <f t="shared" si="0"/>
        <v>115.35</v>
      </c>
      <c r="I77" s="68">
        <f t="shared" si="27"/>
        <v>47.94</v>
      </c>
      <c r="J77" s="44">
        <f t="shared" si="28"/>
        <v>143.82</v>
      </c>
    </row>
    <row r="78" spans="1:14" s="1" customFormat="1" ht="60">
      <c r="A78" s="10" t="s">
        <v>184</v>
      </c>
      <c r="B78" s="3" t="s">
        <v>185</v>
      </c>
      <c r="C78" s="10" t="s">
        <v>25</v>
      </c>
      <c r="D78" s="50" t="s">
        <v>186</v>
      </c>
      <c r="E78" s="10" t="s">
        <v>73</v>
      </c>
      <c r="F78" s="10">
        <v>2</v>
      </c>
      <c r="G78" s="47">
        <v>32.409999999999997</v>
      </c>
      <c r="H78" s="44">
        <f t="shared" si="0"/>
        <v>64.819999999999993</v>
      </c>
      <c r="I78" s="68">
        <f t="shared" si="27"/>
        <v>40.409999999999997</v>
      </c>
      <c r="J78" s="44">
        <f t="shared" si="28"/>
        <v>80.819999999999993</v>
      </c>
    </row>
    <row r="79" spans="1:14" s="1" customFormat="1" ht="45">
      <c r="A79" s="10" t="s">
        <v>187</v>
      </c>
      <c r="B79" s="3" t="s">
        <v>188</v>
      </c>
      <c r="C79" s="10" t="s">
        <v>25</v>
      </c>
      <c r="D79" s="50" t="s">
        <v>189</v>
      </c>
      <c r="E79" s="10" t="s">
        <v>73</v>
      </c>
      <c r="F79" s="10">
        <v>1</v>
      </c>
      <c r="G79" s="47">
        <v>602.84</v>
      </c>
      <c r="H79" s="44">
        <f t="shared" si="0"/>
        <v>602.84</v>
      </c>
      <c r="I79" s="68">
        <f t="shared" si="27"/>
        <v>751.56</v>
      </c>
      <c r="J79" s="44">
        <f t="shared" si="28"/>
        <v>751.56</v>
      </c>
    </row>
    <row r="80" spans="1:14" s="1" customFormat="1" ht="45">
      <c r="A80" s="10" t="s">
        <v>190</v>
      </c>
      <c r="B80" s="3" t="s">
        <v>191</v>
      </c>
      <c r="C80" s="10" t="s">
        <v>25</v>
      </c>
      <c r="D80" s="50" t="s">
        <v>192</v>
      </c>
      <c r="E80" s="10" t="s">
        <v>73</v>
      </c>
      <c r="F80" s="10">
        <v>1</v>
      </c>
      <c r="G80" s="47">
        <v>16.809999999999999</v>
      </c>
      <c r="H80" s="44">
        <f t="shared" si="0"/>
        <v>16.809999999999999</v>
      </c>
      <c r="I80" s="68">
        <f t="shared" si="27"/>
        <v>20.96</v>
      </c>
      <c r="J80" s="44">
        <f t="shared" si="28"/>
        <v>20.96</v>
      </c>
    </row>
    <row r="81" spans="1:10" s="1" customFormat="1" ht="45">
      <c r="A81" s="10" t="s">
        <v>193</v>
      </c>
      <c r="B81" s="3" t="s">
        <v>194</v>
      </c>
      <c r="C81" s="10" t="s">
        <v>25</v>
      </c>
      <c r="D81" s="50" t="s">
        <v>195</v>
      </c>
      <c r="E81" s="10" t="s">
        <v>73</v>
      </c>
      <c r="F81" s="10">
        <v>1</v>
      </c>
      <c r="G81" s="47">
        <v>47.18</v>
      </c>
      <c r="H81" s="44">
        <f t="shared" si="0"/>
        <v>47.18</v>
      </c>
      <c r="I81" s="68">
        <f t="shared" si="27"/>
        <v>58.82</v>
      </c>
      <c r="J81" s="44">
        <f t="shared" si="28"/>
        <v>58.82</v>
      </c>
    </row>
    <row r="82" spans="1:10" s="1" customFormat="1" ht="45">
      <c r="A82" s="10" t="s">
        <v>196</v>
      </c>
      <c r="B82" s="3" t="s">
        <v>197</v>
      </c>
      <c r="C82" s="10" t="s">
        <v>25</v>
      </c>
      <c r="D82" s="50" t="s">
        <v>198</v>
      </c>
      <c r="E82" s="10" t="s">
        <v>73</v>
      </c>
      <c r="F82" s="10">
        <v>1</v>
      </c>
      <c r="G82" s="47">
        <v>19.850000000000001</v>
      </c>
      <c r="H82" s="44">
        <f t="shared" ref="H82:H111" si="29">ROUND(F82*G82,2)</f>
        <v>19.850000000000001</v>
      </c>
      <c r="I82" s="68">
        <f t="shared" si="27"/>
        <v>24.75</v>
      </c>
      <c r="J82" s="44">
        <f t="shared" si="28"/>
        <v>24.75</v>
      </c>
    </row>
    <row r="83" spans="1:10" s="1" customFormat="1" ht="45">
      <c r="A83" s="10" t="s">
        <v>199</v>
      </c>
      <c r="B83" s="3" t="s">
        <v>200</v>
      </c>
      <c r="C83" s="10" t="s">
        <v>25</v>
      </c>
      <c r="D83" s="50" t="s">
        <v>201</v>
      </c>
      <c r="E83" s="10" t="s">
        <v>73</v>
      </c>
      <c r="F83" s="10">
        <v>3</v>
      </c>
      <c r="G83" s="47">
        <v>47.95</v>
      </c>
      <c r="H83" s="44">
        <f t="shared" si="29"/>
        <v>143.85</v>
      </c>
      <c r="I83" s="68">
        <f t="shared" si="27"/>
        <v>59.78</v>
      </c>
      <c r="J83" s="44">
        <f t="shared" si="28"/>
        <v>179.34</v>
      </c>
    </row>
    <row r="84" spans="1:10" s="1" customFormat="1" ht="45">
      <c r="A84" s="10" t="s">
        <v>202</v>
      </c>
      <c r="B84" s="3" t="s">
        <v>203</v>
      </c>
      <c r="C84" s="10" t="s">
        <v>25</v>
      </c>
      <c r="D84" s="50" t="s">
        <v>204</v>
      </c>
      <c r="E84" s="10" t="s">
        <v>73</v>
      </c>
      <c r="F84" s="10">
        <v>2</v>
      </c>
      <c r="G84" s="47">
        <v>85.86</v>
      </c>
      <c r="H84" s="44">
        <f t="shared" si="29"/>
        <v>171.72</v>
      </c>
      <c r="I84" s="68">
        <f t="shared" si="27"/>
        <v>107.04</v>
      </c>
      <c r="J84" s="44">
        <f t="shared" si="28"/>
        <v>214.08</v>
      </c>
    </row>
    <row r="85" spans="1:10" s="1" customFormat="1" ht="60">
      <c r="A85" s="10" t="s">
        <v>205</v>
      </c>
      <c r="B85" s="3" t="s">
        <v>206</v>
      </c>
      <c r="C85" s="10" t="s">
        <v>25</v>
      </c>
      <c r="D85" s="50" t="s">
        <v>207</v>
      </c>
      <c r="E85" s="10" t="s">
        <v>73</v>
      </c>
      <c r="F85" s="10">
        <v>2</v>
      </c>
      <c r="G85" s="47">
        <v>172.93</v>
      </c>
      <c r="H85" s="44">
        <f t="shared" si="29"/>
        <v>345.86</v>
      </c>
      <c r="I85" s="68">
        <f t="shared" si="27"/>
        <v>215.59</v>
      </c>
      <c r="J85" s="44">
        <f t="shared" si="28"/>
        <v>431.18</v>
      </c>
    </row>
    <row r="86" spans="1:10" s="1" customFormat="1" ht="60">
      <c r="A86" s="10" t="s">
        <v>208</v>
      </c>
      <c r="B86" s="3" t="s">
        <v>209</v>
      </c>
      <c r="C86" s="10" t="s">
        <v>25</v>
      </c>
      <c r="D86" s="50" t="s">
        <v>210</v>
      </c>
      <c r="E86" s="10" t="s">
        <v>73</v>
      </c>
      <c r="F86" s="10">
        <v>1</v>
      </c>
      <c r="G86" s="47">
        <v>138.26</v>
      </c>
      <c r="H86" s="44">
        <f t="shared" si="29"/>
        <v>138.26</v>
      </c>
      <c r="I86" s="68">
        <f t="shared" si="27"/>
        <v>172.37</v>
      </c>
      <c r="J86" s="44">
        <f t="shared" si="28"/>
        <v>172.37</v>
      </c>
    </row>
    <row r="87" spans="1:10" s="1" customFormat="1" ht="60">
      <c r="A87" s="10" t="s">
        <v>211</v>
      </c>
      <c r="B87" s="3" t="s">
        <v>212</v>
      </c>
      <c r="C87" s="10" t="s">
        <v>25</v>
      </c>
      <c r="D87" s="50" t="s">
        <v>213</v>
      </c>
      <c r="E87" s="10" t="s">
        <v>73</v>
      </c>
      <c r="F87" s="10">
        <v>1</v>
      </c>
      <c r="G87" s="47">
        <v>177.04</v>
      </c>
      <c r="H87" s="44">
        <f t="shared" si="29"/>
        <v>177.04</v>
      </c>
      <c r="I87" s="68">
        <f t="shared" si="27"/>
        <v>220.72</v>
      </c>
      <c r="J87" s="44">
        <f t="shared" si="28"/>
        <v>220.72</v>
      </c>
    </row>
    <row r="88" spans="1:10" s="1" customFormat="1" ht="45">
      <c r="A88" s="10" t="s">
        <v>214</v>
      </c>
      <c r="B88" s="3" t="s">
        <v>215</v>
      </c>
      <c r="C88" s="10" t="s">
        <v>25</v>
      </c>
      <c r="D88" s="50" t="s">
        <v>216</v>
      </c>
      <c r="E88" s="10" t="s">
        <v>73</v>
      </c>
      <c r="F88" s="10">
        <v>3</v>
      </c>
      <c r="G88" s="47">
        <v>47.67</v>
      </c>
      <c r="H88" s="44">
        <f t="shared" si="29"/>
        <v>143.01</v>
      </c>
      <c r="I88" s="68">
        <f t="shared" si="27"/>
        <v>59.43</v>
      </c>
      <c r="J88" s="44">
        <f t="shared" si="28"/>
        <v>178.29</v>
      </c>
    </row>
    <row r="89" spans="1:10" s="1" customFormat="1" ht="45">
      <c r="A89" s="10" t="s">
        <v>217</v>
      </c>
      <c r="B89" s="3" t="s">
        <v>218</v>
      </c>
      <c r="C89" s="10" t="s">
        <v>25</v>
      </c>
      <c r="D89" s="50" t="s">
        <v>219</v>
      </c>
      <c r="E89" s="10" t="s">
        <v>73</v>
      </c>
      <c r="F89" s="10">
        <v>17</v>
      </c>
      <c r="G89" s="47">
        <v>1909.02</v>
      </c>
      <c r="H89" s="44">
        <f t="shared" si="29"/>
        <v>32453.34</v>
      </c>
      <c r="I89" s="68">
        <f t="shared" si="27"/>
        <v>2379.98</v>
      </c>
      <c r="J89" s="44">
        <f t="shared" si="28"/>
        <v>40459.660000000003</v>
      </c>
    </row>
    <row r="90" spans="1:10" s="1" customFormat="1" ht="45">
      <c r="A90" s="10" t="s">
        <v>220</v>
      </c>
      <c r="B90" s="3" t="s">
        <v>221</v>
      </c>
      <c r="C90" s="10" t="s">
        <v>25</v>
      </c>
      <c r="D90" s="50" t="s">
        <v>222</v>
      </c>
      <c r="E90" s="10" t="s">
        <v>73</v>
      </c>
      <c r="F90" s="10">
        <v>2</v>
      </c>
      <c r="G90" s="47">
        <v>2700.01</v>
      </c>
      <c r="H90" s="44">
        <f t="shared" si="29"/>
        <v>5400.02</v>
      </c>
      <c r="I90" s="68">
        <f t="shared" si="27"/>
        <v>3366.1</v>
      </c>
      <c r="J90" s="44">
        <f t="shared" si="28"/>
        <v>6732.2</v>
      </c>
    </row>
    <row r="91" spans="1:10" s="1" customFormat="1" ht="75">
      <c r="A91" s="10" t="s">
        <v>223</v>
      </c>
      <c r="B91" s="3" t="s">
        <v>224</v>
      </c>
      <c r="C91" s="10" t="s">
        <v>25</v>
      </c>
      <c r="D91" s="50" t="s">
        <v>225</v>
      </c>
      <c r="E91" s="10" t="s">
        <v>73</v>
      </c>
      <c r="F91" s="10">
        <v>6</v>
      </c>
      <c r="G91" s="47">
        <v>79.37</v>
      </c>
      <c r="H91" s="44">
        <f t="shared" si="29"/>
        <v>476.22</v>
      </c>
      <c r="I91" s="68">
        <f t="shared" si="27"/>
        <v>98.95</v>
      </c>
      <c r="J91" s="44">
        <f t="shared" si="28"/>
        <v>593.70000000000005</v>
      </c>
    </row>
    <row r="92" spans="1:10" s="1" customFormat="1" ht="30">
      <c r="A92" s="10" t="s">
        <v>226</v>
      </c>
      <c r="B92" s="3" t="s">
        <v>227</v>
      </c>
      <c r="C92" s="10" t="s">
        <v>25</v>
      </c>
      <c r="D92" s="50" t="s">
        <v>228</v>
      </c>
      <c r="E92" s="10" t="s">
        <v>73</v>
      </c>
      <c r="F92" s="10">
        <v>2</v>
      </c>
      <c r="G92" s="47">
        <v>49.37</v>
      </c>
      <c r="H92" s="44">
        <f t="shared" si="29"/>
        <v>98.74</v>
      </c>
      <c r="I92" s="68">
        <f t="shared" si="27"/>
        <v>61.55</v>
      </c>
      <c r="J92" s="44">
        <f t="shared" si="28"/>
        <v>123.1</v>
      </c>
    </row>
    <row r="93" spans="1:10">
      <c r="A93" s="38" t="s">
        <v>229</v>
      </c>
      <c r="B93" s="121" t="s">
        <v>230</v>
      </c>
      <c r="C93" s="121"/>
      <c r="D93" s="121"/>
      <c r="E93" s="121"/>
      <c r="F93" s="121"/>
      <c r="G93" s="121"/>
      <c r="H93" s="121"/>
      <c r="I93" s="69" t="s">
        <v>22</v>
      </c>
      <c r="J93" s="49">
        <f>SUBTOTAL(9,J94:J95)</f>
        <v>3191.95</v>
      </c>
    </row>
    <row r="94" spans="1:10" ht="50.25" customHeight="1">
      <c r="A94" s="10" t="s">
        <v>231</v>
      </c>
      <c r="B94" s="3" t="s">
        <v>232</v>
      </c>
      <c r="C94" s="10" t="s">
        <v>25</v>
      </c>
      <c r="D94" s="50" t="s">
        <v>233</v>
      </c>
      <c r="E94" s="10" t="s">
        <v>41</v>
      </c>
      <c r="F94" s="10">
        <v>100</v>
      </c>
      <c r="G94" s="47">
        <v>24.57</v>
      </c>
      <c r="H94" s="44">
        <f t="shared" si="29"/>
        <v>2457</v>
      </c>
      <c r="I94" s="68">
        <f t="shared" ref="I94:I95" si="30">ROUND(G94*$C$11,2)</f>
        <v>30.63</v>
      </c>
      <c r="J94" s="44">
        <f t="shared" ref="J94:J95" si="31">ROUND(F94*I94,2)</f>
        <v>3063</v>
      </c>
    </row>
    <row r="95" spans="1:10" ht="50.25" customHeight="1">
      <c r="A95" s="10" t="s">
        <v>234</v>
      </c>
      <c r="B95" s="3" t="s">
        <v>235</v>
      </c>
      <c r="C95" s="10" t="s">
        <v>25</v>
      </c>
      <c r="D95" s="50" t="s">
        <v>236</v>
      </c>
      <c r="E95" s="10" t="s">
        <v>73</v>
      </c>
      <c r="F95" s="10">
        <v>5</v>
      </c>
      <c r="G95" s="47">
        <v>20.69</v>
      </c>
      <c r="H95" s="44">
        <f t="shared" si="29"/>
        <v>103.45</v>
      </c>
      <c r="I95" s="68">
        <f t="shared" si="30"/>
        <v>25.79</v>
      </c>
      <c r="J95" s="44">
        <f t="shared" si="31"/>
        <v>128.94999999999999</v>
      </c>
    </row>
    <row r="96" spans="1:10">
      <c r="A96" s="38" t="s">
        <v>237</v>
      </c>
      <c r="B96" s="121" t="s">
        <v>238</v>
      </c>
      <c r="C96" s="121"/>
      <c r="D96" s="121"/>
      <c r="E96" s="121"/>
      <c r="F96" s="121"/>
      <c r="G96" s="121"/>
      <c r="H96" s="121"/>
      <c r="I96" s="69" t="s">
        <v>22</v>
      </c>
      <c r="J96" s="49">
        <f>SUBTOTAL(9,J97:J101)</f>
        <v>21086.99</v>
      </c>
    </row>
    <row r="97" spans="1:10" s="1" customFormat="1" ht="60">
      <c r="A97" s="10" t="s">
        <v>239</v>
      </c>
      <c r="B97" s="3">
        <v>103307</v>
      </c>
      <c r="C97" s="10" t="s">
        <v>29</v>
      </c>
      <c r="D97" s="50" t="s">
        <v>240</v>
      </c>
      <c r="E97" s="10" t="s">
        <v>73</v>
      </c>
      <c r="F97" s="10">
        <v>7</v>
      </c>
      <c r="G97" s="47">
        <v>1357.35</v>
      </c>
      <c r="H97" s="44">
        <f t="shared" si="29"/>
        <v>9501.4500000000007</v>
      </c>
      <c r="I97" s="68">
        <f t="shared" ref="I97" si="32">ROUND(G97*$C$11,2)</f>
        <v>1692.21</v>
      </c>
      <c r="J97" s="44">
        <f t="shared" ref="J97" si="33">ROUND(F97*I97,2)</f>
        <v>11845.47</v>
      </c>
    </row>
    <row r="98" spans="1:10" ht="90">
      <c r="A98" s="10" t="s">
        <v>241</v>
      </c>
      <c r="B98" s="21" t="s">
        <v>242</v>
      </c>
      <c r="C98" s="7" t="s">
        <v>25</v>
      </c>
      <c r="D98" s="55" t="s">
        <v>243</v>
      </c>
      <c r="E98" s="7" t="s">
        <v>73</v>
      </c>
      <c r="F98" s="7">
        <v>1</v>
      </c>
      <c r="G98" s="47">
        <v>1624.42</v>
      </c>
      <c r="H98" s="44">
        <f t="shared" si="29"/>
        <v>1624.42</v>
      </c>
      <c r="I98" s="68">
        <f t="shared" ref="I98:I101" si="34">ROUND(G98*$C$11,2)</f>
        <v>2025.16</v>
      </c>
      <c r="J98" s="44">
        <f t="shared" ref="J98:J101" si="35">ROUND(F98*I98,2)</f>
        <v>2025.16</v>
      </c>
    </row>
    <row r="99" spans="1:10" ht="105">
      <c r="A99" s="10" t="s">
        <v>244</v>
      </c>
      <c r="B99" s="21" t="s">
        <v>245</v>
      </c>
      <c r="C99" s="7" t="s">
        <v>25</v>
      </c>
      <c r="D99" s="55" t="s">
        <v>246</v>
      </c>
      <c r="E99" s="7" t="s">
        <v>73</v>
      </c>
      <c r="F99" s="7">
        <v>1</v>
      </c>
      <c r="G99" s="47">
        <v>3093.48</v>
      </c>
      <c r="H99" s="44">
        <f t="shared" si="29"/>
        <v>3093.48</v>
      </c>
      <c r="I99" s="68">
        <f t="shared" si="34"/>
        <v>3856.64</v>
      </c>
      <c r="J99" s="44">
        <f t="shared" si="35"/>
        <v>3856.64</v>
      </c>
    </row>
    <row r="100" spans="1:10" ht="90">
      <c r="A100" s="10" t="s">
        <v>247</v>
      </c>
      <c r="B100" s="21" t="s">
        <v>248</v>
      </c>
      <c r="C100" s="7" t="s">
        <v>25</v>
      </c>
      <c r="D100" s="55" t="s">
        <v>249</v>
      </c>
      <c r="E100" s="7" t="s">
        <v>73</v>
      </c>
      <c r="F100" s="7">
        <v>1</v>
      </c>
      <c r="G100" s="47">
        <v>1736.51</v>
      </c>
      <c r="H100" s="44">
        <f t="shared" si="29"/>
        <v>1736.51</v>
      </c>
      <c r="I100" s="68">
        <f t="shared" si="34"/>
        <v>2164.91</v>
      </c>
      <c r="J100" s="44">
        <f t="shared" si="35"/>
        <v>2164.91</v>
      </c>
    </row>
    <row r="101" spans="1:10" ht="90">
      <c r="A101" s="10" t="s">
        <v>250</v>
      </c>
      <c r="B101" s="21" t="s">
        <v>251</v>
      </c>
      <c r="C101" s="7" t="s">
        <v>25</v>
      </c>
      <c r="D101" s="55" t="s">
        <v>252</v>
      </c>
      <c r="E101" s="7" t="s">
        <v>73</v>
      </c>
      <c r="F101" s="7">
        <v>1</v>
      </c>
      <c r="G101" s="47">
        <v>958.38</v>
      </c>
      <c r="H101" s="44">
        <f t="shared" si="29"/>
        <v>958.38</v>
      </c>
      <c r="I101" s="68">
        <f t="shared" si="34"/>
        <v>1194.81</v>
      </c>
      <c r="J101" s="44">
        <f t="shared" si="35"/>
        <v>1194.81</v>
      </c>
    </row>
    <row r="102" spans="1:10">
      <c r="A102" s="56">
        <v>12</v>
      </c>
      <c r="B102" s="121" t="s">
        <v>253</v>
      </c>
      <c r="C102" s="121"/>
      <c r="D102" s="121"/>
      <c r="E102" s="121"/>
      <c r="F102" s="121"/>
      <c r="G102" s="121"/>
      <c r="H102" s="121"/>
      <c r="I102" s="69" t="s">
        <v>22</v>
      </c>
      <c r="J102" s="49">
        <f>SUBTOTAL(9,J103:J104)</f>
        <v>22663.18</v>
      </c>
    </row>
    <row r="103" spans="1:10" ht="75">
      <c r="A103" s="7" t="s">
        <v>254</v>
      </c>
      <c r="B103" s="21">
        <v>99844</v>
      </c>
      <c r="C103" s="7" t="s">
        <v>29</v>
      </c>
      <c r="D103" s="55" t="s">
        <v>255</v>
      </c>
      <c r="E103" s="7" t="s">
        <v>41</v>
      </c>
      <c r="F103" s="7">
        <v>26</v>
      </c>
      <c r="G103" s="47">
        <v>600.78</v>
      </c>
      <c r="H103" s="44">
        <f t="shared" si="29"/>
        <v>15620.28</v>
      </c>
      <c r="I103" s="68">
        <f t="shared" ref="I103:I104" si="36">ROUND(G103*$C$11,2)</f>
        <v>748.99</v>
      </c>
      <c r="J103" s="63">
        <f t="shared" ref="J103:J104" si="37">ROUND(F103*I103,2)</f>
        <v>19473.740000000002</v>
      </c>
    </row>
    <row r="104" spans="1:10" ht="30">
      <c r="A104" s="7" t="s">
        <v>256</v>
      </c>
      <c r="B104" s="21">
        <v>99857</v>
      </c>
      <c r="C104" s="7" t="s">
        <v>29</v>
      </c>
      <c r="D104" s="55" t="s">
        <v>257</v>
      </c>
      <c r="E104" s="7" t="s">
        <v>41</v>
      </c>
      <c r="F104" s="7">
        <f>F103+6</f>
        <v>32</v>
      </c>
      <c r="G104" s="47">
        <v>79.95</v>
      </c>
      <c r="H104" s="44">
        <f t="shared" si="29"/>
        <v>2558.4</v>
      </c>
      <c r="I104" s="68">
        <f t="shared" si="36"/>
        <v>99.67</v>
      </c>
      <c r="J104" s="63">
        <f t="shared" si="37"/>
        <v>3189.44</v>
      </c>
    </row>
    <row r="105" spans="1:10">
      <c r="A105" s="38" t="s">
        <v>258</v>
      </c>
      <c r="B105" s="121" t="s">
        <v>259</v>
      </c>
      <c r="C105" s="121"/>
      <c r="D105" s="121"/>
      <c r="E105" s="121"/>
      <c r="F105" s="121"/>
      <c r="G105" s="121"/>
      <c r="H105" s="121"/>
      <c r="I105" s="69" t="s">
        <v>22</v>
      </c>
      <c r="J105" s="49">
        <f>SUBTOTAL(9,J106:J109)</f>
        <v>23853.3</v>
      </c>
    </row>
    <row r="106" spans="1:10" ht="30">
      <c r="A106" s="7" t="s">
        <v>260</v>
      </c>
      <c r="B106" s="21">
        <v>102213</v>
      </c>
      <c r="C106" s="7" t="s">
        <v>29</v>
      </c>
      <c r="D106" s="55" t="s">
        <v>261</v>
      </c>
      <c r="E106" s="7" t="s">
        <v>27</v>
      </c>
      <c r="F106" s="7">
        <f>(0.9*2.1*2+0.7*2.0998)*2</f>
        <v>10.49972</v>
      </c>
      <c r="G106" s="47">
        <v>24.67</v>
      </c>
      <c r="H106" s="44">
        <f t="shared" si="29"/>
        <v>259.02999999999997</v>
      </c>
      <c r="I106" s="68">
        <f t="shared" ref="I106" si="38">ROUND(G106*$C$11,2)</f>
        <v>30.76</v>
      </c>
      <c r="J106" s="44">
        <f t="shared" ref="J106" si="39">ROUND(F106*I106,2)</f>
        <v>322.97000000000003</v>
      </c>
    </row>
    <row r="107" spans="1:10" ht="60">
      <c r="A107" s="7" t="s">
        <v>262</v>
      </c>
      <c r="B107" s="21">
        <v>100758</v>
      </c>
      <c r="C107" s="7" t="s">
        <v>29</v>
      </c>
      <c r="D107" s="55" t="s">
        <v>263</v>
      </c>
      <c r="E107" s="7" t="s">
        <v>27</v>
      </c>
      <c r="F107" s="7">
        <f>0.157*F103*F104</f>
        <v>130.624</v>
      </c>
      <c r="G107" s="47">
        <v>61.55</v>
      </c>
      <c r="H107" s="44">
        <f t="shared" si="29"/>
        <v>8039.91</v>
      </c>
      <c r="I107" s="68">
        <f t="shared" ref="I107:I109" si="40">ROUND(G107*$C$11,2)</f>
        <v>76.73</v>
      </c>
      <c r="J107" s="44">
        <f t="shared" ref="J107:J109" si="41">ROUND(F107*I107,2)</f>
        <v>10022.780000000001</v>
      </c>
    </row>
    <row r="108" spans="1:10" ht="30">
      <c r="A108" s="7" t="s">
        <v>264</v>
      </c>
      <c r="B108" s="21">
        <v>88415</v>
      </c>
      <c r="C108" s="7" t="s">
        <v>29</v>
      </c>
      <c r="D108" s="55" t="s">
        <v>265</v>
      </c>
      <c r="E108" s="7" t="s">
        <v>27</v>
      </c>
      <c r="F108" s="7">
        <f>37.78*3.6-(1*2.2*6+1.3*0.4+0.6*0.4*2+5.2*2.85)+12.5*1.05+109.25*3</f>
        <v>447.863</v>
      </c>
      <c r="G108" s="47">
        <v>6</v>
      </c>
      <c r="H108" s="44">
        <f t="shared" si="29"/>
        <v>2687.18</v>
      </c>
      <c r="I108" s="68">
        <f t="shared" si="40"/>
        <v>7.48</v>
      </c>
      <c r="J108" s="44">
        <f t="shared" si="41"/>
        <v>3350.02</v>
      </c>
    </row>
    <row r="109" spans="1:10" ht="30">
      <c r="A109" s="7" t="s">
        <v>266</v>
      </c>
      <c r="B109" s="21">
        <v>95626</v>
      </c>
      <c r="C109" s="7" t="s">
        <v>29</v>
      </c>
      <c r="D109" s="55" t="s">
        <v>267</v>
      </c>
      <c r="E109" s="7" t="s">
        <v>27</v>
      </c>
      <c r="F109" s="7">
        <f>37.78*3.6-(1*2.2*6+1.3*0.4+0.6*0.4*2+5.2*2.85)+12.5*1.05+109.25*3</f>
        <v>447.863</v>
      </c>
      <c r="G109" s="47">
        <v>18.190000000000001</v>
      </c>
      <c r="H109" s="44">
        <f t="shared" si="29"/>
        <v>8146.63</v>
      </c>
      <c r="I109" s="68">
        <f t="shared" si="40"/>
        <v>22.68</v>
      </c>
      <c r="J109" s="44">
        <f t="shared" si="41"/>
        <v>10157.530000000001</v>
      </c>
    </row>
    <row r="110" spans="1:10">
      <c r="A110" s="38" t="s">
        <v>268</v>
      </c>
      <c r="B110" s="121" t="s">
        <v>269</v>
      </c>
      <c r="C110" s="121"/>
      <c r="D110" s="121"/>
      <c r="E110" s="121"/>
      <c r="F110" s="121"/>
      <c r="G110" s="121"/>
      <c r="H110" s="121"/>
      <c r="I110" s="69" t="s">
        <v>22</v>
      </c>
      <c r="J110" s="49">
        <f>SUBTOTAL(9,J111)</f>
        <v>2190</v>
      </c>
    </row>
    <row r="111" spans="1:10" ht="30">
      <c r="A111" s="7" t="s">
        <v>270</v>
      </c>
      <c r="B111" s="21">
        <v>99814</v>
      </c>
      <c r="C111" s="7" t="s">
        <v>29</v>
      </c>
      <c r="D111" s="55" t="s">
        <v>271</v>
      </c>
      <c r="E111" s="7" t="s">
        <v>27</v>
      </c>
      <c r="F111" s="70">
        <v>1000</v>
      </c>
      <c r="G111" s="47">
        <v>1.76</v>
      </c>
      <c r="H111" s="44">
        <f t="shared" si="29"/>
        <v>1760</v>
      </c>
      <c r="I111" s="68">
        <f t="shared" ref="I111" si="42">ROUND(G111*$C$11,2)</f>
        <v>2.19</v>
      </c>
      <c r="J111" s="44">
        <f t="shared" ref="J111" si="43">ROUND(F111*I111,2)</f>
        <v>2190</v>
      </c>
    </row>
    <row r="112" spans="1:10" ht="18" customHeight="1">
      <c r="A112" s="122" t="s">
        <v>379</v>
      </c>
      <c r="B112" s="122"/>
      <c r="C112" s="122"/>
      <c r="D112" s="122"/>
      <c r="E112" s="122"/>
      <c r="F112" s="122"/>
      <c r="G112" s="122"/>
      <c r="H112" s="122"/>
      <c r="I112" s="122"/>
      <c r="J112" s="67">
        <f>SUBTOTAL(9,J17:J111)</f>
        <v>745592.41</v>
      </c>
    </row>
    <row r="113" spans="1:11">
      <c r="A113" s="1"/>
      <c r="B113" s="24"/>
      <c r="C113" s="1"/>
      <c r="D113" s="57"/>
      <c r="E113" s="1"/>
      <c r="F113" s="1"/>
      <c r="G113" s="25"/>
      <c r="H113" s="25"/>
      <c r="I113" s="25"/>
      <c r="J113" s="25"/>
    </row>
    <row r="114" spans="1:11">
      <c r="A114" s="1"/>
      <c r="B114" s="24"/>
      <c r="C114" s="1"/>
      <c r="D114" s="57"/>
      <c r="E114" s="1"/>
      <c r="F114" s="1"/>
      <c r="G114" s="25"/>
      <c r="H114" s="25"/>
      <c r="I114" s="25"/>
      <c r="J114" s="25"/>
    </row>
    <row r="115" spans="1:11">
      <c r="A115" s="1"/>
      <c r="B115" s="24"/>
      <c r="C115" s="1"/>
      <c r="D115" s="57"/>
      <c r="E115" s="1"/>
      <c r="F115" s="1"/>
      <c r="G115" s="25"/>
      <c r="H115" s="25"/>
      <c r="I115" s="25"/>
      <c r="J115" s="25"/>
    </row>
    <row r="116" spans="1:11">
      <c r="A116" s="1"/>
      <c r="B116" s="24"/>
      <c r="C116" s="1"/>
      <c r="D116" s="57"/>
      <c r="E116" s="1"/>
      <c r="F116" s="1"/>
      <c r="G116" s="25"/>
      <c r="H116" s="25"/>
      <c r="I116" s="25"/>
      <c r="J116" s="25"/>
    </row>
    <row r="117" spans="1:11" ht="18.75" customHeight="1">
      <c r="A117" s="119" t="s">
        <v>380</v>
      </c>
      <c r="B117" s="120"/>
      <c r="C117" s="120"/>
      <c r="D117" s="120"/>
      <c r="E117" s="119" t="s">
        <v>387</v>
      </c>
      <c r="F117" s="120"/>
      <c r="G117" s="120"/>
      <c r="H117" s="120"/>
      <c r="I117" s="120"/>
      <c r="J117" s="120"/>
    </row>
    <row r="118" spans="1:11" ht="15" customHeight="1">
      <c r="A118" s="120"/>
      <c r="B118" s="120"/>
      <c r="C118" s="120"/>
      <c r="D118" s="120"/>
      <c r="E118" s="120"/>
      <c r="F118" s="120"/>
      <c r="G118" s="120"/>
      <c r="H118" s="120"/>
      <c r="I118" s="120"/>
      <c r="J118" s="120"/>
    </row>
    <row r="119" spans="1:11" ht="26.25" customHeight="1">
      <c r="A119" s="120"/>
      <c r="B119" s="120"/>
      <c r="C119" s="120"/>
      <c r="D119" s="120"/>
      <c r="E119" s="120"/>
      <c r="F119" s="120"/>
      <c r="G119" s="120"/>
      <c r="H119" s="120"/>
      <c r="I119" s="120"/>
      <c r="J119" s="120"/>
    </row>
    <row r="120" spans="1:11" ht="15" customHeight="1">
      <c r="A120" s="120"/>
      <c r="B120" s="120"/>
      <c r="C120" s="120"/>
      <c r="D120" s="120"/>
      <c r="E120" s="120"/>
      <c r="F120" s="120"/>
      <c r="G120" s="120"/>
      <c r="H120" s="120"/>
      <c r="I120" s="120"/>
      <c r="J120" s="120"/>
    </row>
    <row r="121" spans="1:11" ht="15" customHeight="1">
      <c r="A121" s="64"/>
      <c r="B121" s="64"/>
      <c r="C121" s="64"/>
      <c r="D121" s="65"/>
      <c r="E121" s="66"/>
      <c r="F121" s="66"/>
      <c r="G121" s="66"/>
      <c r="H121" s="66"/>
      <c r="I121" s="66"/>
      <c r="J121" s="66"/>
    </row>
    <row r="122" spans="1:11">
      <c r="A122" s="1"/>
      <c r="B122" s="24"/>
      <c r="C122" s="1"/>
      <c r="D122" s="57"/>
      <c r="E122" s="1"/>
      <c r="F122" s="1"/>
      <c r="G122" s="25"/>
      <c r="H122" s="25"/>
      <c r="I122" s="25"/>
      <c r="J122" s="25"/>
    </row>
    <row r="123" spans="1:11">
      <c r="A123" s="1"/>
      <c r="B123" s="24"/>
      <c r="C123" s="1"/>
      <c r="D123" s="57"/>
      <c r="E123" s="1"/>
      <c r="F123" s="1"/>
      <c r="G123" s="25"/>
      <c r="H123" s="25"/>
      <c r="I123" s="25"/>
      <c r="J123" s="25"/>
      <c r="K123" s="1">
        <v>745592.41</v>
      </c>
    </row>
    <row r="124" spans="1:11">
      <c r="A124" s="1"/>
      <c r="B124" s="24"/>
      <c r="C124" s="1"/>
      <c r="D124" s="57"/>
      <c r="E124" s="1"/>
      <c r="F124" s="1"/>
      <c r="G124" s="25"/>
      <c r="H124" s="25"/>
      <c r="I124" s="25"/>
      <c r="J124" s="25"/>
    </row>
    <row r="125" spans="1:11">
      <c r="A125" s="1"/>
      <c r="B125" s="24"/>
      <c r="C125" s="1"/>
      <c r="D125" s="57"/>
      <c r="E125" s="1"/>
      <c r="F125" s="1"/>
      <c r="G125" s="25"/>
      <c r="H125" s="25"/>
      <c r="I125" s="25"/>
      <c r="J125" s="25"/>
    </row>
    <row r="126" spans="1:11">
      <c r="A126" s="1"/>
      <c r="B126" s="24"/>
      <c r="C126" s="1"/>
      <c r="D126" s="57"/>
      <c r="E126" s="1"/>
      <c r="F126" s="1"/>
      <c r="G126" s="25"/>
      <c r="H126" s="25"/>
      <c r="I126" s="25"/>
      <c r="J126" s="25"/>
    </row>
    <row r="127" spans="1:11">
      <c r="A127" s="1"/>
      <c r="B127" s="24"/>
      <c r="C127" s="1"/>
      <c r="D127" s="57"/>
      <c r="E127" s="1"/>
      <c r="F127" s="1"/>
      <c r="G127" s="25"/>
      <c r="H127" s="25"/>
      <c r="I127" s="25"/>
      <c r="J127" s="25"/>
    </row>
    <row r="128" spans="1:11">
      <c r="A128" s="1"/>
      <c r="B128" s="24"/>
      <c r="C128" s="1"/>
      <c r="D128" s="57"/>
      <c r="E128" s="1"/>
      <c r="F128" s="1"/>
      <c r="G128" s="25"/>
      <c r="H128" s="25"/>
      <c r="I128" s="25"/>
      <c r="J128" s="25"/>
    </row>
    <row r="129" spans="1:10">
      <c r="A129" s="1"/>
      <c r="B129" s="24"/>
      <c r="C129" s="1"/>
      <c r="D129" s="57"/>
      <c r="E129" s="1"/>
      <c r="F129" s="1"/>
      <c r="G129" s="25"/>
      <c r="H129" s="25"/>
      <c r="I129" s="25"/>
      <c r="J129" s="25"/>
    </row>
    <row r="130" spans="1:10">
      <c r="A130" s="1"/>
      <c r="B130" s="24"/>
      <c r="C130" s="1"/>
      <c r="D130" s="57"/>
      <c r="E130" s="1"/>
      <c r="F130" s="1"/>
      <c r="G130" s="25"/>
      <c r="H130" s="25"/>
      <c r="I130" s="25"/>
      <c r="J130" s="25"/>
    </row>
    <row r="131" spans="1:10">
      <c r="A131" s="1"/>
      <c r="B131" s="24"/>
      <c r="C131" s="1"/>
      <c r="D131" s="57"/>
      <c r="E131" s="1"/>
      <c r="F131" s="1"/>
      <c r="G131" s="25"/>
      <c r="H131" s="25"/>
      <c r="I131" s="25"/>
      <c r="J131" s="25"/>
    </row>
    <row r="132" spans="1:10">
      <c r="A132" s="1"/>
      <c r="B132" s="24"/>
      <c r="C132" s="1"/>
      <c r="D132" s="57"/>
      <c r="E132" s="1"/>
      <c r="F132" s="1"/>
      <c r="G132" s="25"/>
      <c r="H132" s="25"/>
      <c r="I132" s="25"/>
      <c r="J132" s="25"/>
    </row>
    <row r="133" spans="1:10">
      <c r="A133" s="1"/>
      <c r="B133" s="24"/>
      <c r="C133" s="1"/>
      <c r="D133" s="57"/>
      <c r="E133" s="1"/>
      <c r="F133" s="1"/>
      <c r="G133" s="25"/>
      <c r="H133" s="25"/>
      <c r="I133" s="25"/>
      <c r="J133" s="25"/>
    </row>
    <row r="134" spans="1:10">
      <c r="A134" s="1"/>
      <c r="B134" s="24"/>
      <c r="C134" s="1"/>
      <c r="D134" s="57"/>
      <c r="E134" s="1"/>
      <c r="F134" s="1"/>
      <c r="G134" s="25"/>
      <c r="H134" s="25"/>
      <c r="I134" s="25"/>
      <c r="J134" s="25"/>
    </row>
    <row r="135" spans="1:10">
      <c r="A135" s="1"/>
      <c r="B135" s="24"/>
      <c r="C135" s="1"/>
      <c r="D135" s="57"/>
      <c r="E135" s="1"/>
      <c r="F135" s="1"/>
      <c r="G135" s="25"/>
      <c r="H135" s="25"/>
      <c r="I135" s="25"/>
      <c r="J135" s="25"/>
    </row>
    <row r="136" spans="1:10">
      <c r="A136" s="1"/>
      <c r="B136" s="24"/>
      <c r="C136" s="1"/>
      <c r="D136" s="57"/>
      <c r="E136" s="1"/>
      <c r="F136" s="1"/>
      <c r="G136" s="25"/>
      <c r="H136" s="25"/>
      <c r="I136" s="25"/>
      <c r="J136" s="25"/>
    </row>
    <row r="137" spans="1:10">
      <c r="A137" s="1"/>
      <c r="B137" s="24"/>
      <c r="C137" s="1"/>
      <c r="D137" s="57"/>
      <c r="E137" s="1"/>
      <c r="F137" s="1"/>
      <c r="G137" s="25"/>
      <c r="H137" s="25"/>
      <c r="I137" s="25"/>
      <c r="J137" s="25"/>
    </row>
    <row r="138" spans="1:10">
      <c r="A138" s="1"/>
      <c r="B138" s="24"/>
      <c r="C138" s="1"/>
      <c r="D138" s="57"/>
      <c r="E138" s="1"/>
      <c r="F138" s="1"/>
      <c r="G138" s="25"/>
      <c r="H138" s="25"/>
      <c r="I138" s="25"/>
      <c r="J138" s="25"/>
    </row>
    <row r="139" spans="1:10">
      <c r="A139" s="1"/>
      <c r="B139" s="24"/>
      <c r="C139" s="1"/>
      <c r="D139" s="57"/>
      <c r="E139" s="1"/>
      <c r="F139" s="1"/>
      <c r="G139" s="25"/>
      <c r="H139" s="25"/>
      <c r="I139" s="25"/>
      <c r="J139" s="25"/>
    </row>
    <row r="140" spans="1:10">
      <c r="A140" s="1"/>
      <c r="B140" s="24"/>
      <c r="C140" s="1"/>
      <c r="D140" s="57"/>
      <c r="E140" s="1"/>
      <c r="F140" s="1"/>
      <c r="G140" s="25"/>
      <c r="H140" s="25"/>
      <c r="I140" s="25"/>
      <c r="J140" s="25"/>
    </row>
    <row r="141" spans="1:10">
      <c r="A141" s="1"/>
      <c r="B141" s="24"/>
      <c r="C141" s="1"/>
      <c r="D141" s="57"/>
      <c r="E141" s="1"/>
      <c r="F141" s="1"/>
      <c r="G141" s="25"/>
      <c r="H141" s="25"/>
      <c r="I141" s="25"/>
      <c r="J141" s="25"/>
    </row>
    <row r="142" spans="1:10">
      <c r="A142" s="1"/>
      <c r="B142" s="24"/>
      <c r="C142" s="1"/>
      <c r="D142" s="57"/>
      <c r="E142" s="1"/>
      <c r="F142" s="1"/>
      <c r="G142" s="25"/>
      <c r="H142" s="25"/>
      <c r="I142" s="25"/>
      <c r="J142" s="25"/>
    </row>
    <row r="143" spans="1:10">
      <c r="A143" s="1"/>
      <c r="B143" s="24"/>
      <c r="C143" s="1"/>
      <c r="D143" s="57"/>
      <c r="E143" s="1"/>
      <c r="F143" s="1"/>
      <c r="G143" s="25"/>
      <c r="H143" s="25"/>
      <c r="I143" s="25"/>
      <c r="J143" s="25"/>
    </row>
    <row r="144" spans="1:10">
      <c r="A144" s="1"/>
      <c r="B144" s="24"/>
      <c r="C144" s="1"/>
      <c r="D144" s="57"/>
      <c r="E144" s="1"/>
      <c r="F144" s="1"/>
      <c r="G144" s="25"/>
      <c r="H144" s="25"/>
      <c r="I144" s="25"/>
      <c r="J144" s="25"/>
    </row>
    <row r="145" spans="1:10">
      <c r="A145" s="1"/>
      <c r="B145" s="24"/>
      <c r="C145" s="1"/>
      <c r="D145" s="57"/>
      <c r="E145" s="1"/>
      <c r="F145" s="1"/>
      <c r="G145" s="25"/>
      <c r="H145" s="25"/>
      <c r="I145" s="25"/>
      <c r="J145" s="25"/>
    </row>
    <row r="146" spans="1:10">
      <c r="A146" s="1"/>
      <c r="B146" s="24"/>
      <c r="C146" s="1"/>
      <c r="D146" s="57"/>
      <c r="E146" s="1"/>
      <c r="F146" s="1"/>
      <c r="G146" s="25"/>
      <c r="H146" s="25"/>
      <c r="I146" s="25"/>
      <c r="J146" s="25"/>
    </row>
    <row r="147" spans="1:10">
      <c r="A147" s="1"/>
      <c r="B147" s="24"/>
      <c r="C147" s="1"/>
      <c r="D147" s="57"/>
      <c r="E147" s="1"/>
      <c r="F147" s="1"/>
      <c r="G147" s="25"/>
      <c r="H147" s="25"/>
      <c r="I147" s="25"/>
      <c r="J147" s="25"/>
    </row>
    <row r="148" spans="1:10">
      <c r="A148" s="1"/>
      <c r="B148" s="24"/>
      <c r="C148" s="1"/>
      <c r="D148" s="57"/>
      <c r="E148" s="1"/>
      <c r="F148" s="1"/>
      <c r="G148" s="25"/>
      <c r="H148" s="25"/>
      <c r="I148" s="25"/>
      <c r="J148" s="25"/>
    </row>
    <row r="149" spans="1:10">
      <c r="A149" s="1"/>
      <c r="B149" s="24"/>
      <c r="C149" s="1"/>
      <c r="D149" s="57"/>
      <c r="E149" s="1"/>
      <c r="F149" s="1"/>
      <c r="G149" s="25"/>
      <c r="H149" s="25"/>
      <c r="I149" s="25"/>
      <c r="J149" s="25"/>
    </row>
    <row r="150" spans="1:10">
      <c r="A150" s="1"/>
      <c r="B150" s="24"/>
      <c r="C150" s="1"/>
      <c r="D150" s="57"/>
      <c r="E150" s="1"/>
      <c r="F150" s="1"/>
      <c r="G150" s="25"/>
      <c r="H150" s="25"/>
      <c r="I150" s="25"/>
      <c r="J150" s="25"/>
    </row>
    <row r="151" spans="1:10">
      <c r="A151" s="1"/>
      <c r="B151" s="24"/>
      <c r="C151" s="1"/>
      <c r="D151" s="57"/>
      <c r="E151" s="1"/>
      <c r="F151" s="1"/>
      <c r="G151" s="25"/>
      <c r="H151" s="25"/>
      <c r="I151" s="25"/>
      <c r="J151" s="25"/>
    </row>
    <row r="152" spans="1:10">
      <c r="A152" s="1"/>
      <c r="B152" s="24"/>
      <c r="C152" s="1"/>
      <c r="D152" s="57"/>
      <c r="E152" s="1"/>
      <c r="F152" s="1"/>
      <c r="G152" s="25"/>
      <c r="H152" s="25"/>
      <c r="I152" s="25"/>
      <c r="J152" s="25"/>
    </row>
    <row r="153" spans="1:10">
      <c r="A153" s="1"/>
      <c r="B153" s="24"/>
      <c r="C153" s="1"/>
      <c r="D153" s="57"/>
      <c r="E153" s="1"/>
      <c r="F153" s="1"/>
      <c r="G153" s="25"/>
      <c r="H153" s="25"/>
      <c r="I153" s="25"/>
      <c r="J153" s="25"/>
    </row>
    <row r="154" spans="1:10">
      <c r="A154" s="1"/>
      <c r="B154" s="24"/>
      <c r="C154" s="1"/>
      <c r="D154" s="57"/>
      <c r="E154" s="1"/>
      <c r="F154" s="1"/>
      <c r="G154" s="25"/>
      <c r="H154" s="25"/>
      <c r="I154" s="25"/>
      <c r="J154" s="25"/>
    </row>
    <row r="155" spans="1:10">
      <c r="A155" s="1"/>
      <c r="B155" s="24"/>
      <c r="C155" s="1"/>
      <c r="D155" s="57"/>
      <c r="E155" s="1"/>
      <c r="F155" s="1"/>
      <c r="G155" s="25"/>
      <c r="H155" s="25"/>
      <c r="I155" s="25"/>
      <c r="J155" s="25"/>
    </row>
    <row r="156" spans="1:10">
      <c r="A156" s="1"/>
      <c r="B156" s="24"/>
      <c r="C156" s="1"/>
      <c r="D156" s="57"/>
      <c r="E156" s="1"/>
      <c r="F156" s="1"/>
      <c r="G156" s="25"/>
      <c r="H156" s="25"/>
      <c r="I156" s="25"/>
      <c r="J156" s="25"/>
    </row>
    <row r="157" spans="1:10">
      <c r="A157" s="1"/>
      <c r="B157" s="24"/>
      <c r="C157" s="1"/>
      <c r="D157" s="57"/>
      <c r="E157" s="1"/>
      <c r="F157" s="1"/>
      <c r="G157" s="25"/>
      <c r="H157" s="25"/>
      <c r="I157" s="25"/>
      <c r="J157" s="25"/>
    </row>
    <row r="158" spans="1:10">
      <c r="A158" s="1"/>
      <c r="B158" s="24"/>
      <c r="C158" s="1"/>
      <c r="D158" s="57"/>
      <c r="E158" s="1"/>
      <c r="F158" s="1"/>
      <c r="G158" s="25"/>
      <c r="H158" s="25"/>
      <c r="I158" s="25"/>
      <c r="J158" s="25"/>
    </row>
    <row r="159" spans="1:10">
      <c r="A159" s="1"/>
      <c r="B159" s="24"/>
      <c r="C159" s="1"/>
      <c r="D159" s="57"/>
      <c r="E159" s="1"/>
      <c r="F159" s="1"/>
      <c r="G159" s="25"/>
      <c r="H159" s="25"/>
      <c r="I159" s="25"/>
      <c r="J159" s="25"/>
    </row>
    <row r="160" spans="1:10">
      <c r="A160" s="1"/>
      <c r="B160" s="24"/>
      <c r="C160" s="1"/>
      <c r="D160" s="57"/>
      <c r="E160" s="1"/>
      <c r="F160" s="1"/>
      <c r="G160" s="25"/>
      <c r="H160" s="25"/>
      <c r="I160" s="25"/>
      <c r="J160" s="25"/>
    </row>
    <row r="161" spans="1:10">
      <c r="A161" s="1"/>
      <c r="B161" s="24"/>
      <c r="C161" s="1"/>
      <c r="D161" s="57"/>
      <c r="E161" s="1"/>
      <c r="F161" s="1"/>
      <c r="G161" s="25"/>
      <c r="H161" s="25"/>
      <c r="I161" s="25"/>
      <c r="J161" s="25"/>
    </row>
    <row r="162" spans="1:10">
      <c r="A162" s="1"/>
      <c r="B162" s="24"/>
      <c r="C162" s="1"/>
      <c r="D162" s="57"/>
      <c r="E162" s="1"/>
      <c r="F162" s="1"/>
      <c r="G162" s="25"/>
      <c r="H162" s="25"/>
      <c r="I162" s="25"/>
      <c r="J162" s="25"/>
    </row>
    <row r="163" spans="1:10">
      <c r="A163" s="1"/>
      <c r="B163" s="24"/>
      <c r="C163" s="1"/>
      <c r="D163" s="57"/>
      <c r="E163" s="1"/>
      <c r="F163" s="1"/>
      <c r="G163" s="25"/>
      <c r="H163" s="25"/>
      <c r="I163" s="25"/>
      <c r="J163" s="25"/>
    </row>
    <row r="164" spans="1:10">
      <c r="A164" s="1"/>
      <c r="B164" s="24"/>
      <c r="C164" s="1"/>
      <c r="D164" s="57"/>
      <c r="E164" s="1"/>
      <c r="F164" s="1"/>
      <c r="G164" s="25"/>
      <c r="H164" s="25"/>
      <c r="I164" s="25"/>
      <c r="J164" s="25"/>
    </row>
    <row r="165" spans="1:10">
      <c r="A165" s="1"/>
      <c r="B165" s="24"/>
      <c r="C165" s="1"/>
      <c r="D165" s="57"/>
      <c r="E165" s="1"/>
      <c r="F165" s="1"/>
      <c r="G165" s="25"/>
      <c r="H165" s="25"/>
      <c r="I165" s="25"/>
      <c r="J165" s="25"/>
    </row>
    <row r="166" spans="1:10">
      <c r="A166" s="1"/>
      <c r="B166" s="24"/>
      <c r="C166" s="1"/>
      <c r="D166" s="57"/>
      <c r="E166" s="1"/>
      <c r="F166" s="1"/>
      <c r="G166" s="25"/>
      <c r="H166" s="25"/>
      <c r="I166" s="25"/>
      <c r="J166" s="25"/>
    </row>
    <row r="167" spans="1:10">
      <c r="A167" s="1"/>
      <c r="B167" s="24"/>
      <c r="C167" s="1"/>
      <c r="D167" s="57"/>
      <c r="E167" s="1"/>
      <c r="F167" s="1"/>
      <c r="G167" s="25"/>
      <c r="H167" s="25"/>
      <c r="I167" s="25"/>
      <c r="J167" s="25"/>
    </row>
    <row r="168" spans="1:10">
      <c r="A168" s="1"/>
      <c r="B168" s="24"/>
      <c r="C168" s="1"/>
      <c r="D168" s="57"/>
      <c r="E168" s="1"/>
      <c r="F168" s="1"/>
      <c r="G168" s="25"/>
      <c r="H168" s="25"/>
      <c r="I168" s="25"/>
      <c r="J168" s="25"/>
    </row>
    <row r="169" spans="1:10">
      <c r="A169" s="1"/>
      <c r="B169" s="24"/>
      <c r="C169" s="1"/>
      <c r="D169" s="57"/>
      <c r="E169" s="1"/>
      <c r="F169" s="1"/>
      <c r="G169" s="25"/>
      <c r="H169" s="25"/>
      <c r="I169" s="25"/>
      <c r="J169" s="25"/>
    </row>
    <row r="170" spans="1:10">
      <c r="A170" s="1"/>
      <c r="B170" s="24"/>
      <c r="C170" s="1"/>
      <c r="D170" s="57"/>
      <c r="E170" s="1"/>
      <c r="F170" s="1"/>
      <c r="G170" s="25"/>
      <c r="H170" s="25"/>
      <c r="I170" s="25"/>
      <c r="J170" s="25"/>
    </row>
    <row r="171" spans="1:10">
      <c r="A171" s="1"/>
      <c r="B171" s="24"/>
      <c r="C171" s="1"/>
      <c r="D171" s="57"/>
      <c r="E171" s="1"/>
      <c r="F171" s="1"/>
      <c r="G171" s="25"/>
      <c r="H171" s="25"/>
      <c r="I171" s="25"/>
      <c r="J171" s="25"/>
    </row>
    <row r="172" spans="1:10">
      <c r="A172" s="1"/>
      <c r="B172" s="24"/>
      <c r="C172" s="1"/>
      <c r="D172" s="57"/>
      <c r="E172" s="1"/>
      <c r="F172" s="1"/>
      <c r="G172" s="25"/>
      <c r="H172" s="25"/>
      <c r="I172" s="25"/>
      <c r="J172" s="25"/>
    </row>
    <row r="173" spans="1:10">
      <c r="A173" s="1"/>
      <c r="B173" s="24"/>
      <c r="C173" s="1"/>
      <c r="D173" s="57"/>
      <c r="E173" s="1"/>
      <c r="F173" s="1"/>
      <c r="G173" s="25"/>
      <c r="H173" s="25"/>
      <c r="I173" s="25"/>
      <c r="J173" s="25"/>
    </row>
    <row r="174" spans="1:10">
      <c r="A174" s="1"/>
      <c r="B174" s="24"/>
      <c r="C174" s="1"/>
      <c r="D174" s="57"/>
      <c r="E174" s="1"/>
      <c r="F174" s="1"/>
      <c r="G174" s="25"/>
      <c r="H174" s="25"/>
      <c r="I174" s="25"/>
      <c r="J174" s="25"/>
    </row>
    <row r="175" spans="1:10">
      <c r="A175" s="1"/>
      <c r="B175" s="24"/>
      <c r="C175" s="1"/>
      <c r="D175" s="57"/>
      <c r="E175" s="1"/>
      <c r="F175" s="1"/>
      <c r="G175" s="25"/>
      <c r="H175" s="25"/>
      <c r="I175" s="25"/>
      <c r="J175" s="25"/>
    </row>
    <row r="176" spans="1:10">
      <c r="A176" s="1"/>
      <c r="B176" s="24"/>
      <c r="C176" s="1"/>
      <c r="D176" s="57"/>
      <c r="E176" s="1"/>
      <c r="F176" s="1"/>
      <c r="G176" s="25"/>
      <c r="H176" s="25"/>
      <c r="I176" s="25"/>
      <c r="J176" s="25"/>
    </row>
    <row r="177" spans="1:10">
      <c r="A177" s="1"/>
      <c r="B177" s="24"/>
      <c r="C177" s="1"/>
      <c r="D177" s="57"/>
      <c r="E177" s="1"/>
      <c r="F177" s="1"/>
      <c r="G177" s="25"/>
      <c r="H177" s="25"/>
      <c r="I177" s="25"/>
      <c r="J177" s="25"/>
    </row>
    <row r="178" spans="1:10">
      <c r="A178" s="1"/>
      <c r="B178" s="24"/>
      <c r="C178" s="1"/>
      <c r="D178" s="57"/>
      <c r="E178" s="1"/>
      <c r="F178" s="1"/>
      <c r="G178" s="25"/>
      <c r="H178" s="25"/>
      <c r="I178" s="25"/>
      <c r="J178" s="25"/>
    </row>
    <row r="179" spans="1:10">
      <c r="A179" s="1"/>
      <c r="B179" s="24"/>
      <c r="C179" s="1"/>
      <c r="D179" s="57"/>
      <c r="E179" s="1"/>
      <c r="F179" s="1"/>
      <c r="G179" s="25"/>
      <c r="H179" s="25"/>
      <c r="I179" s="25"/>
      <c r="J179" s="25"/>
    </row>
    <row r="180" spans="1:10">
      <c r="A180" s="1"/>
      <c r="B180" s="24"/>
      <c r="C180" s="1"/>
      <c r="D180" s="57"/>
      <c r="E180" s="1"/>
      <c r="F180" s="1"/>
      <c r="G180" s="25"/>
      <c r="H180" s="25"/>
      <c r="I180" s="25"/>
      <c r="J180" s="25"/>
    </row>
    <row r="181" spans="1:10">
      <c r="A181" s="1"/>
      <c r="B181" s="24"/>
      <c r="C181" s="1"/>
      <c r="D181" s="57"/>
      <c r="E181" s="1"/>
      <c r="F181" s="1"/>
      <c r="G181" s="25"/>
      <c r="H181" s="25"/>
      <c r="I181" s="25"/>
      <c r="J181" s="25"/>
    </row>
    <row r="182" spans="1:10">
      <c r="A182" s="1"/>
      <c r="B182" s="24"/>
      <c r="C182" s="1"/>
      <c r="D182" s="57"/>
      <c r="E182" s="1"/>
      <c r="F182" s="1"/>
      <c r="G182" s="25"/>
      <c r="H182" s="25"/>
      <c r="I182" s="25"/>
      <c r="J182" s="25"/>
    </row>
    <row r="183" spans="1:10">
      <c r="A183" s="1"/>
      <c r="B183" s="24"/>
      <c r="C183" s="1"/>
      <c r="D183" s="57"/>
      <c r="E183" s="1"/>
      <c r="F183" s="1"/>
      <c r="G183" s="25"/>
      <c r="H183" s="25"/>
      <c r="I183" s="25"/>
      <c r="J183" s="25"/>
    </row>
    <row r="184" spans="1:10">
      <c r="A184" s="1"/>
      <c r="B184" s="24"/>
      <c r="C184" s="1"/>
      <c r="D184" s="57"/>
      <c r="E184" s="1"/>
      <c r="F184" s="1"/>
      <c r="G184" s="25"/>
      <c r="H184" s="25"/>
      <c r="I184" s="25"/>
      <c r="J184" s="25"/>
    </row>
    <row r="185" spans="1:10">
      <c r="A185" s="1"/>
      <c r="B185" s="24"/>
      <c r="C185" s="1"/>
      <c r="D185" s="57"/>
      <c r="E185" s="1"/>
      <c r="F185" s="1"/>
      <c r="G185" s="25"/>
      <c r="H185" s="25"/>
      <c r="I185" s="25"/>
      <c r="J185" s="25"/>
    </row>
    <row r="186" spans="1:10">
      <c r="A186" s="1"/>
      <c r="B186" s="24"/>
      <c r="C186" s="1"/>
      <c r="D186" s="57"/>
      <c r="E186" s="1"/>
      <c r="F186" s="1"/>
      <c r="G186" s="25"/>
      <c r="H186" s="25"/>
      <c r="I186" s="25"/>
      <c r="J186" s="25"/>
    </row>
    <row r="187" spans="1:10">
      <c r="A187" s="1"/>
      <c r="B187" s="24"/>
      <c r="C187" s="1"/>
      <c r="D187" s="57"/>
      <c r="E187" s="1"/>
      <c r="F187" s="1"/>
      <c r="G187" s="25"/>
      <c r="H187" s="25"/>
      <c r="I187" s="25"/>
      <c r="J187" s="25"/>
    </row>
    <row r="188" spans="1:10">
      <c r="A188" s="1"/>
      <c r="B188" s="24"/>
      <c r="C188" s="1"/>
      <c r="D188" s="57"/>
      <c r="E188" s="1"/>
      <c r="F188" s="1"/>
      <c r="G188" s="25"/>
      <c r="H188" s="25"/>
      <c r="I188" s="25"/>
      <c r="J188" s="25"/>
    </row>
    <row r="189" spans="1:10">
      <c r="A189" s="1"/>
      <c r="B189" s="24"/>
      <c r="C189" s="1"/>
      <c r="D189" s="57"/>
      <c r="E189" s="1"/>
      <c r="F189" s="1"/>
      <c r="G189" s="25"/>
      <c r="H189" s="25"/>
      <c r="I189" s="25"/>
      <c r="J189" s="25"/>
    </row>
    <row r="190" spans="1:10">
      <c r="A190" s="1"/>
      <c r="B190" s="24"/>
      <c r="C190" s="1"/>
      <c r="D190" s="57"/>
      <c r="E190" s="1"/>
      <c r="F190" s="1"/>
      <c r="G190" s="25"/>
      <c r="H190" s="25"/>
      <c r="I190" s="25"/>
      <c r="J190" s="25"/>
    </row>
    <row r="191" spans="1:10">
      <c r="A191" s="1"/>
      <c r="B191" s="24"/>
      <c r="C191" s="1"/>
      <c r="D191" s="57"/>
      <c r="E191" s="1"/>
      <c r="F191" s="1"/>
      <c r="G191" s="25"/>
      <c r="H191" s="25"/>
      <c r="I191" s="25"/>
      <c r="J191" s="25"/>
    </row>
    <row r="192" spans="1:10">
      <c r="A192" s="1"/>
      <c r="B192" s="24"/>
      <c r="C192" s="1"/>
      <c r="D192" s="57"/>
      <c r="E192" s="1"/>
      <c r="F192" s="1"/>
      <c r="G192" s="25"/>
      <c r="H192" s="25"/>
      <c r="I192" s="25"/>
      <c r="J192" s="25"/>
    </row>
    <row r="193" spans="1:10">
      <c r="A193" s="1"/>
      <c r="B193" s="24"/>
      <c r="C193" s="1"/>
      <c r="D193" s="57"/>
      <c r="E193" s="1"/>
      <c r="F193" s="1"/>
      <c r="G193" s="25"/>
      <c r="H193" s="25"/>
      <c r="I193" s="25"/>
      <c r="J193" s="25"/>
    </row>
    <row r="194" spans="1:10">
      <c r="A194" s="1"/>
      <c r="B194" s="24"/>
      <c r="C194" s="1"/>
      <c r="D194" s="57"/>
      <c r="E194" s="1"/>
      <c r="F194" s="1"/>
      <c r="G194" s="25"/>
      <c r="H194" s="25"/>
      <c r="I194" s="25"/>
      <c r="J194" s="25"/>
    </row>
    <row r="195" spans="1:10">
      <c r="A195" s="1"/>
      <c r="B195" s="24"/>
      <c r="C195" s="1"/>
      <c r="D195" s="57"/>
      <c r="E195" s="1"/>
      <c r="F195" s="1"/>
      <c r="G195" s="25"/>
      <c r="H195" s="25"/>
      <c r="I195" s="25"/>
      <c r="J195" s="25"/>
    </row>
    <row r="196" spans="1:10">
      <c r="A196" s="1"/>
      <c r="B196" s="24"/>
      <c r="C196" s="1"/>
      <c r="D196" s="57"/>
      <c r="E196" s="1"/>
      <c r="F196" s="1"/>
      <c r="G196" s="25"/>
      <c r="H196" s="25"/>
      <c r="I196" s="25"/>
      <c r="J196" s="25"/>
    </row>
    <row r="197" spans="1:10">
      <c r="A197" s="1"/>
      <c r="B197" s="24"/>
      <c r="C197" s="1"/>
      <c r="D197" s="57"/>
      <c r="E197" s="1"/>
      <c r="F197" s="1"/>
      <c r="G197" s="25"/>
      <c r="H197" s="25"/>
      <c r="I197" s="25"/>
      <c r="J197" s="25"/>
    </row>
    <row r="198" spans="1:10">
      <c r="A198" s="1"/>
      <c r="B198" s="24"/>
      <c r="C198" s="1"/>
      <c r="D198" s="57"/>
      <c r="E198" s="1"/>
      <c r="F198" s="1"/>
      <c r="G198" s="25"/>
      <c r="H198" s="25"/>
      <c r="I198" s="25"/>
      <c r="J198" s="25"/>
    </row>
    <row r="199" spans="1:10">
      <c r="A199" s="1"/>
      <c r="B199" s="24"/>
      <c r="C199" s="1"/>
      <c r="D199" s="57"/>
      <c r="E199" s="1"/>
      <c r="F199" s="1"/>
      <c r="G199" s="25"/>
      <c r="H199" s="25"/>
      <c r="I199" s="25"/>
      <c r="J199" s="25"/>
    </row>
    <row r="200" spans="1:10">
      <c r="A200" s="1"/>
      <c r="B200" s="24"/>
      <c r="C200" s="1"/>
      <c r="D200" s="57"/>
      <c r="E200" s="1"/>
      <c r="F200" s="1"/>
      <c r="G200" s="25"/>
      <c r="H200" s="25"/>
      <c r="I200" s="25"/>
      <c r="J200" s="25"/>
    </row>
    <row r="201" spans="1:10">
      <c r="A201" s="1"/>
      <c r="B201" s="24"/>
      <c r="C201" s="1"/>
      <c r="D201" s="57"/>
      <c r="E201" s="1"/>
      <c r="F201" s="1"/>
      <c r="G201" s="25"/>
      <c r="H201" s="25"/>
      <c r="I201" s="25"/>
      <c r="J201" s="25"/>
    </row>
    <row r="202" spans="1:10">
      <c r="A202" s="58"/>
      <c r="B202" s="59"/>
      <c r="C202" s="58"/>
      <c r="D202" s="60"/>
      <c r="E202" s="58"/>
      <c r="F202" s="58"/>
      <c r="G202" s="61"/>
      <c r="H202" s="61"/>
      <c r="I202" s="61"/>
      <c r="J202" s="61"/>
    </row>
  </sheetData>
  <mergeCells count="30">
    <mergeCell ref="A5:J5"/>
    <mergeCell ref="A6:J6"/>
    <mergeCell ref="A7:J7"/>
    <mergeCell ref="A8:J8"/>
    <mergeCell ref="A9:J9"/>
    <mergeCell ref="G14:J14"/>
    <mergeCell ref="G15:H15"/>
    <mergeCell ref="I15:J15"/>
    <mergeCell ref="A14:A16"/>
    <mergeCell ref="B14:B16"/>
    <mergeCell ref="C14:C16"/>
    <mergeCell ref="D14:D16"/>
    <mergeCell ref="E14:E16"/>
    <mergeCell ref="F14:F16"/>
    <mergeCell ref="A1:J4"/>
    <mergeCell ref="A117:D120"/>
    <mergeCell ref="E117:J120"/>
    <mergeCell ref="B96:H96"/>
    <mergeCell ref="B102:H102"/>
    <mergeCell ref="B105:H105"/>
    <mergeCell ref="B110:H110"/>
    <mergeCell ref="A112:I112"/>
    <mergeCell ref="B57:H57"/>
    <mergeCell ref="B59:H59"/>
    <mergeCell ref="B64:H64"/>
    <mergeCell ref="B68:H68"/>
    <mergeCell ref="B93:H93"/>
    <mergeCell ref="A10:J10"/>
    <mergeCell ref="D11:J11"/>
    <mergeCell ref="A13:J13"/>
  </mergeCells>
  <pageMargins left="0.39370078740157483" right="0.39370078740157483" top="0.98425196850393704" bottom="0.47244094488188981" header="0.31496062992125984" footer="0.31496062992125984"/>
  <pageSetup paperSize="9" scale="73" fitToHeight="0" orientation="landscape" horizontalDpi="300" verticalDpi="300" r:id="rId1"/>
  <headerFooter>
    <oddHeader xml:space="preserve">&amp;L&amp;G&amp;C&amp;G
</oddHeader>
    <oddFooter>&amp;R&amp;P</oddFooter>
  </headerFooter>
  <drawing r:id="rId2"/>
  <legacyDrawing r:id="rId3"/>
  <legacyDrawingHF r:id="rId4"/>
  <oleObjects>
    <mc:AlternateContent xmlns:mc="http://schemas.openxmlformats.org/markup-compatibility/2006">
      <mc:Choice Requires="x14">
        <oleObject progId="CorelDRAW.Graphic.12" shapeId="1025" r:id="rId5">
          <objectPr defaultSize="0" altText="" r:id="rId6">
            <anchor moveWithCells="1">
              <from>
                <xdr:col>0</xdr:col>
                <xdr:colOff>542925</xdr:colOff>
                <xdr:row>0</xdr:row>
                <xdr:rowOff>104775</xdr:rowOff>
              </from>
              <to>
                <xdr:col>1</xdr:col>
                <xdr:colOff>466725</xdr:colOff>
                <xdr:row>3</xdr:row>
                <xdr:rowOff>161925</xdr:rowOff>
              </to>
            </anchor>
          </objectPr>
        </oleObject>
      </mc:Choice>
      <mc:Fallback>
        <oleObject progId="CorelDRAW.Graphic.12" shapeId="1025" r:id="rId5"/>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L362"/>
  <sheetViews>
    <sheetView zoomScale="85" zoomScaleNormal="85" workbookViewId="0">
      <selection activeCell="B12" sqref="B12"/>
    </sheetView>
  </sheetViews>
  <sheetFormatPr defaultColWidth="9" defaultRowHeight="15"/>
  <cols>
    <col min="1" max="1" width="24.85546875" customWidth="1"/>
    <col min="2" max="2" width="15.28515625" style="27" customWidth="1"/>
    <col min="3" max="3" width="16.42578125" customWidth="1"/>
    <col min="4" max="4" width="20.5703125" style="28" customWidth="1"/>
    <col min="5" max="5" width="19.85546875" style="28" customWidth="1"/>
    <col min="6" max="6" width="19.28515625" style="28" customWidth="1"/>
    <col min="7" max="7" width="12.140625" style="28" customWidth="1"/>
    <col min="8" max="8" width="10.7109375" customWidth="1"/>
    <col min="9" max="9" width="12.28515625" customWidth="1"/>
    <col min="10" max="10" width="34.5703125" customWidth="1"/>
    <col min="15" max="15" width="12.7109375" customWidth="1"/>
    <col min="16" max="16" width="18.140625" customWidth="1"/>
    <col min="17" max="17" width="16.28515625" customWidth="1"/>
    <col min="24" max="24" width="12.7109375" customWidth="1"/>
  </cols>
  <sheetData>
    <row r="1" spans="1:38">
      <c r="A1" s="129"/>
      <c r="B1" s="129"/>
      <c r="C1" s="129"/>
      <c r="D1" s="129"/>
      <c r="E1" s="129"/>
      <c r="F1" s="129"/>
      <c r="G1" s="129"/>
      <c r="H1" s="129"/>
      <c r="I1" s="129"/>
      <c r="J1" s="129"/>
    </row>
    <row r="2" spans="1:38">
      <c r="A2" s="129"/>
      <c r="B2" s="129"/>
      <c r="C2" s="129"/>
      <c r="D2" s="129"/>
      <c r="E2" s="129"/>
      <c r="F2" s="129"/>
      <c r="G2" s="129"/>
      <c r="H2" s="129"/>
      <c r="I2" s="129"/>
      <c r="J2" s="129"/>
    </row>
    <row r="3" spans="1:38">
      <c r="A3" s="129"/>
      <c r="B3" s="129"/>
      <c r="C3" s="129"/>
      <c r="D3" s="129"/>
      <c r="E3" s="129"/>
      <c r="F3" s="129"/>
      <c r="G3" s="129"/>
      <c r="H3" s="129"/>
      <c r="I3" s="129"/>
      <c r="J3" s="129"/>
    </row>
    <row r="4" spans="1:38" ht="30.95" customHeight="1">
      <c r="A4" s="129"/>
      <c r="B4" s="129"/>
      <c r="C4" s="129"/>
      <c r="D4" s="129"/>
      <c r="E4" s="129"/>
      <c r="F4" s="129"/>
      <c r="G4" s="129"/>
      <c r="H4" s="129"/>
      <c r="I4" s="129"/>
      <c r="J4" s="129"/>
    </row>
    <row r="5" spans="1:38" ht="23.25">
      <c r="A5" s="146" t="s">
        <v>272</v>
      </c>
      <c r="B5" s="147"/>
      <c r="C5" s="147"/>
      <c r="D5" s="147"/>
      <c r="E5" s="147"/>
      <c r="F5" s="147"/>
      <c r="G5" s="147"/>
      <c r="H5" s="147"/>
      <c r="I5" s="147"/>
      <c r="J5" s="148"/>
    </row>
    <row r="6" spans="1:38">
      <c r="A6" s="102" t="s">
        <v>273</v>
      </c>
      <c r="B6" s="102"/>
      <c r="C6" s="102"/>
      <c r="D6" s="102"/>
      <c r="E6" s="102"/>
      <c r="F6" s="102"/>
      <c r="G6" s="102"/>
      <c r="H6" s="102"/>
      <c r="I6" s="102"/>
      <c r="J6" s="102"/>
      <c r="K6" s="1"/>
      <c r="L6" s="1"/>
      <c r="M6" s="1"/>
      <c r="N6" s="1"/>
      <c r="O6" s="1"/>
      <c r="P6" s="1"/>
      <c r="Q6" s="1"/>
      <c r="R6" s="1"/>
      <c r="S6" s="1"/>
      <c r="T6" s="1"/>
      <c r="U6" s="1"/>
      <c r="V6" s="1"/>
      <c r="W6" s="1"/>
      <c r="X6" s="1"/>
      <c r="Y6" s="1"/>
      <c r="Z6" s="1"/>
      <c r="AA6" s="1"/>
      <c r="AB6" s="1"/>
      <c r="AC6" s="1"/>
      <c r="AD6" s="1"/>
      <c r="AE6" s="1"/>
      <c r="AF6" s="1"/>
      <c r="AG6" s="1"/>
      <c r="AH6" s="1"/>
      <c r="AI6" s="1"/>
      <c r="AJ6" s="1"/>
      <c r="AK6" s="1"/>
      <c r="AL6" s="1"/>
    </row>
    <row r="7" spans="1:38">
      <c r="A7" s="102" t="s">
        <v>274</v>
      </c>
      <c r="B7" s="102"/>
      <c r="C7" s="102"/>
      <c r="D7" s="102"/>
      <c r="E7" s="102"/>
      <c r="F7" s="102"/>
      <c r="G7" s="102"/>
      <c r="H7" s="102"/>
      <c r="I7" s="102"/>
      <c r="J7" s="102"/>
      <c r="K7" s="1"/>
      <c r="L7" s="1"/>
      <c r="M7" s="1"/>
      <c r="N7" s="1"/>
      <c r="O7" s="1"/>
      <c r="P7" s="1"/>
      <c r="Q7" s="1"/>
      <c r="R7" s="1"/>
      <c r="S7" s="1"/>
      <c r="T7" s="1"/>
      <c r="U7" s="1"/>
      <c r="V7" s="1"/>
      <c r="W7" s="1"/>
      <c r="X7" s="1"/>
      <c r="Y7" s="1"/>
      <c r="Z7" s="1"/>
      <c r="AA7" s="1"/>
      <c r="AB7" s="1"/>
      <c r="AC7" s="1"/>
      <c r="AD7" s="1"/>
      <c r="AE7" s="1"/>
      <c r="AF7" s="1"/>
      <c r="AG7" s="1"/>
      <c r="AH7" s="1"/>
      <c r="AI7" s="1"/>
      <c r="AJ7" s="1"/>
      <c r="AK7" s="1"/>
      <c r="AL7" s="1"/>
    </row>
    <row r="8" spans="1:38">
      <c r="A8" s="102" t="s">
        <v>3</v>
      </c>
      <c r="B8" s="102"/>
      <c r="C8" s="102"/>
      <c r="D8" s="102"/>
      <c r="E8" s="102"/>
      <c r="F8" s="102"/>
      <c r="G8" s="102"/>
      <c r="H8" s="102"/>
      <c r="I8" s="102"/>
      <c r="J8" s="102"/>
      <c r="K8" s="1"/>
      <c r="L8" s="1"/>
      <c r="M8" s="1"/>
      <c r="N8" s="1"/>
      <c r="O8" s="1"/>
      <c r="P8" s="1"/>
      <c r="Q8" s="1"/>
      <c r="R8" s="1"/>
      <c r="S8" s="1"/>
      <c r="T8" s="1"/>
      <c r="U8" s="1"/>
      <c r="V8" s="1"/>
      <c r="W8" s="1"/>
      <c r="X8" s="1"/>
      <c r="Y8" s="1"/>
      <c r="Z8" s="1"/>
      <c r="AA8" s="1"/>
      <c r="AB8" s="1"/>
      <c r="AC8" s="1"/>
      <c r="AD8" s="1"/>
      <c r="AE8" s="1"/>
      <c r="AF8" s="1"/>
      <c r="AG8" s="1"/>
      <c r="AH8" s="1"/>
      <c r="AI8" s="1"/>
      <c r="AJ8" s="1"/>
      <c r="AK8" s="1"/>
      <c r="AL8" s="1"/>
    </row>
    <row r="9" spans="1:38">
      <c r="A9" s="102" t="s">
        <v>4</v>
      </c>
      <c r="B9" s="102"/>
      <c r="C9" s="102"/>
      <c r="D9" s="102"/>
      <c r="E9" s="102"/>
      <c r="F9" s="102"/>
      <c r="G9" s="102"/>
      <c r="H9" s="102"/>
      <c r="I9" s="102"/>
      <c r="J9" s="102"/>
      <c r="K9" s="1"/>
      <c r="L9" s="1"/>
      <c r="M9" s="1"/>
      <c r="N9" s="1"/>
      <c r="O9" s="1"/>
      <c r="P9" s="1"/>
      <c r="Q9" s="1"/>
      <c r="R9" s="1"/>
      <c r="S9" s="1"/>
      <c r="T9" s="1"/>
      <c r="U9" s="1"/>
      <c r="V9" s="1"/>
      <c r="W9" s="1"/>
      <c r="X9" s="1"/>
      <c r="Y9" s="1"/>
      <c r="Z9" s="1"/>
      <c r="AA9" s="1"/>
      <c r="AB9" s="1"/>
      <c r="AC9" s="1"/>
      <c r="AD9" s="1"/>
      <c r="AE9" s="1"/>
      <c r="AF9" s="1"/>
      <c r="AG9" s="1"/>
      <c r="AH9" s="1"/>
      <c r="AI9" s="1"/>
      <c r="AJ9" s="1"/>
      <c r="AK9" s="1"/>
      <c r="AL9" s="1"/>
    </row>
    <row r="10" spans="1:38">
      <c r="A10" s="102" t="s">
        <v>381</v>
      </c>
      <c r="B10" s="102"/>
      <c r="C10" s="102"/>
      <c r="D10" s="102"/>
      <c r="E10" s="102"/>
      <c r="F10" s="102"/>
      <c r="G10" s="102"/>
      <c r="H10" s="102"/>
      <c r="I10" s="102"/>
      <c r="J10" s="102"/>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row>
    <row r="11" spans="1:38">
      <c r="A11" s="29" t="s">
        <v>5</v>
      </c>
      <c r="B11" s="30">
        <f>BDI!G13</f>
        <v>0.24666704095238101</v>
      </c>
      <c r="C11" s="31">
        <v>1.2466999999999999</v>
      </c>
      <c r="D11" s="123" t="str">
        <f>PLANILHA!D11</f>
        <v>EXECUÇÃO DA OBRA: (  ) DIRETA   (X) INDIRETA</v>
      </c>
      <c r="E11" s="124"/>
      <c r="F11" s="124"/>
      <c r="G11" s="124"/>
      <c r="H11" s="124"/>
      <c r="I11" s="124"/>
      <c r="J11" s="125"/>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row>
    <row r="12" spans="1:38">
      <c r="A12" s="32" t="s">
        <v>7</v>
      </c>
      <c r="B12" s="33" t="str">
        <f>PLANILHA!B12</f>
        <v>SINAPI 02/2026 - SEM DESONERAÇÃO, SICRO  01/2026 - SEM DESONERAÇÃO</v>
      </c>
      <c r="C12" s="34"/>
      <c r="D12" s="35"/>
      <c r="E12" s="36"/>
      <c r="F12" s="36"/>
      <c r="G12" s="36"/>
      <c r="H12" s="36"/>
      <c r="I12" s="36"/>
      <c r="J12" s="37"/>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row>
    <row r="13" spans="1:38">
      <c r="A13" s="126" t="s">
        <v>275</v>
      </c>
      <c r="B13" s="126"/>
      <c r="C13" s="126"/>
      <c r="D13" s="126"/>
      <c r="E13" s="126"/>
      <c r="F13" s="126"/>
      <c r="G13" s="126"/>
      <c r="H13" s="126"/>
      <c r="I13" s="126"/>
      <c r="J13" s="126"/>
    </row>
    <row r="14" spans="1:38">
      <c r="A14" s="134" t="s">
        <v>9</v>
      </c>
      <c r="B14" s="134" t="s">
        <v>10</v>
      </c>
      <c r="C14" s="134" t="s">
        <v>11</v>
      </c>
      <c r="D14" s="136" t="s">
        <v>12</v>
      </c>
      <c r="E14" s="137"/>
      <c r="F14" s="137"/>
      <c r="G14" s="137"/>
      <c r="H14" s="138"/>
      <c r="I14" s="134" t="s">
        <v>14</v>
      </c>
      <c r="J14" s="134" t="s">
        <v>13</v>
      </c>
    </row>
    <row r="15" spans="1:38">
      <c r="A15" s="135"/>
      <c r="B15" s="135"/>
      <c r="C15" s="135"/>
      <c r="D15" s="136"/>
      <c r="E15" s="137"/>
      <c r="F15" s="137"/>
      <c r="G15" s="137"/>
      <c r="H15" s="138"/>
      <c r="I15" s="135"/>
      <c r="J15" s="135"/>
    </row>
    <row r="16" spans="1:38">
      <c r="A16" s="135"/>
      <c r="B16" s="135"/>
      <c r="C16" s="135"/>
      <c r="D16" s="139"/>
      <c r="E16" s="140"/>
      <c r="F16" s="140"/>
      <c r="G16" s="140"/>
      <c r="H16" s="141"/>
      <c r="I16" s="135"/>
      <c r="J16" s="135"/>
    </row>
    <row r="17" spans="1:29" s="26" customFormat="1" ht="30.6" customHeight="1">
      <c r="A17" s="43" t="str">
        <f>PLANILHA!A17</f>
        <v>1.</v>
      </c>
      <c r="B17" s="71"/>
      <c r="C17" s="72"/>
      <c r="D17" s="73" t="str">
        <f>PLANILHA!D17</f>
        <v>IMPLANTAÇÃO DA OBRA E SERVIÇOS PRELIMINARES</v>
      </c>
      <c r="E17" s="73"/>
      <c r="F17" s="73"/>
      <c r="G17" s="73"/>
      <c r="H17" s="74"/>
      <c r="I17" s="43"/>
      <c r="J17" s="43"/>
    </row>
    <row r="18" spans="1:29" s="1" customFormat="1" ht="59.25" customHeight="1">
      <c r="A18" s="7" t="str">
        <f>PLANILHA!A18</f>
        <v>1.1</v>
      </c>
      <c r="B18" s="21" t="str">
        <f>PLANILHA!B18</f>
        <v>ED-16660</v>
      </c>
      <c r="C18" s="7" t="str">
        <f>PLANILHA!C18</f>
        <v>SETOP</v>
      </c>
      <c r="D18" s="133" t="str">
        <f>PLANILHA!D18</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E18" s="133"/>
      <c r="F18" s="133"/>
      <c r="G18" s="133"/>
      <c r="H18" s="133"/>
      <c r="I18" s="7">
        <f>PLANILHA!F18</f>
        <v>4.5</v>
      </c>
      <c r="J18" s="7" t="str">
        <f>PLANILHA!E18</f>
        <v>M²</v>
      </c>
    </row>
    <row r="19" spans="1:29" s="1" customFormat="1">
      <c r="A19" s="80" t="s">
        <v>276</v>
      </c>
      <c r="B19" s="27"/>
      <c r="C19" t="s">
        <v>277</v>
      </c>
      <c r="D19" s="28" t="s">
        <v>278</v>
      </c>
      <c r="E19" s="28" t="s">
        <v>279</v>
      </c>
      <c r="F19" s="28" t="s">
        <v>280</v>
      </c>
      <c r="G19" s="28" t="s">
        <v>281</v>
      </c>
      <c r="H19" t="s">
        <v>282</v>
      </c>
      <c r="I19" t="s">
        <v>283</v>
      </c>
      <c r="J19" s="12" t="s">
        <v>284</v>
      </c>
    </row>
    <row r="20" spans="1:29">
      <c r="A20" s="7" t="s">
        <v>285</v>
      </c>
      <c r="B20" s="21"/>
      <c r="C20" s="75">
        <v>1.5</v>
      </c>
      <c r="D20" s="76">
        <v>3</v>
      </c>
      <c r="E20" s="76"/>
      <c r="F20" s="76"/>
      <c r="G20" s="76"/>
      <c r="H20" s="75"/>
      <c r="I20" s="75">
        <f>C20*D20</f>
        <v>4.5</v>
      </c>
      <c r="J20" s="75"/>
      <c r="N20" s="1"/>
      <c r="O20" s="1"/>
      <c r="P20" s="1"/>
      <c r="Q20" s="1"/>
      <c r="R20" s="1"/>
      <c r="S20" s="1"/>
      <c r="T20" s="1"/>
      <c r="U20" s="1"/>
      <c r="V20" s="1"/>
      <c r="W20" s="1"/>
      <c r="X20" s="1"/>
      <c r="Y20" s="1"/>
      <c r="Z20" s="1"/>
      <c r="AA20" s="1"/>
      <c r="AB20" s="1"/>
      <c r="AC20" s="1"/>
    </row>
    <row r="21" spans="1:29" s="1" customFormat="1">
      <c r="A21" s="80"/>
      <c r="B21" s="27"/>
      <c r="C21"/>
      <c r="D21" s="28"/>
      <c r="E21" s="28"/>
      <c r="F21" s="28"/>
      <c r="G21" s="28"/>
      <c r="H21" s="7" t="s">
        <v>283</v>
      </c>
      <c r="I21" s="77">
        <f>I20</f>
        <v>4.5</v>
      </c>
      <c r="J21" s="7" t="str">
        <f>J18</f>
        <v>M²</v>
      </c>
    </row>
    <row r="22" spans="1:29" s="1" customFormat="1" ht="51" customHeight="1">
      <c r="A22" s="7" t="str">
        <f>PLANILHA!A19</f>
        <v>1.2</v>
      </c>
      <c r="B22" s="21">
        <f>PLANILHA!B19</f>
        <v>10776</v>
      </c>
      <c r="C22" s="7" t="str">
        <f>PLANILHA!C19</f>
        <v>SINAPI</v>
      </c>
      <c r="D22" s="133" t="str">
        <f>PLANILHA!D19</f>
        <v>LOCACAO DE CONTAINER 2,30 X 6,00 M, ALT. 2,50 M, PARA ESCRITORIO, SEM DIVISORIAS INTERNAS E SEM SANITARIO (NAO INCLUI MOBILIZACAO/DESMOBILIZACAO)</v>
      </c>
      <c r="E22" s="133"/>
      <c r="F22" s="133"/>
      <c r="G22" s="133"/>
      <c r="H22" s="133"/>
      <c r="I22" s="7">
        <f>PLANILHA!F19</f>
        <v>8</v>
      </c>
      <c r="J22" s="7" t="str">
        <f>PLANILHA!E19</f>
        <v>MÊS</v>
      </c>
    </row>
    <row r="23" spans="1:29">
      <c r="A23" s="80" t="s">
        <v>276</v>
      </c>
      <c r="C23" t="s">
        <v>277</v>
      </c>
      <c r="D23" s="28" t="s">
        <v>278</v>
      </c>
      <c r="E23" s="28" t="s">
        <v>279</v>
      </c>
      <c r="F23" s="28" t="s">
        <v>280</v>
      </c>
      <c r="G23" s="28" t="s">
        <v>281</v>
      </c>
      <c r="H23" t="s">
        <v>31</v>
      </c>
      <c r="I23" t="s">
        <v>283</v>
      </c>
      <c r="J23" s="12" t="s">
        <v>284</v>
      </c>
      <c r="N23" s="1"/>
      <c r="O23" s="1"/>
      <c r="P23" s="1"/>
      <c r="Q23" s="1"/>
      <c r="R23" s="1"/>
      <c r="S23" s="1"/>
      <c r="T23" s="1"/>
      <c r="U23" s="1"/>
      <c r="V23" s="1"/>
      <c r="W23" s="1"/>
      <c r="X23" s="1"/>
      <c r="Y23" s="1"/>
      <c r="Z23" s="1"/>
      <c r="AA23" s="1"/>
      <c r="AB23" s="1"/>
      <c r="AC23" s="1"/>
    </row>
    <row r="24" spans="1:29">
      <c r="A24" s="7" t="s">
        <v>286</v>
      </c>
      <c r="B24" s="21"/>
      <c r="C24" s="75"/>
      <c r="D24" s="76"/>
      <c r="E24" s="76"/>
      <c r="F24" s="76"/>
      <c r="G24" s="76"/>
      <c r="H24" s="75">
        <v>8</v>
      </c>
      <c r="I24" s="75">
        <f>H24</f>
        <v>8</v>
      </c>
      <c r="J24" s="75"/>
      <c r="N24" s="1"/>
      <c r="O24" s="1"/>
      <c r="P24" s="1"/>
      <c r="Q24" s="1"/>
      <c r="R24" s="1"/>
      <c r="S24" s="1"/>
      <c r="T24" s="1"/>
      <c r="U24" s="1"/>
      <c r="V24" s="1"/>
      <c r="W24" s="1"/>
      <c r="X24" s="1"/>
      <c r="Y24" s="1"/>
      <c r="Z24" s="1"/>
      <c r="AA24" s="1"/>
      <c r="AB24" s="1"/>
      <c r="AC24" s="1"/>
    </row>
    <row r="25" spans="1:29">
      <c r="A25" s="80"/>
      <c r="H25" s="7" t="s">
        <v>283</v>
      </c>
      <c r="I25" s="77">
        <f>I24</f>
        <v>8</v>
      </c>
      <c r="J25" s="7" t="str">
        <f>J22</f>
        <v>MÊS</v>
      </c>
      <c r="N25" s="1"/>
      <c r="O25" s="1"/>
      <c r="P25" s="1"/>
      <c r="Q25" s="1"/>
      <c r="R25" s="1"/>
      <c r="S25" s="1"/>
      <c r="T25" s="1"/>
      <c r="U25" s="1"/>
      <c r="V25" s="1"/>
      <c r="W25" s="1"/>
      <c r="X25" s="1"/>
      <c r="Y25" s="1"/>
      <c r="Z25" s="1"/>
      <c r="AA25" s="1"/>
      <c r="AB25" s="1"/>
      <c r="AC25" s="1"/>
    </row>
    <row r="26" spans="1:29" s="1" customFormat="1" ht="51" customHeight="1">
      <c r="A26" s="7" t="str">
        <f>PLANILHA!A20</f>
        <v>1.3</v>
      </c>
      <c r="B26" s="21" t="str">
        <f>PLANILHA!B20</f>
        <v>ED-50137</v>
      </c>
      <c r="C26" s="7" t="str">
        <f>PLANILHA!C20</f>
        <v>SETOP</v>
      </c>
      <c r="D26" s="133" t="str">
        <f>PLANILHA!D20</f>
        <v>MOBILIZAÇÃO E DESMOBILIZAÇÃO DE CONTAINER, INCLUSIVE CARGA, DESCARGA E TRANSPORTE EM CAMINHÃO CARROCERIA COM GUINDAUTO (MUNCK), EXCLUSIVE LOCAÇÃO DO CONTAINER</v>
      </c>
      <c r="E26" s="133"/>
      <c r="F26" s="133"/>
      <c r="G26" s="133"/>
      <c r="H26" s="133"/>
      <c r="I26" s="7">
        <f>PLANILHA!F20</f>
        <v>1</v>
      </c>
      <c r="J26" s="7" t="str">
        <f>PLANILHA!E20</f>
        <v>UNIT.</v>
      </c>
    </row>
    <row r="27" spans="1:29">
      <c r="A27" s="80" t="s">
        <v>276</v>
      </c>
      <c r="C27" t="s">
        <v>277</v>
      </c>
      <c r="D27" s="28" t="s">
        <v>278</v>
      </c>
      <c r="E27" s="28" t="s">
        <v>279</v>
      </c>
      <c r="F27" s="28" t="s">
        <v>280</v>
      </c>
      <c r="G27" s="28" t="s">
        <v>281</v>
      </c>
      <c r="H27" t="s">
        <v>287</v>
      </c>
      <c r="I27" t="s">
        <v>283</v>
      </c>
      <c r="J27" s="12" t="s">
        <v>284</v>
      </c>
      <c r="N27" s="1"/>
      <c r="O27" s="1"/>
      <c r="P27" s="1"/>
      <c r="Q27" s="1"/>
      <c r="R27" s="1"/>
      <c r="S27" s="1"/>
      <c r="T27" s="1"/>
      <c r="U27" s="1"/>
      <c r="V27" s="1"/>
      <c r="W27" s="1"/>
      <c r="X27" s="1"/>
      <c r="Y27" s="1"/>
      <c r="Z27" s="1"/>
      <c r="AA27" s="1"/>
      <c r="AB27" s="1"/>
      <c r="AC27" s="1"/>
    </row>
    <row r="28" spans="1:29">
      <c r="A28" s="7" t="s">
        <v>286</v>
      </c>
      <c r="B28" s="21"/>
      <c r="C28" s="75"/>
      <c r="D28" s="76"/>
      <c r="E28" s="76"/>
      <c r="F28" s="76"/>
      <c r="G28" s="76"/>
      <c r="H28" s="75">
        <v>1</v>
      </c>
      <c r="I28" s="75">
        <f>H28</f>
        <v>1</v>
      </c>
      <c r="J28" s="75"/>
      <c r="N28" s="1"/>
      <c r="O28" s="1"/>
      <c r="P28" s="1"/>
      <c r="Q28" s="1"/>
      <c r="R28" s="1"/>
      <c r="S28" s="1"/>
      <c r="T28" s="1"/>
      <c r="U28" s="1"/>
      <c r="V28" s="1"/>
      <c r="W28" s="1"/>
      <c r="X28" s="1"/>
      <c r="Y28" s="1"/>
      <c r="Z28" s="1"/>
      <c r="AA28" s="1"/>
      <c r="AB28" s="1"/>
      <c r="AC28" s="1"/>
    </row>
    <row r="29" spans="1:29">
      <c r="A29" s="80"/>
      <c r="H29" s="7" t="s">
        <v>283</v>
      </c>
      <c r="I29" s="77">
        <f>I28</f>
        <v>1</v>
      </c>
      <c r="J29" s="7" t="str">
        <f>J26</f>
        <v>UNIT.</v>
      </c>
      <c r="N29" s="1"/>
      <c r="O29" s="1"/>
      <c r="P29" s="1"/>
      <c r="Q29" s="1"/>
      <c r="R29" s="1"/>
      <c r="S29" s="1"/>
      <c r="T29" s="1"/>
      <c r="U29" s="1"/>
      <c r="V29" s="1"/>
      <c r="W29" s="1"/>
      <c r="X29" s="1"/>
      <c r="Y29" s="1"/>
      <c r="Z29" s="1"/>
      <c r="AA29" s="1"/>
      <c r="AB29" s="1"/>
      <c r="AC29" s="1"/>
    </row>
    <row r="30" spans="1:29" s="1" customFormat="1" ht="51" customHeight="1">
      <c r="A30" s="7" t="str">
        <f>PLANILHA!A21</f>
        <v>1.4</v>
      </c>
      <c r="B30" s="21" t="str">
        <f>PLANILHA!B21</f>
        <v>ED-50276</v>
      </c>
      <c r="C30" s="7" t="str">
        <f>PLANILHA!C21</f>
        <v>SETOP</v>
      </c>
      <c r="D30" s="133" t="str">
        <f>PLANILHA!D21</f>
        <v>LOCAÇÃO TOPOGRÁFICA ACIMA DE CINQUENTA (50) PONTOS REFERENCIAIS, INCLUSIVE ESTACA (PIQUETE) DE MARCAÇÃO (PRAÇA)</v>
      </c>
      <c r="E30" s="133"/>
      <c r="F30" s="133"/>
      <c r="G30" s="133"/>
      <c r="H30" s="133"/>
      <c r="I30" s="7">
        <f>PLANILHA!F21</f>
        <v>80</v>
      </c>
      <c r="J30" s="7" t="str">
        <f>PLANILHA!E21</f>
        <v>UNIT.</v>
      </c>
    </row>
    <row r="31" spans="1:29">
      <c r="A31" s="80" t="s">
        <v>276</v>
      </c>
      <c r="C31" t="s">
        <v>277</v>
      </c>
      <c r="D31" s="28" t="s">
        <v>278</v>
      </c>
      <c r="E31" s="28" t="s">
        <v>279</v>
      </c>
      <c r="F31" s="28" t="s">
        <v>280</v>
      </c>
      <c r="G31" s="28" t="s">
        <v>281</v>
      </c>
      <c r="H31" t="s">
        <v>287</v>
      </c>
      <c r="I31" t="s">
        <v>283</v>
      </c>
      <c r="J31" s="12" t="s">
        <v>284</v>
      </c>
    </row>
    <row r="32" spans="1:29">
      <c r="A32" s="7" t="s">
        <v>288</v>
      </c>
      <c r="B32" s="21"/>
      <c r="C32" s="75"/>
      <c r="D32" s="76"/>
      <c r="E32" s="76"/>
      <c r="F32" s="76"/>
      <c r="G32" s="76"/>
      <c r="H32" s="75">
        <v>80</v>
      </c>
      <c r="I32" s="75">
        <f>H32</f>
        <v>80</v>
      </c>
      <c r="J32" s="75"/>
    </row>
    <row r="33" spans="1:10">
      <c r="A33" s="80"/>
      <c r="H33" s="7" t="s">
        <v>283</v>
      </c>
      <c r="I33" s="77">
        <f>I32</f>
        <v>80</v>
      </c>
      <c r="J33" s="7" t="str">
        <f>J30</f>
        <v>UNIT.</v>
      </c>
    </row>
    <row r="34" spans="1:10" s="1" customFormat="1" ht="51" customHeight="1">
      <c r="A34" s="7" t="str">
        <f>PLANILHA!A22</f>
        <v>1.5</v>
      </c>
      <c r="B34" s="21">
        <f>PLANILHA!B22</f>
        <v>105009</v>
      </c>
      <c r="C34" s="7" t="str">
        <f>PLANILHA!C22</f>
        <v>SINAPI</v>
      </c>
      <c r="D34" s="133" t="str">
        <f>PLANILHA!D22</f>
        <v>LOCAÇÃO CONVENCIONAL DE OBRA, UTILIZANDO GABARITO DE TÁBUAS CORRIDAS PONTALETADAS A CADA
1,50M - 2 UTILIZAÇÕES. AF_03/2024</v>
      </c>
      <c r="E34" s="133"/>
      <c r="F34" s="133"/>
      <c r="G34" s="133"/>
      <c r="H34" s="133"/>
      <c r="I34" s="7">
        <f>PLANILHA!F22</f>
        <v>46.3</v>
      </c>
      <c r="J34" s="7" t="str">
        <f>PLANILHA!E22</f>
        <v>M</v>
      </c>
    </row>
    <row r="35" spans="1:10">
      <c r="A35" s="80" t="s">
        <v>276</v>
      </c>
      <c r="C35" t="s">
        <v>277</v>
      </c>
      <c r="D35" s="28" t="s">
        <v>278</v>
      </c>
      <c r="E35" s="28" t="s">
        <v>279</v>
      </c>
      <c r="F35" s="28" t="s">
        <v>280</v>
      </c>
      <c r="G35" s="28" t="s">
        <v>281</v>
      </c>
      <c r="H35" t="s">
        <v>287</v>
      </c>
      <c r="I35" t="s">
        <v>283</v>
      </c>
      <c r="J35" s="12" t="s">
        <v>284</v>
      </c>
    </row>
    <row r="36" spans="1:10">
      <c r="A36" s="7" t="s">
        <v>288</v>
      </c>
      <c r="B36" s="21"/>
      <c r="C36" s="75"/>
      <c r="D36" s="76"/>
      <c r="E36" s="76"/>
      <c r="F36" s="76"/>
      <c r="G36" s="76"/>
      <c r="H36" s="75">
        <v>46.3</v>
      </c>
      <c r="I36" s="75">
        <f>H36</f>
        <v>46.3</v>
      </c>
      <c r="J36" s="75"/>
    </row>
    <row r="37" spans="1:10">
      <c r="A37" s="80"/>
      <c r="H37" s="7" t="s">
        <v>283</v>
      </c>
      <c r="I37" s="77">
        <f>I36</f>
        <v>46.3</v>
      </c>
      <c r="J37" s="7" t="str">
        <f>J34</f>
        <v>M</v>
      </c>
    </row>
    <row r="38" spans="1:10" s="1" customFormat="1" ht="51" customHeight="1">
      <c r="A38" s="7" t="str">
        <f>PLANILHA!A23</f>
        <v>1.6</v>
      </c>
      <c r="B38" s="21" t="str">
        <f>PLANILHA!B23</f>
        <v>ED-14457</v>
      </c>
      <c r="C38" s="7" t="str">
        <f>PLANILHA!C23</f>
        <v>SETOP</v>
      </c>
      <c r="D38" s="133" t="str">
        <f>PLANILHA!D23</f>
        <v>PORTÃO PARA TAPUME FIXO DE PROTEÇÃO COM FECHAMENTO DE OBRA EM TELHA METÁLICA GALVANIZADA, TIPO TRAPEZOIDAL ESP. 0,5MM, COM MÓDULO NA  DIMENSÃO DE (300X220)CM, EXCLUSIVE PINTURA ESMALTE</v>
      </c>
      <c r="E38" s="133"/>
      <c r="F38" s="133"/>
      <c r="G38" s="133"/>
      <c r="H38" s="133"/>
      <c r="I38" s="7">
        <f>PLANILHA!F23</f>
        <v>10</v>
      </c>
      <c r="J38" s="7" t="str">
        <f>PLANILHA!E23</f>
        <v>m2</v>
      </c>
    </row>
    <row r="39" spans="1:10">
      <c r="A39" s="80" t="s">
        <v>276</v>
      </c>
      <c r="C39" t="s">
        <v>277</v>
      </c>
      <c r="D39" s="28" t="s">
        <v>278</v>
      </c>
      <c r="E39" s="28" t="s">
        <v>279</v>
      </c>
      <c r="F39" s="28" t="s">
        <v>280</v>
      </c>
      <c r="G39" s="28" t="s">
        <v>281</v>
      </c>
      <c r="H39" t="s">
        <v>287</v>
      </c>
      <c r="I39" t="s">
        <v>283</v>
      </c>
      <c r="J39" s="12" t="s">
        <v>284</v>
      </c>
    </row>
    <row r="40" spans="1:10">
      <c r="A40" s="7" t="s">
        <v>289</v>
      </c>
      <c r="B40" s="21"/>
      <c r="C40" s="75">
        <v>5</v>
      </c>
      <c r="D40" s="76">
        <v>2</v>
      </c>
      <c r="E40" s="76"/>
      <c r="F40" s="76"/>
      <c r="G40" s="76"/>
      <c r="H40" s="75"/>
      <c r="I40" s="75">
        <f>C40*D40</f>
        <v>10</v>
      </c>
      <c r="J40" s="75"/>
    </row>
    <row r="41" spans="1:10">
      <c r="A41" s="80"/>
      <c r="H41" s="7" t="s">
        <v>283</v>
      </c>
      <c r="I41" s="77">
        <f>I40</f>
        <v>10</v>
      </c>
      <c r="J41" s="7" t="str">
        <f>J38</f>
        <v>m2</v>
      </c>
    </row>
    <row r="42" spans="1:10" s="1" customFormat="1" ht="51" customHeight="1">
      <c r="A42" s="7" t="str">
        <f>PLANILHA!A24</f>
        <v>1.7</v>
      </c>
      <c r="B42" s="21" t="str">
        <f>PLANILHA!B24</f>
        <v>ED-2982</v>
      </c>
      <c r="C42" s="7" t="str">
        <f>PLANILHA!C24</f>
        <v>SETOP</v>
      </c>
      <c r="D42" s="133" t="str">
        <f>PLANILHA!D24</f>
        <v>TAPUME FIXO DE PROTEÇÃO PARA FECHAMENTO DE OBRA EM TELHA METÁLICA GALVANIZADA, TIPO TRAPEZOIDAL, ESP. 0,5MM, COM MÓDULO NA DIMENSÃO DE (300X220)CM, COM
REAPROVEITAMENTO, EXCLUSIVE PINTURA ESMALTE, INCLUSIVE PONTALETE E FIXAÇÃO</v>
      </c>
      <c r="E42" s="133"/>
      <c r="F42" s="133"/>
      <c r="G42" s="133"/>
      <c r="H42" s="133"/>
      <c r="I42" s="7">
        <f>PLANILHA!F24</f>
        <v>324</v>
      </c>
      <c r="J42" s="7" t="str">
        <f>PLANILHA!E24</f>
        <v>m2</v>
      </c>
    </row>
    <row r="43" spans="1:10">
      <c r="A43" s="80" t="s">
        <v>276</v>
      </c>
      <c r="C43" t="s">
        <v>277</v>
      </c>
      <c r="D43" s="28" t="s">
        <v>278</v>
      </c>
      <c r="E43" s="28" t="s">
        <v>279</v>
      </c>
      <c r="F43" s="28" t="s">
        <v>280</v>
      </c>
      <c r="G43" s="28" t="s">
        <v>281</v>
      </c>
      <c r="H43" t="s">
        <v>282</v>
      </c>
      <c r="I43" t="s">
        <v>283</v>
      </c>
      <c r="J43" s="12" t="s">
        <v>284</v>
      </c>
    </row>
    <row r="44" spans="1:10">
      <c r="A44" s="7" t="s">
        <v>289</v>
      </c>
      <c r="B44" s="21"/>
      <c r="C44" s="75">
        <v>162</v>
      </c>
      <c r="D44" s="76"/>
      <c r="E44" s="76">
        <v>2</v>
      </c>
      <c r="F44" s="76"/>
      <c r="G44" s="76"/>
      <c r="H44" s="75"/>
      <c r="I44" s="75">
        <f>C44*E44</f>
        <v>324</v>
      </c>
      <c r="J44" s="75"/>
    </row>
    <row r="45" spans="1:10">
      <c r="A45" s="80"/>
      <c r="H45" s="7" t="s">
        <v>283</v>
      </c>
      <c r="I45" s="77">
        <f>I44</f>
        <v>324</v>
      </c>
      <c r="J45" s="7" t="str">
        <f>J42</f>
        <v>m2</v>
      </c>
    </row>
    <row r="46" spans="1:10" s="1" customFormat="1" ht="51" customHeight="1">
      <c r="A46" s="7" t="str">
        <f>PLANILHA!A25</f>
        <v>1.8</v>
      </c>
      <c r="B46" s="21" t="str">
        <f>PLANILHA!B25</f>
        <v>ED-50166</v>
      </c>
      <c r="C46" s="7" t="str">
        <f>PLANILHA!C25</f>
        <v>SETOP</v>
      </c>
      <c r="D46" s="133" t="str">
        <f>PLANILHA!D25</f>
        <v>REMANEJAMENTO DE TAPUME FIXO DE PROTEÇÃO PARA
FECHAMENTO DE OBRA, INCLUSIVE ESCAVAÇÃO MANUAL E
REATERRO COMPACTADO</v>
      </c>
      <c r="E46" s="133"/>
      <c r="F46" s="133"/>
      <c r="G46" s="133"/>
      <c r="H46" s="133"/>
      <c r="I46" s="7">
        <f>PLANILHA!F25</f>
        <v>62</v>
      </c>
      <c r="J46" s="7" t="str">
        <f>PLANILHA!E25</f>
        <v>m2</v>
      </c>
    </row>
    <row r="47" spans="1:10">
      <c r="A47" s="80" t="s">
        <v>276</v>
      </c>
      <c r="C47" t="s">
        <v>277</v>
      </c>
      <c r="D47" s="28" t="s">
        <v>278</v>
      </c>
      <c r="E47" s="28" t="s">
        <v>279</v>
      </c>
      <c r="F47" s="28" t="s">
        <v>280</v>
      </c>
      <c r="G47" s="28" t="s">
        <v>281</v>
      </c>
      <c r="H47" t="s">
        <v>282</v>
      </c>
      <c r="I47" t="s">
        <v>283</v>
      </c>
      <c r="J47" s="12" t="s">
        <v>284</v>
      </c>
    </row>
    <row r="48" spans="1:10">
      <c r="A48" s="7" t="s">
        <v>289</v>
      </c>
      <c r="B48" s="21"/>
      <c r="C48" s="75">
        <v>31</v>
      </c>
      <c r="D48" s="76"/>
      <c r="E48" s="76">
        <v>2</v>
      </c>
      <c r="F48" s="76"/>
      <c r="G48" s="76"/>
      <c r="H48" s="75"/>
      <c r="I48" s="75">
        <f>C48*E48</f>
        <v>62</v>
      </c>
      <c r="J48" s="76" t="s">
        <v>290</v>
      </c>
    </row>
    <row r="49" spans="1:10">
      <c r="A49" s="80"/>
      <c r="H49" s="7" t="s">
        <v>283</v>
      </c>
      <c r="I49" s="77">
        <f>I48</f>
        <v>62</v>
      </c>
      <c r="J49" s="7" t="str">
        <f>J46</f>
        <v>m2</v>
      </c>
    </row>
    <row r="50" spans="1:10" s="26" customFormat="1" ht="30.6" customHeight="1">
      <c r="A50" s="43" t="str">
        <f>PLANILHA!A26</f>
        <v>2.</v>
      </c>
      <c r="B50" s="71"/>
      <c r="C50" s="72"/>
      <c r="D50" s="73" t="str">
        <f>PLANILHA!D26</f>
        <v>MOVIMENTAÇÃO DE TERRA, JARDINAGEM E DEMOLIÇÃO.</v>
      </c>
      <c r="E50" s="73"/>
      <c r="F50" s="73"/>
      <c r="G50" s="73"/>
      <c r="H50" s="74"/>
      <c r="I50" s="43"/>
      <c r="J50" s="43"/>
    </row>
    <row r="51" spans="1:10" s="1" customFormat="1" ht="46.5" customHeight="1">
      <c r="A51" s="7" t="str">
        <f>PLANILHA!A27</f>
        <v>2.1</v>
      </c>
      <c r="B51" s="21" t="str">
        <f>PLANILHA!B27</f>
        <v>ED-48489</v>
      </c>
      <c r="C51" s="7" t="str">
        <f>PLANILHA!C27</f>
        <v>SETOP</v>
      </c>
      <c r="D51" s="133" t="str">
        <f>PLANILHA!D27</f>
        <v>DEMOLIÇÃO MECANIZADA DE LAJE DE CONCRETO ARMADO, COM ESPESSURA DE ATÉ 15CM, , COM EQUIPAMENTO ELÉTRICO, INCLUSIVE AFASTAMENTO E EMPILHAMENTO, EXCLUSIVE TRANSPORTE E RETIRADA DO MATERIAL DEMOLIDO</v>
      </c>
      <c r="E51" s="133"/>
      <c r="F51" s="133"/>
      <c r="G51" s="133"/>
      <c r="H51" s="133"/>
      <c r="I51" s="7">
        <f>PLANILHA!F27</f>
        <v>62.28</v>
      </c>
      <c r="J51" s="7" t="str">
        <f>PLANILHA!E27</f>
        <v>M²</v>
      </c>
    </row>
    <row r="52" spans="1:10">
      <c r="A52" s="80" t="s">
        <v>276</v>
      </c>
      <c r="C52" t="s">
        <v>277</v>
      </c>
      <c r="D52" s="28" t="s">
        <v>278</v>
      </c>
      <c r="E52" s="28" t="s">
        <v>279</v>
      </c>
      <c r="F52" s="28" t="s">
        <v>280</v>
      </c>
      <c r="G52" s="28" t="s">
        <v>281</v>
      </c>
      <c r="H52" t="s">
        <v>287</v>
      </c>
      <c r="I52" t="s">
        <v>283</v>
      </c>
      <c r="J52" s="12" t="s">
        <v>291</v>
      </c>
    </row>
    <row r="53" spans="1:10">
      <c r="A53" s="7" t="s">
        <v>292</v>
      </c>
      <c r="B53" s="21"/>
      <c r="C53" s="75"/>
      <c r="D53" s="76"/>
      <c r="E53" s="76"/>
      <c r="F53" s="76">
        <v>62.28</v>
      </c>
      <c r="G53" s="76"/>
      <c r="H53" s="75"/>
      <c r="I53" s="75">
        <f>F53</f>
        <v>62.28</v>
      </c>
      <c r="J53" s="75" t="s">
        <v>293</v>
      </c>
    </row>
    <row r="54" spans="1:10">
      <c r="A54" s="80"/>
      <c r="H54" s="7" t="s">
        <v>283</v>
      </c>
      <c r="I54" s="77">
        <f>I53</f>
        <v>62.28</v>
      </c>
      <c r="J54" s="7" t="str">
        <f>J51</f>
        <v>M²</v>
      </c>
    </row>
    <row r="55" spans="1:10" s="1" customFormat="1" ht="46.5" customHeight="1">
      <c r="A55" s="7" t="str">
        <f>PLANILHA!A28</f>
        <v>2.2</v>
      </c>
      <c r="B55" s="21">
        <f>PLANILHA!B28</f>
        <v>97625</v>
      </c>
      <c r="C55" s="7" t="str">
        <f>PLANILHA!C28</f>
        <v>SINAPI</v>
      </c>
      <c r="D55" s="133" t="str">
        <f>PLANILHA!D28</f>
        <v>DEMOLIÇÃO DE ALVENARIA PARA QUALQUER TIPO DE BLOCO, DE FORMA MECANIZADA, SEM  REAPROVEITAMENTO. AF_09/2023</v>
      </c>
      <c r="E55" s="133"/>
      <c r="F55" s="133"/>
      <c r="G55" s="133"/>
      <c r="H55" s="133"/>
      <c r="I55" s="7">
        <f>PLANILHA!F28</f>
        <v>20</v>
      </c>
      <c r="J55" s="7" t="str">
        <f>PLANILHA!E28</f>
        <v>M³</v>
      </c>
    </row>
    <row r="56" spans="1:10">
      <c r="A56" s="80" t="s">
        <v>276</v>
      </c>
      <c r="C56" t="s">
        <v>277</v>
      </c>
      <c r="D56" s="28" t="s">
        <v>278</v>
      </c>
      <c r="E56" s="28" t="s">
        <v>279</v>
      </c>
      <c r="F56" s="28" t="s">
        <v>280</v>
      </c>
      <c r="G56" s="28" t="s">
        <v>281</v>
      </c>
      <c r="H56" t="s">
        <v>287</v>
      </c>
      <c r="I56" t="s">
        <v>283</v>
      </c>
      <c r="J56" s="12" t="s">
        <v>291</v>
      </c>
    </row>
    <row r="57" spans="1:10">
      <c r="A57" s="7" t="s">
        <v>294</v>
      </c>
      <c r="B57" s="21"/>
      <c r="C57" s="75">
        <v>30</v>
      </c>
      <c r="D57" s="76"/>
      <c r="E57" s="76"/>
      <c r="F57" s="76">
        <v>20</v>
      </c>
      <c r="G57" s="76"/>
      <c r="H57" s="75"/>
      <c r="I57" s="75">
        <v>20</v>
      </c>
      <c r="J57" s="75"/>
    </row>
    <row r="58" spans="1:10" ht="14.45" customHeight="1">
      <c r="A58" s="80"/>
      <c r="H58" s="7" t="s">
        <v>283</v>
      </c>
      <c r="I58" s="77">
        <v>20</v>
      </c>
      <c r="J58" s="7" t="str">
        <f>J55</f>
        <v>M³</v>
      </c>
    </row>
    <row r="59" spans="1:10" s="1" customFormat="1" ht="46.5" customHeight="1">
      <c r="A59" s="7" t="str">
        <f>PLANILHA!A29</f>
        <v>2.3</v>
      </c>
      <c r="B59" s="21" t="str">
        <f>PLANILHA!B29</f>
        <v>ED-48476</v>
      </c>
      <c r="C59" s="7" t="str">
        <f>PLANILHA!C29</f>
        <v>SETOP</v>
      </c>
      <c r="D59" s="133" t="str">
        <f>PLANILHA!D29</f>
        <v>REMOÇÃO MANUAL DE PAVIMENTAÇÃO INTERTRAVADA OU SEXTAVADO EM PRÉ-MOLDADO DE CONCRETO, COM REAPROVEITAMENTO, INCLUSIVE AFASTAMENTO E EMPILHAMENTO, EXCLUSIVE TRANSPORTE E RETIRADA DO MATERIAL REMOVIDO NÃO REAPROVEITÁVEL</v>
      </c>
      <c r="E59" s="133"/>
      <c r="F59" s="133"/>
      <c r="G59" s="133"/>
      <c r="H59" s="133"/>
      <c r="I59" s="7">
        <f>PLANILHA!F29</f>
        <v>50</v>
      </c>
      <c r="J59" s="7" t="str">
        <f>PLANILHA!E29</f>
        <v>M²</v>
      </c>
    </row>
    <row r="60" spans="1:10">
      <c r="A60" s="80" t="s">
        <v>276</v>
      </c>
      <c r="C60" t="s">
        <v>277</v>
      </c>
      <c r="D60" s="28" t="s">
        <v>278</v>
      </c>
      <c r="E60" s="28" t="s">
        <v>279</v>
      </c>
      <c r="F60" s="28" t="s">
        <v>280</v>
      </c>
      <c r="G60" s="28" t="s">
        <v>281</v>
      </c>
      <c r="H60" t="s">
        <v>287</v>
      </c>
      <c r="I60" t="s">
        <v>283</v>
      </c>
      <c r="J60" s="12" t="s">
        <v>284</v>
      </c>
    </row>
    <row r="61" spans="1:10" ht="23.25" customHeight="1">
      <c r="A61" s="7" t="s">
        <v>295</v>
      </c>
      <c r="B61" s="21"/>
      <c r="C61" s="75"/>
      <c r="D61" s="76"/>
      <c r="E61" s="76"/>
      <c r="F61" s="76">
        <v>50</v>
      </c>
      <c r="G61" s="76"/>
      <c r="H61" s="75"/>
      <c r="I61" s="75">
        <f>F61</f>
        <v>50</v>
      </c>
      <c r="J61" s="76" t="s">
        <v>290</v>
      </c>
    </row>
    <row r="62" spans="1:10">
      <c r="A62" s="80"/>
      <c r="H62" s="7" t="s">
        <v>283</v>
      </c>
      <c r="I62" s="77">
        <f>I61</f>
        <v>50</v>
      </c>
      <c r="J62" s="7" t="str">
        <f>J59</f>
        <v>M²</v>
      </c>
    </row>
    <row r="63" spans="1:10" s="1" customFormat="1" ht="46.5" customHeight="1">
      <c r="A63" s="7" t="str">
        <f>PLANILHA!A30</f>
        <v>2.4</v>
      </c>
      <c r="B63" s="21" t="str">
        <f>PLANILHA!B30</f>
        <v>ED-48472</v>
      </c>
      <c r="C63" s="7" t="str">
        <f>PLANILHA!C30</f>
        <v>SETOP</v>
      </c>
      <c r="D63" s="133" t="str">
        <f>PLANILHA!D30</f>
        <v>REMOÇÃO MANUAL DE GUIA DE MEIO-FIO PRÉ-MOLDADA EM
CONCRETO, COM REAPROVEITAMENTO, INCLUSIVE
AFASTAMENTO E EMPILHAMENTO, EXCLUSIVE TRANSPORTE E
RETIRADA DO MATERIAL REMOVIDO NÃO REAPROVEITÁVEL</v>
      </c>
      <c r="E63" s="133"/>
      <c r="F63" s="133"/>
      <c r="G63" s="133"/>
      <c r="H63" s="133"/>
      <c r="I63" s="7">
        <f>PLANILHA!F30</f>
        <v>50</v>
      </c>
      <c r="J63" s="7" t="str">
        <f>PLANILHA!E30</f>
        <v>M</v>
      </c>
    </row>
    <row r="64" spans="1:10">
      <c r="A64" s="80" t="s">
        <v>276</v>
      </c>
      <c r="C64" t="s">
        <v>277</v>
      </c>
      <c r="D64" s="28" t="s">
        <v>278</v>
      </c>
      <c r="E64" s="28" t="s">
        <v>279</v>
      </c>
      <c r="F64" s="28" t="s">
        <v>280</v>
      </c>
      <c r="G64" s="28" t="s">
        <v>281</v>
      </c>
      <c r="H64" t="s">
        <v>287</v>
      </c>
      <c r="I64" t="s">
        <v>283</v>
      </c>
      <c r="J64" s="12" t="s">
        <v>284</v>
      </c>
    </row>
    <row r="65" spans="1:10">
      <c r="A65" s="7" t="s">
        <v>296</v>
      </c>
      <c r="B65" s="21"/>
      <c r="C65" s="75">
        <v>50</v>
      </c>
      <c r="D65" s="76"/>
      <c r="E65" s="76"/>
      <c r="F65" s="76"/>
      <c r="G65" s="76"/>
      <c r="H65" s="75"/>
      <c r="I65" s="75">
        <f>C65</f>
        <v>50</v>
      </c>
      <c r="J65" s="76" t="s">
        <v>290</v>
      </c>
    </row>
    <row r="66" spans="1:10">
      <c r="A66" s="80"/>
      <c r="H66" s="7" t="s">
        <v>283</v>
      </c>
      <c r="I66" s="77">
        <f>I65</f>
        <v>50</v>
      </c>
      <c r="J66" s="7" t="str">
        <f>J63</f>
        <v>M</v>
      </c>
    </row>
    <row r="67" spans="1:10" s="1" customFormat="1" ht="51" customHeight="1">
      <c r="A67" s="7" t="str">
        <f>PLANILHA!A31</f>
        <v>2.5</v>
      </c>
      <c r="B67" s="21">
        <f>PLANILHA!B31</f>
        <v>98520</v>
      </c>
      <c r="C67" s="7" t="str">
        <f>PLANILHA!C31</f>
        <v>SINAPI</v>
      </c>
      <c r="D67" s="133" t="str">
        <f>PLANILHA!D31</f>
        <v>APLICAÇÃO DE ADUBO EM SOLO. AF_07/2024</v>
      </c>
      <c r="E67" s="133"/>
      <c r="F67" s="133"/>
      <c r="G67" s="133"/>
      <c r="H67" s="133"/>
      <c r="I67" s="7">
        <f>PLANILHA!F31</f>
        <v>435.18</v>
      </c>
      <c r="J67" s="7" t="str">
        <f>PLANILHA!E31</f>
        <v>M²</v>
      </c>
    </row>
    <row r="68" spans="1:10">
      <c r="A68" s="80" t="s">
        <v>276</v>
      </c>
      <c r="C68" t="s">
        <v>277</v>
      </c>
      <c r="D68" s="28" t="s">
        <v>278</v>
      </c>
      <c r="E68" s="28" t="s">
        <v>279</v>
      </c>
      <c r="F68" s="28" t="s">
        <v>280</v>
      </c>
      <c r="G68" s="28" t="s">
        <v>281</v>
      </c>
      <c r="H68" t="s">
        <v>287</v>
      </c>
      <c r="I68" t="s">
        <v>283</v>
      </c>
      <c r="J68" s="12" t="s">
        <v>284</v>
      </c>
    </row>
    <row r="69" spans="1:10" ht="30">
      <c r="A69" s="78" t="s">
        <v>297</v>
      </c>
      <c r="B69" s="21"/>
      <c r="C69" s="75"/>
      <c r="D69" s="76"/>
      <c r="E69" s="76"/>
      <c r="F69" s="76">
        <v>435.18</v>
      </c>
      <c r="G69" s="76"/>
      <c r="H69" s="75"/>
      <c r="I69" s="75">
        <f>F69</f>
        <v>435.18</v>
      </c>
      <c r="J69" s="76" t="s">
        <v>298</v>
      </c>
    </row>
    <row r="70" spans="1:10">
      <c r="A70" s="80"/>
      <c r="H70" s="7" t="s">
        <v>283</v>
      </c>
      <c r="I70" s="77">
        <f>I69</f>
        <v>435.18</v>
      </c>
      <c r="J70" s="7" t="str">
        <f>J67</f>
        <v>M²</v>
      </c>
    </row>
    <row r="71" spans="1:10" s="1" customFormat="1" ht="51" customHeight="1">
      <c r="A71" s="7" t="str">
        <f>PLANILHA!A32</f>
        <v>2.6</v>
      </c>
      <c r="B71" s="21" t="str">
        <f>PLANILHA!B32</f>
        <v>ED-50437</v>
      </c>
      <c r="C71" s="7" t="str">
        <f>PLANILHA!C32</f>
        <v>SETOP</v>
      </c>
      <c r="D71" s="133" t="str">
        <f>PLANILHA!D32</f>
        <v>PLANTIO DE GRAMA ESMERALDA EM PLACAS, INCLUSIVE TERRA VEGETAL E CONSERVAÇÃO POR TRINTA (30) DIAS</v>
      </c>
      <c r="E71" s="133"/>
      <c r="F71" s="133"/>
      <c r="G71" s="133"/>
      <c r="H71" s="133"/>
      <c r="I71" s="7">
        <f>PLANILHA!F32</f>
        <v>421.73</v>
      </c>
      <c r="J71" s="7" t="str">
        <f>PLANILHA!E32</f>
        <v>M²</v>
      </c>
    </row>
    <row r="72" spans="1:10">
      <c r="A72" s="80" t="s">
        <v>276</v>
      </c>
      <c r="C72" t="s">
        <v>277</v>
      </c>
      <c r="D72" s="28" t="s">
        <v>278</v>
      </c>
      <c r="E72" s="28" t="s">
        <v>279</v>
      </c>
      <c r="F72" s="28" t="s">
        <v>280</v>
      </c>
      <c r="G72" s="28" t="s">
        <v>281</v>
      </c>
      <c r="H72" t="s">
        <v>287</v>
      </c>
      <c r="I72" t="s">
        <v>283</v>
      </c>
      <c r="J72" s="12" t="s">
        <v>284</v>
      </c>
    </row>
    <row r="73" spans="1:10" ht="30">
      <c r="A73" s="7" t="s">
        <v>299</v>
      </c>
      <c r="B73" s="21"/>
      <c r="C73" s="75"/>
      <c r="D73" s="76"/>
      <c r="E73" s="76"/>
      <c r="F73" s="76">
        <v>411.73</v>
      </c>
      <c r="G73" s="76"/>
      <c r="H73" s="75"/>
      <c r="I73" s="75">
        <v>421.73</v>
      </c>
      <c r="J73" s="76" t="s">
        <v>300</v>
      </c>
    </row>
    <row r="74" spans="1:10">
      <c r="A74" s="80"/>
      <c r="H74" s="7" t="s">
        <v>283</v>
      </c>
      <c r="I74" s="77">
        <f>I73</f>
        <v>421.73</v>
      </c>
      <c r="J74" s="7" t="str">
        <f>J71</f>
        <v>M²</v>
      </c>
    </row>
    <row r="75" spans="1:10" s="1" customFormat="1" ht="36" customHeight="1">
      <c r="A75" s="7" t="str">
        <f>PLANILHA!A33</f>
        <v>2.7</v>
      </c>
      <c r="B75" s="21">
        <f>PLANILHA!B33</f>
        <v>98516</v>
      </c>
      <c r="C75" s="7" t="str">
        <f>PLANILHA!C33</f>
        <v>SINAPI</v>
      </c>
      <c r="D75" s="133" t="str">
        <f>PLANILHA!D33</f>
        <v>PLANTIO DE PALMEIRA COM ALTURA DE MUDA MENOR OU IGUAL A 2,00 M . AF_07/2024</v>
      </c>
      <c r="E75" s="133"/>
      <c r="F75" s="133"/>
      <c r="G75" s="133"/>
      <c r="H75" s="133"/>
      <c r="I75" s="7">
        <f>PLANILHA!F33</f>
        <v>19</v>
      </c>
      <c r="J75" s="7" t="str">
        <f>PLANILHA!E33</f>
        <v>UND</v>
      </c>
    </row>
    <row r="76" spans="1:10">
      <c r="A76" s="80" t="s">
        <v>276</v>
      </c>
      <c r="C76" t="s">
        <v>277</v>
      </c>
      <c r="D76" s="28" t="s">
        <v>278</v>
      </c>
      <c r="E76" s="28" t="s">
        <v>279</v>
      </c>
      <c r="F76" s="28" t="s">
        <v>280</v>
      </c>
      <c r="G76" s="28" t="s">
        <v>281</v>
      </c>
      <c r="H76" t="s">
        <v>287</v>
      </c>
      <c r="I76" t="s">
        <v>283</v>
      </c>
      <c r="J76" s="12" t="s">
        <v>284</v>
      </c>
    </row>
    <row r="77" spans="1:10">
      <c r="A77" s="7" t="s">
        <v>301</v>
      </c>
      <c r="B77" s="21"/>
      <c r="C77" s="75"/>
      <c r="D77" s="76"/>
      <c r="E77" s="76"/>
      <c r="F77" s="76"/>
      <c r="G77" s="76"/>
      <c r="H77" s="75">
        <v>19</v>
      </c>
      <c r="I77" s="75">
        <f>H77</f>
        <v>19</v>
      </c>
      <c r="J77" s="75" t="s">
        <v>302</v>
      </c>
    </row>
    <row r="78" spans="1:10">
      <c r="A78" s="80"/>
      <c r="H78" s="7" t="s">
        <v>283</v>
      </c>
      <c r="I78" s="77">
        <f>I77</f>
        <v>19</v>
      </c>
      <c r="J78" s="7" t="str">
        <f>J75</f>
        <v>UND</v>
      </c>
    </row>
    <row r="79" spans="1:10" s="1" customFormat="1" ht="36" customHeight="1">
      <c r="A79" s="7" t="str">
        <f>PLANILHA!A34</f>
        <v>2.8</v>
      </c>
      <c r="B79" s="21">
        <f>PLANILHA!B34</f>
        <v>98511</v>
      </c>
      <c r="C79" s="7" t="str">
        <f>PLANILHA!C34</f>
        <v>SINAPI</v>
      </c>
      <c r="D79" s="133" t="str">
        <f>PLANILHA!D34</f>
        <v>PLANTIO DE ÁRVORE ORNAMENTAL COM ALTURA DE MUDA MAIOR QUE 2,00 M E MENOR OU IGUAL A 4,00 M .
AF_07/2024</v>
      </c>
      <c r="E79" s="133"/>
      <c r="F79" s="133"/>
      <c r="G79" s="133"/>
      <c r="H79" s="133"/>
      <c r="I79" s="7">
        <f>PLANILHA!F34</f>
        <v>115</v>
      </c>
      <c r="J79" s="7" t="str">
        <f>PLANILHA!E34</f>
        <v>UND</v>
      </c>
    </row>
    <row r="80" spans="1:10">
      <c r="A80" s="80" t="s">
        <v>276</v>
      </c>
      <c r="C80" t="s">
        <v>277</v>
      </c>
      <c r="D80" s="28" t="s">
        <v>278</v>
      </c>
      <c r="E80" s="28" t="s">
        <v>279</v>
      </c>
      <c r="F80" s="28" t="s">
        <v>280</v>
      </c>
      <c r="G80" s="28" t="s">
        <v>281</v>
      </c>
      <c r="H80" t="s">
        <v>287</v>
      </c>
      <c r="I80" t="s">
        <v>283</v>
      </c>
      <c r="J80" s="12" t="s">
        <v>284</v>
      </c>
    </row>
    <row r="81" spans="1:10">
      <c r="A81" s="7" t="s">
        <v>303</v>
      </c>
      <c r="B81" s="21"/>
      <c r="C81" s="75"/>
      <c r="D81" s="76"/>
      <c r="E81" s="76"/>
      <c r="F81" s="76"/>
      <c r="G81" s="76"/>
      <c r="H81" s="75">
        <v>115</v>
      </c>
      <c r="I81" s="75">
        <f>H81</f>
        <v>115</v>
      </c>
      <c r="J81" s="75" t="s">
        <v>304</v>
      </c>
    </row>
    <row r="82" spans="1:10">
      <c r="A82" s="80"/>
      <c r="H82" s="7" t="s">
        <v>283</v>
      </c>
      <c r="I82" s="77">
        <f>I81</f>
        <v>115</v>
      </c>
      <c r="J82" s="7" t="str">
        <f>J79</f>
        <v>UND</v>
      </c>
    </row>
    <row r="83" spans="1:10" s="1" customFormat="1" ht="46.5" customHeight="1">
      <c r="A83" s="7" t="str">
        <f>PLANILHA!A35</f>
        <v>2.9</v>
      </c>
      <c r="B83" s="21" t="str">
        <f>PLANILHA!B35</f>
        <v>ED-51100</v>
      </c>
      <c r="C83" s="7" t="str">
        <f>PLANILHA!C35</f>
        <v>SETOP</v>
      </c>
      <c r="D83" s="133" t="str">
        <f>PLANILHA!D35</f>
        <v>CORTE E DESATERRO MECÂNICO PARA REGULARIZAÇÃO, COM TRATOR DE ESTEIRA, INCLUSIVE ARRASTAMENTO NIVELADO, AFASTAMENTO E EMPILHAMENTO, EXCLUSIVE CARGA, TRANSPORTE E DESCARGA</v>
      </c>
      <c r="E83" s="133"/>
      <c r="F83" s="133"/>
      <c r="G83" s="133"/>
      <c r="H83" s="133"/>
      <c r="I83" s="7">
        <f>PLANILHA!F35</f>
        <v>100</v>
      </c>
      <c r="J83" s="7" t="str">
        <f>PLANILHA!E35</f>
        <v>M³</v>
      </c>
    </row>
    <row r="84" spans="1:10">
      <c r="A84" s="80" t="s">
        <v>276</v>
      </c>
      <c r="C84" t="s">
        <v>277</v>
      </c>
      <c r="D84" s="28" t="s">
        <v>278</v>
      </c>
      <c r="E84" s="28" t="s">
        <v>279</v>
      </c>
      <c r="F84" s="28" t="s">
        <v>280</v>
      </c>
      <c r="G84" s="28" t="s">
        <v>281</v>
      </c>
      <c r="H84" t="s">
        <v>287</v>
      </c>
      <c r="I84" t="s">
        <v>283</v>
      </c>
      <c r="J84" s="12" t="s">
        <v>284</v>
      </c>
    </row>
    <row r="85" spans="1:10">
      <c r="A85" s="7" t="s">
        <v>305</v>
      </c>
      <c r="B85" s="21"/>
      <c r="C85" s="75"/>
      <c r="D85" s="76"/>
      <c r="E85" s="76"/>
      <c r="F85" s="76">
        <v>100</v>
      </c>
      <c r="G85" s="76"/>
      <c r="H85" s="75"/>
      <c r="I85" s="75">
        <f>F85</f>
        <v>100</v>
      </c>
      <c r="J85" s="75" t="s">
        <v>306</v>
      </c>
    </row>
    <row r="86" spans="1:10">
      <c r="A86" s="80"/>
      <c r="H86" s="7" t="s">
        <v>283</v>
      </c>
      <c r="I86" s="77">
        <f>I85</f>
        <v>100</v>
      </c>
      <c r="J86" s="7" t="str">
        <f>J83</f>
        <v>M³</v>
      </c>
    </row>
    <row r="87" spans="1:10" s="1" customFormat="1" ht="46.5" customHeight="1">
      <c r="A87" s="7" t="str">
        <f>PLANILHA!A36</f>
        <v>2.10</v>
      </c>
      <c r="B87" s="21" t="str">
        <f>PLANILHA!B36</f>
        <v>ED-51122</v>
      </c>
      <c r="C87" s="7" t="str">
        <f>PLANILHA!C36</f>
        <v>SETOP</v>
      </c>
      <c r="D87" s="133" t="str">
        <f>PLANILHA!D36</f>
        <v>REGULARIZAÇÃO E COMPACTAÇÃO DE TERRENO MANUAL COM SOQUETE, EXCLUSIVE DESMATAMENTO, DESTOCAMENTO, LIMPEZA/ROÇADA DO TERRENO</v>
      </c>
      <c r="E87" s="133"/>
      <c r="F87" s="133"/>
      <c r="G87" s="133"/>
      <c r="H87" s="133"/>
      <c r="I87" s="7">
        <f>PLANILHA!F36</f>
        <v>414.72</v>
      </c>
      <c r="J87" s="7" t="str">
        <f>PLANILHA!E36</f>
        <v>M²</v>
      </c>
    </row>
    <row r="88" spans="1:10">
      <c r="A88" s="80" t="s">
        <v>276</v>
      </c>
      <c r="C88" t="s">
        <v>277</v>
      </c>
      <c r="D88" s="28" t="s">
        <v>278</v>
      </c>
      <c r="E88" s="28" t="s">
        <v>279</v>
      </c>
      <c r="F88" s="28" t="s">
        <v>280</v>
      </c>
      <c r="G88" s="28" t="s">
        <v>281</v>
      </c>
      <c r="H88" t="s">
        <v>287</v>
      </c>
      <c r="I88" t="s">
        <v>283</v>
      </c>
      <c r="J88" s="12" t="s">
        <v>284</v>
      </c>
    </row>
    <row r="89" spans="1:10">
      <c r="A89" s="7" t="s">
        <v>305</v>
      </c>
      <c r="B89" s="21"/>
      <c r="C89" s="75"/>
      <c r="D89" s="76"/>
      <c r="E89" s="76"/>
      <c r="F89" s="76">
        <f>(122.15+49.58+17.25+17.35+7.35+9.87+4.87+8.4+9.37+6.82+1.87+116+47.52+100)*0.8</f>
        <v>414.72</v>
      </c>
      <c r="G89" s="76"/>
      <c r="H89" s="75"/>
      <c r="I89" s="75">
        <f>F89</f>
        <v>414.72</v>
      </c>
      <c r="J89" s="75" t="s">
        <v>307</v>
      </c>
    </row>
    <row r="90" spans="1:10">
      <c r="A90" s="80"/>
      <c r="H90" s="7" t="s">
        <v>283</v>
      </c>
      <c r="I90" s="77">
        <f>I89</f>
        <v>414.72</v>
      </c>
      <c r="J90" s="7" t="str">
        <f>J87</f>
        <v>M²</v>
      </c>
    </row>
    <row r="91" spans="1:10" s="26" customFormat="1" ht="30.6" customHeight="1">
      <c r="A91" s="43" t="str">
        <f>PLANILHA!A37</f>
        <v>3.</v>
      </c>
      <c r="B91" s="71"/>
      <c r="C91" s="72"/>
      <c r="D91" s="73" t="str">
        <f>PLANILHA!D37</f>
        <v>FUNDAÇÕES</v>
      </c>
      <c r="E91" s="73"/>
      <c r="F91" s="73"/>
      <c r="G91" s="73"/>
      <c r="H91" s="74"/>
      <c r="I91" s="43"/>
      <c r="J91" s="43"/>
    </row>
    <row r="92" spans="1:10" s="1" customFormat="1" ht="46.5" customHeight="1">
      <c r="A92" s="7" t="str">
        <f>PLANILHA!A38</f>
        <v>3.1</v>
      </c>
      <c r="B92" s="21">
        <f>PLANILHA!B38</f>
        <v>96527</v>
      </c>
      <c r="C92" s="7" t="str">
        <f>PLANILHA!C38</f>
        <v>SINAPI</v>
      </c>
      <c r="D92" s="133" t="str">
        <f>PLANILHA!D38</f>
        <v>ESCAVAÇÃO MANUAL PARA VIGA BALDRAME OU SAPATA CORRIDA (INCLUINDO ESCAVAÇÃO PARA COLOCAÇÃO DE FÔRMAS). AF_01/2024</v>
      </c>
      <c r="E92" s="133"/>
      <c r="F92" s="133"/>
      <c r="G92" s="133"/>
      <c r="H92" s="133"/>
      <c r="I92" s="79">
        <f>PLANILHA!F38</f>
        <v>44.698500000000003</v>
      </c>
      <c r="J92" s="7" t="str">
        <f>PLANILHA!E38</f>
        <v>M³</v>
      </c>
    </row>
    <row r="93" spans="1:10">
      <c r="A93" s="80" t="s">
        <v>276</v>
      </c>
      <c r="C93" t="s">
        <v>277</v>
      </c>
      <c r="D93" s="28" t="s">
        <v>278</v>
      </c>
      <c r="E93" s="28" t="s">
        <v>279</v>
      </c>
      <c r="F93" s="28" t="s">
        <v>280</v>
      </c>
      <c r="G93" s="28" t="s">
        <v>281</v>
      </c>
      <c r="H93" t="s">
        <v>287</v>
      </c>
      <c r="I93" t="s">
        <v>283</v>
      </c>
      <c r="J93" s="12" t="s">
        <v>284</v>
      </c>
    </row>
    <row r="94" spans="1:10">
      <c r="A94" s="7" t="s">
        <v>308</v>
      </c>
      <c r="B94" s="21"/>
      <c r="C94" s="75">
        <v>277.89999999999998</v>
      </c>
      <c r="D94" s="76">
        <v>0.3</v>
      </c>
      <c r="E94" s="76">
        <v>0.5</v>
      </c>
      <c r="F94" s="76"/>
      <c r="G94" s="76"/>
      <c r="H94" s="75"/>
      <c r="I94" s="75">
        <f>C94*D94*E94</f>
        <v>41.685000000000002</v>
      </c>
      <c r="J94" s="75" t="s">
        <v>309</v>
      </c>
    </row>
    <row r="95" spans="1:10">
      <c r="A95" s="80"/>
      <c r="H95" s="7" t="s">
        <v>283</v>
      </c>
      <c r="I95" s="77">
        <f>I94</f>
        <v>41.685000000000002</v>
      </c>
      <c r="J95" s="7" t="str">
        <f>J92</f>
        <v>M³</v>
      </c>
    </row>
    <row r="96" spans="1:10" s="1" customFormat="1" ht="46.5" customHeight="1">
      <c r="A96" s="7" t="str">
        <f>PLANILHA!A39</f>
        <v>3.2</v>
      </c>
      <c r="B96" s="21">
        <f>PLANILHA!B39</f>
        <v>96523</v>
      </c>
      <c r="C96" s="7" t="str">
        <f>PLANILHA!C39</f>
        <v>SINAPI</v>
      </c>
      <c r="D96" s="133" t="str">
        <f>PLANILHA!D39</f>
        <v>ESCAVAÇÃO MANUAL PARA BLOCO DE COROAMENTO OU SAPATA (INCLUINDO ESCAVAÇÃO PARA COLOCAÇÃO DE FÔRMAS). AF_01/2024</v>
      </c>
      <c r="E96" s="133"/>
      <c r="F96" s="133"/>
      <c r="G96" s="133"/>
      <c r="H96" s="133"/>
      <c r="I96" s="7">
        <f>PLANILHA!F39</f>
        <v>37.584000000000003</v>
      </c>
      <c r="J96" s="7" t="str">
        <f>PLANILHA!E39</f>
        <v>M³</v>
      </c>
    </row>
    <row r="97" spans="1:10">
      <c r="A97" s="80" t="s">
        <v>276</v>
      </c>
      <c r="C97" t="s">
        <v>277</v>
      </c>
      <c r="D97" s="28" t="s">
        <v>278</v>
      </c>
      <c r="E97" s="28" t="s">
        <v>279</v>
      </c>
      <c r="F97" s="28" t="s">
        <v>280</v>
      </c>
      <c r="G97" s="28" t="s">
        <v>281</v>
      </c>
      <c r="H97" t="s">
        <v>310</v>
      </c>
      <c r="I97" t="s">
        <v>283</v>
      </c>
      <c r="J97" s="12" t="s">
        <v>284</v>
      </c>
    </row>
    <row r="98" spans="1:10">
      <c r="A98" s="7" t="s">
        <v>311</v>
      </c>
      <c r="B98" s="21"/>
      <c r="C98" s="75"/>
      <c r="D98" s="76"/>
      <c r="E98" s="76"/>
      <c r="F98" s="76"/>
      <c r="G98" s="76">
        <f>((53+28+12+12+14.66+16.52+15.72+9.45+15.72+11.82+20.54+3.19+2.35+1.35+1.35+1.35+8.3*2+0.85*2+1.45*2+1.35+2.07+38.3+5.2+1.5*2+1.55+5.2*4+1.15*2)*0.3*0.5)-2.52</f>
        <v>44.698500000000003</v>
      </c>
      <c r="H98" s="75"/>
      <c r="I98" s="75">
        <f>G98</f>
        <v>44.698500000000003</v>
      </c>
      <c r="J98" s="75" t="s">
        <v>312</v>
      </c>
    </row>
    <row r="99" spans="1:10">
      <c r="A99" s="80"/>
      <c r="H99" s="7" t="s">
        <v>283</v>
      </c>
      <c r="I99" s="77">
        <f>I98</f>
        <v>44.698500000000003</v>
      </c>
      <c r="J99" s="7" t="str">
        <f>J96</f>
        <v>M³</v>
      </c>
    </row>
    <row r="100" spans="1:10" s="1" customFormat="1" ht="46.5" customHeight="1">
      <c r="A100" s="7" t="str">
        <f>PLANILHA!A40</f>
        <v>3.3</v>
      </c>
      <c r="B100" s="21" t="str">
        <f>PLANILHA!B40</f>
        <v>ED-31563</v>
      </c>
      <c r="C100" s="7" t="str">
        <f>PLANILHA!C40</f>
        <v>SETOP</v>
      </c>
      <c r="D100" s="133" t="str">
        <f>PLANILHA!D40</f>
        <v>FÔRMA E DESFORMA PARA PILAR COM CHAPA DE COMPENSADO
PLASTIFICADO, ESP. 14MM, REAPROVEITAMENTO (5X),
EXCLUSIVE ESCORAMENTO</v>
      </c>
      <c r="E100" s="133"/>
      <c r="F100" s="133"/>
      <c r="G100" s="133"/>
      <c r="H100" s="133"/>
      <c r="I100" s="7">
        <f>PLANILHA!F40</f>
        <v>506.33</v>
      </c>
      <c r="J100" s="7" t="str">
        <f>PLANILHA!E40</f>
        <v>M²</v>
      </c>
    </row>
    <row r="101" spans="1:10">
      <c r="A101" s="80" t="s">
        <v>276</v>
      </c>
      <c r="C101" t="s">
        <v>277</v>
      </c>
      <c r="D101" s="28" t="s">
        <v>278</v>
      </c>
      <c r="E101" s="28" t="s">
        <v>279</v>
      </c>
      <c r="F101" s="28" t="s">
        <v>280</v>
      </c>
      <c r="G101" s="28" t="s">
        <v>281</v>
      </c>
      <c r="H101" t="s">
        <v>287</v>
      </c>
      <c r="I101" t="s">
        <v>283</v>
      </c>
      <c r="J101" s="12" t="s">
        <v>284</v>
      </c>
    </row>
    <row r="102" spans="1:10">
      <c r="A102" s="7" t="s">
        <v>313</v>
      </c>
      <c r="B102" s="21"/>
      <c r="C102" s="75"/>
      <c r="D102" s="76"/>
      <c r="E102" s="76"/>
      <c r="F102" s="76">
        <v>537.01</v>
      </c>
      <c r="G102" s="76"/>
      <c r="H102" s="75">
        <v>537.01</v>
      </c>
      <c r="I102" s="75">
        <f>F102</f>
        <v>537.01</v>
      </c>
      <c r="J102" s="75" t="s">
        <v>314</v>
      </c>
    </row>
    <row r="103" spans="1:10">
      <c r="A103" s="80"/>
      <c r="H103" s="7" t="s">
        <v>283</v>
      </c>
      <c r="I103" s="77">
        <f>I102</f>
        <v>537.01</v>
      </c>
      <c r="J103" s="7" t="str">
        <f>J100</f>
        <v>M²</v>
      </c>
    </row>
    <row r="104" spans="1:10" s="1" customFormat="1" ht="46.5" customHeight="1">
      <c r="A104" s="7" t="str">
        <f>PLANILHA!A41</f>
        <v>3.4</v>
      </c>
      <c r="B104" s="21" t="str">
        <f>PLANILHA!B41</f>
        <v>ED-49787</v>
      </c>
      <c r="C104" s="7" t="str">
        <f>PLANILHA!C41</f>
        <v>SETOP</v>
      </c>
      <c r="D104" s="133" t="str">
        <f>PLANILHA!D41</f>
        <v>FORNECIMENTO DE CONCRETO ESTRUTURAL, PREPARADO EM OBRA COM BETONEIRA, COM FCK 25MPA, INCLUSIVE LANÇAMENTO, ADENSAMENTO E ACABAMENTO (FUNDAÇÃO)</v>
      </c>
      <c r="E104" s="133"/>
      <c r="F104" s="133"/>
      <c r="G104" s="133"/>
      <c r="H104" s="133"/>
      <c r="I104" s="7">
        <f>PLANILHA!F41</f>
        <v>40.86</v>
      </c>
      <c r="J104" s="7" t="str">
        <f>PLANILHA!E41</f>
        <v>M³</v>
      </c>
    </row>
    <row r="105" spans="1:10">
      <c r="A105" s="80" t="s">
        <v>276</v>
      </c>
      <c r="C105" t="s">
        <v>277</v>
      </c>
      <c r="D105" s="28" t="s">
        <v>278</v>
      </c>
      <c r="E105" s="28" t="s">
        <v>279</v>
      </c>
      <c r="F105" s="28" t="s">
        <v>280</v>
      </c>
      <c r="G105" s="28" t="s">
        <v>281</v>
      </c>
      <c r="H105" t="s">
        <v>287</v>
      </c>
      <c r="I105" t="s">
        <v>283</v>
      </c>
      <c r="J105" s="12" t="s">
        <v>284</v>
      </c>
    </row>
    <row r="106" spans="1:10">
      <c r="A106" s="7" t="s">
        <v>315</v>
      </c>
      <c r="B106" s="21"/>
      <c r="C106" s="75"/>
      <c r="D106" s="76"/>
      <c r="E106" s="76"/>
      <c r="F106" s="76"/>
      <c r="G106" s="76"/>
      <c r="H106" s="75">
        <f>I104</f>
        <v>40.86</v>
      </c>
      <c r="I106" s="75">
        <f>H106</f>
        <v>40.86</v>
      </c>
      <c r="J106" s="75" t="s">
        <v>314</v>
      </c>
    </row>
    <row r="107" spans="1:10">
      <c r="A107" s="80"/>
      <c r="H107" s="7" t="s">
        <v>283</v>
      </c>
      <c r="I107" s="77">
        <f>I106</f>
        <v>40.86</v>
      </c>
      <c r="J107" s="7" t="str">
        <f>J104</f>
        <v>M³</v>
      </c>
    </row>
    <row r="108" spans="1:10" s="1" customFormat="1" ht="36" customHeight="1">
      <c r="A108" s="7" t="str">
        <f>PLANILHA!A42</f>
        <v>3.5</v>
      </c>
      <c r="B108" s="21">
        <f>PLANILHA!B42</f>
        <v>96544</v>
      </c>
      <c r="C108" s="7" t="str">
        <f>PLANILHA!C42</f>
        <v>SINAPI</v>
      </c>
      <c r="D108" s="133" t="str">
        <f>PLANILHA!D42</f>
        <v>ARMAÇÃO DE BLOCO UTILIZANDO AÇO CA-50 DE 6,3 MM - MONTAGEM. AF_01/2024</v>
      </c>
      <c r="E108" s="133"/>
      <c r="F108" s="133"/>
      <c r="G108" s="133"/>
      <c r="H108" s="133"/>
      <c r="I108" s="7">
        <f>PLANILHA!F42</f>
        <v>37</v>
      </c>
      <c r="J108" s="7" t="str">
        <f>PLANILHA!E42</f>
        <v>KG</v>
      </c>
    </row>
    <row r="109" spans="1:10">
      <c r="A109" s="80" t="s">
        <v>276</v>
      </c>
      <c r="C109" t="s">
        <v>277</v>
      </c>
      <c r="D109" s="28" t="s">
        <v>278</v>
      </c>
      <c r="E109" s="28" t="s">
        <v>279</v>
      </c>
      <c r="F109" s="28" t="s">
        <v>280</v>
      </c>
      <c r="G109" s="28" t="s">
        <v>281</v>
      </c>
      <c r="H109" t="s">
        <v>316</v>
      </c>
      <c r="I109" t="s">
        <v>283</v>
      </c>
      <c r="J109" s="12" t="s">
        <v>284</v>
      </c>
    </row>
    <row r="110" spans="1:10">
      <c r="A110" s="7" t="s">
        <v>315</v>
      </c>
      <c r="B110" s="21"/>
      <c r="C110" s="75"/>
      <c r="D110" s="76"/>
      <c r="E110" s="76"/>
      <c r="F110" s="76"/>
      <c r="G110" s="76"/>
      <c r="H110" s="75">
        <v>37</v>
      </c>
      <c r="I110" s="75">
        <f>H110</f>
        <v>37</v>
      </c>
      <c r="J110" s="75" t="s">
        <v>314</v>
      </c>
    </row>
    <row r="111" spans="1:10">
      <c r="A111" s="80"/>
      <c r="H111" s="7" t="s">
        <v>283</v>
      </c>
      <c r="I111" s="77">
        <f>I110</f>
        <v>37</v>
      </c>
      <c r="J111" s="7" t="str">
        <f>J108</f>
        <v>KG</v>
      </c>
    </row>
    <row r="112" spans="1:10" s="1" customFormat="1" ht="36" customHeight="1">
      <c r="A112" s="7" t="str">
        <f>PLANILHA!A43</f>
        <v>3.6</v>
      </c>
      <c r="B112" s="21">
        <f>PLANILHA!B43</f>
        <v>96545</v>
      </c>
      <c r="C112" s="7" t="str">
        <f>PLANILHA!C43</f>
        <v>SINAPI</v>
      </c>
      <c r="D112" s="133" t="str">
        <f>PLANILHA!D43</f>
        <v>ARMAÇÃO DE BLOCO UTILIZANDO AÇO CA-50 DE 8 MM - MONTAGEM. AF_01/2024</v>
      </c>
      <c r="E112" s="133"/>
      <c r="F112" s="133"/>
      <c r="G112" s="133"/>
      <c r="H112" s="133"/>
      <c r="I112" s="7">
        <f>PLANILHA!F43</f>
        <v>626.79999999999995</v>
      </c>
      <c r="J112" s="7" t="str">
        <f>PLANILHA!E43</f>
        <v>KG</v>
      </c>
    </row>
    <row r="113" spans="1:10">
      <c r="A113" s="80" t="s">
        <v>276</v>
      </c>
      <c r="C113" t="s">
        <v>277</v>
      </c>
      <c r="D113" s="28" t="s">
        <v>278</v>
      </c>
      <c r="E113" s="28" t="s">
        <v>279</v>
      </c>
      <c r="F113" s="28" t="s">
        <v>280</v>
      </c>
      <c r="G113" s="28" t="s">
        <v>281</v>
      </c>
      <c r="H113" t="s">
        <v>316</v>
      </c>
      <c r="I113" t="s">
        <v>283</v>
      </c>
      <c r="J113" s="12" t="s">
        <v>284</v>
      </c>
    </row>
    <row r="114" spans="1:10">
      <c r="A114" s="7" t="s">
        <v>315</v>
      </c>
      <c r="B114" s="21"/>
      <c r="C114" s="75"/>
      <c r="D114" s="76"/>
      <c r="E114" s="76"/>
      <c r="F114" s="76"/>
      <c r="G114" s="76"/>
      <c r="H114" s="75">
        <v>652.9</v>
      </c>
      <c r="I114" s="75">
        <f>H114</f>
        <v>652.9</v>
      </c>
      <c r="J114" s="75" t="s">
        <v>314</v>
      </c>
    </row>
    <row r="115" spans="1:10">
      <c r="A115" s="80"/>
      <c r="H115" s="7" t="s">
        <v>283</v>
      </c>
      <c r="I115" s="77">
        <f>I114</f>
        <v>652.9</v>
      </c>
      <c r="J115" s="7" t="str">
        <f>J112</f>
        <v>KG</v>
      </c>
    </row>
    <row r="116" spans="1:10" s="1" customFormat="1" ht="46.5" customHeight="1">
      <c r="A116" s="7" t="str">
        <f>PLANILHA!A44</f>
        <v>3.7</v>
      </c>
      <c r="B116" s="21">
        <f>PLANILHA!B44</f>
        <v>96543</v>
      </c>
      <c r="C116" s="7" t="str">
        <f>PLANILHA!C44</f>
        <v>SINAPI</v>
      </c>
      <c r="D116" s="133" t="str">
        <f>PLANILHA!D44</f>
        <v>ARMAÇÃO DE BLOCO UTILIZANDO AÇO CA-60 DE 5 MM - MONTAGEM. AF_01/2024</v>
      </c>
      <c r="E116" s="133"/>
      <c r="F116" s="133"/>
      <c r="G116" s="133"/>
      <c r="H116" s="133"/>
      <c r="I116" s="7">
        <f>PLANILHA!F44</f>
        <v>373.6</v>
      </c>
      <c r="J116" s="7" t="str">
        <f>PLANILHA!E44</f>
        <v>KG</v>
      </c>
    </row>
    <row r="117" spans="1:10">
      <c r="A117" s="80" t="s">
        <v>276</v>
      </c>
      <c r="C117" t="s">
        <v>277</v>
      </c>
      <c r="D117" s="28" t="s">
        <v>278</v>
      </c>
      <c r="E117" s="28" t="s">
        <v>279</v>
      </c>
      <c r="F117" s="28" t="s">
        <v>280</v>
      </c>
      <c r="G117" s="28" t="s">
        <v>281</v>
      </c>
      <c r="H117" t="s">
        <v>316</v>
      </c>
      <c r="I117" t="s">
        <v>283</v>
      </c>
      <c r="J117" s="12" t="s">
        <v>284</v>
      </c>
    </row>
    <row r="118" spans="1:10">
      <c r="A118" s="7" t="s">
        <v>315</v>
      </c>
      <c r="B118" s="21"/>
      <c r="C118" s="75"/>
      <c r="D118" s="76"/>
      <c r="E118" s="76"/>
      <c r="F118" s="76"/>
      <c r="G118" s="76"/>
      <c r="H118" s="75">
        <f>I116</f>
        <v>373.6</v>
      </c>
      <c r="I118" s="75">
        <f>H118</f>
        <v>373.6</v>
      </c>
      <c r="J118" s="75" t="s">
        <v>314</v>
      </c>
    </row>
    <row r="119" spans="1:10">
      <c r="A119" s="80"/>
      <c r="H119" s="7" t="s">
        <v>283</v>
      </c>
      <c r="I119" s="77">
        <f>I118</f>
        <v>373.6</v>
      </c>
      <c r="J119" s="7" t="str">
        <f>J116</f>
        <v>KG</v>
      </c>
    </row>
    <row r="120" spans="1:10" s="1" customFormat="1" ht="46.5" customHeight="1">
      <c r="A120" s="7" t="str">
        <f>PLANILHA!A45</f>
        <v>3.8</v>
      </c>
      <c r="B120" s="21">
        <f>PLANILHA!B45</f>
        <v>96546</v>
      </c>
      <c r="C120" s="7" t="str">
        <f>PLANILHA!C45</f>
        <v>SINAPI</v>
      </c>
      <c r="D120" s="133" t="str">
        <f>PLANILHA!D45</f>
        <v>ARMAÇÃO DE BLOCO UTILIZANDO AÇO CA-50 DE 10 MM - MONTAGEM. AF_01/2024</v>
      </c>
      <c r="E120" s="133"/>
      <c r="F120" s="133"/>
      <c r="G120" s="133"/>
      <c r="H120" s="133"/>
      <c r="I120" s="7">
        <f>PLANILHA!F45</f>
        <v>1543.6</v>
      </c>
      <c r="J120" s="7" t="str">
        <f>PLANILHA!E45</f>
        <v>KG</v>
      </c>
    </row>
    <row r="121" spans="1:10">
      <c r="A121" s="80" t="s">
        <v>276</v>
      </c>
      <c r="C121" t="s">
        <v>277</v>
      </c>
      <c r="D121" s="28" t="s">
        <v>278</v>
      </c>
      <c r="E121" s="28" t="s">
        <v>279</v>
      </c>
      <c r="F121" s="28" t="s">
        <v>280</v>
      </c>
      <c r="G121" s="28" t="s">
        <v>281</v>
      </c>
      <c r="H121" t="s">
        <v>316</v>
      </c>
      <c r="I121" t="s">
        <v>283</v>
      </c>
      <c r="J121" s="12" t="s">
        <v>284</v>
      </c>
    </row>
    <row r="122" spans="1:10">
      <c r="A122" s="7" t="s">
        <v>315</v>
      </c>
      <c r="B122" s="21"/>
      <c r="C122" s="75"/>
      <c r="D122" s="76"/>
      <c r="E122" s="76"/>
      <c r="F122" s="76"/>
      <c r="G122" s="76"/>
      <c r="H122" s="75">
        <f>I120</f>
        <v>1543.6</v>
      </c>
      <c r="I122" s="75">
        <f>H122</f>
        <v>1543.6</v>
      </c>
      <c r="J122" s="75" t="s">
        <v>314</v>
      </c>
    </row>
    <row r="123" spans="1:10">
      <c r="A123" s="80"/>
      <c r="H123" s="7" t="s">
        <v>283</v>
      </c>
      <c r="I123" s="77">
        <f>I122</f>
        <v>1543.6</v>
      </c>
      <c r="J123" s="7" t="str">
        <f>J120</f>
        <v>KG</v>
      </c>
    </row>
    <row r="124" spans="1:10" s="1" customFormat="1" ht="46.5" customHeight="1">
      <c r="A124" s="7" t="str">
        <f>PLANILHA!A46</f>
        <v>3.9</v>
      </c>
      <c r="B124" s="21">
        <f>PLANILHA!B46</f>
        <v>98557</v>
      </c>
      <c r="C124" s="7" t="str">
        <f>PLANILHA!C46</f>
        <v>SINAPI</v>
      </c>
      <c r="D124" s="133" t="str">
        <f>PLANILHA!D46</f>
        <v>IMPERMEABILIZAÇÃO DE SUPERFÍCIE COM EMULSÃO ASFÁLTICA, 2 DEMÃOS. AF_09/2023</v>
      </c>
      <c r="E124" s="133"/>
      <c r="F124" s="133"/>
      <c r="G124" s="133"/>
      <c r="H124" s="133"/>
      <c r="I124" s="7">
        <f>PLANILHA!F46</f>
        <v>131.26150000000001</v>
      </c>
      <c r="J124" s="7" t="str">
        <f>PLANILHA!E46</f>
        <v>M²</v>
      </c>
    </row>
    <row r="125" spans="1:10">
      <c r="A125" s="80" t="s">
        <v>276</v>
      </c>
      <c r="C125" t="s">
        <v>277</v>
      </c>
      <c r="D125" s="28" t="s">
        <v>278</v>
      </c>
      <c r="E125" s="28" t="s">
        <v>279</v>
      </c>
      <c r="F125" s="28" t="s">
        <v>280</v>
      </c>
      <c r="G125" s="28" t="s">
        <v>281</v>
      </c>
      <c r="H125" t="s">
        <v>287</v>
      </c>
      <c r="I125" t="s">
        <v>283</v>
      </c>
      <c r="J125" s="12" t="s">
        <v>284</v>
      </c>
    </row>
    <row r="126" spans="1:10">
      <c r="A126" s="7" t="s">
        <v>315</v>
      </c>
      <c r="B126" s="21"/>
      <c r="C126" s="75"/>
      <c r="D126" s="76"/>
      <c r="E126" s="76"/>
      <c r="F126" s="76">
        <f>(14.16+16.52+15.72+9.45+15.72+11.82+20.57+3.19+2.35+1.35+1.35+1.35+8.3*2+0.85*2+1.45*2+1.35+2.07)*0.95</f>
        <v>131.26150000000001</v>
      </c>
      <c r="G126" s="76"/>
      <c r="H126" s="76">
        <f>(14.16+16.52+15.72+9.45+15.72+11.82+20.57+3.19+2.35+1.35+1.35+1.35+8.3*2+0.85*2+1.45*2+1.35+2.07)*0.95</f>
        <v>131.26150000000001</v>
      </c>
      <c r="I126" s="75">
        <f>H126</f>
        <v>131.26150000000001</v>
      </c>
      <c r="J126" s="75" t="s">
        <v>314</v>
      </c>
    </row>
    <row r="127" spans="1:10">
      <c r="A127" s="80"/>
      <c r="H127" s="7" t="s">
        <v>283</v>
      </c>
      <c r="I127" s="77">
        <f>I126</f>
        <v>131.26150000000001</v>
      </c>
      <c r="J127" s="7" t="str">
        <f>J124</f>
        <v>M²</v>
      </c>
    </row>
    <row r="128" spans="1:10" s="1" customFormat="1" ht="46.5" customHeight="1">
      <c r="A128" s="7" t="str">
        <f>PLANILHA!A47</f>
        <v>3.10</v>
      </c>
      <c r="B128" s="21">
        <f>PLANILHA!B47</f>
        <v>97102</v>
      </c>
      <c r="C128" s="7" t="str">
        <f>PLANILHA!C47</f>
        <v>SINAPI</v>
      </c>
      <c r="D128" s="133" t="str">
        <f>PLANILHA!D47</f>
        <v>EXECUÇÃO DE RADIER, ESPESSURA DE 15 CM, FCK = 30 MPA, COM USO DE FORMAS EM MADEIRA SERRADA.AF_09/2021</v>
      </c>
      <c r="E128" s="133"/>
      <c r="F128" s="133"/>
      <c r="G128" s="133"/>
      <c r="H128" s="133"/>
      <c r="I128" s="7">
        <f>PLANILHA!F47</f>
        <v>2.95</v>
      </c>
      <c r="J128" s="7" t="str">
        <f>PLANILHA!E47</f>
        <v>M²</v>
      </c>
    </row>
    <row r="129" spans="1:10">
      <c r="A129" s="80" t="s">
        <v>276</v>
      </c>
      <c r="C129" t="s">
        <v>277</v>
      </c>
      <c r="D129" s="28" t="s">
        <v>278</v>
      </c>
      <c r="E129" s="28" t="s">
        <v>279</v>
      </c>
      <c r="F129" s="28" t="s">
        <v>280</v>
      </c>
      <c r="G129" s="28" t="s">
        <v>281</v>
      </c>
      <c r="H129" t="s">
        <v>287</v>
      </c>
      <c r="I129" t="s">
        <v>283</v>
      </c>
      <c r="J129" s="12" t="s">
        <v>284</v>
      </c>
    </row>
    <row r="130" spans="1:10">
      <c r="A130" s="7" t="s">
        <v>313</v>
      </c>
      <c r="B130" s="21"/>
      <c r="C130" s="75"/>
      <c r="D130" s="76"/>
      <c r="E130" s="76"/>
      <c r="F130" s="76">
        <v>2.95</v>
      </c>
      <c r="G130" s="76"/>
      <c r="H130" s="75"/>
      <c r="I130" s="75">
        <f>F130</f>
        <v>2.95</v>
      </c>
      <c r="J130" s="75" t="s">
        <v>317</v>
      </c>
    </row>
    <row r="131" spans="1:10">
      <c r="A131" s="80"/>
      <c r="H131" s="7" t="s">
        <v>283</v>
      </c>
      <c r="I131" s="77">
        <f>I130</f>
        <v>2.95</v>
      </c>
      <c r="J131" s="7" t="str">
        <f>J128</f>
        <v>M²</v>
      </c>
    </row>
    <row r="132" spans="1:10" s="26" customFormat="1" ht="30.6" customHeight="1">
      <c r="A132" s="43" t="str">
        <f>PLANILHA!A48</f>
        <v>4.</v>
      </c>
      <c r="B132" s="71"/>
      <c r="C132" s="72"/>
      <c r="D132" s="73" t="str">
        <f>PLANILHA!D48</f>
        <v>ESTRUTURA</v>
      </c>
      <c r="E132" s="73"/>
      <c r="F132" s="73"/>
      <c r="G132" s="73"/>
      <c r="H132" s="74"/>
      <c r="I132" s="43"/>
      <c r="J132" s="43"/>
    </row>
    <row r="133" spans="1:10" s="1" customFormat="1" ht="46.5" customHeight="1">
      <c r="A133" s="7" t="str">
        <f>PLANILHA!A49</f>
        <v>4.1</v>
      </c>
      <c r="B133" s="21">
        <f>PLANILHA!B49</f>
        <v>103686</v>
      </c>
      <c r="C133" s="7" t="str">
        <f>PLANILHA!C49</f>
        <v>SINAPI</v>
      </c>
      <c r="D133" s="133" t="str">
        <f>PLANILHA!D49</f>
        <v>CONCRETAGEM DE ESCADAS, FCK=25 MPA, COM USO DE BOMBA - LANÇAMENTO, ADENSAMENTO E ACABAMENTO. AF_02/2022_PS</v>
      </c>
      <c r="E133" s="133"/>
      <c r="F133" s="133"/>
      <c r="G133" s="133"/>
      <c r="H133" s="133"/>
      <c r="I133" s="7">
        <f>PLANILHA!$F$49</f>
        <v>11.323600000000001</v>
      </c>
      <c r="J133" s="7" t="str">
        <f>PLANILHA!$E$49</f>
        <v>M³</v>
      </c>
    </row>
    <row r="134" spans="1:10">
      <c r="A134" s="80" t="s">
        <v>276</v>
      </c>
      <c r="C134" t="s">
        <v>277</v>
      </c>
      <c r="D134" s="28" t="s">
        <v>278</v>
      </c>
      <c r="E134" s="28" t="s">
        <v>279</v>
      </c>
      <c r="F134" s="28" t="s">
        <v>280</v>
      </c>
      <c r="G134" s="28" t="s">
        <v>281</v>
      </c>
      <c r="H134" t="s">
        <v>287</v>
      </c>
      <c r="I134" t="s">
        <v>283</v>
      </c>
      <c r="J134" s="12" t="s">
        <v>284</v>
      </c>
    </row>
    <row r="135" spans="1:10" ht="30">
      <c r="A135" s="7" t="s">
        <v>318</v>
      </c>
      <c r="B135" s="21"/>
      <c r="C135" s="75"/>
      <c r="D135" s="76"/>
      <c r="E135" s="76">
        <v>0.12</v>
      </c>
      <c r="F135" s="76">
        <v>76.28</v>
      </c>
      <c r="G135" s="76">
        <v>2.17</v>
      </c>
      <c r="H135" s="75"/>
      <c r="I135" s="75">
        <f>E135*F135+G135</f>
        <v>11.323600000000001</v>
      </c>
      <c r="J135" s="76" t="s">
        <v>319</v>
      </c>
    </row>
    <row r="136" spans="1:10">
      <c r="A136" s="80"/>
      <c r="H136" s="7" t="s">
        <v>283</v>
      </c>
      <c r="I136" s="77">
        <f>I135</f>
        <v>11.323600000000001</v>
      </c>
      <c r="J136" s="7" t="str">
        <f>J133</f>
        <v>M³</v>
      </c>
    </row>
    <row r="137" spans="1:10" s="1" customFormat="1" ht="46.5" customHeight="1">
      <c r="A137" s="7" t="str">
        <f>PLANILHA!A50</f>
        <v>4.2</v>
      </c>
      <c r="B137" s="21">
        <f>PLANILHA!B50</f>
        <v>101997</v>
      </c>
      <c r="C137" s="7" t="str">
        <f>PLANILHA!C50</f>
        <v>SINAPI</v>
      </c>
      <c r="D137" s="133" t="str">
        <f>PLANILHA!D50</f>
        <v>FABRICAÇÃO DE FÔRMA PARA ESCADAS, COM 1 LANCE E LAJE CASCATA, EM CHAPA DE MADEIRA COMPENSADA PLASTIFICADA, E=18 MM. AF_11/2020</v>
      </c>
      <c r="E137" s="133"/>
      <c r="F137" s="133"/>
      <c r="G137" s="133"/>
      <c r="H137" s="133"/>
      <c r="I137" s="7">
        <f>PLANILHA!$F$50</f>
        <v>76.28</v>
      </c>
      <c r="J137" s="7" t="str">
        <f>PLANILHA!$E$50</f>
        <v>M²</v>
      </c>
    </row>
    <row r="138" spans="1:10">
      <c r="A138" s="80" t="s">
        <v>276</v>
      </c>
      <c r="C138" t="s">
        <v>277</v>
      </c>
      <c r="D138" s="28" t="s">
        <v>278</v>
      </c>
      <c r="E138" s="28" t="s">
        <v>279</v>
      </c>
      <c r="F138" s="28" t="s">
        <v>280</v>
      </c>
      <c r="G138" s="28" t="s">
        <v>281</v>
      </c>
      <c r="H138" t="s">
        <v>287</v>
      </c>
      <c r="I138" t="s">
        <v>283</v>
      </c>
      <c r="J138" s="12" t="s">
        <v>284</v>
      </c>
    </row>
    <row r="139" spans="1:10">
      <c r="A139" s="7" t="s">
        <v>318</v>
      </c>
      <c r="B139" s="21"/>
      <c r="C139" s="75"/>
      <c r="D139" s="76"/>
      <c r="E139" s="76"/>
      <c r="F139" s="76">
        <v>76.28</v>
      </c>
      <c r="G139" s="76"/>
      <c r="H139" s="75"/>
      <c r="I139" s="75">
        <f>F139</f>
        <v>76.28</v>
      </c>
      <c r="J139" s="75" t="s">
        <v>314</v>
      </c>
    </row>
    <row r="140" spans="1:10">
      <c r="A140" s="80"/>
      <c r="H140" s="7" t="s">
        <v>283</v>
      </c>
      <c r="I140" s="77">
        <f>I139</f>
        <v>76.28</v>
      </c>
      <c r="J140" s="7" t="str">
        <f>J137</f>
        <v>M²</v>
      </c>
    </row>
    <row r="141" spans="1:10" s="26" customFormat="1" ht="30.6" customHeight="1">
      <c r="A141" s="43" t="str">
        <f>PLANILHA!A51</f>
        <v>5.</v>
      </c>
      <c r="B141" s="71"/>
      <c r="C141" s="72"/>
      <c r="D141" s="73" t="str">
        <f>PLANILHA!D51</f>
        <v>PISOS E ACESSIBILIDADE</v>
      </c>
      <c r="E141" s="73"/>
      <c r="F141" s="73"/>
      <c r="G141" s="73"/>
      <c r="H141" s="74"/>
      <c r="I141" s="43"/>
      <c r="J141" s="43"/>
    </row>
    <row r="142" spans="1:10" s="1" customFormat="1" ht="46.5" customHeight="1">
      <c r="A142" s="7" t="str">
        <f>PLANILHA!A52</f>
        <v>5.1</v>
      </c>
      <c r="B142" s="21">
        <f>PLANILHA!B52</f>
        <v>101747</v>
      </c>
      <c r="C142" s="7" t="str">
        <f>PLANILHA!C52</f>
        <v>SINAPI</v>
      </c>
      <c r="D142" s="133" t="str">
        <f>PLANILHA!D52</f>
        <v>PISO EM CONCRETO 20 MPA PREPARO MECÂNICO, ESPESSURA 7CM. AF_09/2020</v>
      </c>
      <c r="E142" s="133"/>
      <c r="F142" s="133"/>
      <c r="G142" s="133"/>
      <c r="H142" s="133"/>
      <c r="I142" s="7">
        <f>PLANILHA!$F$52</f>
        <v>39.89</v>
      </c>
      <c r="J142" s="7" t="str">
        <f>PLANILHA!$E$52</f>
        <v>M²</v>
      </c>
    </row>
    <row r="143" spans="1:10">
      <c r="A143" s="80" t="s">
        <v>276</v>
      </c>
      <c r="C143" t="s">
        <v>277</v>
      </c>
      <c r="D143" s="28" t="s">
        <v>278</v>
      </c>
      <c r="E143" s="28" t="s">
        <v>279</v>
      </c>
      <c r="F143" s="28" t="s">
        <v>280</v>
      </c>
      <c r="G143" s="28" t="s">
        <v>281</v>
      </c>
      <c r="H143" t="s">
        <v>287</v>
      </c>
      <c r="I143" t="s">
        <v>283</v>
      </c>
      <c r="J143" s="12" t="s">
        <v>284</v>
      </c>
    </row>
    <row r="144" spans="1:10">
      <c r="A144" s="7" t="s">
        <v>285</v>
      </c>
      <c r="B144" s="21"/>
      <c r="C144" s="75"/>
      <c r="D144" s="76"/>
      <c r="E144" s="76"/>
      <c r="F144" s="76"/>
      <c r="G144" s="76"/>
      <c r="H144" s="75">
        <f>PLANILHA!F52</f>
        <v>39.89</v>
      </c>
      <c r="I144" s="75">
        <f>H144</f>
        <v>39.89</v>
      </c>
      <c r="J144" s="75" t="s">
        <v>320</v>
      </c>
    </row>
    <row r="145" spans="1:10">
      <c r="A145" s="80"/>
      <c r="H145" s="7" t="s">
        <v>283</v>
      </c>
      <c r="I145" s="77">
        <f>I144</f>
        <v>39.89</v>
      </c>
      <c r="J145" s="7" t="str">
        <f>J142</f>
        <v>M²</v>
      </c>
    </row>
    <row r="146" spans="1:10" s="1" customFormat="1" ht="46.5" customHeight="1">
      <c r="A146" s="7" t="str">
        <f>PLANILHA!A53</f>
        <v>5.2</v>
      </c>
      <c r="B146" s="21" t="str">
        <f>PLANILHA!B53</f>
        <v>ED-8912</v>
      </c>
      <c r="C146" s="7" t="str">
        <f>PLANILHA!C53</f>
        <v>SETOP</v>
      </c>
      <c r="D146" s="133" t="str">
        <f>PLANILHA!D53</f>
        <v>EXECUÇÃO DE PAVIMENTO COM PISO INTERTRAVADO, TIPO ECOLÓGICO, ESP. 6CM, COM FCK DE 35MPA, INCLUSIVE COLCHÃO DE AREIA, ESP. 6CM, PARA ASSENTAMENTO, COMPACTAÇÃO MECANIZADA, CARGA E DESCARGA MECÂNICA EM CAMINHÃO, EXCLUSIVE TRANSPORTE DE PISO INTERTRAVADO</v>
      </c>
      <c r="E146" s="133"/>
      <c r="F146" s="133"/>
      <c r="G146" s="133"/>
      <c r="H146" s="133"/>
      <c r="I146" s="7">
        <f>PLANILHA!$F$53</f>
        <v>750</v>
      </c>
      <c r="J146" s="7" t="str">
        <f>PLANILHA!$E$53</f>
        <v>M²</v>
      </c>
    </row>
    <row r="147" spans="1:10">
      <c r="A147" s="80" t="s">
        <v>276</v>
      </c>
      <c r="C147" t="s">
        <v>277</v>
      </c>
      <c r="D147" s="28" t="s">
        <v>278</v>
      </c>
      <c r="E147" s="28" t="s">
        <v>279</v>
      </c>
      <c r="F147" s="28" t="s">
        <v>280</v>
      </c>
      <c r="G147" s="28" t="s">
        <v>281</v>
      </c>
      <c r="H147" t="s">
        <v>287</v>
      </c>
      <c r="I147" t="s">
        <v>283</v>
      </c>
      <c r="J147" s="12" t="s">
        <v>284</v>
      </c>
    </row>
    <row r="148" spans="1:10">
      <c r="A148" s="7" t="s">
        <v>321</v>
      </c>
      <c r="B148" s="21"/>
      <c r="C148" s="75"/>
      <c r="D148" s="76"/>
      <c r="E148" s="76"/>
      <c r="F148" s="76"/>
      <c r="G148" s="76"/>
      <c r="H148" s="75">
        <f>PLANILHA!F53</f>
        <v>750</v>
      </c>
      <c r="I148" s="75">
        <f>H148</f>
        <v>750</v>
      </c>
      <c r="J148" s="75" t="s">
        <v>302</v>
      </c>
    </row>
    <row r="149" spans="1:10">
      <c r="A149" s="80"/>
      <c r="H149" s="7" t="s">
        <v>283</v>
      </c>
      <c r="I149" s="77">
        <f>I148</f>
        <v>750</v>
      </c>
      <c r="J149" s="7" t="str">
        <f>J146</f>
        <v>M²</v>
      </c>
    </row>
    <row r="150" spans="1:10" s="1" customFormat="1" ht="46.5" customHeight="1">
      <c r="A150" s="7" t="str">
        <f>PLANILHA!A54</f>
        <v>5.3</v>
      </c>
      <c r="B150" s="21">
        <f>PLANILHA!B54</f>
        <v>93681</v>
      </c>
      <c r="C150" s="7" t="str">
        <f>PLANILHA!C54</f>
        <v>SINAPI</v>
      </c>
      <c r="D150" s="133" t="str">
        <f>PLANILHA!D54</f>
        <v>EXECUÇÃO DE PAVIMENTO EM PISO INTERTRAVADO, COM BLOCO RETANGULAR COLORIDO DE 20 X 10 CM, ESPESSURA 8 CM. AF_10/2022</v>
      </c>
      <c r="E150" s="133"/>
      <c r="F150" s="133"/>
      <c r="G150" s="133"/>
      <c r="H150" s="133"/>
      <c r="I150" s="7">
        <f>PLANILHA!$F$54</f>
        <v>250</v>
      </c>
      <c r="J150" s="7" t="str">
        <f>PLANILHA!$E$54</f>
        <v>M²</v>
      </c>
    </row>
    <row r="151" spans="1:10">
      <c r="A151" s="80" t="s">
        <v>276</v>
      </c>
      <c r="C151" t="s">
        <v>277</v>
      </c>
      <c r="D151" s="28" t="s">
        <v>278</v>
      </c>
      <c r="E151" s="28" t="s">
        <v>279</v>
      </c>
      <c r="F151" s="28" t="s">
        <v>280</v>
      </c>
      <c r="G151" s="28" t="s">
        <v>281</v>
      </c>
      <c r="H151" t="s">
        <v>287</v>
      </c>
      <c r="I151" t="s">
        <v>283</v>
      </c>
      <c r="J151" s="12" t="s">
        <v>284</v>
      </c>
    </row>
    <row r="152" spans="1:10">
      <c r="A152" s="7" t="s">
        <v>321</v>
      </c>
      <c r="B152" s="21"/>
      <c r="C152" s="75"/>
      <c r="D152" s="76"/>
      <c r="E152" s="76"/>
      <c r="F152" s="76"/>
      <c r="G152" s="76"/>
      <c r="H152" s="75">
        <f>PLANILHA!F54</f>
        <v>250</v>
      </c>
      <c r="I152" s="75">
        <f>H152</f>
        <v>250</v>
      </c>
      <c r="J152" s="75" t="s">
        <v>302</v>
      </c>
    </row>
    <row r="153" spans="1:10">
      <c r="A153" s="80"/>
      <c r="H153" s="7" t="s">
        <v>283</v>
      </c>
      <c r="I153" s="77">
        <f>I152</f>
        <v>250</v>
      </c>
      <c r="J153" s="7" t="str">
        <f>J150</f>
        <v>M²</v>
      </c>
    </row>
    <row r="154" spans="1:10" s="1" customFormat="1" ht="46.5" customHeight="1">
      <c r="A154" s="7" t="str">
        <f>PLANILHA!A55</f>
        <v>5.4</v>
      </c>
      <c r="B154" s="21" t="str">
        <f>PLANILHA!B55</f>
        <v>ED-51139</v>
      </c>
      <c r="C154" s="7" t="str">
        <f>PLANILHA!C55</f>
        <v>SETOP</v>
      </c>
      <c r="D154" s="133" t="str">
        <f>PLANILHA!D55</f>
        <v>GUIA DE MEIO-FIO, EM CONCRETO COM FCK 20MPA, PRÉ-
MOLDADA, MFC-01 PADRÃO DER-MG, DIMENSÕES (12X16,7X35)CM , EXCLUSIVE SARJETA, INCLUSIVE ESCAVAÇÃO, APILOAMENTO E TRANSPORTE COM RETIRADA DO MATERIAL ESCAVADO (EM
CAÇAMBA)</v>
      </c>
      <c r="E154" s="133"/>
      <c r="F154" s="133"/>
      <c r="G154" s="133"/>
      <c r="H154" s="133"/>
      <c r="I154" s="7">
        <f>PLANILHA!$F$55</f>
        <v>391</v>
      </c>
      <c r="J154" s="7" t="str">
        <f>PLANILHA!$E$55</f>
        <v>M</v>
      </c>
    </row>
    <row r="155" spans="1:10">
      <c r="A155" s="80" t="s">
        <v>276</v>
      </c>
      <c r="C155" t="s">
        <v>277</v>
      </c>
      <c r="D155" s="28" t="s">
        <v>278</v>
      </c>
      <c r="E155" s="28" t="s">
        <v>279</v>
      </c>
      <c r="F155" s="28" t="s">
        <v>280</v>
      </c>
      <c r="G155" s="28" t="s">
        <v>281</v>
      </c>
      <c r="H155" t="s">
        <v>287</v>
      </c>
      <c r="I155" t="s">
        <v>283</v>
      </c>
      <c r="J155" s="12" t="s">
        <v>284</v>
      </c>
    </row>
    <row r="156" spans="1:10">
      <c r="A156" s="7" t="s">
        <v>322</v>
      </c>
      <c r="B156" s="21"/>
      <c r="C156" s="75"/>
      <c r="D156" s="76"/>
      <c r="E156" s="76"/>
      <c r="F156" s="76"/>
      <c r="G156" s="76"/>
      <c r="H156" s="75">
        <f>PLANILHA!F55</f>
        <v>391</v>
      </c>
      <c r="I156" s="75">
        <f>H156</f>
        <v>391</v>
      </c>
      <c r="J156" s="75" t="s">
        <v>302</v>
      </c>
    </row>
    <row r="157" spans="1:10">
      <c r="A157" s="80"/>
      <c r="H157" s="7" t="s">
        <v>283</v>
      </c>
      <c r="I157" s="77">
        <f>I156</f>
        <v>391</v>
      </c>
      <c r="J157" s="7" t="str">
        <f>J154</f>
        <v>M</v>
      </c>
    </row>
    <row r="158" spans="1:10" s="1" customFormat="1" ht="46.5" customHeight="1">
      <c r="A158" s="7" t="str">
        <f>PLANILHA!A56</f>
        <v>5.5</v>
      </c>
      <c r="B158" s="21" t="str">
        <f>PLANILHA!B56</f>
        <v>ED-51148</v>
      </c>
      <c r="C158" s="7" t="str">
        <f>PLANILHA!C56</f>
        <v>SETOP</v>
      </c>
      <c r="D158" s="133" t="str">
        <f>PLANILHA!D56</f>
        <v>RAMPA PARA ACESSO DE DEFICIENTE, EM CONCRETO SIMPLES FCK = 25 MPA, DESEMPENADA, COM PINTURA INDICATIVA, 02 DEMÃOS</v>
      </c>
      <c r="E158" s="133"/>
      <c r="F158" s="133"/>
      <c r="G158" s="133"/>
      <c r="H158" s="133"/>
      <c r="I158" s="7">
        <f>PLANILHA!$F$56</f>
        <v>3</v>
      </c>
      <c r="J158" s="7" t="str">
        <f>PLANILHA!$E$56</f>
        <v>U</v>
      </c>
    </row>
    <row r="159" spans="1:10">
      <c r="A159" s="80" t="s">
        <v>276</v>
      </c>
      <c r="C159" t="s">
        <v>277</v>
      </c>
      <c r="D159" s="28" t="s">
        <v>278</v>
      </c>
      <c r="E159" s="28" t="s">
        <v>279</v>
      </c>
      <c r="F159" s="28" t="s">
        <v>280</v>
      </c>
      <c r="G159" s="28" t="s">
        <v>281</v>
      </c>
      <c r="H159" t="s">
        <v>287</v>
      </c>
      <c r="I159" t="s">
        <v>283</v>
      </c>
      <c r="J159" s="12" t="s">
        <v>284</v>
      </c>
    </row>
    <row r="160" spans="1:10">
      <c r="A160" s="7" t="s">
        <v>323</v>
      </c>
      <c r="B160" s="21"/>
      <c r="C160" s="75"/>
      <c r="D160" s="76"/>
      <c r="E160" s="76"/>
      <c r="F160" s="76"/>
      <c r="G160" s="76"/>
      <c r="H160" s="75"/>
      <c r="I160" s="75">
        <v>3</v>
      </c>
      <c r="J160" s="75" t="s">
        <v>302</v>
      </c>
    </row>
    <row r="161" spans="1:10">
      <c r="A161" s="80"/>
      <c r="H161" s="7" t="s">
        <v>283</v>
      </c>
      <c r="I161" s="77">
        <f>I160</f>
        <v>3</v>
      </c>
      <c r="J161" s="7" t="str">
        <f>J158</f>
        <v>U</v>
      </c>
    </row>
    <row r="162" spans="1:10" s="26" customFormat="1" ht="30.6" customHeight="1">
      <c r="A162" s="43" t="str">
        <f>PLANILHA!A57</f>
        <v>6.</v>
      </c>
      <c r="B162" s="71"/>
      <c r="C162" s="72"/>
      <c r="D162" s="73" t="str">
        <f>PLANILHA!B57</f>
        <v>PAVIMENTOS</v>
      </c>
      <c r="E162" s="73"/>
      <c r="F162" s="73"/>
      <c r="G162" s="73"/>
      <c r="H162" s="74"/>
      <c r="I162" s="43"/>
      <c r="J162" s="43"/>
    </row>
    <row r="163" spans="1:10" s="1" customFormat="1" ht="46.5" customHeight="1">
      <c r="A163" s="7" t="str">
        <f>PLANILHA!A58</f>
        <v>6.1</v>
      </c>
      <c r="B163" s="21">
        <f>PLANILHA!B58</f>
        <v>92395</v>
      </c>
      <c r="C163" s="7" t="str">
        <f>PLANILHA!C58</f>
        <v>SINAPI</v>
      </c>
      <c r="D163" s="133" t="str">
        <f>PLANILHA!D58</f>
        <v>EXECUÇÃO DE PAVIMENTO EM PISO INTERTRAVADO, COM BLOCO SEXTAVADO DE 25 X 25 CM, ESPESSURA 10 CM. AF_10/2022</v>
      </c>
      <c r="E163" s="133"/>
      <c r="F163" s="133"/>
      <c r="G163" s="133"/>
      <c r="H163" s="133"/>
      <c r="I163" s="7">
        <f>PLANILHA!F58</f>
        <v>367.5</v>
      </c>
      <c r="J163" s="7" t="str">
        <f>PLANILHA!$E$58</f>
        <v>M²</v>
      </c>
    </row>
    <row r="164" spans="1:10">
      <c r="A164" s="80" t="s">
        <v>276</v>
      </c>
      <c r="C164" t="s">
        <v>277</v>
      </c>
      <c r="D164" s="28" t="s">
        <v>278</v>
      </c>
      <c r="E164" s="28" t="s">
        <v>279</v>
      </c>
      <c r="F164" s="28" t="s">
        <v>280</v>
      </c>
      <c r="G164" s="28" t="s">
        <v>281</v>
      </c>
      <c r="H164" t="s">
        <v>287</v>
      </c>
      <c r="I164" t="s">
        <v>283</v>
      </c>
      <c r="J164" s="12" t="s">
        <v>284</v>
      </c>
    </row>
    <row r="165" spans="1:10">
      <c r="A165" s="7" t="s">
        <v>324</v>
      </c>
      <c r="B165" s="21"/>
      <c r="C165" s="75"/>
      <c r="D165" s="76"/>
      <c r="E165" s="76"/>
      <c r="F165" s="76">
        <v>367.5</v>
      </c>
      <c r="G165" s="76"/>
      <c r="H165" s="75">
        <f>F165</f>
        <v>367.5</v>
      </c>
      <c r="I165" s="75">
        <f>H165</f>
        <v>367.5</v>
      </c>
      <c r="J165" s="75"/>
    </row>
    <row r="166" spans="1:10">
      <c r="A166" s="80"/>
      <c r="H166" s="7" t="s">
        <v>283</v>
      </c>
      <c r="I166" s="77">
        <f>I165</f>
        <v>367.5</v>
      </c>
      <c r="J166" s="7" t="str">
        <f>PLANILHA!E58</f>
        <v>M²</v>
      </c>
    </row>
    <row r="167" spans="1:10" s="26" customFormat="1" ht="30.6" customHeight="1">
      <c r="A167" s="43" t="str">
        <f>PLANILHA!A59</f>
        <v>7.</v>
      </c>
      <c r="B167" s="71"/>
      <c r="C167" s="72"/>
      <c r="D167" s="73" t="str">
        <f>PLANILHA!B59</f>
        <v>ESTRUTURA DE CONCRETO - BANCOS</v>
      </c>
      <c r="E167" s="73"/>
      <c r="F167" s="73"/>
      <c r="G167" s="73"/>
      <c r="H167" s="74"/>
      <c r="I167" s="43"/>
      <c r="J167" s="43"/>
    </row>
    <row r="168" spans="1:10" s="1" customFormat="1" ht="46.5" customHeight="1">
      <c r="A168" s="7" t="str">
        <f>PLANILHA!A60</f>
        <v>7.1</v>
      </c>
      <c r="B168" s="21">
        <f>PLANILHA!B60</f>
        <v>103304</v>
      </c>
      <c r="C168" s="7" t="str">
        <f>PLANILHA!C60</f>
        <v>SINAPI</v>
      </c>
      <c r="D168" s="133" t="str">
        <f>PLANILHA!D60</f>
        <v>INSTALAÇÃO DE BANCO METÁLICO COM ENCOSTO, 1,60 M DE COMPRIMENTO, EM TUBO DE AÇO CARBONO COM PINTURA ELETROSTÁTICA, SOBRE PISO DE CONCRETO EXISTENTE. AF_11/2021</v>
      </c>
      <c r="E168" s="133"/>
      <c r="F168" s="133"/>
      <c r="G168" s="133"/>
      <c r="H168" s="133"/>
      <c r="I168" s="7">
        <f>PLANILHA!$F$60</f>
        <v>2</v>
      </c>
      <c r="J168" s="7" t="str">
        <f>PLANILHA!$E$60</f>
        <v>UND</v>
      </c>
    </row>
    <row r="169" spans="1:10">
      <c r="A169" s="80" t="s">
        <v>276</v>
      </c>
      <c r="C169" t="s">
        <v>277</v>
      </c>
      <c r="D169" s="28" t="s">
        <v>278</v>
      </c>
      <c r="E169" s="28" t="s">
        <v>279</v>
      </c>
      <c r="F169" s="28" t="s">
        <v>280</v>
      </c>
      <c r="G169" s="28" t="s">
        <v>281</v>
      </c>
      <c r="H169" t="s">
        <v>287</v>
      </c>
      <c r="I169" t="s">
        <v>283</v>
      </c>
      <c r="J169" s="12" t="s">
        <v>284</v>
      </c>
    </row>
    <row r="170" spans="1:10">
      <c r="A170" s="7" t="s">
        <v>325</v>
      </c>
      <c r="B170" s="21"/>
      <c r="C170" s="75"/>
      <c r="D170" s="76"/>
      <c r="E170" s="76"/>
      <c r="F170" s="76"/>
      <c r="G170" s="76"/>
      <c r="H170" s="75">
        <v>2</v>
      </c>
      <c r="I170" s="75">
        <f>H170</f>
        <v>2</v>
      </c>
      <c r="J170" s="75"/>
    </row>
    <row r="171" spans="1:10">
      <c r="A171" s="80"/>
      <c r="H171" s="7" t="s">
        <v>283</v>
      </c>
      <c r="I171" s="77">
        <f>I170</f>
        <v>2</v>
      </c>
      <c r="J171" s="7" t="str">
        <f>J168</f>
        <v>UND</v>
      </c>
    </row>
    <row r="172" spans="1:10" s="1" customFormat="1" ht="46.5" customHeight="1">
      <c r="A172" s="7" t="str">
        <f>PLANILHA!A61</f>
        <v>7.2</v>
      </c>
      <c r="B172" s="21" t="str">
        <f>PLANILHA!B61</f>
        <v>ED-48354</v>
      </c>
      <c r="C172" s="7" t="str">
        <f>PLANILHA!C61</f>
        <v>SETOP</v>
      </c>
      <c r="D172" s="133" t="str">
        <f>PLANILHA!D61</f>
        <v>BANCO INTERNO EM CONCRETO APARENTE, ALTURA 45 CM, LARGURA 30 CM</v>
      </c>
      <c r="E172" s="133"/>
      <c r="F172" s="133"/>
      <c r="G172" s="133"/>
      <c r="H172" s="133"/>
      <c r="I172" s="7">
        <f>PLANILHA!$F$61</f>
        <v>27</v>
      </c>
      <c r="J172" s="7" t="str">
        <f>PLANILHA!$E$61</f>
        <v>M</v>
      </c>
    </row>
    <row r="173" spans="1:10">
      <c r="A173" s="80" t="s">
        <v>276</v>
      </c>
      <c r="C173" t="s">
        <v>277</v>
      </c>
      <c r="D173" s="28" t="s">
        <v>278</v>
      </c>
      <c r="E173" s="28" t="s">
        <v>279</v>
      </c>
      <c r="F173" s="28" t="s">
        <v>280</v>
      </c>
      <c r="G173" s="28" t="s">
        <v>281</v>
      </c>
      <c r="H173" t="s">
        <v>287</v>
      </c>
      <c r="I173" t="s">
        <v>283</v>
      </c>
      <c r="J173" s="12" t="s">
        <v>284</v>
      </c>
    </row>
    <row r="174" spans="1:10">
      <c r="A174" s="7" t="s">
        <v>325</v>
      </c>
      <c r="B174" s="21"/>
      <c r="C174" s="75"/>
      <c r="D174" s="76"/>
      <c r="E174" s="76"/>
      <c r="F174" s="76"/>
      <c r="G174" s="76"/>
      <c r="H174" s="75">
        <v>27</v>
      </c>
      <c r="I174" s="75">
        <f>H174</f>
        <v>27</v>
      </c>
      <c r="J174" s="75" t="s">
        <v>326</v>
      </c>
    </row>
    <row r="175" spans="1:10">
      <c r="A175" s="80"/>
      <c r="H175" s="7" t="s">
        <v>283</v>
      </c>
      <c r="I175" s="77">
        <f>I174</f>
        <v>27</v>
      </c>
      <c r="J175" s="7" t="str">
        <f>PLANILHA!E61</f>
        <v>M</v>
      </c>
    </row>
    <row r="176" spans="1:10" s="1" customFormat="1" ht="46.5" customHeight="1">
      <c r="A176" s="7" t="str">
        <f>PLANILHA!A62</f>
        <v>7.3</v>
      </c>
      <c r="B176" s="21" t="str">
        <f>PLANILHA!B62</f>
        <v>ED-50525</v>
      </c>
      <c r="C176" s="7" t="str">
        <f>PLANILHA!C62</f>
        <v>SETOP</v>
      </c>
      <c r="D176" s="133" t="str">
        <f>PLANILHA!D62</f>
        <v>PINTURA COM VERNIZ ACRÍLICO EM ALVENARIA OU CONCRETO, DUAS (2) DEMÃOS, COM APLICAÇÃO MANUAL, INCLUSIVE PREPARAÇÃO DA SUPERFÍCIE COM LIXAMENTO</v>
      </c>
      <c r="E176" s="133"/>
      <c r="F176" s="133"/>
      <c r="G176" s="133"/>
      <c r="H176" s="133"/>
      <c r="I176" s="7">
        <f>PLANILHA!$F$62</f>
        <v>145.80000000000001</v>
      </c>
      <c r="J176" s="7" t="str">
        <f>PLANILHA!$E$62</f>
        <v>M²</v>
      </c>
    </row>
    <row r="177" spans="1:10">
      <c r="A177" s="80" t="s">
        <v>276</v>
      </c>
      <c r="C177" t="s">
        <v>277</v>
      </c>
      <c r="D177" s="28" t="s">
        <v>278</v>
      </c>
      <c r="E177" s="28" t="s">
        <v>279</v>
      </c>
      <c r="F177" s="28" t="s">
        <v>280</v>
      </c>
      <c r="G177" s="28" t="s">
        <v>281</v>
      </c>
      <c r="H177" t="s">
        <v>287</v>
      </c>
      <c r="I177" t="s">
        <v>283</v>
      </c>
      <c r="J177" s="12" t="s">
        <v>284</v>
      </c>
    </row>
    <row r="178" spans="1:10">
      <c r="A178" s="7" t="s">
        <v>285</v>
      </c>
      <c r="B178" s="21"/>
      <c r="C178" s="75"/>
      <c r="D178" s="76"/>
      <c r="E178" s="76"/>
      <c r="F178" s="76"/>
      <c r="G178" s="76"/>
      <c r="H178" s="75">
        <v>145.80000000000001</v>
      </c>
      <c r="I178" s="75">
        <f>H178</f>
        <v>145.80000000000001</v>
      </c>
      <c r="J178" s="75" t="s">
        <v>326</v>
      </c>
    </row>
    <row r="179" spans="1:10">
      <c r="A179" s="80"/>
      <c r="H179" s="7" t="s">
        <v>283</v>
      </c>
      <c r="I179" s="77">
        <f>I176</f>
        <v>145.80000000000001</v>
      </c>
      <c r="J179" s="7" t="str">
        <f>PLANILHA!E62</f>
        <v>M²</v>
      </c>
    </row>
    <row r="180" spans="1:10" s="1" customFormat="1" ht="46.5" customHeight="1">
      <c r="A180" s="7" t="str">
        <f>PLANILHA!A63</f>
        <v>7.4</v>
      </c>
      <c r="B180" s="21" t="str">
        <f>PLANILHA!B63</f>
        <v>ED-15449</v>
      </c>
      <c r="C180" s="7" t="str">
        <f>PLANILHA!C63</f>
        <v>SETOP</v>
      </c>
      <c r="D180" s="133" t="str">
        <f>PLANILHA!D63</f>
        <v>BANCO EM CONCRETO APARENTE, SEM ENCOSTO, POLIDO COM ACABAMENTO EM VERNIZ, ESP. 8CM, COMPRIMENTO 200CM, LARGURA 40CM, ALTURA 55CM, EXCLUSIVE FIXAÇÃO EM PISO</v>
      </c>
      <c r="E180" s="133"/>
      <c r="F180" s="133"/>
      <c r="G180" s="133"/>
      <c r="H180" s="133"/>
      <c r="I180" s="7">
        <f>PLANILHA!$F$63</f>
        <v>6</v>
      </c>
      <c r="J180" s="7" t="str">
        <f>PLANILHA!$E$63</f>
        <v>UND</v>
      </c>
    </row>
    <row r="181" spans="1:10">
      <c r="A181" s="80" t="s">
        <v>276</v>
      </c>
      <c r="C181" t="s">
        <v>277</v>
      </c>
      <c r="D181" s="28" t="s">
        <v>278</v>
      </c>
      <c r="E181" s="28" t="s">
        <v>279</v>
      </c>
      <c r="F181" s="28" t="s">
        <v>280</v>
      </c>
      <c r="G181" s="28" t="s">
        <v>281</v>
      </c>
      <c r="H181" t="s">
        <v>287</v>
      </c>
      <c r="I181" t="s">
        <v>283</v>
      </c>
      <c r="J181" s="12" t="s">
        <v>284</v>
      </c>
    </row>
    <row r="182" spans="1:10">
      <c r="A182" s="78" t="s">
        <v>325</v>
      </c>
      <c r="B182" s="21"/>
      <c r="C182" s="7">
        <f>PLANILHA!$F$82</f>
        <v>1</v>
      </c>
      <c r="D182" s="76"/>
      <c r="E182" s="76"/>
      <c r="F182" s="76"/>
      <c r="G182" s="76"/>
      <c r="H182" s="75"/>
      <c r="I182" s="7">
        <v>6</v>
      </c>
      <c r="J182" s="75" t="s">
        <v>326</v>
      </c>
    </row>
    <row r="183" spans="1:10">
      <c r="A183" s="80"/>
      <c r="H183" s="7" t="s">
        <v>283</v>
      </c>
      <c r="I183" s="77">
        <f>I182</f>
        <v>6</v>
      </c>
      <c r="J183" s="7" t="str">
        <f>J180</f>
        <v>UND</v>
      </c>
    </row>
    <row r="184" spans="1:10" s="26" customFormat="1" ht="30.6" customHeight="1">
      <c r="A184" s="43" t="str">
        <f>PLANILHA!A64</f>
        <v>8.</v>
      </c>
      <c r="B184" s="71"/>
      <c r="C184" s="72"/>
      <c r="D184" s="73" t="str">
        <f>PLANILHA!B64</f>
        <v>ALVENARIAS</v>
      </c>
      <c r="E184" s="73"/>
      <c r="F184" s="73"/>
      <c r="G184" s="73"/>
      <c r="H184" s="74"/>
      <c r="I184" s="43"/>
      <c r="J184" s="43"/>
    </row>
    <row r="185" spans="1:10" s="1" customFormat="1" ht="46.5" customHeight="1">
      <c r="A185" s="7" t="str">
        <f>PLANILHA!A65</f>
        <v>8.1</v>
      </c>
      <c r="B185" s="21">
        <f>PLANILHA!B65</f>
        <v>87904</v>
      </c>
      <c r="C185" s="7" t="str">
        <f>PLANILHA!C65</f>
        <v>SINAPI</v>
      </c>
      <c r="D185" s="133" t="str">
        <f>PLANILHA!D65</f>
        <v>CHAPISCO APLICADO EM ALVENARIA (COM PRESENÇA DE VÃOS) E ESTRUTURAS DE CONCRETO DE FACHADA, COM COLHER DE PEDREIRO. ARGAMASSA TRAÇO 1:3 COM PREPARO MANUAL. AF_10/2022</v>
      </c>
      <c r="E185" s="133"/>
      <c r="F185" s="133"/>
      <c r="G185" s="133"/>
      <c r="H185" s="133"/>
      <c r="I185" s="7">
        <f>PLANILHA!F65</f>
        <v>65.047600000000003</v>
      </c>
      <c r="J185" s="7" t="str">
        <f>PLANILHA!E65</f>
        <v>M²</v>
      </c>
    </row>
    <row r="186" spans="1:10">
      <c r="A186" s="80" t="s">
        <v>276</v>
      </c>
      <c r="C186" t="s">
        <v>277</v>
      </c>
      <c r="D186" s="28" t="s">
        <v>278</v>
      </c>
      <c r="E186" s="28" t="s">
        <v>279</v>
      </c>
      <c r="F186" s="28" t="s">
        <v>280</v>
      </c>
      <c r="G186" s="28" t="s">
        <v>281</v>
      </c>
      <c r="H186" t="s">
        <v>287</v>
      </c>
      <c r="I186" t="s">
        <v>283</v>
      </c>
      <c r="J186" s="12" t="s">
        <v>284</v>
      </c>
    </row>
    <row r="187" spans="1:10">
      <c r="A187" s="7" t="s">
        <v>327</v>
      </c>
      <c r="B187" s="21"/>
      <c r="C187" s="75"/>
      <c r="D187" s="76"/>
      <c r="E187" s="76"/>
      <c r="F187" s="76">
        <v>145.80000000000001</v>
      </c>
      <c r="G187" s="76"/>
      <c r="H187" s="75"/>
      <c r="I187" s="75">
        <f>F187</f>
        <v>145.80000000000001</v>
      </c>
      <c r="J187" s="75" t="s">
        <v>326</v>
      </c>
    </row>
    <row r="188" spans="1:10">
      <c r="A188" s="80"/>
      <c r="H188" s="7" t="s">
        <v>283</v>
      </c>
      <c r="I188" s="77">
        <f>I187</f>
        <v>145.80000000000001</v>
      </c>
      <c r="J188" s="7" t="str">
        <f>J185</f>
        <v>M²</v>
      </c>
    </row>
    <row r="189" spans="1:10" s="1" customFormat="1" ht="46.5" customHeight="1">
      <c r="A189" s="7" t="str">
        <f>PLANILHA!A66</f>
        <v>8.2</v>
      </c>
      <c r="B189" s="21" t="str">
        <f>PLANILHA!B66</f>
        <v>ED-50760</v>
      </c>
      <c r="C189" s="7" t="str">
        <f>PLANILHA!C66</f>
        <v>SETOP</v>
      </c>
      <c r="D189" s="133" t="str">
        <f>PLANILHA!D66</f>
        <v>REBOCO COM ARGAMASSA, TRAÇO 1:2:9 (CIMENTO, CAL E AREIA) , COM ADITIVO IMPERMEABILIZANTE, ESP. 20MM, APLICAÇÃO MANUAL, INCLUSIVE ARGAMASSA COM PREPARO MECANIZADO, EXCLUSIVE CHAPISCO</v>
      </c>
      <c r="E189" s="133"/>
      <c r="F189" s="133"/>
      <c r="G189" s="133"/>
      <c r="H189" s="133"/>
      <c r="I189" s="7">
        <f>PLANILHA!F66</f>
        <v>65.047600000000003</v>
      </c>
      <c r="J189" s="7" t="str">
        <f>PLANILHA!E66</f>
        <v>M²</v>
      </c>
    </row>
    <row r="190" spans="1:10">
      <c r="A190" s="80" t="s">
        <v>276</v>
      </c>
      <c r="C190" t="s">
        <v>277</v>
      </c>
      <c r="D190" s="28" t="s">
        <v>278</v>
      </c>
      <c r="E190" s="28" t="s">
        <v>279</v>
      </c>
      <c r="F190" s="28" t="s">
        <v>280</v>
      </c>
      <c r="G190" s="28" t="s">
        <v>281</v>
      </c>
      <c r="H190" t="s">
        <v>287</v>
      </c>
      <c r="I190" t="s">
        <v>283</v>
      </c>
      <c r="J190" s="12" t="s">
        <v>284</v>
      </c>
    </row>
    <row r="191" spans="1:10">
      <c r="A191" s="78" t="s">
        <v>327</v>
      </c>
      <c r="B191" s="21"/>
      <c r="C191" s="75"/>
      <c r="D191" s="76"/>
      <c r="E191" s="76"/>
      <c r="F191" s="76">
        <v>145.80000000000001</v>
      </c>
      <c r="G191" s="76"/>
      <c r="H191" s="75">
        <v>6</v>
      </c>
      <c r="I191" s="75">
        <f>H191</f>
        <v>6</v>
      </c>
      <c r="J191" s="75" t="s">
        <v>326</v>
      </c>
    </row>
    <row r="192" spans="1:10">
      <c r="A192" s="80"/>
      <c r="H192" s="7" t="s">
        <v>283</v>
      </c>
      <c r="I192" s="77">
        <f>I191</f>
        <v>6</v>
      </c>
      <c r="J192" s="7" t="str">
        <f>J189</f>
        <v>M²</v>
      </c>
    </row>
    <row r="193" spans="1:10" s="1" customFormat="1" ht="46.5" customHeight="1">
      <c r="A193" s="7" t="str">
        <f>PLANILHA!A67</f>
        <v>8.3</v>
      </c>
      <c r="B193" s="21" t="str">
        <f>PLANILHA!B67</f>
        <v>ED-48213</v>
      </c>
      <c r="C193" s="7" t="str">
        <f>PLANILHA!C67</f>
        <v>SETOP</v>
      </c>
      <c r="D193" s="133" t="str">
        <f>PLANILHA!D67</f>
        <v>ALVENARIA DE BLOCO DE CONCRETO CHEIO COM ARMAÇÃO, EM CONCRETO COM FCK 15MPA , ESP. 14CM, PARA REVESTIMENTO, INCLUSIVE ARGAMASSA PARA ASSENTAMENTO (DETALHE D - CADERNO SEDS)</v>
      </c>
      <c r="E193" s="133"/>
      <c r="F193" s="133"/>
      <c r="G193" s="133"/>
      <c r="H193" s="133"/>
      <c r="I193" s="7">
        <f>PLANILHA!F67</f>
        <v>65.047600000000003</v>
      </c>
      <c r="J193" s="7" t="str">
        <f>PLANILHA!E67</f>
        <v>M²</v>
      </c>
    </row>
    <row r="194" spans="1:10">
      <c r="A194" s="80" t="s">
        <v>276</v>
      </c>
      <c r="C194" t="s">
        <v>277</v>
      </c>
      <c r="D194" s="28" t="s">
        <v>278</v>
      </c>
      <c r="E194" s="28" t="s">
        <v>279</v>
      </c>
      <c r="F194" s="28" t="s">
        <v>280</v>
      </c>
      <c r="G194" s="28" t="s">
        <v>281</v>
      </c>
      <c r="H194" t="s">
        <v>287</v>
      </c>
      <c r="I194" t="s">
        <v>283</v>
      </c>
      <c r="J194" s="12" t="s">
        <v>284</v>
      </c>
    </row>
    <row r="195" spans="1:10">
      <c r="A195" s="78" t="s">
        <v>327</v>
      </c>
      <c r="B195" s="21"/>
      <c r="C195" s="75"/>
      <c r="D195" s="76"/>
      <c r="E195" s="76"/>
      <c r="F195" s="76">
        <v>145.80000000000001</v>
      </c>
      <c r="G195" s="76"/>
      <c r="H195" s="75"/>
      <c r="I195" s="7">
        <f>PLANILHA!$F$87</f>
        <v>1</v>
      </c>
      <c r="J195" s="75" t="s">
        <v>326</v>
      </c>
    </row>
    <row r="196" spans="1:10">
      <c r="A196" s="80"/>
      <c r="H196" s="7" t="s">
        <v>283</v>
      </c>
      <c r="I196" s="77">
        <f>I195</f>
        <v>1</v>
      </c>
      <c r="J196" s="7" t="str">
        <f>J193</f>
        <v>M²</v>
      </c>
    </row>
    <row r="197" spans="1:10" s="26" customFormat="1" ht="30.6" customHeight="1">
      <c r="A197" s="43" t="str">
        <f>PLANILHA!A68</f>
        <v>9.</v>
      </c>
      <c r="B197" s="71"/>
      <c r="C197" s="72"/>
      <c r="D197" s="73" t="str">
        <f>PLANILHA!B68</f>
        <v>ELÉTRICO</v>
      </c>
      <c r="E197" s="73"/>
      <c r="F197" s="73"/>
      <c r="G197" s="73"/>
      <c r="H197" s="74"/>
      <c r="I197" s="43"/>
      <c r="J197" s="43"/>
    </row>
    <row r="198" spans="1:10" s="1" customFormat="1" ht="46.5" customHeight="1">
      <c r="A198" s="7" t="str">
        <f>PLANILHA!A69</f>
        <v>9.1</v>
      </c>
      <c r="B198" s="21" t="str">
        <f>PLANILHA!B69</f>
        <v>ED-48989</v>
      </c>
      <c r="C198" s="7" t="str">
        <f>PLANILHA!C69</f>
        <v>SETOP</v>
      </c>
      <c r="D198" s="133" t="str">
        <f>PLANILHA!D69</f>
        <v>CABO UNIPOLAR DE COBRE FLEXÍVEL, CLASSE 5, ISOLAMENTO TIPO EPR/HEPR, NÃO HALOGENADO E ANTICHAMA, DIÂMETRO DA SEÇÃO DE 2,5MM2, TEMPERATURA DE TRABALHO 90°C, TENSÃO NOMINAL DE OPERAÇÃO 0,6/1KV</v>
      </c>
      <c r="E198" s="133"/>
      <c r="F198" s="133"/>
      <c r="G198" s="133"/>
      <c r="H198" s="133"/>
      <c r="I198" s="7">
        <f>PLANILHA!F69</f>
        <v>800</v>
      </c>
      <c r="J198" s="7" t="str">
        <f>PLANILHA!E69</f>
        <v>M</v>
      </c>
    </row>
    <row r="199" spans="1:10">
      <c r="A199" s="80" t="s">
        <v>276</v>
      </c>
      <c r="C199" t="s">
        <v>277</v>
      </c>
      <c r="D199" s="28" t="s">
        <v>278</v>
      </c>
      <c r="E199" s="28" t="s">
        <v>279</v>
      </c>
      <c r="F199" s="28" t="s">
        <v>280</v>
      </c>
      <c r="G199" s="28" t="s">
        <v>281</v>
      </c>
      <c r="H199" t="s">
        <v>287</v>
      </c>
      <c r="I199" t="s">
        <v>283</v>
      </c>
      <c r="J199" s="12" t="s">
        <v>284</v>
      </c>
    </row>
    <row r="200" spans="1:10" ht="30">
      <c r="A200" s="78" t="s">
        <v>328</v>
      </c>
      <c r="B200" s="21"/>
      <c r="C200" s="75"/>
      <c r="D200" s="76"/>
      <c r="E200" s="76"/>
      <c r="F200" s="7">
        <f>PLANILHA!$F$87</f>
        <v>1</v>
      </c>
      <c r="G200" s="76"/>
      <c r="H200" s="75"/>
      <c r="I200" s="7">
        <f>PLANILHA!F69</f>
        <v>800</v>
      </c>
      <c r="J200" s="75" t="s">
        <v>326</v>
      </c>
    </row>
    <row r="201" spans="1:10">
      <c r="A201" s="80"/>
      <c r="H201" s="7" t="s">
        <v>283</v>
      </c>
      <c r="I201" s="77">
        <f>I200</f>
        <v>800</v>
      </c>
      <c r="J201" s="7" t="str">
        <f>J198</f>
        <v>M</v>
      </c>
    </row>
    <row r="202" spans="1:10" s="1" customFormat="1" ht="46.5" customHeight="1">
      <c r="A202" s="7" t="str">
        <f>PLANILHA!A70</f>
        <v>9.2</v>
      </c>
      <c r="B202" s="21" t="str">
        <f>PLANILHA!B70</f>
        <v>ED-48992</v>
      </c>
      <c r="C202" s="7" t="str">
        <f>PLANILHA!C70</f>
        <v>SETOP</v>
      </c>
      <c r="D202" s="133" t="str">
        <f>PLANILHA!D70</f>
        <v>CABO UNIPOLAR DE COBRE FLEXÍVEL, CLASSE 5, ISOLAMENTO TIPO EPR/HEPR, NÃO HALOGENADO E ANTICHAMA, DIÂMETRO DA SEÇÃO DE 4,0MM2, TEMPERATURA DE TRABALHO 90°C, TENSÃO NOMINAL DE OPERAÇÃO 0,6/1KV</v>
      </c>
      <c r="E202" s="133"/>
      <c r="F202" s="133"/>
      <c r="G202" s="133"/>
      <c r="H202" s="133"/>
      <c r="I202" s="7">
        <f>PLANILHA!F70</f>
        <v>295.89</v>
      </c>
      <c r="J202" s="7" t="str">
        <f>PLANILHA!E70</f>
        <v>M</v>
      </c>
    </row>
    <row r="203" spans="1:10">
      <c r="A203" s="80" t="s">
        <v>276</v>
      </c>
      <c r="C203" t="s">
        <v>277</v>
      </c>
      <c r="D203" s="28" t="s">
        <v>278</v>
      </c>
      <c r="E203" s="28" t="s">
        <v>279</v>
      </c>
      <c r="F203" s="28" t="s">
        <v>280</v>
      </c>
      <c r="G203" s="28" t="s">
        <v>281</v>
      </c>
      <c r="H203" t="s">
        <v>287</v>
      </c>
      <c r="I203" t="s">
        <v>283</v>
      </c>
      <c r="J203" s="12" t="s">
        <v>284</v>
      </c>
    </row>
    <row r="204" spans="1:10" ht="30">
      <c r="A204" s="78" t="s">
        <v>329</v>
      </c>
      <c r="B204" s="21"/>
      <c r="C204" s="75"/>
      <c r="D204" s="76"/>
      <c r="E204" s="76"/>
      <c r="F204" s="7">
        <f>PLANILHA!$F$89</f>
        <v>17</v>
      </c>
      <c r="G204" s="76"/>
      <c r="H204" s="75"/>
      <c r="I204" s="7">
        <f>PLANILHA!F70</f>
        <v>295.89</v>
      </c>
      <c r="J204" s="75" t="s">
        <v>326</v>
      </c>
    </row>
    <row r="205" spans="1:10">
      <c r="A205" s="80"/>
      <c r="H205" s="7" t="s">
        <v>283</v>
      </c>
      <c r="I205" s="77">
        <f>I204</f>
        <v>295.89</v>
      </c>
      <c r="J205" s="7" t="str">
        <f>J202</f>
        <v>M</v>
      </c>
    </row>
    <row r="206" spans="1:10" s="1" customFormat="1" ht="46.5" customHeight="1">
      <c r="A206" s="7" t="str">
        <f>PLANILHA!A71</f>
        <v>9.3</v>
      </c>
      <c r="B206" s="21" t="str">
        <f>PLANILHA!B71</f>
        <v>ED-48995</v>
      </c>
      <c r="C206" s="7" t="str">
        <f>PLANILHA!C71</f>
        <v>SETOP</v>
      </c>
      <c r="D206" s="133" t="str">
        <f>PLANILHA!D71</f>
        <v>CABO UNIPOLAR DE COBRE FLEXÍVEL, CLASSE 5, ISOLAMENTO TIPO EPR/HEPR, NÃO HALOGENADO E ANTICHAMA, DIÂMETRO DA SEÇÃO DE 6,0MM2, TEMPERATURA DE TRABALHO 90°C, TENSÃO NOMINAL DE OPERAÇÃO 0,6/1KV</v>
      </c>
      <c r="E206" s="133"/>
      <c r="F206" s="133"/>
      <c r="G206" s="133"/>
      <c r="H206" s="133"/>
      <c r="I206" s="7">
        <f>PLANILHA!F71</f>
        <v>874.9</v>
      </c>
      <c r="J206" s="7" t="str">
        <f>PLANILHA!E71</f>
        <v>M</v>
      </c>
    </row>
    <row r="207" spans="1:10">
      <c r="A207" s="80" t="s">
        <v>276</v>
      </c>
      <c r="C207" t="s">
        <v>277</v>
      </c>
      <c r="D207" s="28" t="s">
        <v>278</v>
      </c>
      <c r="E207" s="28" t="s">
        <v>279</v>
      </c>
      <c r="F207" s="28" t="s">
        <v>280</v>
      </c>
      <c r="G207" s="28" t="s">
        <v>281</v>
      </c>
      <c r="H207" t="s">
        <v>287</v>
      </c>
      <c r="I207" t="s">
        <v>283</v>
      </c>
      <c r="J207" s="12" t="s">
        <v>284</v>
      </c>
    </row>
    <row r="208" spans="1:10" ht="30">
      <c r="A208" s="78" t="s">
        <v>328</v>
      </c>
      <c r="B208" s="21"/>
      <c r="C208" s="75"/>
      <c r="D208" s="76"/>
      <c r="E208" s="76"/>
      <c r="F208" s="76"/>
      <c r="G208" s="76"/>
      <c r="H208" s="75"/>
      <c r="I208" s="75">
        <f>PLANILHA!F71</f>
        <v>874.9</v>
      </c>
      <c r="J208" s="75" t="s">
        <v>330</v>
      </c>
    </row>
    <row r="209" spans="1:11">
      <c r="A209" s="80"/>
      <c r="H209" s="7" t="s">
        <v>283</v>
      </c>
      <c r="I209" s="77">
        <f>I208</f>
        <v>874.9</v>
      </c>
      <c r="J209" s="7" t="str">
        <f>J206</f>
        <v>M</v>
      </c>
      <c r="K209" s="41"/>
    </row>
    <row r="210" spans="1:11" s="1" customFormat="1" ht="46.5" customHeight="1">
      <c r="A210" s="7" t="str">
        <f>PLANILHA!A72</f>
        <v>9.4</v>
      </c>
      <c r="B210" s="21" t="str">
        <f>PLANILHA!B72</f>
        <v>ED-49001</v>
      </c>
      <c r="C210" s="7" t="str">
        <f>PLANILHA!C72</f>
        <v>SETOP</v>
      </c>
      <c r="D210" s="133" t="str">
        <f>PLANILHA!D72</f>
        <v>CABO UNIPOLAR DE COBRE FLEXÍVEL, CLASSE 5, ISOLAMENTO TIPO EPR/HEPR, NÃO HALOGENADO E ANTICHAMA, DIÂMETRO DA SEÇÃO DE 16,0MM2, TEMPERATURA DE TRABALHO 90°C, TENSÃO NOMINAL DE OPERAÇÃO 0,6/1KV</v>
      </c>
      <c r="E210" s="133"/>
      <c r="F210" s="133"/>
      <c r="G210" s="133"/>
      <c r="H210" s="133"/>
      <c r="I210" s="7">
        <f>PLANILHA!F72</f>
        <v>120</v>
      </c>
      <c r="J210" s="7" t="str">
        <f>PLANILHA!E72</f>
        <v>M</v>
      </c>
    </row>
    <row r="211" spans="1:11">
      <c r="A211" s="80" t="s">
        <v>276</v>
      </c>
      <c r="C211" t="s">
        <v>277</v>
      </c>
      <c r="D211" s="28" t="s">
        <v>278</v>
      </c>
      <c r="E211" s="28" t="s">
        <v>279</v>
      </c>
      <c r="F211" s="28" t="s">
        <v>280</v>
      </c>
      <c r="G211" s="28" t="s">
        <v>281</v>
      </c>
      <c r="H211" t="s">
        <v>287</v>
      </c>
      <c r="I211" t="s">
        <v>283</v>
      </c>
      <c r="J211" s="12" t="s">
        <v>284</v>
      </c>
    </row>
    <row r="212" spans="1:11" ht="30">
      <c r="A212" s="78" t="s">
        <v>328</v>
      </c>
      <c r="B212" s="21"/>
      <c r="C212" s="7">
        <f>PLANILHA!$F$100</f>
        <v>1</v>
      </c>
      <c r="D212" s="76"/>
      <c r="E212" s="76"/>
      <c r="F212" s="76"/>
      <c r="G212" s="76"/>
      <c r="H212" s="75"/>
      <c r="I212" s="7">
        <f>I210</f>
        <v>120</v>
      </c>
      <c r="J212" s="75" t="s">
        <v>330</v>
      </c>
    </row>
    <row r="213" spans="1:11">
      <c r="A213" s="80"/>
      <c r="H213" s="7" t="s">
        <v>283</v>
      </c>
      <c r="I213" s="77">
        <f>I212</f>
        <v>120</v>
      </c>
      <c r="J213" s="7" t="str">
        <f>J210</f>
        <v>M</v>
      </c>
    </row>
    <row r="214" spans="1:11" s="1" customFormat="1" ht="46.5" customHeight="1">
      <c r="A214" s="7" t="str">
        <f>PLANILHA!A73</f>
        <v>9.5</v>
      </c>
      <c r="B214" s="21" t="str">
        <f>PLANILHA!B73</f>
        <v>ED-26658</v>
      </c>
      <c r="C214" s="7" t="str">
        <f>PLANILHA!C73</f>
        <v>SETOP</v>
      </c>
      <c r="D214" s="133" t="str">
        <f>PLANILHA!D73</f>
        <v>DUTO CORRUGADO HELICOIDAL, EM POLIETILENO DE ALTA
DENSIDADE (PEAD), DIÂMETRO DE 1.1/4", PARA CABO
SUBTERRÂNEO, EXCLUSIVE ESCAVAÇÃO</v>
      </c>
      <c r="E214" s="133"/>
      <c r="F214" s="133"/>
      <c r="G214" s="133"/>
      <c r="H214" s="133"/>
      <c r="I214" s="7">
        <f>PLANILHA!F73</f>
        <v>436.36</v>
      </c>
      <c r="J214" s="7" t="str">
        <f>PLANILHA!E73</f>
        <v>M</v>
      </c>
    </row>
    <row r="215" spans="1:11">
      <c r="A215" s="80" t="s">
        <v>276</v>
      </c>
      <c r="C215" t="s">
        <v>277</v>
      </c>
      <c r="D215" s="28" t="s">
        <v>278</v>
      </c>
      <c r="E215" s="28" t="s">
        <v>279</v>
      </c>
      <c r="F215" s="28" t="s">
        <v>280</v>
      </c>
      <c r="G215" s="28" t="s">
        <v>281</v>
      </c>
      <c r="H215" t="s">
        <v>287</v>
      </c>
      <c r="I215" t="s">
        <v>283</v>
      </c>
      <c r="J215" s="12" t="s">
        <v>284</v>
      </c>
    </row>
    <row r="216" spans="1:11" ht="30">
      <c r="A216" s="78" t="s">
        <v>328</v>
      </c>
      <c r="B216" s="21"/>
      <c r="C216" s="7">
        <f>PLANILHA!$F$101</f>
        <v>1</v>
      </c>
      <c r="D216" s="76"/>
      <c r="E216" s="76"/>
      <c r="F216" s="76"/>
      <c r="G216" s="76"/>
      <c r="H216" s="75"/>
      <c r="I216" s="7">
        <f>I214</f>
        <v>436.36</v>
      </c>
      <c r="J216" s="75" t="s">
        <v>330</v>
      </c>
    </row>
    <row r="217" spans="1:11">
      <c r="A217" s="80"/>
      <c r="H217" s="7" t="s">
        <v>283</v>
      </c>
      <c r="I217" s="77">
        <f>I216</f>
        <v>436.36</v>
      </c>
      <c r="J217" s="7" t="str">
        <f>J214</f>
        <v>M</v>
      </c>
    </row>
    <row r="218" spans="1:11" s="1" customFormat="1" ht="46.5" customHeight="1">
      <c r="A218" s="7" t="str">
        <f>PLANILHA!A74</f>
        <v>9.6</v>
      </c>
      <c r="B218" s="21" t="str">
        <f>PLANILHA!B74</f>
        <v>ED-49168</v>
      </c>
      <c r="C218" s="7" t="str">
        <f>PLANILHA!C74</f>
        <v>SETOP</v>
      </c>
      <c r="D218" s="133" t="str">
        <f>PLANILHA!D74</f>
        <v>CAIXA DE PASSAGEM EM ALVENARIA E TAMPA DE CONCRETO, FUNDO DE BRITA, TIPO 1, DIMENSÃO (30X30X40)CM, INCLUSIVE ESCAVAÇÃO, REATERRO E BOTA-FORA</v>
      </c>
      <c r="E218" s="133"/>
      <c r="F218" s="133"/>
      <c r="G218" s="133"/>
      <c r="H218" s="133"/>
      <c r="I218" s="7">
        <f>PLANILHA!F74</f>
        <v>26</v>
      </c>
      <c r="J218" s="7" t="str">
        <f>PLANILHA!E74</f>
        <v>UND</v>
      </c>
    </row>
    <row r="219" spans="1:11">
      <c r="A219" s="80" t="s">
        <v>276</v>
      </c>
      <c r="C219" t="s">
        <v>277</v>
      </c>
      <c r="D219" s="28" t="s">
        <v>278</v>
      </c>
      <c r="E219" s="28" t="s">
        <v>279</v>
      </c>
      <c r="F219" s="28" t="s">
        <v>280</v>
      </c>
      <c r="G219" s="28" t="s">
        <v>281</v>
      </c>
      <c r="H219" t="s">
        <v>287</v>
      </c>
      <c r="I219" t="s">
        <v>283</v>
      </c>
      <c r="J219" s="12" t="s">
        <v>284</v>
      </c>
    </row>
    <row r="220" spans="1:11" ht="30">
      <c r="A220" s="78" t="s">
        <v>328</v>
      </c>
      <c r="B220" s="21"/>
      <c r="C220" s="7">
        <f>PLANILHA!$F$102</f>
        <v>0</v>
      </c>
      <c r="D220" s="76"/>
      <c r="E220" s="76"/>
      <c r="F220" s="76"/>
      <c r="G220" s="76"/>
      <c r="H220" s="75"/>
      <c r="I220" s="7">
        <f>I218</f>
        <v>26</v>
      </c>
      <c r="J220" s="75" t="s">
        <v>330</v>
      </c>
    </row>
    <row r="221" spans="1:11">
      <c r="A221" s="80"/>
      <c r="H221" s="7" t="s">
        <v>283</v>
      </c>
      <c r="I221" s="77">
        <f>I220</f>
        <v>26</v>
      </c>
      <c r="J221" s="7" t="str">
        <f>J218</f>
        <v>UND</v>
      </c>
    </row>
    <row r="222" spans="1:11" s="1" customFormat="1" ht="46.5" customHeight="1">
      <c r="A222" s="7" t="str">
        <f>PLANILHA!A75</f>
        <v>9.7</v>
      </c>
      <c r="B222" s="21" t="str">
        <f>PLANILHA!B75</f>
        <v>ED-17953</v>
      </c>
      <c r="C222" s="7" t="str">
        <f>PLANILHA!C75</f>
        <v>SETOP</v>
      </c>
      <c r="D222" s="133" t="str">
        <f>PLANILHA!D75</f>
        <v>ELETRODUTO FLEXÍVEL CORRUGADO, PVC, ANTICHAMA, DN 32MM (1"), APLICADO EM ALVENARIA, EXCLUSIVE RASGO</v>
      </c>
      <c r="E222" s="133"/>
      <c r="F222" s="133"/>
      <c r="G222" s="133"/>
      <c r="H222" s="133"/>
      <c r="I222" s="7">
        <f>PLANILHA!F75</f>
        <v>156.66999999999999</v>
      </c>
      <c r="J222" s="7" t="str">
        <f>PLANILHA!E75</f>
        <v>M</v>
      </c>
    </row>
    <row r="223" spans="1:11">
      <c r="A223" s="80" t="s">
        <v>276</v>
      </c>
      <c r="C223" t="s">
        <v>277</v>
      </c>
      <c r="D223" s="28" t="s">
        <v>278</v>
      </c>
      <c r="E223" s="28" t="s">
        <v>279</v>
      </c>
      <c r="F223" s="28" t="s">
        <v>280</v>
      </c>
      <c r="G223" s="28" t="s">
        <v>281</v>
      </c>
      <c r="H223" t="s">
        <v>287</v>
      </c>
      <c r="I223" t="s">
        <v>283</v>
      </c>
      <c r="J223" s="12" t="s">
        <v>284</v>
      </c>
    </row>
    <row r="224" spans="1:11" ht="30">
      <c r="A224" s="78" t="s">
        <v>328</v>
      </c>
      <c r="B224" s="21"/>
      <c r="C224" s="7"/>
      <c r="D224" s="76"/>
      <c r="E224" s="76"/>
      <c r="F224" s="76"/>
      <c r="G224" s="76"/>
      <c r="H224" s="75"/>
      <c r="I224" s="7">
        <f>I222</f>
        <v>156.66999999999999</v>
      </c>
      <c r="J224" s="75" t="s">
        <v>330</v>
      </c>
    </row>
    <row r="225" spans="1:10">
      <c r="A225" s="80"/>
      <c r="H225" s="7" t="s">
        <v>283</v>
      </c>
      <c r="I225" s="77">
        <f>I224</f>
        <v>156.66999999999999</v>
      </c>
      <c r="J225" s="7" t="str">
        <f>J222</f>
        <v>M</v>
      </c>
    </row>
    <row r="226" spans="1:10" s="1" customFormat="1" ht="46.5" customHeight="1">
      <c r="A226" s="7" t="str">
        <f>PLANILHA!A76</f>
        <v>9.8</v>
      </c>
      <c r="B226" s="21" t="str">
        <f>PLANILHA!B76</f>
        <v>ED-15748</v>
      </c>
      <c r="C226" s="7" t="str">
        <f>PLANILHA!C76</f>
        <v>SETOP</v>
      </c>
      <c r="D226" s="133" t="str">
        <f>PLANILHA!D76</f>
        <v>CONJUNTO DE UMA (1) TOMADA PADRÃO, TRÊS (3) POLOS, CORRENTE 10A, TENSÃO 250V, (2P+T/10A- 250V), COM PLACA 4"X2" DE UM (1) POSTO, INCLUSIVE FORNECIMENTO, INSTALAÇÃO, SUPORTE, MÓDULO E PLACA</v>
      </c>
      <c r="E226" s="133"/>
      <c r="F226" s="133"/>
      <c r="G226" s="133"/>
      <c r="H226" s="133"/>
      <c r="I226" s="7">
        <f>PLANILHA!F76</f>
        <v>3</v>
      </c>
      <c r="J226" s="7" t="str">
        <f>PLANILHA!E76</f>
        <v>UND</v>
      </c>
    </row>
    <row r="227" spans="1:10">
      <c r="A227" s="80" t="s">
        <v>276</v>
      </c>
      <c r="C227" t="s">
        <v>277</v>
      </c>
      <c r="D227" s="28" t="s">
        <v>278</v>
      </c>
      <c r="E227" s="28" t="s">
        <v>279</v>
      </c>
      <c r="F227" s="28" t="s">
        <v>280</v>
      </c>
      <c r="G227" s="28" t="s">
        <v>281</v>
      </c>
      <c r="H227" t="s">
        <v>287</v>
      </c>
      <c r="I227" t="s">
        <v>283</v>
      </c>
      <c r="J227" s="12" t="s">
        <v>284</v>
      </c>
    </row>
    <row r="228" spans="1:10" ht="30">
      <c r="A228" s="78" t="s">
        <v>328</v>
      </c>
      <c r="B228" s="21"/>
      <c r="C228" s="75"/>
      <c r="D228" s="76"/>
      <c r="E228" s="76"/>
      <c r="F228" s="76"/>
      <c r="G228" s="76"/>
      <c r="H228" s="75">
        <v>30</v>
      </c>
      <c r="I228" s="7">
        <f>I226</f>
        <v>3</v>
      </c>
      <c r="J228" s="75" t="s">
        <v>330</v>
      </c>
    </row>
    <row r="229" spans="1:10">
      <c r="A229" s="80"/>
      <c r="H229" s="7" t="s">
        <v>283</v>
      </c>
      <c r="I229" s="77">
        <f>I228</f>
        <v>3</v>
      </c>
      <c r="J229" s="7" t="str">
        <f>J226</f>
        <v>UND</v>
      </c>
    </row>
    <row r="230" spans="1:10" s="1" customFormat="1" ht="46.5" customHeight="1">
      <c r="A230" s="7" t="str">
        <f>PLANILHA!A77</f>
        <v>9.9</v>
      </c>
      <c r="B230" s="21" t="str">
        <f>PLANILHA!B77</f>
        <v>ED-15749</v>
      </c>
      <c r="C230" s="7" t="str">
        <f>PLANILHA!C77</f>
        <v>SETOP</v>
      </c>
      <c r="D230" s="133" t="str">
        <f>PLANILHA!D77</f>
        <v>CONJUNTO DE UMA (1) TOMADA PADRÃO, TRÊS (3) POLOS, CORRENTE 20A, TENSÃO 250V, (2P+T/20A- 250V), COM PLACA 4"X2" DE UM (1) POSTO, INCLUSIVE FORNECIMENTO, INSTALAÇÃO, SUPORTE, MÓDULO E PLACA</v>
      </c>
      <c r="E230" s="133"/>
      <c r="F230" s="133"/>
      <c r="G230" s="133"/>
      <c r="H230" s="133"/>
      <c r="I230" s="7">
        <f>PLANILHA!F77</f>
        <v>3</v>
      </c>
      <c r="J230" s="7" t="str">
        <f>PLANILHA!E77</f>
        <v>UND</v>
      </c>
    </row>
    <row r="231" spans="1:10">
      <c r="A231" s="80" t="s">
        <v>276</v>
      </c>
      <c r="C231" t="s">
        <v>277</v>
      </c>
      <c r="D231" s="28" t="s">
        <v>278</v>
      </c>
      <c r="E231" s="28" t="s">
        <v>279</v>
      </c>
      <c r="F231" s="28" t="s">
        <v>280</v>
      </c>
      <c r="G231" s="28" t="s">
        <v>281</v>
      </c>
      <c r="H231" t="s">
        <v>287</v>
      </c>
      <c r="I231" t="s">
        <v>283</v>
      </c>
      <c r="J231" s="12" t="s">
        <v>284</v>
      </c>
    </row>
    <row r="232" spans="1:10" ht="30">
      <c r="A232" s="78" t="s">
        <v>328</v>
      </c>
      <c r="B232" s="21"/>
      <c r="C232" s="7"/>
      <c r="D232" s="76"/>
      <c r="E232" s="76"/>
      <c r="F232" s="76"/>
      <c r="G232" s="76"/>
      <c r="H232" s="75"/>
      <c r="I232" s="7">
        <f>I230</f>
        <v>3</v>
      </c>
      <c r="J232" s="75" t="s">
        <v>330</v>
      </c>
    </row>
    <row r="233" spans="1:10">
      <c r="A233" s="80"/>
      <c r="H233" s="7" t="s">
        <v>283</v>
      </c>
      <c r="I233" s="77">
        <f>I232</f>
        <v>3</v>
      </c>
      <c r="J233" s="7" t="str">
        <f>J230</f>
        <v>UND</v>
      </c>
    </row>
    <row r="234" spans="1:10" s="1" customFormat="1" ht="46.5" customHeight="1">
      <c r="A234" s="7" t="str">
        <f>PLANILHA!A78</f>
        <v>9.10</v>
      </c>
      <c r="B234" s="21" t="str">
        <f>PLANILHA!B78</f>
        <v>ED-15733</v>
      </c>
      <c r="C234" s="7" t="str">
        <f>PLANILHA!C78</f>
        <v>SETOP</v>
      </c>
      <c r="D234" s="133" t="str">
        <f>PLANILHA!D78</f>
        <v>CONJUNTO DE UM (1) INTERRUPTOR SIMPLES, CORRENTE 10A, TENSÃO 250V, (10A-250V), COM PLACA 4"X2" DE UM (1) POSTO, INCLUSIVE FORNECIMENTO, INSTALAÇÃO, SUPORTE, MÓDULO E PLACA</v>
      </c>
      <c r="E234" s="133"/>
      <c r="F234" s="133"/>
      <c r="G234" s="133"/>
      <c r="H234" s="133"/>
      <c r="I234" s="7">
        <f>PLANILHA!F78</f>
        <v>2</v>
      </c>
      <c r="J234" s="7" t="str">
        <f>PLANILHA!E78</f>
        <v>UND</v>
      </c>
    </row>
    <row r="235" spans="1:10">
      <c r="A235" s="80" t="s">
        <v>276</v>
      </c>
      <c r="C235" t="s">
        <v>277</v>
      </c>
      <c r="D235" s="28" t="s">
        <v>278</v>
      </c>
      <c r="E235" s="28" t="s">
        <v>279</v>
      </c>
      <c r="F235" s="28" t="s">
        <v>280</v>
      </c>
      <c r="G235" s="28" t="s">
        <v>281</v>
      </c>
      <c r="H235" t="s">
        <v>287</v>
      </c>
      <c r="I235" t="s">
        <v>283</v>
      </c>
      <c r="J235" s="12" t="s">
        <v>284</v>
      </c>
    </row>
    <row r="236" spans="1:10" ht="30">
      <c r="A236" s="78" t="s">
        <v>328</v>
      </c>
      <c r="B236" s="21"/>
      <c r="C236" s="75"/>
      <c r="D236" s="76"/>
      <c r="E236" s="76"/>
      <c r="F236" s="76"/>
      <c r="G236" s="76"/>
      <c r="H236" s="75">
        <v>20</v>
      </c>
      <c r="I236" s="7">
        <f>I234</f>
        <v>2</v>
      </c>
      <c r="J236" s="75" t="s">
        <v>330</v>
      </c>
    </row>
    <row r="237" spans="1:10">
      <c r="A237" s="80"/>
      <c r="H237" s="7" t="s">
        <v>283</v>
      </c>
      <c r="I237" s="77">
        <f t="shared" ref="I237" si="0">I236</f>
        <v>2</v>
      </c>
      <c r="J237" s="7" t="str">
        <f t="shared" ref="J237" si="1">J234</f>
        <v>UND</v>
      </c>
    </row>
    <row r="238" spans="1:10" s="1" customFormat="1" ht="46.5" customHeight="1">
      <c r="A238" s="7" t="str">
        <f>PLANILHA!A79</f>
        <v>9.11</v>
      </c>
      <c r="B238" s="21" t="str">
        <f>PLANILHA!B79</f>
        <v>ED-14194</v>
      </c>
      <c r="C238" s="7" t="str">
        <f>PLANILHA!C79</f>
        <v>SETOP</v>
      </c>
      <c r="D238" s="133" t="str">
        <f>PLANILHA!D79</f>
        <v>QUADRO DE DISTRIBUIÇÃO DE SOBREPOR EM CHAPA, PARA 34 DISJUNTORES DIN, INCLUSIVE BARRAMENTOS NEUTRO/TERRA E BARRAMENTO TRIFÁSICO DE 100A</v>
      </c>
      <c r="E238" s="133"/>
      <c r="F238" s="133"/>
      <c r="G238" s="133"/>
      <c r="H238" s="133"/>
      <c r="I238" s="7">
        <f>PLANILHA!F79</f>
        <v>1</v>
      </c>
      <c r="J238" s="7" t="str">
        <f>PLANILHA!E79</f>
        <v>UND</v>
      </c>
    </row>
    <row r="239" spans="1:10">
      <c r="A239" s="80" t="s">
        <v>276</v>
      </c>
      <c r="C239" t="s">
        <v>277</v>
      </c>
      <c r="D239" s="28" t="s">
        <v>278</v>
      </c>
      <c r="E239" s="28" t="s">
        <v>279</v>
      </c>
      <c r="F239" s="28" t="s">
        <v>280</v>
      </c>
      <c r="G239" s="28" t="s">
        <v>281</v>
      </c>
      <c r="H239" t="s">
        <v>287</v>
      </c>
      <c r="I239" t="s">
        <v>283</v>
      </c>
      <c r="J239" s="12" t="s">
        <v>284</v>
      </c>
    </row>
    <row r="240" spans="1:10" ht="30">
      <c r="A240" s="78" t="s">
        <v>328</v>
      </c>
      <c r="B240" s="21"/>
      <c r="C240" s="75"/>
      <c r="D240" s="76"/>
      <c r="E240" s="76"/>
      <c r="F240" s="76"/>
      <c r="G240" s="76"/>
      <c r="H240" s="75">
        <v>10</v>
      </c>
      <c r="I240" s="7">
        <f>I238</f>
        <v>1</v>
      </c>
      <c r="J240" s="75" t="s">
        <v>330</v>
      </c>
    </row>
    <row r="241" spans="1:10">
      <c r="A241" s="80"/>
      <c r="H241" s="7" t="s">
        <v>283</v>
      </c>
      <c r="I241" s="77">
        <f t="shared" ref="I241" si="2">I240</f>
        <v>1</v>
      </c>
      <c r="J241" s="7" t="str">
        <f t="shared" ref="J241" si="3">J238</f>
        <v>UND</v>
      </c>
    </row>
    <row r="242" spans="1:10" s="1" customFormat="1" ht="46.5" customHeight="1">
      <c r="A242" s="7" t="str">
        <f>PLANILHA!A80</f>
        <v>9.12</v>
      </c>
      <c r="B242" s="21" t="str">
        <f>PLANILHA!B80</f>
        <v>ED-34462</v>
      </c>
      <c r="C242" s="7" t="str">
        <f>PLANILHA!C80</f>
        <v>SETOP</v>
      </c>
      <c r="D242" s="133" t="str">
        <f>PLANILHA!D80</f>
        <v>DISJUNTOR MONOPOLAR TIPO DIN, CORRENTE NOMINAL DE 20A, FORNECIMENTO E INSTALAÇÃO, INCLUSIVE TERMINAL ILHÓS</v>
      </c>
      <c r="E242" s="133"/>
      <c r="F242" s="133"/>
      <c r="G242" s="133"/>
      <c r="H242" s="133"/>
      <c r="I242" s="7">
        <f>PLANILHA!F80</f>
        <v>1</v>
      </c>
      <c r="J242" s="7" t="str">
        <f>PLANILHA!E80</f>
        <v>UND</v>
      </c>
    </row>
    <row r="243" spans="1:10">
      <c r="A243" s="80" t="s">
        <v>276</v>
      </c>
      <c r="C243" t="s">
        <v>277</v>
      </c>
      <c r="D243" s="28" t="s">
        <v>278</v>
      </c>
      <c r="E243" s="28" t="s">
        <v>279</v>
      </c>
      <c r="F243" s="28" t="s">
        <v>280</v>
      </c>
      <c r="G243" s="28" t="s">
        <v>281</v>
      </c>
      <c r="H243" t="s">
        <v>287</v>
      </c>
      <c r="I243" t="s">
        <v>283</v>
      </c>
      <c r="J243" s="12" t="s">
        <v>284</v>
      </c>
    </row>
    <row r="244" spans="1:10" ht="30">
      <c r="A244" s="78" t="s">
        <v>328</v>
      </c>
      <c r="B244" s="21"/>
      <c r="C244" s="75"/>
      <c r="D244" s="76"/>
      <c r="E244" s="76"/>
      <c r="F244" s="76"/>
      <c r="G244" s="76"/>
      <c r="H244" s="75">
        <v>10</v>
      </c>
      <c r="I244" s="7">
        <f>I242</f>
        <v>1</v>
      </c>
      <c r="J244" s="75" t="s">
        <v>330</v>
      </c>
    </row>
    <row r="245" spans="1:10">
      <c r="A245" s="80"/>
      <c r="H245" s="7" t="s">
        <v>283</v>
      </c>
      <c r="I245" s="77">
        <f t="shared" ref="I245" si="4">I244</f>
        <v>1</v>
      </c>
      <c r="J245" s="7" t="str">
        <f t="shared" ref="J245" si="5">J242</f>
        <v>UND</v>
      </c>
    </row>
    <row r="246" spans="1:10" s="1" customFormat="1" ht="46.5" customHeight="1">
      <c r="A246" s="7" t="str">
        <f>PLANILHA!A81</f>
        <v>9.13</v>
      </c>
      <c r="B246" s="21" t="str">
        <f>PLANILHA!B81</f>
        <v>ED-34475</v>
      </c>
      <c r="C246" s="7" t="str">
        <f>PLANILHA!C81</f>
        <v>SETOP</v>
      </c>
      <c r="D246" s="133" t="str">
        <f>PLANILHA!D81</f>
        <v>DISJUNTOR BIPOLAR TIPO DIN, CORRENTE NOMINAL DE 20A, FORNECIMENTO E INSTALAÇÃO, INCLUSIVE TERMINAL ILHÓS</v>
      </c>
      <c r="E246" s="133"/>
      <c r="F246" s="133"/>
      <c r="G246" s="133"/>
      <c r="H246" s="133"/>
      <c r="I246" s="7">
        <f>PLANILHA!F81</f>
        <v>1</v>
      </c>
      <c r="J246" s="7" t="str">
        <f>PLANILHA!E81</f>
        <v>UND</v>
      </c>
    </row>
    <row r="247" spans="1:10">
      <c r="A247" s="80" t="s">
        <v>276</v>
      </c>
      <c r="C247" t="s">
        <v>277</v>
      </c>
      <c r="D247" s="28" t="s">
        <v>278</v>
      </c>
      <c r="E247" s="28" t="s">
        <v>279</v>
      </c>
      <c r="F247" s="28" t="s">
        <v>280</v>
      </c>
      <c r="G247" s="28" t="s">
        <v>281</v>
      </c>
      <c r="H247" t="s">
        <v>287</v>
      </c>
      <c r="I247" t="s">
        <v>283</v>
      </c>
      <c r="J247" s="12" t="s">
        <v>284</v>
      </c>
    </row>
    <row r="248" spans="1:10">
      <c r="A248" s="142" t="s">
        <v>328</v>
      </c>
      <c r="B248" s="143"/>
      <c r="C248" s="75"/>
      <c r="D248" s="76"/>
      <c r="E248" s="76"/>
      <c r="F248" s="76"/>
      <c r="G248" s="76"/>
      <c r="H248" s="75">
        <v>1</v>
      </c>
      <c r="I248" s="75">
        <f t="shared" ref="I248" si="6">H248</f>
        <v>1</v>
      </c>
      <c r="J248" s="75" t="s">
        <v>330</v>
      </c>
    </row>
    <row r="249" spans="1:10">
      <c r="A249" s="80"/>
      <c r="H249" s="7" t="s">
        <v>283</v>
      </c>
      <c r="I249" s="77">
        <f t="shared" ref="I249" si="7">I248</f>
        <v>1</v>
      </c>
      <c r="J249" s="7" t="str">
        <f t="shared" ref="J249" si="8">J246</f>
        <v>UND</v>
      </c>
    </row>
    <row r="250" spans="1:10" s="1" customFormat="1" ht="46.5" customHeight="1">
      <c r="A250" s="7" t="str">
        <f>PLANILHA!A82</f>
        <v>9.14</v>
      </c>
      <c r="B250" s="21" t="str">
        <f>PLANILHA!B82</f>
        <v>ED-34464</v>
      </c>
      <c r="C250" s="7" t="str">
        <f>PLANILHA!C82</f>
        <v>SETOP</v>
      </c>
      <c r="D250" s="133" t="str">
        <f>PLANILHA!D82</f>
        <v>DISJUNTOR MONOPOLAR TIPO DIN, CORRENTE NOMINAL DE 32A, FORNECIMENTO E INSTALAÇÃO, INCLUSIVE TERMINAL ILHÓS</v>
      </c>
      <c r="E250" s="133"/>
      <c r="F250" s="133"/>
      <c r="G250" s="133"/>
      <c r="H250" s="133"/>
      <c r="I250" s="7">
        <f>PLANILHA!F82</f>
        <v>1</v>
      </c>
      <c r="J250" s="7" t="str">
        <f>PLANILHA!E82</f>
        <v>UND</v>
      </c>
    </row>
    <row r="251" spans="1:10">
      <c r="A251" s="80" t="s">
        <v>276</v>
      </c>
      <c r="C251" t="s">
        <v>277</v>
      </c>
      <c r="D251" s="28" t="s">
        <v>278</v>
      </c>
      <c r="E251" s="28" t="s">
        <v>279</v>
      </c>
      <c r="F251" s="28" t="s">
        <v>280</v>
      </c>
      <c r="G251" s="28" t="s">
        <v>281</v>
      </c>
      <c r="H251" t="s">
        <v>287</v>
      </c>
      <c r="I251" t="s">
        <v>283</v>
      </c>
      <c r="J251" s="12" t="s">
        <v>284</v>
      </c>
    </row>
    <row r="252" spans="1:10" ht="30" customHeight="1">
      <c r="A252" s="142" t="s">
        <v>328</v>
      </c>
      <c r="B252" s="143"/>
      <c r="C252" s="75"/>
      <c r="D252" s="76"/>
      <c r="E252" s="76"/>
      <c r="F252" s="76"/>
      <c r="G252" s="76"/>
      <c r="H252" s="75">
        <v>1</v>
      </c>
      <c r="I252" s="75">
        <f t="shared" ref="I252" si="9">H252</f>
        <v>1</v>
      </c>
      <c r="J252" s="75" t="s">
        <v>330</v>
      </c>
    </row>
    <row r="253" spans="1:10">
      <c r="A253" s="80"/>
      <c r="H253" s="7" t="s">
        <v>283</v>
      </c>
      <c r="I253" s="77">
        <f t="shared" ref="I253" si="10">I252</f>
        <v>1</v>
      </c>
      <c r="J253" s="7" t="str">
        <f t="shared" ref="J253" si="11">J250</f>
        <v>UND</v>
      </c>
    </row>
    <row r="254" spans="1:10" s="1" customFormat="1" ht="46.5" customHeight="1">
      <c r="A254" s="7" t="str">
        <f>PLANILHA!A83</f>
        <v>9.15</v>
      </c>
      <c r="B254" s="21" t="str">
        <f>PLANILHA!B83</f>
        <v>ED-34478</v>
      </c>
      <c r="C254" s="7" t="str">
        <f>PLANILHA!C83</f>
        <v>SETOP</v>
      </c>
      <c r="D254" s="133" t="str">
        <f>PLANILHA!D83</f>
        <v>DISJUNTOR BIPOLAR TIPO DIN, CORRENTE NOMINAL DE 40A FORNECIMENTO E INSTALAÇÃO, INCLUSIVE TERMINAL ILHÓS</v>
      </c>
      <c r="E254" s="133"/>
      <c r="F254" s="133"/>
      <c r="G254" s="133"/>
      <c r="H254" s="133"/>
      <c r="I254" s="7">
        <f>PLANILHA!F83</f>
        <v>3</v>
      </c>
      <c r="J254" s="7" t="str">
        <f>PLANILHA!E83</f>
        <v>UND</v>
      </c>
    </row>
    <row r="255" spans="1:10">
      <c r="A255" s="80" t="s">
        <v>276</v>
      </c>
      <c r="C255" t="s">
        <v>277</v>
      </c>
      <c r="D255" s="28" t="s">
        <v>278</v>
      </c>
      <c r="E255" s="28" t="s">
        <v>279</v>
      </c>
      <c r="F255" s="28" t="s">
        <v>280</v>
      </c>
      <c r="G255" s="28" t="s">
        <v>281</v>
      </c>
      <c r="H255" t="s">
        <v>287</v>
      </c>
      <c r="I255" t="s">
        <v>283</v>
      </c>
      <c r="J255" s="12" t="s">
        <v>284</v>
      </c>
    </row>
    <row r="256" spans="1:10" ht="30" customHeight="1">
      <c r="A256" s="142" t="s">
        <v>328</v>
      </c>
      <c r="B256" s="143"/>
      <c r="C256" s="75"/>
      <c r="D256" s="76"/>
      <c r="E256" s="76"/>
      <c r="F256" s="76"/>
      <c r="G256" s="76"/>
      <c r="H256" s="75">
        <v>3</v>
      </c>
      <c r="I256" s="75">
        <f t="shared" ref="I256" si="12">H256</f>
        <v>3</v>
      </c>
      <c r="J256" s="75" t="s">
        <v>330</v>
      </c>
    </row>
    <row r="257" spans="1:10">
      <c r="A257" s="80"/>
      <c r="H257" s="7" t="s">
        <v>283</v>
      </c>
      <c r="I257" s="77">
        <f t="shared" ref="I257" si="13">I256</f>
        <v>3</v>
      </c>
      <c r="J257" s="7" t="str">
        <f t="shared" ref="J257" si="14">J254</f>
        <v>UND</v>
      </c>
    </row>
    <row r="258" spans="1:10" s="1" customFormat="1" ht="46.5" customHeight="1">
      <c r="A258" s="7" t="str">
        <f>PLANILHA!A84</f>
        <v>9.16</v>
      </c>
      <c r="B258" s="21" t="str">
        <f>PLANILHA!B84</f>
        <v>ED-34493</v>
      </c>
      <c r="C258" s="7" t="str">
        <f>PLANILHA!C84</f>
        <v>SETOP</v>
      </c>
      <c r="D258" s="133" t="str">
        <f>PLANILHA!D84</f>
        <v>DISJUNTOR TRIPOLAR TIPO DIN, CORRENTE NOMINAL DE 63A, FORNECIMENTO E INSTALAÇÃO, INCLUSIVE TERMINAL ILHÓS</v>
      </c>
      <c r="E258" s="133"/>
      <c r="F258" s="133"/>
      <c r="G258" s="133"/>
      <c r="H258" s="133"/>
      <c r="I258" s="7">
        <f>PLANILHA!F84</f>
        <v>2</v>
      </c>
      <c r="J258" s="7" t="str">
        <f>PLANILHA!E84</f>
        <v>UND</v>
      </c>
    </row>
    <row r="259" spans="1:10">
      <c r="A259" s="80" t="s">
        <v>276</v>
      </c>
      <c r="C259" t="s">
        <v>277</v>
      </c>
      <c r="D259" s="28" t="s">
        <v>278</v>
      </c>
      <c r="E259" s="28" t="s">
        <v>279</v>
      </c>
      <c r="F259" s="28" t="s">
        <v>280</v>
      </c>
      <c r="G259" s="28" t="s">
        <v>281</v>
      </c>
      <c r="H259" t="s">
        <v>287</v>
      </c>
      <c r="I259" t="s">
        <v>283</v>
      </c>
      <c r="J259" s="12" t="s">
        <v>284</v>
      </c>
    </row>
    <row r="260" spans="1:10" ht="30" customHeight="1">
      <c r="A260" s="142" t="s">
        <v>328</v>
      </c>
      <c r="B260" s="143"/>
      <c r="C260" s="75"/>
      <c r="D260" s="76"/>
      <c r="E260" s="76"/>
      <c r="F260" s="76"/>
      <c r="G260" s="76"/>
      <c r="H260" s="75">
        <v>2</v>
      </c>
      <c r="I260" s="75">
        <f t="shared" ref="I260" si="15">H260</f>
        <v>2</v>
      </c>
      <c r="J260" s="75" t="s">
        <v>330</v>
      </c>
    </row>
    <row r="261" spans="1:10">
      <c r="A261" s="80"/>
      <c r="H261" s="7" t="s">
        <v>283</v>
      </c>
      <c r="I261" s="77">
        <f t="shared" ref="I261" si="16">I260</f>
        <v>2</v>
      </c>
      <c r="J261" s="7" t="str">
        <f t="shared" ref="J261" si="17">J258</f>
        <v>UND</v>
      </c>
    </row>
    <row r="262" spans="1:10" s="1" customFormat="1" ht="46.5" customHeight="1">
      <c r="A262" s="7" t="str">
        <f>PLANILHA!A85</f>
        <v>9.17</v>
      </c>
      <c r="B262" s="21" t="str">
        <f>PLANILHA!B85</f>
        <v>ED-15115</v>
      </c>
      <c r="C262" s="7" t="str">
        <f>PLANILHA!C85</f>
        <v>SETOP</v>
      </c>
      <c r="D262" s="133" t="str">
        <f>PLANILHA!D85</f>
        <v>DISJUNTOR DE PROTEÇÃO DIFERENCIAL RESIDUAL (DR), BIPOLAR TIPO DIN, CORRENTE NOMINAL DE 40A, SENSIBILIDADE DE 30MA, FORNECIMENTO E INSTALAÇÃO, INCLUSIVE TERMINAL ILHÓS</v>
      </c>
      <c r="E262" s="133"/>
      <c r="F262" s="133"/>
      <c r="G262" s="133"/>
      <c r="H262" s="133"/>
      <c r="I262" s="7">
        <f>PLANILHA!F85</f>
        <v>2</v>
      </c>
      <c r="J262" s="7" t="str">
        <f>PLANILHA!E85</f>
        <v>UND</v>
      </c>
    </row>
    <row r="263" spans="1:10">
      <c r="A263" s="80" t="s">
        <v>276</v>
      </c>
      <c r="C263" t="s">
        <v>277</v>
      </c>
      <c r="D263" s="28" t="s">
        <v>278</v>
      </c>
      <c r="E263" s="28" t="s">
        <v>279</v>
      </c>
      <c r="F263" s="28" t="s">
        <v>280</v>
      </c>
      <c r="G263" s="28" t="s">
        <v>281</v>
      </c>
      <c r="H263" t="s">
        <v>287</v>
      </c>
      <c r="I263" t="s">
        <v>283</v>
      </c>
      <c r="J263" s="12" t="s">
        <v>284</v>
      </c>
    </row>
    <row r="264" spans="1:10" ht="30" customHeight="1">
      <c r="A264" s="142" t="s">
        <v>328</v>
      </c>
      <c r="B264" s="143"/>
      <c r="C264" s="75"/>
      <c r="D264" s="76"/>
      <c r="E264" s="76"/>
      <c r="F264" s="76"/>
      <c r="G264" s="76"/>
      <c r="H264" s="75">
        <v>2</v>
      </c>
      <c r="I264" s="75">
        <f t="shared" ref="I264" si="18">H264</f>
        <v>2</v>
      </c>
      <c r="J264" s="75" t="s">
        <v>330</v>
      </c>
    </row>
    <row r="265" spans="1:10">
      <c r="A265" s="80"/>
      <c r="H265" s="7" t="s">
        <v>283</v>
      </c>
      <c r="I265" s="77">
        <f t="shared" ref="I265" si="19">I264</f>
        <v>2</v>
      </c>
      <c r="J265" s="7" t="str">
        <f t="shared" ref="J265" si="20">J262</f>
        <v>UND</v>
      </c>
    </row>
    <row r="266" spans="1:10" s="1" customFormat="1" ht="46.5" customHeight="1">
      <c r="A266" s="7" t="str">
        <f>PLANILHA!A86</f>
        <v>9.18</v>
      </c>
      <c r="B266" s="21" t="str">
        <f>PLANILHA!B86</f>
        <v>ED-15114</v>
      </c>
      <c r="C266" s="7" t="str">
        <f>PLANILHA!C86</f>
        <v>SETOP</v>
      </c>
      <c r="D266" s="133" t="str">
        <f>PLANILHA!D86</f>
        <v>DISJUNTOR DE PROTEÇÃO DIFERENCIAL RESIDUAL (DR), BIPOLAR TIPO DIN, CORRENTE NOMINAL DE 25A, SENSIBILIDADE DE 30MA, FORNECIMENTO E INSTALAÇÃO, INCLUSIVE TERMINAL ILHÓS</v>
      </c>
      <c r="E266" s="133"/>
      <c r="F266" s="133"/>
      <c r="G266" s="133"/>
      <c r="H266" s="133"/>
      <c r="I266" s="7">
        <f>PLANILHA!F86</f>
        <v>1</v>
      </c>
      <c r="J266" s="7" t="str">
        <f>PLANILHA!E86</f>
        <v>UND</v>
      </c>
    </row>
    <row r="267" spans="1:10">
      <c r="A267" s="80" t="s">
        <v>276</v>
      </c>
      <c r="C267" t="s">
        <v>277</v>
      </c>
      <c r="D267" s="28" t="s">
        <v>278</v>
      </c>
      <c r="E267" s="28" t="s">
        <v>279</v>
      </c>
      <c r="F267" s="28" t="s">
        <v>280</v>
      </c>
      <c r="G267" s="28" t="s">
        <v>281</v>
      </c>
      <c r="H267" t="s">
        <v>287</v>
      </c>
      <c r="I267" t="s">
        <v>283</v>
      </c>
      <c r="J267" s="12" t="s">
        <v>284</v>
      </c>
    </row>
    <row r="268" spans="1:10" ht="30" customHeight="1">
      <c r="A268" s="142" t="s">
        <v>328</v>
      </c>
      <c r="B268" s="143"/>
      <c r="C268" s="75"/>
      <c r="D268" s="76"/>
      <c r="E268" s="76"/>
      <c r="F268" s="76"/>
      <c r="G268" s="76"/>
      <c r="H268" s="75">
        <v>1</v>
      </c>
      <c r="I268" s="75">
        <f t="shared" ref="I268" si="21">H268</f>
        <v>1</v>
      </c>
      <c r="J268" s="75" t="s">
        <v>330</v>
      </c>
    </row>
    <row r="269" spans="1:10">
      <c r="A269" s="80"/>
      <c r="H269" s="7" t="s">
        <v>283</v>
      </c>
      <c r="I269" s="77">
        <f t="shared" ref="I269" si="22">I268</f>
        <v>1</v>
      </c>
      <c r="J269" s="7" t="str">
        <f t="shared" ref="J269" si="23">J266</f>
        <v>UND</v>
      </c>
    </row>
    <row r="270" spans="1:10" s="1" customFormat="1" ht="46.5" customHeight="1">
      <c r="A270" s="7" t="str">
        <f>PLANILHA!A87</f>
        <v>9.19</v>
      </c>
      <c r="B270" s="21" t="str">
        <f>PLANILHA!B87</f>
        <v>ED-15117</v>
      </c>
      <c r="C270" s="7" t="str">
        <f>PLANILHA!C87</f>
        <v>SETOP</v>
      </c>
      <c r="D270" s="133" t="str">
        <f>PLANILHA!D87</f>
        <v>DISJUNTOR DE PROTEÇÃO DIFERENCIAL RESIDUAL (DR), TETRAPOLAR TIPO DIN, CORRENTE NOMINAL DE 63A, SENSIBILIDADE DE 30MA, FORNECIMENTO E INSTALAÇÃO, INCLUSIVE TERMINAL ILHÓS</v>
      </c>
      <c r="E270" s="133"/>
      <c r="F270" s="133"/>
      <c r="G270" s="133"/>
      <c r="H270" s="133"/>
      <c r="I270" s="7">
        <f>PLANILHA!F87</f>
        <v>1</v>
      </c>
      <c r="J270" s="7" t="str">
        <f>PLANILHA!E90</f>
        <v>UND</v>
      </c>
    </row>
    <row r="271" spans="1:10">
      <c r="A271" s="80" t="s">
        <v>276</v>
      </c>
      <c r="C271" t="s">
        <v>277</v>
      </c>
      <c r="D271" s="28" t="s">
        <v>278</v>
      </c>
      <c r="E271" s="28" t="s">
        <v>279</v>
      </c>
      <c r="F271" s="28" t="s">
        <v>280</v>
      </c>
      <c r="G271" s="28" t="s">
        <v>281</v>
      </c>
      <c r="H271" t="s">
        <v>287</v>
      </c>
      <c r="I271" t="s">
        <v>283</v>
      </c>
      <c r="J271" s="12" t="s">
        <v>284</v>
      </c>
    </row>
    <row r="272" spans="1:10" ht="30" customHeight="1">
      <c r="A272" s="142" t="s">
        <v>328</v>
      </c>
      <c r="B272" s="143"/>
      <c r="C272" s="75"/>
      <c r="D272" s="76"/>
      <c r="E272" s="76"/>
      <c r="F272" s="76"/>
      <c r="G272" s="76"/>
      <c r="H272" s="75">
        <v>1</v>
      </c>
      <c r="I272" s="75">
        <f t="shared" ref="I272" si="24">H272</f>
        <v>1</v>
      </c>
      <c r="J272" s="75" t="s">
        <v>330</v>
      </c>
    </row>
    <row r="273" spans="1:10">
      <c r="A273" s="80"/>
      <c r="H273" s="7" t="s">
        <v>283</v>
      </c>
      <c r="I273" s="77">
        <f t="shared" ref="I273" si="25">I272</f>
        <v>1</v>
      </c>
      <c r="J273" s="7" t="str">
        <f t="shared" ref="J273" si="26">J270</f>
        <v>UND</v>
      </c>
    </row>
    <row r="274" spans="1:10" s="1" customFormat="1" ht="46.5" customHeight="1">
      <c r="A274" s="7" t="str">
        <f>PLANILHA!A88</f>
        <v>9.20</v>
      </c>
      <c r="B274" s="21" t="str">
        <f>PLANILHA!B88</f>
        <v>ED-16600</v>
      </c>
      <c r="C274" s="7" t="str">
        <f>PLANILHA!C88</f>
        <v>SETOP</v>
      </c>
      <c r="D274" s="133" t="str">
        <f>PLANILHA!D88</f>
        <v>DISPOSITIVO DE PROTEÇÃO CONTRA SURTOS (DPS) MONOPOLAR, CORRENTE DE INTERRUPÇÃO 20KA, INCLUSIVE TERMINAL ILHÓS</v>
      </c>
      <c r="E274" s="133"/>
      <c r="F274" s="133"/>
      <c r="G274" s="133"/>
      <c r="H274" s="133"/>
      <c r="I274" s="7">
        <f>PLANILHA!F88</f>
        <v>3</v>
      </c>
      <c r="J274" s="7" t="str">
        <f>PLANILHA!E88</f>
        <v>UND</v>
      </c>
    </row>
    <row r="275" spans="1:10">
      <c r="A275" s="80" t="s">
        <v>276</v>
      </c>
      <c r="C275" t="s">
        <v>277</v>
      </c>
      <c r="D275" s="28" t="s">
        <v>278</v>
      </c>
      <c r="E275" s="28" t="s">
        <v>279</v>
      </c>
      <c r="F275" s="28" t="s">
        <v>280</v>
      </c>
      <c r="G275" s="28" t="s">
        <v>281</v>
      </c>
      <c r="H275" t="s">
        <v>287</v>
      </c>
      <c r="I275" t="s">
        <v>283</v>
      </c>
      <c r="J275" s="12" t="s">
        <v>284</v>
      </c>
    </row>
    <row r="276" spans="1:10" ht="30" customHeight="1">
      <c r="A276" s="142" t="s">
        <v>328</v>
      </c>
      <c r="B276" s="143"/>
      <c r="C276" s="75"/>
      <c r="D276" s="76"/>
      <c r="E276" s="76"/>
      <c r="F276" s="76"/>
      <c r="G276" s="76"/>
      <c r="H276" s="75">
        <v>3</v>
      </c>
      <c r="I276" s="75">
        <f t="shared" ref="I276" si="27">H276</f>
        <v>3</v>
      </c>
      <c r="J276" s="75" t="s">
        <v>330</v>
      </c>
    </row>
    <row r="277" spans="1:10">
      <c r="A277" s="80"/>
      <c r="H277" s="7" t="s">
        <v>283</v>
      </c>
      <c r="I277" s="77">
        <f t="shared" ref="I277" si="28">I276</f>
        <v>3</v>
      </c>
      <c r="J277" s="7" t="str">
        <f t="shared" ref="J277" si="29">J274</f>
        <v>UND</v>
      </c>
    </row>
    <row r="278" spans="1:10" s="1" customFormat="1" ht="46.5" customHeight="1">
      <c r="A278" s="7" t="str">
        <f>PLANILHA!A89</f>
        <v>9.21</v>
      </c>
      <c r="B278" s="21" t="str">
        <f>PLANILHA!B89</f>
        <v>ED-22380</v>
      </c>
      <c r="C278" s="7" t="str">
        <f>PLANILHA!C89</f>
        <v>SETOP</v>
      </c>
      <c r="D278" s="133" t="str">
        <f>PLANILHA!D89</f>
        <v>POSTE DE AÇO GALVANIZADO, ALTURA LIVRE MÍNIMA DE 6M, COM 2 REFLETORES DE LED, POTÊNCIA DE 200W CADA, INCLUSIVE FIAÇÃO, SUPORTE E FUNDAÇÃO</v>
      </c>
      <c r="E278" s="133"/>
      <c r="F278" s="133"/>
      <c r="G278" s="133"/>
      <c r="H278" s="133"/>
      <c r="I278" s="7">
        <f>PLANILHA!F89</f>
        <v>17</v>
      </c>
      <c r="J278" s="7" t="str">
        <f>PLANILHA!E89</f>
        <v>UND</v>
      </c>
    </row>
    <row r="279" spans="1:10">
      <c r="A279" s="80" t="s">
        <v>276</v>
      </c>
      <c r="C279" t="s">
        <v>277</v>
      </c>
      <c r="D279" s="28" t="s">
        <v>278</v>
      </c>
      <c r="E279" s="28" t="s">
        <v>279</v>
      </c>
      <c r="F279" s="28" t="s">
        <v>280</v>
      </c>
      <c r="G279" s="28" t="s">
        <v>281</v>
      </c>
      <c r="H279" t="s">
        <v>287</v>
      </c>
      <c r="I279" t="s">
        <v>283</v>
      </c>
      <c r="J279" s="12" t="s">
        <v>284</v>
      </c>
    </row>
    <row r="280" spans="1:10" ht="30" customHeight="1">
      <c r="A280" s="142" t="s">
        <v>328</v>
      </c>
      <c r="B280" s="143"/>
      <c r="C280" s="75"/>
      <c r="D280" s="76"/>
      <c r="E280" s="76"/>
      <c r="F280" s="76"/>
      <c r="G280" s="76"/>
      <c r="H280" s="75">
        <v>17</v>
      </c>
      <c r="I280" s="75">
        <f t="shared" ref="I280" si="30">H280</f>
        <v>17</v>
      </c>
      <c r="J280" s="75" t="s">
        <v>330</v>
      </c>
    </row>
    <row r="281" spans="1:10">
      <c r="A281" s="80"/>
      <c r="H281" s="7" t="s">
        <v>283</v>
      </c>
      <c r="I281" s="77">
        <f t="shared" ref="I281" si="31">I280</f>
        <v>17</v>
      </c>
      <c r="J281" s="7" t="str">
        <f t="shared" ref="J281" si="32">J278</f>
        <v>UND</v>
      </c>
    </row>
    <row r="282" spans="1:10" s="1" customFormat="1" ht="46.5" customHeight="1">
      <c r="A282" s="7" t="str">
        <f>PLANILHA!A90</f>
        <v>9.22</v>
      </c>
      <c r="B282" s="21" t="str">
        <f>PLANILHA!B90</f>
        <v>ED-22381</v>
      </c>
      <c r="C282" s="7" t="str">
        <f>PLANILHA!C90</f>
        <v>SETOP</v>
      </c>
      <c r="D282" s="133" t="str">
        <f>PLANILHA!D90</f>
        <v>POSTE DE AÇO GALVANIZADO, ALTURA LIVRE MÍNIMA DE 6M, COM 4 REFLETORES DE LED, POTÊNCIA DE 200W CADA, INCLUSIVE FIAÇÃO, SUPORTE E FUNDAÇÃO</v>
      </c>
      <c r="E282" s="133"/>
      <c r="F282" s="133"/>
      <c r="G282" s="133"/>
      <c r="H282" s="133"/>
      <c r="I282" s="7">
        <v>2</v>
      </c>
      <c r="J282" s="7" t="str">
        <f>PLANILHA!E90</f>
        <v>UND</v>
      </c>
    </row>
    <row r="283" spans="1:10">
      <c r="A283" s="80" t="s">
        <v>276</v>
      </c>
      <c r="C283" t="s">
        <v>277</v>
      </c>
      <c r="D283" s="28" t="s">
        <v>278</v>
      </c>
      <c r="E283" s="28" t="s">
        <v>279</v>
      </c>
      <c r="F283" s="28" t="s">
        <v>280</v>
      </c>
      <c r="G283" s="28" t="s">
        <v>281</v>
      </c>
      <c r="H283" t="s">
        <v>287</v>
      </c>
      <c r="I283" t="s">
        <v>283</v>
      </c>
      <c r="J283" s="12" t="s">
        <v>284</v>
      </c>
    </row>
    <row r="284" spans="1:10" ht="30" customHeight="1">
      <c r="A284" s="142" t="s">
        <v>328</v>
      </c>
      <c r="B284" s="143"/>
      <c r="C284" s="75"/>
      <c r="D284" s="76"/>
      <c r="E284" s="76"/>
      <c r="F284" s="76"/>
      <c r="G284" s="76"/>
      <c r="H284" s="75">
        <v>2</v>
      </c>
      <c r="I284" s="75">
        <v>2</v>
      </c>
      <c r="J284" s="75" t="s">
        <v>330</v>
      </c>
    </row>
    <row r="285" spans="1:10">
      <c r="A285" s="80"/>
      <c r="H285" s="7" t="s">
        <v>283</v>
      </c>
      <c r="I285" s="77">
        <f t="shared" ref="I285" si="33">I284</f>
        <v>2</v>
      </c>
      <c r="J285" s="7" t="str">
        <f t="shared" ref="J285" si="34">J282</f>
        <v>UND</v>
      </c>
    </row>
    <row r="286" spans="1:10" s="1" customFormat="1" ht="46.5" customHeight="1">
      <c r="A286" s="7" t="str">
        <f>PLANILHA!A91</f>
        <v>9.23</v>
      </c>
      <c r="B286" s="21" t="str">
        <f>PLANILHA!B91</f>
        <v>ED-13357</v>
      </c>
      <c r="C286" s="7" t="str">
        <f>PLANILHA!C91</f>
        <v>SETOP</v>
      </c>
      <c r="D286" s="133" t="str">
        <f>PLANILHA!D91</f>
        <v>LUMINÁRIA PLAFON REDONDO DE VIDRO JATEADO REDONDO COMPLETA, DIÂMETRO 25 CM, PARA UMA (1) LÂMPADA LED, POTÊNCIA 15W, BULBO A65, FORNECIMENTO E INSTALAÇÃO, INCLUSIVE BASE E LÂMPADA</v>
      </c>
      <c r="E286" s="133"/>
      <c r="F286" s="133"/>
      <c r="G286" s="133"/>
      <c r="H286" s="133"/>
      <c r="I286" s="7">
        <f>PLANILHA!F91</f>
        <v>6</v>
      </c>
      <c r="J286" s="7" t="str">
        <f>PLANILHA!E91</f>
        <v>UND</v>
      </c>
    </row>
    <row r="287" spans="1:10">
      <c r="A287" s="80" t="s">
        <v>276</v>
      </c>
      <c r="C287" t="s">
        <v>277</v>
      </c>
      <c r="D287" s="28" t="s">
        <v>278</v>
      </c>
      <c r="E287" s="28" t="s">
        <v>279</v>
      </c>
      <c r="F287" s="28" t="s">
        <v>280</v>
      </c>
      <c r="G287" s="28" t="s">
        <v>281</v>
      </c>
      <c r="H287" t="s">
        <v>287</v>
      </c>
      <c r="I287" t="s">
        <v>283</v>
      </c>
      <c r="J287" s="12" t="s">
        <v>284</v>
      </c>
    </row>
    <row r="288" spans="1:10">
      <c r="A288" s="144" t="s">
        <v>328</v>
      </c>
      <c r="B288" s="145"/>
      <c r="C288" s="75"/>
      <c r="D288" s="76"/>
      <c r="E288" s="76"/>
      <c r="F288" s="76"/>
      <c r="G288" s="76"/>
      <c r="H288" s="75">
        <v>6</v>
      </c>
      <c r="I288" s="75">
        <f t="shared" ref="I288" si="35">H288</f>
        <v>6</v>
      </c>
      <c r="J288" s="75" t="s">
        <v>330</v>
      </c>
    </row>
    <row r="289" spans="1:11">
      <c r="A289" s="80"/>
      <c r="H289" s="7" t="s">
        <v>283</v>
      </c>
      <c r="I289" s="77">
        <f t="shared" ref="I289" si="36">I288</f>
        <v>6</v>
      </c>
      <c r="J289" s="7" t="str">
        <f t="shared" ref="J289" si="37">J286</f>
        <v>UND</v>
      </c>
    </row>
    <row r="290" spans="1:11" s="1" customFormat="1" ht="46.5" customHeight="1">
      <c r="A290" s="7" t="str">
        <f>PLANILHA!A92</f>
        <v>9.24</v>
      </c>
      <c r="B290" s="21" t="str">
        <f>PLANILHA!B92</f>
        <v>ED-49524</v>
      </c>
      <c r="C290" s="7" t="str">
        <f>PLANILHA!C92</f>
        <v>SETOP</v>
      </c>
      <c r="D290" s="133" t="str">
        <f>PLANILHA!D92</f>
        <v>RELÉ FOTOELÉTRICO, TENSÃO 220V COM CAPACIDADE DE
CARGA 1800VA, INCLUSIVE BASE E INSTALAÇÃO</v>
      </c>
      <c r="E290" s="133"/>
      <c r="F290" s="133"/>
      <c r="G290" s="133"/>
      <c r="H290" s="133"/>
      <c r="I290" s="7">
        <f>PLANILHA!F92</f>
        <v>2</v>
      </c>
      <c r="J290" s="7" t="str">
        <f>PLANILHA!E92</f>
        <v>UND</v>
      </c>
    </row>
    <row r="291" spans="1:11">
      <c r="A291" s="80" t="s">
        <v>276</v>
      </c>
      <c r="C291" t="s">
        <v>277</v>
      </c>
      <c r="D291" s="28" t="s">
        <v>278</v>
      </c>
      <c r="E291" s="28" t="s">
        <v>279</v>
      </c>
      <c r="F291" s="28" t="s">
        <v>280</v>
      </c>
      <c r="G291" s="28" t="s">
        <v>281</v>
      </c>
      <c r="H291" t="s">
        <v>287</v>
      </c>
      <c r="I291" t="s">
        <v>283</v>
      </c>
      <c r="J291" s="12" t="s">
        <v>284</v>
      </c>
    </row>
    <row r="292" spans="1:11">
      <c r="A292" s="144" t="s">
        <v>328</v>
      </c>
      <c r="B292" s="145"/>
      <c r="C292" s="75"/>
      <c r="D292" s="76"/>
      <c r="E292" s="76"/>
      <c r="F292" s="76"/>
      <c r="G292" s="76"/>
      <c r="H292" s="75">
        <v>2</v>
      </c>
      <c r="I292" s="75">
        <f t="shared" ref="I292" si="38">H292</f>
        <v>2</v>
      </c>
      <c r="J292" s="75" t="s">
        <v>330</v>
      </c>
    </row>
    <row r="293" spans="1:11">
      <c r="A293" s="80"/>
      <c r="H293" s="7" t="s">
        <v>283</v>
      </c>
      <c r="I293" s="77">
        <f t="shared" ref="I293" si="39">I292</f>
        <v>2</v>
      </c>
      <c r="J293" s="7" t="str">
        <f t="shared" ref="J293" si="40">J290</f>
        <v>UND</v>
      </c>
    </row>
    <row r="294" spans="1:11" s="26" customFormat="1" ht="30.6" customHeight="1">
      <c r="A294" s="43" t="str">
        <f>PLANILHA!A93</f>
        <v>10.</v>
      </c>
      <c r="B294" s="130" t="str">
        <f>PLANILHA!B93:H93</f>
        <v>INSTALAÇÕES HIDROSSANITÁRIAS, LOUÇAS E METAIS</v>
      </c>
      <c r="C294" s="131"/>
      <c r="D294" s="131"/>
      <c r="E294" s="131"/>
      <c r="F294" s="131"/>
      <c r="G294" s="131"/>
      <c r="H294" s="132"/>
      <c r="I294" s="43"/>
      <c r="J294" s="43"/>
    </row>
    <row r="295" spans="1:11" s="1" customFormat="1" ht="36" customHeight="1">
      <c r="A295" s="7" t="str">
        <f>PLANILHA!A94</f>
        <v>10.1</v>
      </c>
      <c r="B295" s="21" t="str">
        <f>PLANILHA!B94</f>
        <v>ED-50019</v>
      </c>
      <c r="C295" s="7" t="str">
        <f>PLANILHA!C94</f>
        <v>SETOP</v>
      </c>
      <c r="D295" s="133" t="str">
        <f>PLANILHA!D94</f>
        <v>FORNECIMENTO E ASSENTAMENTO DE TUBO PVC RÍGIDO
SOLDÁVEL, ÁGUA FRIA, DN 20 MM (1/2"), INCLUSIVE CONEXÕES</v>
      </c>
      <c r="E295" s="133"/>
      <c r="F295" s="133"/>
      <c r="G295" s="133"/>
      <c r="H295" s="133"/>
      <c r="I295" s="7">
        <f>PLANILHA!F94</f>
        <v>100</v>
      </c>
      <c r="J295" s="7" t="str">
        <f>PLANILHA!E94</f>
        <v>M</v>
      </c>
    </row>
    <row r="296" spans="1:11">
      <c r="A296" s="80" t="s">
        <v>276</v>
      </c>
      <c r="C296" t="s">
        <v>277</v>
      </c>
      <c r="D296" s="28" t="s">
        <v>278</v>
      </c>
      <c r="E296" s="28" t="s">
        <v>279</v>
      </c>
      <c r="F296" s="28" t="s">
        <v>280</v>
      </c>
      <c r="G296" s="28" t="s">
        <v>281</v>
      </c>
      <c r="H296" t="s">
        <v>287</v>
      </c>
      <c r="I296" t="s">
        <v>283</v>
      </c>
      <c r="J296" s="12" t="s">
        <v>284</v>
      </c>
    </row>
    <row r="297" spans="1:11" ht="30">
      <c r="A297" s="78" t="s">
        <v>329</v>
      </c>
      <c r="B297" s="21"/>
      <c r="C297" s="75"/>
      <c r="D297" s="76"/>
      <c r="E297" s="76"/>
      <c r="F297" s="76"/>
      <c r="G297" s="76"/>
      <c r="H297" s="75">
        <v>100</v>
      </c>
      <c r="I297" s="75">
        <f t="shared" ref="I297" si="41">H297</f>
        <v>100</v>
      </c>
      <c r="J297" s="75" t="s">
        <v>326</v>
      </c>
    </row>
    <row r="298" spans="1:11">
      <c r="A298" s="80"/>
      <c r="H298" s="7" t="s">
        <v>283</v>
      </c>
      <c r="I298" s="77">
        <f t="shared" ref="I298" si="42">I297</f>
        <v>100</v>
      </c>
      <c r="J298" s="7" t="str">
        <f t="shared" ref="J298" si="43">J295</f>
        <v>M</v>
      </c>
      <c r="K298" s="41"/>
    </row>
    <row r="299" spans="1:11" s="1" customFormat="1" ht="36" customHeight="1">
      <c r="A299" s="7" t="str">
        <f>PLANILHA!A95</f>
        <v>10.2</v>
      </c>
      <c r="B299" s="21" t="str">
        <f>PLANILHA!B95</f>
        <v>ED-32664</v>
      </c>
      <c r="C299" s="7" t="str">
        <f>PLANILHA!C95</f>
        <v>SETOP</v>
      </c>
      <c r="D299" s="133" t="str">
        <f>PLANILHA!D95</f>
        <v>TORNEIRA PLÁSTICA PARA TANQUE/IRRIGAÇÃO, BICO COM
ROSCA</v>
      </c>
      <c r="E299" s="133"/>
      <c r="F299" s="133"/>
      <c r="G299" s="133"/>
      <c r="H299" s="133"/>
      <c r="I299" s="7">
        <f>PLANILHA!F95</f>
        <v>5</v>
      </c>
      <c r="J299" s="7" t="str">
        <f>PLANILHA!E95</f>
        <v>UND</v>
      </c>
    </row>
    <row r="300" spans="1:11">
      <c r="A300" s="80" t="s">
        <v>276</v>
      </c>
      <c r="C300" t="s">
        <v>277</v>
      </c>
      <c r="D300" s="28" t="s">
        <v>278</v>
      </c>
      <c r="E300" s="28" t="s">
        <v>279</v>
      </c>
      <c r="F300" s="28" t="s">
        <v>280</v>
      </c>
      <c r="G300" s="28" t="s">
        <v>281</v>
      </c>
      <c r="H300" t="s">
        <v>287</v>
      </c>
      <c r="I300" t="s">
        <v>283</v>
      </c>
      <c r="J300" s="12" t="s">
        <v>284</v>
      </c>
    </row>
    <row r="301" spans="1:11" ht="30">
      <c r="A301" s="78" t="s">
        <v>329</v>
      </c>
      <c r="B301" s="21"/>
      <c r="C301" s="75"/>
      <c r="D301" s="76"/>
      <c r="E301" s="76"/>
      <c r="F301" s="76"/>
      <c r="G301" s="76"/>
      <c r="H301" s="75">
        <v>5</v>
      </c>
      <c r="I301" s="75">
        <f t="shared" ref="I301" si="44">H301</f>
        <v>5</v>
      </c>
      <c r="J301" s="75" t="s">
        <v>326</v>
      </c>
    </row>
    <row r="302" spans="1:11">
      <c r="A302" s="80"/>
      <c r="H302" s="7" t="s">
        <v>283</v>
      </c>
      <c r="I302" s="77">
        <f t="shared" ref="I302" si="45">I301</f>
        <v>5</v>
      </c>
      <c r="J302" s="7" t="str">
        <f t="shared" ref="J302" si="46">J299</f>
        <v>UND</v>
      </c>
    </row>
    <row r="303" spans="1:11" s="26" customFormat="1" ht="30.6" customHeight="1">
      <c r="A303" s="43" t="str">
        <f>PLANILHA!A96</f>
        <v>11.</v>
      </c>
      <c r="B303" s="130" t="str">
        <f>PLANILHA!B96:H96</f>
        <v>ACESSÓRIOS - ACADEMIA</v>
      </c>
      <c r="C303" s="131"/>
      <c r="D303" s="131"/>
      <c r="E303" s="131"/>
      <c r="F303" s="131"/>
      <c r="G303" s="131"/>
      <c r="H303" s="132"/>
      <c r="I303" s="43"/>
      <c r="J303" s="43"/>
    </row>
    <row r="304" spans="1:11" s="1" customFormat="1" ht="36" customHeight="1">
      <c r="A304" s="7" t="str">
        <f>PLANILHA!A97</f>
        <v>11.1</v>
      </c>
      <c r="B304" s="21">
        <f>PLANILHA!B97</f>
        <v>103307</v>
      </c>
      <c r="C304" s="7" t="str">
        <f>PLANILHA!C97</f>
        <v>SINAPI</v>
      </c>
      <c r="D304" s="133" t="str">
        <f>PLANILHA!D97</f>
        <v>INSTALAÇÃO DE LIXEIRA METÁLICA DUPLA, CAPACIDADE DE 60 L, EM TUBO DE AÇO CARBONO E CESTOS EM CHAPA DE AÇO COM PINTURA ELETROSTÁTICA, SOBRE PISO DE CONCRETO EXISTENTE. AF_11/2021</v>
      </c>
      <c r="E304" s="133"/>
      <c r="F304" s="133"/>
      <c r="G304" s="133"/>
      <c r="H304" s="133"/>
      <c r="I304" s="7">
        <f>PLANILHA!F97</f>
        <v>7</v>
      </c>
      <c r="J304" s="7" t="str">
        <f>PLANILHA!E97</f>
        <v>UND</v>
      </c>
    </row>
    <row r="305" spans="1:11">
      <c r="A305" s="80" t="s">
        <v>276</v>
      </c>
      <c r="C305" t="s">
        <v>277</v>
      </c>
      <c r="D305" s="28" t="s">
        <v>278</v>
      </c>
      <c r="E305" s="28" t="s">
        <v>279</v>
      </c>
      <c r="F305" s="28" t="s">
        <v>280</v>
      </c>
      <c r="G305" s="28" t="s">
        <v>281</v>
      </c>
      <c r="H305" t="s">
        <v>287</v>
      </c>
      <c r="I305" t="s">
        <v>283</v>
      </c>
      <c r="J305" s="12" t="s">
        <v>284</v>
      </c>
    </row>
    <row r="306" spans="1:11" ht="30">
      <c r="A306" s="78" t="s">
        <v>329</v>
      </c>
      <c r="B306" s="21"/>
      <c r="C306" s="75"/>
      <c r="D306" s="76"/>
      <c r="E306" s="76"/>
      <c r="F306" s="76"/>
      <c r="G306" s="76"/>
      <c r="H306" s="75">
        <v>7</v>
      </c>
      <c r="I306" s="75">
        <v>7</v>
      </c>
      <c r="J306" s="75" t="s">
        <v>326</v>
      </c>
    </row>
    <row r="307" spans="1:11">
      <c r="A307" s="80"/>
      <c r="H307" s="7" t="s">
        <v>283</v>
      </c>
      <c r="I307" s="77">
        <f t="shared" ref="I307" si="47">I306</f>
        <v>7</v>
      </c>
      <c r="J307" s="7" t="str">
        <f t="shared" ref="J307" si="48">J304</f>
        <v>UND</v>
      </c>
    </row>
    <row r="308" spans="1:11" s="1" customFormat="1" ht="36" customHeight="1">
      <c r="A308" s="7" t="str">
        <f>PLANILHA!A98</f>
        <v>11.2</v>
      </c>
      <c r="B308" s="21" t="str">
        <f>PLANILHA!B98</f>
        <v>ED-49575</v>
      </c>
      <c r="C308" s="7" t="str">
        <f>PLANILHA!C98</f>
        <v>SETOP</v>
      </c>
      <c r="D308" s="133" t="str">
        <f>PLANILHA!D98</f>
        <v>FORNECIMENTO E INSTALAÇÃO DE ESCORREGADOR MÉDIO METÁLICO PARA PARQUE INFANTIL, FIXADO COM CONCRETO NÃO ESTRUTURAL, PREPARADO EM OBRA COM BETONEIRA, COM FCK 15 MPA , INCLUSIVE ESCAVAÇÃO E TRANSPORTE COM
RETIRADA DO MATERIAL ESCAVADO (EM CAÇAMBA</v>
      </c>
      <c r="E308" s="133"/>
      <c r="F308" s="133"/>
      <c r="G308" s="133"/>
      <c r="H308" s="133"/>
      <c r="I308" s="7">
        <f>PLANILHA!F98</f>
        <v>1</v>
      </c>
      <c r="J308" s="7" t="str">
        <f>PLANILHA!E98</f>
        <v>UND</v>
      </c>
    </row>
    <row r="309" spans="1:11">
      <c r="A309" s="80" t="s">
        <v>276</v>
      </c>
      <c r="C309" t="s">
        <v>277</v>
      </c>
      <c r="D309" s="28" t="s">
        <v>278</v>
      </c>
      <c r="E309" s="28" t="s">
        <v>279</v>
      </c>
      <c r="F309" s="28" t="s">
        <v>280</v>
      </c>
      <c r="G309" s="28" t="s">
        <v>281</v>
      </c>
      <c r="H309" t="s">
        <v>287</v>
      </c>
      <c r="I309" t="s">
        <v>283</v>
      </c>
      <c r="J309" s="12" t="s">
        <v>284</v>
      </c>
    </row>
    <row r="310" spans="1:11" ht="30">
      <c r="A310" s="78" t="s">
        <v>329</v>
      </c>
      <c r="B310" s="21"/>
      <c r="C310" s="75"/>
      <c r="D310" s="76"/>
      <c r="E310" s="76"/>
      <c r="F310" s="76"/>
      <c r="G310" s="76"/>
      <c r="H310" s="75">
        <v>1</v>
      </c>
      <c r="I310" s="75">
        <f t="shared" ref="I310" si="49">H310</f>
        <v>1</v>
      </c>
      <c r="J310" s="75" t="s">
        <v>326</v>
      </c>
    </row>
    <row r="311" spans="1:11">
      <c r="A311" s="80"/>
      <c r="H311" s="7" t="s">
        <v>283</v>
      </c>
      <c r="I311" s="77">
        <f t="shared" ref="I311" si="50">I310</f>
        <v>1</v>
      </c>
      <c r="J311" s="7" t="str">
        <f t="shared" ref="J311" si="51">J308</f>
        <v>UND</v>
      </c>
    </row>
    <row r="312" spans="1:11" s="1" customFormat="1" ht="36" customHeight="1">
      <c r="A312" s="7" t="str">
        <f>PLANILHA!A99</f>
        <v>11.3</v>
      </c>
      <c r="B312" s="21" t="str">
        <f>PLANILHA!B99</f>
        <v>ED-15342</v>
      </c>
      <c r="C312" s="7" t="str">
        <f>PLANILHA!C99</f>
        <v>SETOP</v>
      </c>
      <c r="D312" s="133" t="str">
        <f>PLANILHA!D99</f>
        <v>FORNECIMENTO E INSTALAÇÃO DE BALANÇO (REMA-REMA) METÁLICO COM SEIS LUGARES PARA PARQUE INFANTIL, FIXADO COM CONCRETO NÃO ESTRUTURAL, PREPARADO EM OBRA COM BETONEIRA, COM FCK 15 MPA , INCLUSIVE ESCAVAÇÃO E
TRANSPORTE COM RETIRADA DO MATERIAL ESCAVADO (EM CAÇAMBA)</v>
      </c>
      <c r="E312" s="133"/>
      <c r="F312" s="133"/>
      <c r="G312" s="133"/>
      <c r="H312" s="133"/>
      <c r="I312" s="7">
        <f>PLANILHA!F99</f>
        <v>1</v>
      </c>
      <c r="J312" s="7" t="str">
        <f>PLANILHA!E99</f>
        <v>UND</v>
      </c>
    </row>
    <row r="313" spans="1:11">
      <c r="A313" s="80" t="s">
        <v>276</v>
      </c>
      <c r="C313" t="s">
        <v>277</v>
      </c>
      <c r="D313" s="28" t="s">
        <v>278</v>
      </c>
      <c r="E313" s="28" t="s">
        <v>279</v>
      </c>
      <c r="F313" s="28" t="s">
        <v>280</v>
      </c>
      <c r="G313" s="28" t="s">
        <v>281</v>
      </c>
      <c r="H313" t="s">
        <v>287</v>
      </c>
      <c r="I313" t="s">
        <v>283</v>
      </c>
      <c r="J313" s="12" t="s">
        <v>284</v>
      </c>
    </row>
    <row r="314" spans="1:11" ht="30">
      <c r="A314" s="78" t="s">
        <v>329</v>
      </c>
      <c r="B314" s="21"/>
      <c r="C314" s="75"/>
      <c r="D314" s="76"/>
      <c r="E314" s="76"/>
      <c r="F314" s="76"/>
      <c r="G314" s="76"/>
      <c r="H314" s="75">
        <v>1</v>
      </c>
      <c r="I314" s="75">
        <f t="shared" ref="I314" si="52">H314</f>
        <v>1</v>
      </c>
      <c r="J314" s="75" t="s">
        <v>326</v>
      </c>
    </row>
    <row r="315" spans="1:11">
      <c r="A315" s="80"/>
      <c r="H315" s="7" t="s">
        <v>283</v>
      </c>
      <c r="I315" s="77">
        <f t="shared" ref="I315" si="53">I314</f>
        <v>1</v>
      </c>
      <c r="J315" s="7" t="str">
        <f t="shared" ref="J315" si="54">J312</f>
        <v>UND</v>
      </c>
    </row>
    <row r="316" spans="1:11" s="1" customFormat="1" ht="36" customHeight="1">
      <c r="A316" s="7" t="str">
        <f>PLANILHA!A100</f>
        <v>11.4</v>
      </c>
      <c r="B316" s="21" t="str">
        <f>PLANILHA!B100</f>
        <v>ED-49576</v>
      </c>
      <c r="C316" s="7" t="str">
        <f>PLANILHA!C100</f>
        <v>SETOP</v>
      </c>
      <c r="D316" s="133" t="str">
        <f>PLANILHA!D100</f>
        <v>FORNECIMENTO E INSTALAÇÃO DE GANGORRA METÁLICA COM DOIS LUGARES PARA PARQUE INFANTIL, FIXADO COM CONCRETO NÃO ESTRUTURAL, PREPARADO EM OBRA COM BETONEIRA, COM FCK 15 MPA , INCLUSIVE ESCAVAÇÃO E TRANSPORTE COM
RETIRADA DO MATERIAL ESCAVADO (EM CAÇAMBA)</v>
      </c>
      <c r="E316" s="133"/>
      <c r="F316" s="133"/>
      <c r="G316" s="133"/>
      <c r="H316" s="133"/>
      <c r="I316" s="7">
        <f>PLANILHA!F100</f>
        <v>1</v>
      </c>
      <c r="J316" s="7" t="str">
        <f>PLANILHA!E100</f>
        <v>UND</v>
      </c>
    </row>
    <row r="317" spans="1:11">
      <c r="A317" s="80" t="s">
        <v>276</v>
      </c>
      <c r="C317" t="s">
        <v>277</v>
      </c>
      <c r="D317" s="28" t="s">
        <v>278</v>
      </c>
      <c r="E317" s="28" t="s">
        <v>279</v>
      </c>
      <c r="F317" s="28" t="s">
        <v>280</v>
      </c>
      <c r="G317" s="28" t="s">
        <v>281</v>
      </c>
      <c r="H317" t="s">
        <v>287</v>
      </c>
      <c r="I317" t="s">
        <v>283</v>
      </c>
      <c r="J317" s="12" t="s">
        <v>284</v>
      </c>
    </row>
    <row r="318" spans="1:11" ht="30">
      <c r="A318" s="78" t="s">
        <v>329</v>
      </c>
      <c r="B318" s="21"/>
      <c r="C318" s="7">
        <f>PLANILHA!$F$151</f>
        <v>0</v>
      </c>
      <c r="D318" s="76"/>
      <c r="E318" s="76"/>
      <c r="F318" s="76"/>
      <c r="G318" s="76"/>
      <c r="H318" s="75">
        <v>1</v>
      </c>
      <c r="I318" s="7">
        <v>1</v>
      </c>
      <c r="J318" s="75" t="s">
        <v>326</v>
      </c>
    </row>
    <row r="319" spans="1:11">
      <c r="A319" s="80"/>
      <c r="H319" s="7" t="s">
        <v>283</v>
      </c>
      <c r="I319" s="77">
        <f t="shared" ref="I319" si="55">I318</f>
        <v>1</v>
      </c>
      <c r="J319" s="7" t="s">
        <v>73</v>
      </c>
      <c r="K319" s="41"/>
    </row>
    <row r="320" spans="1:11" s="1" customFormat="1" ht="36" customHeight="1">
      <c r="A320" s="7" t="str">
        <f>PLANILHA!A101</f>
        <v>11.5</v>
      </c>
      <c r="B320" s="21" t="str">
        <f>PLANILHA!B101</f>
        <v>ED-49580</v>
      </c>
      <c r="C320" s="7" t="str">
        <f>PLANILHA!C101</f>
        <v>SETOP</v>
      </c>
      <c r="D320" s="133" t="str">
        <f>PLANILHA!D101</f>
        <v>FORNECIMENTO E INSTALAÇÃO DE ESPALDAR E BARRAS METÁLICAS PARA PARQUE INFANTIL OU ACADEMIA AO AR LIVRE, FIXADO COM CONCRETO NÃO ESTRUTURAL, PREPARADO EM OBRA COM BETONEIRA, COM FCK 15 MPA , INCLUSIVE ESCAVAÇÃO E TRANSPORTE COM RETIRADA DO MATERIAL ESCAVADO (EM CAÇAMBA)</v>
      </c>
      <c r="E320" s="133"/>
      <c r="F320" s="133"/>
      <c r="G320" s="133"/>
      <c r="H320" s="133"/>
      <c r="I320" s="7">
        <f>PLANILHA!F101</f>
        <v>1</v>
      </c>
      <c r="J320" s="7" t="str">
        <f>PLANILHA!E101</f>
        <v>UND</v>
      </c>
    </row>
    <row r="321" spans="1:10">
      <c r="A321" s="80" t="s">
        <v>276</v>
      </c>
      <c r="C321" t="s">
        <v>277</v>
      </c>
      <c r="D321" s="28" t="s">
        <v>278</v>
      </c>
      <c r="E321" s="28" t="s">
        <v>279</v>
      </c>
      <c r="F321" s="28" t="s">
        <v>280</v>
      </c>
      <c r="G321" s="28" t="s">
        <v>281</v>
      </c>
      <c r="H321" t="s">
        <v>287</v>
      </c>
      <c r="I321" t="s">
        <v>283</v>
      </c>
      <c r="J321" s="12" t="s">
        <v>284</v>
      </c>
    </row>
    <row r="322" spans="1:10" ht="30">
      <c r="A322" s="78" t="s">
        <v>329</v>
      </c>
      <c r="B322" s="21"/>
      <c r="C322" s="7">
        <f>PLANILHA!$F$152</f>
        <v>0</v>
      </c>
      <c r="D322" s="76"/>
      <c r="E322" s="76"/>
      <c r="F322" s="76"/>
      <c r="G322" s="76"/>
      <c r="H322" s="75">
        <v>1</v>
      </c>
      <c r="I322" s="7">
        <v>1</v>
      </c>
      <c r="J322" s="75" t="s">
        <v>326</v>
      </c>
    </row>
    <row r="323" spans="1:10">
      <c r="A323" s="80"/>
      <c r="H323" s="7" t="s">
        <v>283</v>
      </c>
      <c r="I323" s="77">
        <f t="shared" ref="I323" si="56">I322</f>
        <v>1</v>
      </c>
      <c r="J323" s="7" t="str">
        <f t="shared" ref="J323" si="57">J320</f>
        <v>UND</v>
      </c>
    </row>
    <row r="324" spans="1:10" s="26" customFormat="1" ht="30.6" customHeight="1">
      <c r="A324" s="43">
        <f>PLANILHA!A102</f>
        <v>12</v>
      </c>
      <c r="B324" s="130" t="str">
        <f>PLANILHA!B102:H102</f>
        <v>GUARDA CORPO</v>
      </c>
      <c r="C324" s="131"/>
      <c r="D324" s="131"/>
      <c r="E324" s="131"/>
      <c r="F324" s="131"/>
      <c r="G324" s="131"/>
      <c r="H324" s="132"/>
      <c r="I324" s="43"/>
      <c r="J324" s="43"/>
    </row>
    <row r="325" spans="1:10" s="1" customFormat="1" ht="36" customHeight="1">
      <c r="A325" s="7" t="str">
        <f>PLANILHA!A103</f>
        <v>12.1</v>
      </c>
      <c r="B325" s="21">
        <f>PLANILHA!B103</f>
        <v>99844</v>
      </c>
      <c r="C325" s="7" t="str">
        <f>PLANILHA!C103</f>
        <v>SINAPI</v>
      </c>
      <c r="D325" s="133" t="str">
        <f>PLANILHA!D103</f>
        <v>GUARDA-CORPO DE AÇO GALVANIZADO DE 1,10M, MONTANTES TUBULARES DE 1.1/4" ESPAÇADOS 1,20M,
TRAVESSA SUPERIOR DE 1.1/2", GRADIL FORMADO POR TUBOS HORIZONTAIS DE 1" E VERTICAIS DE 3/4", FIXADO
COM ADESIVO ESTRUTURAL EPOXI. AF_10/2025_PS</v>
      </c>
      <c r="E325" s="133"/>
      <c r="F325" s="133"/>
      <c r="G325" s="133"/>
      <c r="H325" s="133"/>
      <c r="I325" s="7">
        <f>PLANILHA!F103</f>
        <v>26</v>
      </c>
      <c r="J325" s="7" t="str">
        <f>PLANILHA!E103</f>
        <v>M</v>
      </c>
    </row>
    <row r="326" spans="1:10">
      <c r="A326" s="80" t="s">
        <v>276</v>
      </c>
      <c r="C326" t="s">
        <v>277</v>
      </c>
      <c r="D326" s="28" t="s">
        <v>278</v>
      </c>
      <c r="E326" s="28" t="s">
        <v>279</v>
      </c>
      <c r="F326" s="28" t="s">
        <v>280</v>
      </c>
      <c r="G326" s="28" t="s">
        <v>281</v>
      </c>
      <c r="H326" t="s">
        <v>287</v>
      </c>
      <c r="I326" t="s">
        <v>283</v>
      </c>
      <c r="J326" s="12" t="s">
        <v>284</v>
      </c>
    </row>
    <row r="327" spans="1:10" ht="30">
      <c r="A327" s="78" t="s">
        <v>329</v>
      </c>
      <c r="B327" s="21"/>
      <c r="C327" s="75">
        <v>26</v>
      </c>
      <c r="D327" s="76"/>
      <c r="E327" s="76"/>
      <c r="F327" s="7">
        <f>PLANILHA!$F$161</f>
        <v>0</v>
      </c>
      <c r="G327" s="76"/>
      <c r="H327" s="75">
        <v>26</v>
      </c>
      <c r="I327" s="7">
        <v>26</v>
      </c>
      <c r="J327" s="75" t="s">
        <v>326</v>
      </c>
    </row>
    <row r="328" spans="1:10">
      <c r="A328" s="80"/>
      <c r="H328" s="7" t="s">
        <v>283</v>
      </c>
      <c r="I328" s="77">
        <f t="shared" ref="I328" si="58">I327</f>
        <v>26</v>
      </c>
      <c r="J328" s="7" t="str">
        <f t="shared" ref="J328" si="59">J325</f>
        <v>M</v>
      </c>
    </row>
    <row r="329" spans="1:10" s="1" customFormat="1" ht="36" customHeight="1">
      <c r="A329" s="7" t="str">
        <f>PLANILHA!A104</f>
        <v>12.2</v>
      </c>
      <c r="B329" s="21">
        <f>PLANILHA!B104</f>
        <v>99857</v>
      </c>
      <c r="C329" s="7" t="str">
        <f>PLANILHA!C104</f>
        <v>SINAPI</v>
      </c>
      <c r="D329" s="133" t="str">
        <f>PLANILHA!D104</f>
        <v>CORRIMÃO SIMPLES, DIÂMETRO EXTERNO = 1 1/2", EM ALUMÍNIO. AF_04/2019_PS</v>
      </c>
      <c r="E329" s="133"/>
      <c r="F329" s="133"/>
      <c r="G329" s="133"/>
      <c r="H329" s="133"/>
      <c r="I329" s="7">
        <f>PLANILHA!F104</f>
        <v>32</v>
      </c>
      <c r="J329" s="7" t="str">
        <f>PLANILHA!E104</f>
        <v>M</v>
      </c>
    </row>
    <row r="330" spans="1:10">
      <c r="A330" s="80" t="s">
        <v>276</v>
      </c>
      <c r="C330" t="s">
        <v>277</v>
      </c>
      <c r="D330" s="28" t="s">
        <v>278</v>
      </c>
      <c r="E330" s="28" t="s">
        <v>279</v>
      </c>
      <c r="F330" s="28" t="s">
        <v>280</v>
      </c>
      <c r="G330" s="28" t="s">
        <v>281</v>
      </c>
      <c r="H330" t="s">
        <v>287</v>
      </c>
      <c r="I330" t="s">
        <v>283</v>
      </c>
      <c r="J330" s="12" t="s">
        <v>284</v>
      </c>
    </row>
    <row r="331" spans="1:10" ht="30">
      <c r="A331" s="78" t="s">
        <v>329</v>
      </c>
      <c r="B331" s="21"/>
      <c r="C331" s="75">
        <v>32</v>
      </c>
      <c r="D331" s="76"/>
      <c r="E331" s="76"/>
      <c r="F331" s="7"/>
      <c r="G331" s="76"/>
      <c r="H331" s="75">
        <v>32</v>
      </c>
      <c r="I331" s="7">
        <v>32</v>
      </c>
      <c r="J331" s="75" t="s">
        <v>326</v>
      </c>
    </row>
    <row r="332" spans="1:10">
      <c r="A332" s="80"/>
      <c r="H332" s="7" t="s">
        <v>283</v>
      </c>
      <c r="I332" s="77">
        <v>32</v>
      </c>
      <c r="J332" s="7" t="str">
        <f t="shared" ref="J332" si="60">J329</f>
        <v>M</v>
      </c>
    </row>
    <row r="333" spans="1:10" s="26" customFormat="1" ht="30.6" customHeight="1">
      <c r="A333" s="43">
        <v>13</v>
      </c>
      <c r="B333" s="130" t="str">
        <f>PLANILHA!B105:H105</f>
        <v>PINTURA</v>
      </c>
      <c r="C333" s="131"/>
      <c r="D333" s="131"/>
      <c r="E333" s="131"/>
      <c r="F333" s="131"/>
      <c r="G333" s="131"/>
      <c r="H333" s="132"/>
      <c r="I333" s="43"/>
      <c r="J333" s="43"/>
    </row>
    <row r="334" spans="1:10" s="1" customFormat="1" ht="36" customHeight="1">
      <c r="A334" s="7" t="str">
        <f>PLANILHA!A106</f>
        <v>13.1</v>
      </c>
      <c r="B334" s="21">
        <f>PLANILHA!B106</f>
        <v>102213</v>
      </c>
      <c r="C334" s="7" t="str">
        <f>PLANILHA!C106</f>
        <v>SINAPI</v>
      </c>
      <c r="D334" s="133" t="str">
        <f>PLANILHA!D106</f>
        <v>PINTURA VERNIZ (INCOLOR) ALQUÍDICO EM MADEIRA, USO INTERNO E EXTERNO, 2 DEMÃOS. AF_01/2021</v>
      </c>
      <c r="E334" s="133"/>
      <c r="F334" s="133"/>
      <c r="G334" s="133"/>
      <c r="H334" s="133"/>
      <c r="I334" s="7">
        <f>PLANILHA!F106</f>
        <v>10.49972</v>
      </c>
      <c r="J334" s="7" t="str">
        <f>PLANILHA!E106</f>
        <v>M²</v>
      </c>
    </row>
    <row r="335" spans="1:10">
      <c r="A335" s="80" t="s">
        <v>276</v>
      </c>
      <c r="C335" t="s">
        <v>277</v>
      </c>
      <c r="D335" s="28" t="s">
        <v>278</v>
      </c>
      <c r="E335" s="28" t="s">
        <v>279</v>
      </c>
      <c r="F335" s="28" t="s">
        <v>280</v>
      </c>
      <c r="G335" s="28" t="s">
        <v>281</v>
      </c>
      <c r="H335" t="s">
        <v>287</v>
      </c>
      <c r="I335" t="s">
        <v>283</v>
      </c>
      <c r="J335" s="12" t="s">
        <v>284</v>
      </c>
    </row>
    <row r="336" spans="1:10" ht="30">
      <c r="A336" s="78" t="s">
        <v>329</v>
      </c>
      <c r="B336" s="21"/>
      <c r="C336" s="75"/>
      <c r="D336" s="76"/>
      <c r="E336" s="76"/>
      <c r="F336" s="7">
        <v>10.5</v>
      </c>
      <c r="G336" s="76"/>
      <c r="H336" s="75">
        <v>10.5</v>
      </c>
      <c r="I336" s="7">
        <v>10.5</v>
      </c>
      <c r="J336" s="75" t="s">
        <v>326</v>
      </c>
    </row>
    <row r="337" spans="1:11">
      <c r="A337" s="80"/>
      <c r="H337" s="7" t="s">
        <v>283</v>
      </c>
      <c r="I337" s="77">
        <v>10.49972</v>
      </c>
      <c r="J337" s="7" t="str">
        <f>J334</f>
        <v>M²</v>
      </c>
    </row>
    <row r="338" spans="1:11" s="1" customFormat="1" ht="45" customHeight="1">
      <c r="A338" s="7" t="str">
        <f>PLANILHA!A107</f>
        <v>13.2</v>
      </c>
      <c r="B338" s="21">
        <f>PLANILHA!B107</f>
        <v>100758</v>
      </c>
      <c r="C338" s="7" t="str">
        <f>PLANILHA!C107</f>
        <v>SINAPI</v>
      </c>
      <c r="D338" s="133" t="str">
        <f>PLANILHA!D107</f>
        <v>PINTURA COM TINTA ALQUÍDICA DE ACABAMENTO (ESMALTE SINTÉTICO ACETINADO) APLICADA A ROLO OU PINCEL SOBRE SUPERFÍCIES METÁLICAS (EXCETO PERFIL) EXECUTADO EM OBRA (02 DEMÃOS). AF_01/2020</v>
      </c>
      <c r="E338" s="133"/>
      <c r="F338" s="133"/>
      <c r="G338" s="133"/>
      <c r="H338" s="133"/>
      <c r="I338" s="7">
        <f>PLANILHA!F107</f>
        <v>130.624</v>
      </c>
      <c r="J338" s="7" t="str">
        <f>PLANILHA!E107</f>
        <v>M²</v>
      </c>
    </row>
    <row r="339" spans="1:11">
      <c r="A339" s="80" t="s">
        <v>276</v>
      </c>
      <c r="C339" t="s">
        <v>277</v>
      </c>
      <c r="D339" s="28" t="s">
        <v>278</v>
      </c>
      <c r="E339" s="28" t="s">
        <v>279</v>
      </c>
      <c r="F339" s="28" t="s">
        <v>280</v>
      </c>
      <c r="G339" s="28" t="s">
        <v>281</v>
      </c>
      <c r="H339" t="s">
        <v>287</v>
      </c>
      <c r="I339" t="s">
        <v>283</v>
      </c>
      <c r="J339" s="12" t="s">
        <v>284</v>
      </c>
    </row>
    <row r="340" spans="1:11" ht="30">
      <c r="A340" s="78" t="s">
        <v>329</v>
      </c>
      <c r="B340" s="21"/>
      <c r="C340" s="75"/>
      <c r="D340" s="76"/>
      <c r="E340" s="76"/>
      <c r="F340" s="76">
        <v>130.624</v>
      </c>
      <c r="G340" s="76"/>
      <c r="H340" s="75">
        <f>F340</f>
        <v>130.624</v>
      </c>
      <c r="I340" s="75">
        <f t="shared" ref="I340" si="61">H340</f>
        <v>130.624</v>
      </c>
      <c r="J340" s="75"/>
    </row>
    <row r="341" spans="1:11">
      <c r="A341" s="80"/>
      <c r="H341" s="7" t="s">
        <v>283</v>
      </c>
      <c r="I341" s="77">
        <f t="shared" ref="I341" si="62">I340</f>
        <v>130.624</v>
      </c>
      <c r="J341" s="7" t="str">
        <f>J338</f>
        <v>M²</v>
      </c>
      <c r="K341" s="41"/>
    </row>
    <row r="342" spans="1:11" s="1" customFormat="1" ht="36" customHeight="1">
      <c r="A342" s="7" t="str">
        <f>PLANILHA!A108</f>
        <v>13.3</v>
      </c>
      <c r="B342" s="21">
        <f>PLANILHA!B108</f>
        <v>88415</v>
      </c>
      <c r="C342" s="7" t="str">
        <f>PLANILHA!C108</f>
        <v>SINAPI</v>
      </c>
      <c r="D342" s="133" t="str">
        <f>PLANILHA!D108</f>
        <v>APLICAÇÃO MANUAL DE FUNDO SELADOR ACRÍLICO EM PAREDES EXTERNAS DE CASAS. AF_03/2024</v>
      </c>
      <c r="E342" s="133"/>
      <c r="F342" s="133"/>
      <c r="G342" s="133"/>
      <c r="H342" s="133"/>
      <c r="I342" s="7">
        <f>PLANILHA!F108</f>
        <v>447.863</v>
      </c>
      <c r="J342" s="7" t="str">
        <f>PLANILHA!E108</f>
        <v>M²</v>
      </c>
    </row>
    <row r="343" spans="1:11">
      <c r="A343" s="80" t="s">
        <v>276</v>
      </c>
      <c r="C343" t="s">
        <v>277</v>
      </c>
      <c r="D343" s="28" t="s">
        <v>278</v>
      </c>
      <c r="E343" s="28" t="s">
        <v>279</v>
      </c>
      <c r="F343" s="28" t="s">
        <v>280</v>
      </c>
      <c r="G343" s="28" t="s">
        <v>281</v>
      </c>
      <c r="H343" t="s">
        <v>287</v>
      </c>
      <c r="I343" t="s">
        <v>283</v>
      </c>
      <c r="J343" s="12" t="s">
        <v>284</v>
      </c>
    </row>
    <row r="344" spans="1:11" ht="30">
      <c r="A344" s="78" t="s">
        <v>329</v>
      </c>
      <c r="B344" s="21"/>
      <c r="C344" s="75"/>
      <c r="D344" s="76"/>
      <c r="E344" s="76"/>
      <c r="F344" s="76">
        <v>447.863</v>
      </c>
      <c r="G344" s="76"/>
      <c r="H344" s="75">
        <f>F344</f>
        <v>447.863</v>
      </c>
      <c r="I344" s="75">
        <f t="shared" ref="I344" si="63">H344</f>
        <v>447.863</v>
      </c>
      <c r="J344" s="75" t="s">
        <v>331</v>
      </c>
    </row>
    <row r="345" spans="1:11">
      <c r="A345" s="80"/>
      <c r="H345" s="7" t="s">
        <v>283</v>
      </c>
      <c r="I345" s="77">
        <f t="shared" ref="I345" si="64">I344</f>
        <v>447.863</v>
      </c>
      <c r="J345" s="7" t="str">
        <f>J342</f>
        <v>M²</v>
      </c>
      <c r="K345" s="41"/>
    </row>
    <row r="346" spans="1:11" s="1" customFormat="1" ht="36" customHeight="1">
      <c r="A346" s="7" t="str">
        <f>PLANILHA!A109</f>
        <v>13.4</v>
      </c>
      <c r="B346" s="21">
        <f>PLANILHA!B109</f>
        <v>95626</v>
      </c>
      <c r="C346" s="7" t="str">
        <f>PLANILHA!C109</f>
        <v>SINAPI</v>
      </c>
      <c r="D346" s="133" t="str">
        <f>PLANILHA!D109</f>
        <v>APLICAÇÃO MANUAL DE TINTA LÁTEX ACRÍLICA EM PAREDE EXTERNAS DE CASAS, DUAS DEMÃOS. AF_03/2024</v>
      </c>
      <c r="E346" s="133"/>
      <c r="F346" s="133"/>
      <c r="G346" s="133"/>
      <c r="H346" s="133"/>
      <c r="I346" s="7">
        <f>PLANILHA!F109</f>
        <v>447.863</v>
      </c>
      <c r="J346" s="7" t="str">
        <f>PLANILHA!E109</f>
        <v>M²</v>
      </c>
    </row>
    <row r="347" spans="1:11">
      <c r="A347" s="80" t="s">
        <v>276</v>
      </c>
      <c r="C347" t="s">
        <v>277</v>
      </c>
      <c r="D347" s="28" t="s">
        <v>278</v>
      </c>
      <c r="E347" s="28" t="s">
        <v>279</v>
      </c>
      <c r="F347" s="28" t="s">
        <v>280</v>
      </c>
      <c r="G347" s="28" t="s">
        <v>281</v>
      </c>
      <c r="H347" t="s">
        <v>287</v>
      </c>
      <c r="I347" t="s">
        <v>283</v>
      </c>
      <c r="J347" s="12" t="s">
        <v>284</v>
      </c>
    </row>
    <row r="348" spans="1:11" ht="30">
      <c r="A348" s="78" t="s">
        <v>329</v>
      </c>
      <c r="B348" s="21"/>
      <c r="C348" s="75"/>
      <c r="D348" s="76"/>
      <c r="E348" s="76"/>
      <c r="F348" s="76">
        <v>447.863</v>
      </c>
      <c r="G348" s="76"/>
      <c r="H348" s="75">
        <f>F348</f>
        <v>447.863</v>
      </c>
      <c r="I348" s="75">
        <f t="shared" ref="I348" si="65">H348</f>
        <v>447.863</v>
      </c>
      <c r="J348" s="75"/>
    </row>
    <row r="349" spans="1:11">
      <c r="A349" s="80"/>
      <c r="H349" s="7" t="s">
        <v>283</v>
      </c>
      <c r="I349" s="77">
        <f t="shared" ref="I349" si="66">I348</f>
        <v>447.863</v>
      </c>
      <c r="J349" s="7" t="str">
        <f>J346</f>
        <v>M²</v>
      </c>
      <c r="K349" s="41"/>
    </row>
    <row r="350" spans="1:11" s="26" customFormat="1" ht="30.6" customHeight="1">
      <c r="A350" s="43" t="str">
        <f>PLANILHA!A110</f>
        <v>14.</v>
      </c>
      <c r="B350" s="130" t="str">
        <f>PLANILHA!B110:H110</f>
        <v>LIMPEZA FINAL</v>
      </c>
      <c r="C350" s="131"/>
      <c r="D350" s="131"/>
      <c r="E350" s="131"/>
      <c r="F350" s="131"/>
      <c r="G350" s="131"/>
      <c r="H350" s="132"/>
      <c r="I350" s="43"/>
      <c r="J350" s="43"/>
    </row>
    <row r="351" spans="1:11" s="1" customFormat="1" ht="36" customHeight="1">
      <c r="A351" s="7" t="str">
        <f>PLANILHA!A111</f>
        <v>14.1</v>
      </c>
      <c r="B351" s="21">
        <f>PLANILHA!B111</f>
        <v>99814</v>
      </c>
      <c r="C351" s="7" t="str">
        <f>PLANILHA!C111</f>
        <v>SINAPI</v>
      </c>
      <c r="D351" s="133" t="str">
        <f>PLANILHA!D111</f>
        <v>LIMPEZA DE SUPERFÍCIE COM JATO DE ALTA PRESSÃO. AF_04/2019</v>
      </c>
      <c r="E351" s="133"/>
      <c r="F351" s="133"/>
      <c r="G351" s="133"/>
      <c r="H351" s="133"/>
      <c r="I351" s="7">
        <f>PLANILHA!F111</f>
        <v>1000</v>
      </c>
      <c r="J351" s="7" t="str">
        <f>PLANILHA!E111</f>
        <v>M²</v>
      </c>
    </row>
    <row r="352" spans="1:11">
      <c r="A352" s="80" t="s">
        <v>276</v>
      </c>
      <c r="C352" t="s">
        <v>277</v>
      </c>
      <c r="D352" s="28" t="s">
        <v>278</v>
      </c>
      <c r="E352" s="28" t="s">
        <v>279</v>
      </c>
      <c r="F352" s="28" t="s">
        <v>280</v>
      </c>
      <c r="G352" s="28" t="s">
        <v>281</v>
      </c>
      <c r="H352" t="s">
        <v>287</v>
      </c>
      <c r="I352" t="s">
        <v>283</v>
      </c>
      <c r="J352" s="12" t="s">
        <v>284</v>
      </c>
    </row>
    <row r="353" spans="1:38">
      <c r="A353" s="78" t="s">
        <v>332</v>
      </c>
      <c r="B353" s="21"/>
      <c r="C353" s="75"/>
      <c r="D353" s="76"/>
      <c r="E353" s="76"/>
      <c r="F353" s="76">
        <v>1000</v>
      </c>
      <c r="G353" s="76"/>
      <c r="H353" s="75">
        <v>1000</v>
      </c>
      <c r="I353" s="75">
        <f t="shared" ref="I353" si="67">H353</f>
        <v>1000</v>
      </c>
      <c r="J353" s="75"/>
    </row>
    <row r="354" spans="1:38">
      <c r="A354" s="45"/>
      <c r="B354" s="81"/>
      <c r="C354" s="70"/>
      <c r="D354" s="82"/>
      <c r="E354" s="82"/>
      <c r="F354" s="82"/>
      <c r="G354" s="82"/>
      <c r="H354" s="7" t="s">
        <v>283</v>
      </c>
      <c r="I354" s="77">
        <f t="shared" ref="I354" si="68">I353</f>
        <v>1000</v>
      </c>
      <c r="J354" s="7" t="str">
        <f>J351</f>
        <v>M²</v>
      </c>
      <c r="K354" s="41"/>
    </row>
    <row r="355" spans="1:38">
      <c r="A355" s="1"/>
      <c r="B355" s="24"/>
      <c r="C355" s="1"/>
      <c r="D355" s="1"/>
      <c r="E355" s="1"/>
      <c r="F355" s="1"/>
      <c r="G355" s="25"/>
      <c r="H355" s="25"/>
      <c r="I355" s="25"/>
      <c r="J355" s="25"/>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row>
    <row r="356" spans="1:38">
      <c r="A356" s="1"/>
      <c r="B356" s="24"/>
      <c r="C356" s="1"/>
      <c r="D356" s="1"/>
      <c r="E356" s="1"/>
      <c r="F356" s="1"/>
      <c r="G356" s="25"/>
      <c r="H356" s="25"/>
      <c r="I356" s="25"/>
      <c r="J356" s="25"/>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row>
    <row r="357" spans="1:38">
      <c r="A357" s="1"/>
      <c r="B357" s="24"/>
      <c r="C357" s="1"/>
      <c r="D357" s="1"/>
      <c r="E357" s="1"/>
      <c r="F357" s="1"/>
      <c r="G357" s="25"/>
      <c r="H357" s="25"/>
      <c r="I357" s="25"/>
      <c r="J357" s="25"/>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row>
    <row r="358" spans="1:38">
      <c r="A358" s="1"/>
      <c r="B358" s="24"/>
      <c r="C358" s="1"/>
      <c r="D358" s="1"/>
      <c r="E358" s="1"/>
      <c r="F358" s="1"/>
      <c r="G358" s="25"/>
      <c r="H358" s="25"/>
      <c r="I358" s="25"/>
      <c r="J358" s="25"/>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row>
    <row r="359" spans="1:38" ht="18.75" customHeight="1">
      <c r="A359" s="120" t="s">
        <v>380</v>
      </c>
      <c r="B359" s="120"/>
      <c r="C359" s="120"/>
      <c r="D359" s="120"/>
      <c r="E359" s="120" t="s">
        <v>388</v>
      </c>
      <c r="F359" s="120"/>
      <c r="G359" s="120"/>
      <c r="H359" s="120"/>
      <c r="I359" s="120"/>
      <c r="J359" s="120"/>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row>
    <row r="360" spans="1:38" ht="15" customHeight="1">
      <c r="A360" s="120"/>
      <c r="B360" s="120"/>
      <c r="C360" s="120"/>
      <c r="D360" s="120"/>
      <c r="E360" s="120"/>
      <c r="F360" s="120"/>
      <c r="G360" s="120"/>
      <c r="H360" s="120"/>
      <c r="I360" s="120"/>
      <c r="J360" s="120"/>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row>
    <row r="361" spans="1:38" ht="26.25" customHeight="1">
      <c r="A361" s="120"/>
      <c r="B361" s="120"/>
      <c r="C361" s="120"/>
      <c r="D361" s="120"/>
      <c r="E361" s="120"/>
      <c r="F361" s="120"/>
      <c r="G361" s="120"/>
      <c r="H361" s="120"/>
      <c r="I361" s="120"/>
      <c r="J361" s="120"/>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row>
    <row r="362" spans="1:38" ht="15" customHeight="1">
      <c r="A362" s="120"/>
      <c r="B362" s="120"/>
      <c r="C362" s="120"/>
      <c r="D362" s="120"/>
      <c r="E362" s="120"/>
      <c r="F362" s="120"/>
      <c r="G362" s="120"/>
      <c r="H362" s="120"/>
      <c r="I362" s="120"/>
      <c r="J362" s="120"/>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row>
  </sheetData>
  <mergeCells count="115">
    <mergeCell ref="A5:J5"/>
    <mergeCell ref="A6:J6"/>
    <mergeCell ref="A7:J7"/>
    <mergeCell ref="A8:J8"/>
    <mergeCell ref="A9:J9"/>
    <mergeCell ref="A10:J10"/>
    <mergeCell ref="D11:J11"/>
    <mergeCell ref="A13:J13"/>
    <mergeCell ref="D18:H18"/>
    <mergeCell ref="I14:I16"/>
    <mergeCell ref="J14:J16"/>
    <mergeCell ref="D22:H22"/>
    <mergeCell ref="D26:H26"/>
    <mergeCell ref="D30:H30"/>
    <mergeCell ref="D34:H34"/>
    <mergeCell ref="D38:H38"/>
    <mergeCell ref="D42:H42"/>
    <mergeCell ref="D46:H46"/>
    <mergeCell ref="D51:H51"/>
    <mergeCell ref="D55:H55"/>
    <mergeCell ref="D59:H59"/>
    <mergeCell ref="D63:H63"/>
    <mergeCell ref="D67:H67"/>
    <mergeCell ref="D71:H71"/>
    <mergeCell ref="D75:H75"/>
    <mergeCell ref="D79:H79"/>
    <mergeCell ref="D83:H83"/>
    <mergeCell ref="D87:H87"/>
    <mergeCell ref="D92:H92"/>
    <mergeCell ref="D96:H96"/>
    <mergeCell ref="D100:H100"/>
    <mergeCell ref="D104:H104"/>
    <mergeCell ref="D108:H108"/>
    <mergeCell ref="D112:H112"/>
    <mergeCell ref="D116:H116"/>
    <mergeCell ref="D120:H120"/>
    <mergeCell ref="D124:H124"/>
    <mergeCell ref="D128:H128"/>
    <mergeCell ref="D133:H133"/>
    <mergeCell ref="D137:H137"/>
    <mergeCell ref="D142:H142"/>
    <mergeCell ref="D146:H146"/>
    <mergeCell ref="D150:H150"/>
    <mergeCell ref="D154:H154"/>
    <mergeCell ref="D158:H158"/>
    <mergeCell ref="D163:H163"/>
    <mergeCell ref="D168:H168"/>
    <mergeCell ref="D172:H172"/>
    <mergeCell ref="D176:H176"/>
    <mergeCell ref="D180:H180"/>
    <mergeCell ref="D185:H185"/>
    <mergeCell ref="D189:H189"/>
    <mergeCell ref="D193:H193"/>
    <mergeCell ref="D198:H198"/>
    <mergeCell ref="D202:H202"/>
    <mergeCell ref="D206:H206"/>
    <mergeCell ref="D210:H210"/>
    <mergeCell ref="D214:H214"/>
    <mergeCell ref="D218:H218"/>
    <mergeCell ref="D222:H222"/>
    <mergeCell ref="D226:H226"/>
    <mergeCell ref="D230:H230"/>
    <mergeCell ref="D234:H234"/>
    <mergeCell ref="D238:H238"/>
    <mergeCell ref="D242:H242"/>
    <mergeCell ref="D246:H246"/>
    <mergeCell ref="A248:B248"/>
    <mergeCell ref="D250:H250"/>
    <mergeCell ref="A252:B252"/>
    <mergeCell ref="D254:H254"/>
    <mergeCell ref="A256:B256"/>
    <mergeCell ref="D258:H258"/>
    <mergeCell ref="A260:B260"/>
    <mergeCell ref="D262:H262"/>
    <mergeCell ref="A284:B284"/>
    <mergeCell ref="D286:H286"/>
    <mergeCell ref="A288:B288"/>
    <mergeCell ref="D290:H290"/>
    <mergeCell ref="A292:B292"/>
    <mergeCell ref="B294:H294"/>
    <mergeCell ref="D295:H295"/>
    <mergeCell ref="D299:H299"/>
    <mergeCell ref="A264:B264"/>
    <mergeCell ref="D266:H266"/>
    <mergeCell ref="A268:B268"/>
    <mergeCell ref="D270:H270"/>
    <mergeCell ref="A272:B272"/>
    <mergeCell ref="D274:H274"/>
    <mergeCell ref="A276:B276"/>
    <mergeCell ref="D278:H278"/>
    <mergeCell ref="A280:B280"/>
    <mergeCell ref="A1:J4"/>
    <mergeCell ref="A359:D362"/>
    <mergeCell ref="E359:J362"/>
    <mergeCell ref="B333:H333"/>
    <mergeCell ref="D334:H334"/>
    <mergeCell ref="D338:H338"/>
    <mergeCell ref="D342:H342"/>
    <mergeCell ref="D346:H346"/>
    <mergeCell ref="B350:H350"/>
    <mergeCell ref="D351:H351"/>
    <mergeCell ref="A14:A16"/>
    <mergeCell ref="B14:B16"/>
    <mergeCell ref="C14:C16"/>
    <mergeCell ref="D14:H16"/>
    <mergeCell ref="B303:H303"/>
    <mergeCell ref="D304:H304"/>
    <mergeCell ref="D308:H308"/>
    <mergeCell ref="D312:H312"/>
    <mergeCell ref="D316:H316"/>
    <mergeCell ref="D320:H320"/>
    <mergeCell ref="B324:H324"/>
    <mergeCell ref="D325:H325"/>
    <mergeCell ref="D329:H329"/>
    <mergeCell ref="D282:H282"/>
  </mergeCells>
  <printOptions horizontalCentered="1"/>
  <pageMargins left="0.39370078740157483" right="0.39370078740157483" top="0.98425196850393704" bottom="0.78740157480314965" header="0.31496062992125984" footer="0.31496062992125984"/>
  <pageSetup paperSize="9" scale="52" fitToHeight="0" orientation="portrait" horizontalDpi="300" verticalDpi="300" r:id="rId1"/>
  <headerFooter>
    <oddHeader>&amp;L&amp;G&amp;C&amp;G</oddHeader>
    <oddFooter>&amp;R&amp;P</oddFooter>
  </headerFooter>
  <drawing r:id="rId2"/>
  <legacyDrawing r:id="rId3"/>
  <legacyDrawingHF r:id="rId4"/>
  <oleObjects>
    <mc:AlternateContent xmlns:mc="http://schemas.openxmlformats.org/markup-compatibility/2006">
      <mc:Choice Requires="x14">
        <oleObject progId="CorelDRAW.Graphic.12" shapeId="2049" r:id="rId5">
          <objectPr defaultSize="0" altText="" r:id="rId6">
            <anchor moveWithCells="1">
              <from>
                <xdr:col>0</xdr:col>
                <xdr:colOff>1009650</xdr:colOff>
                <xdr:row>0</xdr:row>
                <xdr:rowOff>123825</xdr:rowOff>
              </from>
              <to>
                <xdr:col>1</xdr:col>
                <xdr:colOff>114300</xdr:colOff>
                <xdr:row>3</xdr:row>
                <xdr:rowOff>180975</xdr:rowOff>
              </to>
            </anchor>
          </objectPr>
        </oleObject>
      </mc:Choice>
      <mc:Fallback>
        <oleObject progId="CorelDRAW.Graphic.12" shapeId="2049" r:id="rId5"/>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L58"/>
  <sheetViews>
    <sheetView topLeftCell="A7" zoomScale="70" zoomScaleNormal="70" workbookViewId="0">
      <selection activeCell="B12" sqref="B12:M12"/>
    </sheetView>
  </sheetViews>
  <sheetFormatPr defaultColWidth="9" defaultRowHeight="15"/>
  <cols>
    <col min="1" max="1" width="13.7109375" customWidth="1"/>
    <col min="2" max="2" width="49" customWidth="1"/>
    <col min="3" max="3" width="17.7109375" customWidth="1"/>
    <col min="4" max="4" width="9.42578125" customWidth="1"/>
    <col min="5" max="5" width="13" customWidth="1"/>
    <col min="6" max="6" width="13.85546875" customWidth="1"/>
    <col min="7" max="7" width="14.42578125" customWidth="1"/>
    <col min="8" max="8" width="15.28515625" customWidth="1"/>
    <col min="9" max="9" width="13.42578125" customWidth="1"/>
    <col min="10" max="10" width="14.140625" customWidth="1"/>
    <col min="11" max="11" width="15.140625" customWidth="1"/>
    <col min="12" max="12" width="16.42578125" customWidth="1"/>
    <col min="13" max="13" width="17.7109375" customWidth="1"/>
  </cols>
  <sheetData>
    <row r="1" spans="1:38">
      <c r="A1" s="129"/>
      <c r="B1" s="129"/>
      <c r="C1" s="129"/>
      <c r="D1" s="129"/>
      <c r="E1" s="129"/>
      <c r="F1" s="129"/>
      <c r="G1" s="129"/>
      <c r="H1" s="129"/>
      <c r="I1" s="129"/>
      <c r="J1" s="129"/>
      <c r="K1" s="129"/>
      <c r="L1" s="129"/>
      <c r="M1" s="129"/>
    </row>
    <row r="2" spans="1:38">
      <c r="A2" s="129"/>
      <c r="B2" s="129"/>
      <c r="C2" s="129"/>
      <c r="D2" s="129"/>
      <c r="E2" s="129"/>
      <c r="F2" s="129"/>
      <c r="G2" s="129"/>
      <c r="H2" s="129"/>
      <c r="I2" s="129"/>
      <c r="J2" s="129"/>
      <c r="K2" s="129"/>
      <c r="L2" s="129"/>
      <c r="M2" s="129"/>
    </row>
    <row r="3" spans="1:38">
      <c r="A3" s="129"/>
      <c r="B3" s="129"/>
      <c r="C3" s="129"/>
      <c r="D3" s="129"/>
      <c r="E3" s="129"/>
      <c r="F3" s="129"/>
      <c r="G3" s="129"/>
      <c r="H3" s="129"/>
      <c r="I3" s="129"/>
      <c r="J3" s="129"/>
      <c r="K3" s="129"/>
      <c r="L3" s="129"/>
      <c r="M3" s="129"/>
    </row>
    <row r="4" spans="1:38" ht="53.1" customHeight="1">
      <c r="A4" s="129"/>
      <c r="B4" s="129"/>
      <c r="C4" s="129"/>
      <c r="D4" s="129"/>
      <c r="E4" s="129"/>
      <c r="F4" s="129"/>
      <c r="G4" s="129"/>
      <c r="H4" s="129"/>
      <c r="I4" s="129"/>
      <c r="J4" s="129"/>
      <c r="K4" s="129"/>
      <c r="L4" s="129"/>
      <c r="M4" s="129"/>
    </row>
    <row r="5" spans="1:38">
      <c r="A5" s="176" t="s">
        <v>333</v>
      </c>
      <c r="B5" s="176"/>
      <c r="C5" s="176"/>
      <c r="D5" s="176"/>
      <c r="E5" s="176"/>
      <c r="F5" s="176"/>
      <c r="G5" s="176"/>
      <c r="H5" s="176"/>
      <c r="I5" s="176"/>
      <c r="J5" s="176"/>
      <c r="K5" s="176"/>
      <c r="L5" s="176"/>
      <c r="M5" s="176"/>
    </row>
    <row r="6" spans="1:38">
      <c r="A6" s="166" t="s">
        <v>382</v>
      </c>
      <c r="B6" s="166"/>
      <c r="C6" s="166"/>
      <c r="D6" s="166"/>
      <c r="E6" s="166"/>
      <c r="F6" s="166"/>
      <c r="G6" s="166"/>
      <c r="H6" s="166"/>
      <c r="I6" s="166"/>
      <c r="J6" s="166"/>
      <c r="K6" s="166"/>
      <c r="L6" s="166"/>
      <c r="M6" s="166"/>
      <c r="N6" s="1"/>
      <c r="O6" s="1"/>
      <c r="P6" s="1"/>
      <c r="Q6" s="1"/>
      <c r="R6" s="1"/>
      <c r="S6" s="1"/>
      <c r="T6" s="1"/>
      <c r="U6" s="1"/>
      <c r="V6" s="1"/>
      <c r="W6" s="1"/>
      <c r="X6" s="1"/>
      <c r="Y6" s="1"/>
      <c r="Z6" s="1"/>
      <c r="AA6" s="1"/>
      <c r="AB6" s="1"/>
      <c r="AC6" s="1"/>
      <c r="AD6" s="1"/>
      <c r="AE6" s="1"/>
      <c r="AF6" s="1"/>
      <c r="AG6" s="1"/>
      <c r="AH6" s="1"/>
      <c r="AI6" s="1"/>
      <c r="AJ6" s="1"/>
      <c r="AK6" s="1"/>
      <c r="AL6" s="1"/>
    </row>
    <row r="7" spans="1:38">
      <c r="A7" s="166" t="s">
        <v>383</v>
      </c>
      <c r="B7" s="166"/>
      <c r="C7" s="166"/>
      <c r="D7" s="166"/>
      <c r="E7" s="166"/>
      <c r="F7" s="166"/>
      <c r="G7" s="166"/>
      <c r="H7" s="166"/>
      <c r="I7" s="166"/>
      <c r="J7" s="166"/>
      <c r="K7" s="166"/>
      <c r="L7" s="166"/>
      <c r="M7" s="166"/>
      <c r="N7" s="1"/>
      <c r="O7" s="1"/>
      <c r="P7" s="1"/>
      <c r="Q7" s="1"/>
      <c r="R7" s="1"/>
      <c r="S7" s="1"/>
      <c r="T7" s="1"/>
      <c r="U7" s="1"/>
      <c r="V7" s="1"/>
      <c r="W7" s="1"/>
      <c r="X7" s="1"/>
      <c r="Y7" s="1"/>
      <c r="Z7" s="1"/>
      <c r="AA7" s="1"/>
      <c r="AB7" s="1"/>
      <c r="AC7" s="1"/>
      <c r="AD7" s="1"/>
      <c r="AE7" s="1"/>
      <c r="AF7" s="1"/>
      <c r="AG7" s="1"/>
      <c r="AH7" s="1"/>
      <c r="AI7" s="1"/>
      <c r="AJ7" s="1"/>
      <c r="AK7" s="1"/>
      <c r="AL7" s="1"/>
    </row>
    <row r="8" spans="1:38">
      <c r="A8" s="166" t="s">
        <v>384</v>
      </c>
      <c r="B8" s="166"/>
      <c r="C8" s="166"/>
      <c r="D8" s="166"/>
      <c r="E8" s="166"/>
      <c r="F8" s="166"/>
      <c r="G8" s="166"/>
      <c r="H8" s="166"/>
      <c r="I8" s="166"/>
      <c r="J8" s="166"/>
      <c r="K8" s="166"/>
      <c r="L8" s="166"/>
      <c r="M8" s="166"/>
      <c r="N8" s="1"/>
      <c r="O8" s="1"/>
      <c r="P8" s="1"/>
      <c r="Q8" s="1"/>
      <c r="R8" s="1"/>
      <c r="S8" s="1"/>
      <c r="T8" s="1"/>
      <c r="U8" s="1"/>
      <c r="V8" s="1"/>
      <c r="W8" s="1"/>
      <c r="X8" s="1"/>
      <c r="Y8" s="1"/>
      <c r="Z8" s="1"/>
      <c r="AA8" s="1"/>
      <c r="AB8" s="1"/>
      <c r="AC8" s="1"/>
      <c r="AD8" s="1"/>
      <c r="AE8" s="1"/>
      <c r="AF8" s="1"/>
      <c r="AG8" s="1"/>
      <c r="AH8" s="1"/>
      <c r="AI8" s="1"/>
      <c r="AJ8" s="1"/>
      <c r="AK8" s="1"/>
      <c r="AL8" s="1"/>
    </row>
    <row r="9" spans="1:38">
      <c r="A9" s="166" t="s">
        <v>385</v>
      </c>
      <c r="B9" s="170"/>
      <c r="C9" s="170"/>
      <c r="D9" s="170"/>
      <c r="E9" s="170"/>
      <c r="F9" s="170"/>
      <c r="G9" s="170"/>
      <c r="H9" s="170"/>
      <c r="I9" s="170"/>
      <c r="J9" s="170"/>
      <c r="K9" s="170"/>
      <c r="L9" s="170"/>
      <c r="M9" s="170"/>
      <c r="N9" s="1"/>
      <c r="O9" s="1"/>
      <c r="P9" s="1"/>
      <c r="Q9" s="1"/>
      <c r="R9" s="1"/>
      <c r="S9" s="1"/>
      <c r="T9" s="1"/>
      <c r="U9" s="1"/>
      <c r="V9" s="1"/>
      <c r="W9" s="1"/>
      <c r="X9" s="1"/>
      <c r="Y9" s="1"/>
      <c r="Z9" s="1"/>
      <c r="AA9" s="1"/>
      <c r="AB9" s="1"/>
      <c r="AC9" s="1"/>
      <c r="AD9" s="1"/>
      <c r="AE9" s="1"/>
      <c r="AF9" s="1"/>
      <c r="AG9" s="1"/>
      <c r="AH9" s="1"/>
      <c r="AI9" s="1"/>
      <c r="AJ9" s="1"/>
      <c r="AK9" s="1"/>
      <c r="AL9" s="1"/>
    </row>
    <row r="10" spans="1:38">
      <c r="A10" s="166" t="s">
        <v>386</v>
      </c>
      <c r="B10" s="166"/>
      <c r="C10" s="166"/>
      <c r="D10" s="166"/>
      <c r="E10" s="166"/>
      <c r="F10" s="166"/>
      <c r="G10" s="166"/>
      <c r="H10" s="166"/>
      <c r="I10" s="166"/>
      <c r="J10" s="166"/>
      <c r="K10" s="166"/>
      <c r="L10" s="166"/>
      <c r="M10" s="166"/>
      <c r="N10" s="1"/>
      <c r="O10" s="22"/>
      <c r="P10" s="23"/>
      <c r="Q10" s="1"/>
      <c r="R10" s="1"/>
      <c r="S10" s="1"/>
      <c r="T10" s="1"/>
      <c r="U10" s="1"/>
      <c r="V10" s="1"/>
      <c r="W10" s="1"/>
      <c r="X10" s="1"/>
      <c r="Y10" s="1"/>
      <c r="Z10" s="1"/>
      <c r="AA10" s="1"/>
      <c r="AB10" s="1"/>
      <c r="AC10" s="1"/>
      <c r="AD10" s="1"/>
      <c r="AE10" s="1"/>
      <c r="AF10" s="1"/>
      <c r="AG10" s="1"/>
      <c r="AH10" s="1"/>
      <c r="AI10" s="1"/>
      <c r="AJ10" s="1"/>
      <c r="AK10" s="1"/>
      <c r="AL10" s="1"/>
    </row>
    <row r="11" spans="1:38">
      <c r="A11" s="83" t="s">
        <v>5</v>
      </c>
      <c r="B11" s="84">
        <f>BDI!G13</f>
        <v>0.24666704095238101</v>
      </c>
      <c r="C11" s="167" t="str">
        <f>PLANILHA!D11</f>
        <v>EXECUÇÃO DA OBRA: (  ) DIRETA   (X) INDIRETA</v>
      </c>
      <c r="D11" s="168"/>
      <c r="E11" s="168"/>
      <c r="F11" s="168"/>
      <c r="G11" s="168"/>
      <c r="H11" s="168"/>
      <c r="I11" s="168"/>
      <c r="J11" s="168"/>
      <c r="K11" s="168"/>
      <c r="L11" s="168"/>
      <c r="M11" s="169"/>
      <c r="N11" s="1"/>
      <c r="O11" s="1"/>
      <c r="P11" s="1"/>
      <c r="Q11" s="1"/>
      <c r="R11" s="1"/>
      <c r="S11" s="1"/>
      <c r="T11" s="1"/>
      <c r="U11" s="1"/>
      <c r="V11" s="1"/>
      <c r="W11" s="1"/>
      <c r="X11" s="1"/>
      <c r="Y11" s="1"/>
      <c r="Z11" s="1"/>
      <c r="AA11" s="1"/>
      <c r="AB11" s="1"/>
      <c r="AC11" s="1"/>
      <c r="AD11" s="1"/>
      <c r="AE11" s="1"/>
      <c r="AF11" s="1"/>
      <c r="AG11" s="1"/>
      <c r="AH11" s="1"/>
      <c r="AI11" s="1"/>
      <c r="AJ11" s="1"/>
      <c r="AK11" s="1"/>
      <c r="AL11" s="1"/>
    </row>
    <row r="12" spans="1:38">
      <c r="A12" s="83" t="s">
        <v>7</v>
      </c>
      <c r="B12" s="170" t="str">
        <f>PLANILHA!B12</f>
        <v>SINAPI 02/2026 - SEM DESONERAÇÃO, SICRO  01/2026 - SEM DESONERAÇÃO</v>
      </c>
      <c r="C12" s="170"/>
      <c r="D12" s="170"/>
      <c r="E12" s="170"/>
      <c r="F12" s="170"/>
      <c r="G12" s="170"/>
      <c r="H12" s="170"/>
      <c r="I12" s="170"/>
      <c r="J12" s="170"/>
      <c r="K12" s="170"/>
      <c r="L12" s="170"/>
      <c r="M12" s="170"/>
      <c r="N12" s="1"/>
      <c r="O12" s="1"/>
      <c r="P12" s="1"/>
      <c r="Q12" s="1"/>
      <c r="R12" s="1"/>
      <c r="S12" s="1"/>
      <c r="T12" s="1"/>
      <c r="U12" s="1"/>
      <c r="V12" s="1"/>
      <c r="W12" s="1"/>
      <c r="X12" s="1"/>
      <c r="Y12" s="1"/>
      <c r="Z12" s="1"/>
      <c r="AA12" s="1"/>
      <c r="AB12" s="1"/>
      <c r="AC12" s="1"/>
      <c r="AD12" s="1"/>
      <c r="AE12" s="1"/>
      <c r="AF12" s="1"/>
      <c r="AG12" s="1"/>
      <c r="AH12" s="1"/>
      <c r="AI12" s="1"/>
      <c r="AJ12" s="1"/>
      <c r="AK12" s="1"/>
      <c r="AL12" s="1"/>
    </row>
    <row r="13" spans="1:38">
      <c r="A13" s="85" t="s">
        <v>334</v>
      </c>
      <c r="B13" s="85" t="s">
        <v>335</v>
      </c>
      <c r="C13" s="85" t="s">
        <v>336</v>
      </c>
      <c r="D13" s="85" t="s">
        <v>337</v>
      </c>
      <c r="E13" s="86" t="s">
        <v>338</v>
      </c>
      <c r="F13" s="86" t="s">
        <v>339</v>
      </c>
      <c r="G13" s="86" t="s">
        <v>340</v>
      </c>
      <c r="H13" s="86" t="s">
        <v>341</v>
      </c>
      <c r="I13" s="86" t="s">
        <v>342</v>
      </c>
      <c r="J13" s="86" t="s">
        <v>343</v>
      </c>
      <c r="K13" s="86" t="s">
        <v>344</v>
      </c>
      <c r="L13" s="86" t="s">
        <v>345</v>
      </c>
      <c r="M13" s="85" t="s">
        <v>346</v>
      </c>
    </row>
    <row r="14" spans="1:38">
      <c r="A14" s="165">
        <v>1</v>
      </c>
      <c r="B14" s="159" t="str">
        <f>PLANILHA!D17</f>
        <v>IMPLANTAÇÃO DA OBRA E SERVIÇOS PRELIMINARES</v>
      </c>
      <c r="C14" s="160">
        <f>PLANILHA!J17</f>
        <v>52395.69</v>
      </c>
      <c r="D14" s="156">
        <f>C14/$C$42</f>
        <v>7.0273904746428403E-2</v>
      </c>
      <c r="E14" s="87">
        <v>0.3</v>
      </c>
      <c r="F14" s="87">
        <v>0.3</v>
      </c>
      <c r="G14" s="87">
        <v>0.15</v>
      </c>
      <c r="H14" s="87">
        <v>0.05</v>
      </c>
      <c r="I14" s="87">
        <v>0.05</v>
      </c>
      <c r="J14" s="87">
        <v>0.05</v>
      </c>
      <c r="K14" s="87">
        <v>0.05</v>
      </c>
      <c r="L14" s="87">
        <v>0.05</v>
      </c>
      <c r="M14" s="88">
        <f t="shared" ref="M14:M41" si="0">SUM(E14:L14)</f>
        <v>1</v>
      </c>
    </row>
    <row r="15" spans="1:38">
      <c r="A15" s="165"/>
      <c r="B15" s="159"/>
      <c r="C15" s="160"/>
      <c r="D15" s="156"/>
      <c r="E15" s="89">
        <f>E14*$C$14</f>
        <v>15718.707</v>
      </c>
      <c r="F15" s="89">
        <f>F14*$C$14</f>
        <v>15718.707</v>
      </c>
      <c r="G15" s="89">
        <f t="shared" ref="G15:L15" si="1">G14*$C$14</f>
        <v>7859.3535000000002</v>
      </c>
      <c r="H15" s="89">
        <f t="shared" si="1"/>
        <v>2619.7845000000002</v>
      </c>
      <c r="I15" s="89">
        <f t="shared" si="1"/>
        <v>2619.7845000000002</v>
      </c>
      <c r="J15" s="89">
        <f t="shared" si="1"/>
        <v>2619.7845000000002</v>
      </c>
      <c r="K15" s="89">
        <f t="shared" si="1"/>
        <v>2619.7845000000002</v>
      </c>
      <c r="L15" s="89">
        <f t="shared" si="1"/>
        <v>2619.7845000000002</v>
      </c>
      <c r="M15" s="90">
        <f t="shared" si="0"/>
        <v>52395.69</v>
      </c>
    </row>
    <row r="16" spans="1:38">
      <c r="A16" s="165">
        <v>2</v>
      </c>
      <c r="B16" s="175" t="str">
        <f>PLANILHA!D26</f>
        <v>MOVIMENTAÇÃO DE TERRA, JARDINAGEM E DEMOLIÇÃO.</v>
      </c>
      <c r="C16" s="161">
        <f>PLANILHA!J26</f>
        <v>71559.740000000005</v>
      </c>
      <c r="D16" s="156">
        <f>C16/$C$42</f>
        <v>9.5977023156660096E-2</v>
      </c>
      <c r="E16" s="87">
        <v>0.5</v>
      </c>
      <c r="F16" s="87"/>
      <c r="G16" s="87"/>
      <c r="H16" s="87"/>
      <c r="I16" s="87"/>
      <c r="J16" s="87">
        <v>0.05</v>
      </c>
      <c r="K16" s="87">
        <v>0.2</v>
      </c>
      <c r="L16" s="87">
        <v>0.25</v>
      </c>
      <c r="M16" s="88">
        <f t="shared" si="0"/>
        <v>1</v>
      </c>
    </row>
    <row r="17" spans="1:13">
      <c r="A17" s="165"/>
      <c r="B17" s="175"/>
      <c r="C17" s="161"/>
      <c r="D17" s="156"/>
      <c r="E17" s="89">
        <f t="shared" ref="E17:L17" si="2">E16*$C$16</f>
        <v>35779.870000000003</v>
      </c>
      <c r="F17" s="89">
        <f t="shared" si="2"/>
        <v>0</v>
      </c>
      <c r="G17" s="89">
        <f t="shared" si="2"/>
        <v>0</v>
      </c>
      <c r="H17" s="89">
        <f t="shared" si="2"/>
        <v>0</v>
      </c>
      <c r="I17" s="89">
        <f t="shared" si="2"/>
        <v>0</v>
      </c>
      <c r="J17" s="89">
        <f t="shared" si="2"/>
        <v>3577.9870000000001</v>
      </c>
      <c r="K17" s="89">
        <f t="shared" si="2"/>
        <v>14311.948</v>
      </c>
      <c r="L17" s="89">
        <f t="shared" si="2"/>
        <v>17889.935000000001</v>
      </c>
      <c r="M17" s="90">
        <f t="shared" si="0"/>
        <v>71559.740000000005</v>
      </c>
    </row>
    <row r="18" spans="1:13">
      <c r="A18" s="165">
        <v>3</v>
      </c>
      <c r="B18" s="159" t="str">
        <f>PLANILHA!D37</f>
        <v>FUNDAÇÕES</v>
      </c>
      <c r="C18" s="161">
        <f>PLANILHA!J37</f>
        <v>155770.70000000001</v>
      </c>
      <c r="D18" s="156">
        <f>C18/$C$42</f>
        <v>0.20892205702576799</v>
      </c>
      <c r="E18" s="87">
        <v>0.1</v>
      </c>
      <c r="F18" s="87">
        <v>0.1</v>
      </c>
      <c r="G18" s="87">
        <v>0.8</v>
      </c>
      <c r="H18" s="87"/>
      <c r="I18" s="87"/>
      <c r="J18" s="87"/>
      <c r="K18" s="87"/>
      <c r="L18" s="87"/>
      <c r="M18" s="88">
        <f t="shared" si="0"/>
        <v>1</v>
      </c>
    </row>
    <row r="19" spans="1:13">
      <c r="A19" s="165"/>
      <c r="B19" s="159"/>
      <c r="C19" s="161"/>
      <c r="D19" s="156"/>
      <c r="E19" s="89">
        <f t="shared" ref="E19:L19" si="3">E18*$C$18</f>
        <v>15577.07</v>
      </c>
      <c r="F19" s="89">
        <f t="shared" si="3"/>
        <v>15577.07</v>
      </c>
      <c r="G19" s="89">
        <f t="shared" si="3"/>
        <v>124616.56</v>
      </c>
      <c r="H19" s="89">
        <f t="shared" si="3"/>
        <v>0</v>
      </c>
      <c r="I19" s="89">
        <f t="shared" si="3"/>
        <v>0</v>
      </c>
      <c r="J19" s="89">
        <f t="shared" si="3"/>
        <v>0</v>
      </c>
      <c r="K19" s="89">
        <f t="shared" si="3"/>
        <v>0</v>
      </c>
      <c r="L19" s="89">
        <f t="shared" si="3"/>
        <v>0</v>
      </c>
      <c r="M19" s="90">
        <f t="shared" si="0"/>
        <v>155770.70000000001</v>
      </c>
    </row>
    <row r="20" spans="1:13">
      <c r="A20" s="165">
        <v>4</v>
      </c>
      <c r="B20" s="159" t="str">
        <f>PLANILHA!D48</f>
        <v>ESTRUTURA</v>
      </c>
      <c r="C20" s="161">
        <f>PLANILHA!J48</f>
        <v>30560.53</v>
      </c>
      <c r="D20" s="156">
        <f>C20/$C$42</f>
        <v>4.0988252549405697E-2</v>
      </c>
      <c r="E20" s="87"/>
      <c r="F20" s="87"/>
      <c r="G20" s="87"/>
      <c r="H20" s="87">
        <v>0.2</v>
      </c>
      <c r="I20" s="87">
        <v>0.2</v>
      </c>
      <c r="J20" s="87">
        <v>0.5</v>
      </c>
      <c r="K20" s="87">
        <v>0.1</v>
      </c>
      <c r="L20" s="87"/>
      <c r="M20" s="88">
        <f t="shared" si="0"/>
        <v>1</v>
      </c>
    </row>
    <row r="21" spans="1:13">
      <c r="A21" s="165"/>
      <c r="B21" s="159"/>
      <c r="C21" s="161"/>
      <c r="D21" s="156"/>
      <c r="E21" s="89">
        <f t="shared" ref="E21:L21" si="4">E20*$C$20</f>
        <v>0</v>
      </c>
      <c r="F21" s="89">
        <f t="shared" si="4"/>
        <v>0</v>
      </c>
      <c r="G21" s="89">
        <f t="shared" si="4"/>
        <v>0</v>
      </c>
      <c r="H21" s="89">
        <f t="shared" si="4"/>
        <v>6112.1059999999998</v>
      </c>
      <c r="I21" s="89">
        <f t="shared" si="4"/>
        <v>6112.1059999999998</v>
      </c>
      <c r="J21" s="89">
        <f t="shared" si="4"/>
        <v>15280.264999999999</v>
      </c>
      <c r="K21" s="89">
        <f t="shared" si="4"/>
        <v>3056.0529999999999</v>
      </c>
      <c r="L21" s="89">
        <f t="shared" si="4"/>
        <v>0</v>
      </c>
      <c r="M21" s="90">
        <f t="shared" si="0"/>
        <v>30560.53</v>
      </c>
    </row>
    <row r="22" spans="1:13">
      <c r="A22" s="165">
        <v>5</v>
      </c>
      <c r="B22" s="159" t="str">
        <f>PLANILHA!D51</f>
        <v>PISOS E ACESSIBILIDADE</v>
      </c>
      <c r="C22" s="161">
        <f>PLANILHA!J51</f>
        <v>173134.79</v>
      </c>
      <c r="D22" s="156">
        <f>C22/$C$42</f>
        <v>0.232211041418729</v>
      </c>
      <c r="E22" s="87"/>
      <c r="F22" s="87"/>
      <c r="G22" s="87"/>
      <c r="H22" s="87">
        <v>0.2</v>
      </c>
      <c r="I22" s="87">
        <v>0.2</v>
      </c>
      <c r="J22" s="87">
        <v>0.2</v>
      </c>
      <c r="K22" s="87">
        <v>0.2</v>
      </c>
      <c r="L22" s="87">
        <v>0.2</v>
      </c>
      <c r="M22" s="88">
        <f t="shared" si="0"/>
        <v>1</v>
      </c>
    </row>
    <row r="23" spans="1:13">
      <c r="A23" s="165"/>
      <c r="B23" s="159"/>
      <c r="C23" s="161"/>
      <c r="D23" s="156"/>
      <c r="E23" s="89">
        <f t="shared" ref="E23:L23" si="5">E22*$C$22</f>
        <v>0</v>
      </c>
      <c r="F23" s="89">
        <f t="shared" si="5"/>
        <v>0</v>
      </c>
      <c r="G23" s="89">
        <f t="shared" si="5"/>
        <v>0</v>
      </c>
      <c r="H23" s="89">
        <f t="shared" si="5"/>
        <v>34626.957999999999</v>
      </c>
      <c r="I23" s="89">
        <f t="shared" si="5"/>
        <v>34626.957999999999</v>
      </c>
      <c r="J23" s="89">
        <f t="shared" si="5"/>
        <v>34626.957999999999</v>
      </c>
      <c r="K23" s="89">
        <f t="shared" si="5"/>
        <v>34626.957999999999</v>
      </c>
      <c r="L23" s="89">
        <f t="shared" si="5"/>
        <v>34626.957999999999</v>
      </c>
      <c r="M23" s="90">
        <f t="shared" si="0"/>
        <v>173134.79</v>
      </c>
    </row>
    <row r="24" spans="1:13">
      <c r="A24" s="165">
        <v>6</v>
      </c>
      <c r="B24" s="159" t="str">
        <f>PLANILHA!B57:H57</f>
        <v>PAVIMENTOS</v>
      </c>
      <c r="C24" s="161">
        <f>PLANILHA!J57</f>
        <v>62022.98</v>
      </c>
      <c r="D24" s="156">
        <f>C24/$C$42</f>
        <v>8.3186174065264407E-2</v>
      </c>
      <c r="E24" s="87"/>
      <c r="F24" s="87"/>
      <c r="G24" s="87"/>
      <c r="H24" s="87"/>
      <c r="I24" s="87"/>
      <c r="J24" s="87">
        <v>0.2</v>
      </c>
      <c r="K24" s="87">
        <v>0.4</v>
      </c>
      <c r="L24" s="87">
        <v>0.4</v>
      </c>
      <c r="M24" s="88">
        <f t="shared" si="0"/>
        <v>1</v>
      </c>
    </row>
    <row r="25" spans="1:13">
      <c r="A25" s="165"/>
      <c r="B25" s="159"/>
      <c r="C25" s="161"/>
      <c r="D25" s="156"/>
      <c r="E25" s="89">
        <f t="shared" ref="E25:L25" si="6">E24*$C$24</f>
        <v>0</v>
      </c>
      <c r="F25" s="89">
        <f t="shared" si="6"/>
        <v>0</v>
      </c>
      <c r="G25" s="89">
        <f t="shared" si="6"/>
        <v>0</v>
      </c>
      <c r="H25" s="89">
        <f t="shared" si="6"/>
        <v>0</v>
      </c>
      <c r="I25" s="89">
        <f t="shared" si="6"/>
        <v>0</v>
      </c>
      <c r="J25" s="89">
        <f t="shared" si="6"/>
        <v>12404.596</v>
      </c>
      <c r="K25" s="89">
        <f t="shared" si="6"/>
        <v>24809.191999999999</v>
      </c>
      <c r="L25" s="89">
        <f t="shared" si="6"/>
        <v>24809.191999999999</v>
      </c>
      <c r="M25" s="90">
        <f t="shared" si="0"/>
        <v>62022.98</v>
      </c>
    </row>
    <row r="26" spans="1:13">
      <c r="A26" s="165">
        <v>7</v>
      </c>
      <c r="B26" s="159" t="str">
        <f>PLANILHA!B59:H59</f>
        <v>ESTRUTURA DE CONCRETO - BANCOS</v>
      </c>
      <c r="C26" s="161">
        <f>PLANILHA!J59</f>
        <v>15772.18</v>
      </c>
      <c r="D26" s="156">
        <f>C26/$C$42</f>
        <v>2.1153890233405099E-2</v>
      </c>
      <c r="E26" s="87"/>
      <c r="F26" s="87"/>
      <c r="G26" s="87"/>
      <c r="H26" s="87"/>
      <c r="I26" s="87"/>
      <c r="J26" s="87">
        <v>0.2</v>
      </c>
      <c r="K26" s="87">
        <v>0.8</v>
      </c>
      <c r="L26" s="87"/>
      <c r="M26" s="88">
        <f t="shared" si="0"/>
        <v>1</v>
      </c>
    </row>
    <row r="27" spans="1:13">
      <c r="A27" s="165"/>
      <c r="B27" s="159"/>
      <c r="C27" s="161"/>
      <c r="D27" s="156"/>
      <c r="E27" s="89">
        <f t="shared" ref="E27:L27" si="7">E26*$C$26</f>
        <v>0</v>
      </c>
      <c r="F27" s="89">
        <f t="shared" si="7"/>
        <v>0</v>
      </c>
      <c r="G27" s="89">
        <f t="shared" si="7"/>
        <v>0</v>
      </c>
      <c r="H27" s="89">
        <f t="shared" si="7"/>
        <v>0</v>
      </c>
      <c r="I27" s="89">
        <f t="shared" si="7"/>
        <v>0</v>
      </c>
      <c r="J27" s="89">
        <f t="shared" si="7"/>
        <v>3154.4360000000001</v>
      </c>
      <c r="K27" s="89">
        <f t="shared" si="7"/>
        <v>12617.744000000001</v>
      </c>
      <c r="L27" s="89">
        <f t="shared" si="7"/>
        <v>0</v>
      </c>
      <c r="M27" s="90">
        <f t="shared" si="0"/>
        <v>15772.18</v>
      </c>
    </row>
    <row r="28" spans="1:13">
      <c r="A28" s="165">
        <v>8</v>
      </c>
      <c r="B28" s="159" t="str">
        <f>PLANILHA!B64:H64</f>
        <v>ALVENARIAS</v>
      </c>
      <c r="C28" s="161">
        <f>PLANILHA!J64</f>
        <v>24870.31</v>
      </c>
      <c r="D28" s="156">
        <f>C28/$C$42</f>
        <v>3.3356442027085598E-2</v>
      </c>
      <c r="E28" s="87"/>
      <c r="F28" s="87"/>
      <c r="G28" s="87"/>
      <c r="H28" s="87"/>
      <c r="I28" s="87"/>
      <c r="J28" s="87"/>
      <c r="K28" s="87"/>
      <c r="L28" s="87">
        <v>1</v>
      </c>
      <c r="M28" s="88">
        <f t="shared" si="0"/>
        <v>1</v>
      </c>
    </row>
    <row r="29" spans="1:13">
      <c r="A29" s="165"/>
      <c r="B29" s="159"/>
      <c r="C29" s="161"/>
      <c r="D29" s="156"/>
      <c r="E29" s="89">
        <f t="shared" ref="E29:L29" si="8">E28*$C$28</f>
        <v>0</v>
      </c>
      <c r="F29" s="89">
        <f t="shared" si="8"/>
        <v>0</v>
      </c>
      <c r="G29" s="89">
        <f t="shared" si="8"/>
        <v>0</v>
      </c>
      <c r="H29" s="89">
        <f t="shared" si="8"/>
        <v>0</v>
      </c>
      <c r="I29" s="89">
        <f t="shared" si="8"/>
        <v>0</v>
      </c>
      <c r="J29" s="89">
        <f t="shared" si="8"/>
        <v>0</v>
      </c>
      <c r="K29" s="89">
        <f t="shared" si="8"/>
        <v>0</v>
      </c>
      <c r="L29" s="89">
        <f t="shared" si="8"/>
        <v>24870.31</v>
      </c>
      <c r="M29" s="90">
        <f t="shared" si="0"/>
        <v>24870.31</v>
      </c>
    </row>
    <row r="30" spans="1:13">
      <c r="A30" s="165">
        <v>9</v>
      </c>
      <c r="B30" s="159" t="str">
        <f>PLANILHA!B68:H68</f>
        <v>ELÉTRICO</v>
      </c>
      <c r="C30" s="161">
        <f>PLANILHA!J68</f>
        <v>86520.07</v>
      </c>
      <c r="D30" s="156">
        <f>C30/$C$42</f>
        <v>0.11604204769198199</v>
      </c>
      <c r="E30" s="87"/>
      <c r="F30" s="87"/>
      <c r="G30" s="87">
        <v>0.2</v>
      </c>
      <c r="H30" s="87">
        <v>0.2</v>
      </c>
      <c r="I30" s="87">
        <v>0.2</v>
      </c>
      <c r="J30" s="87">
        <v>0.4</v>
      </c>
      <c r="K30" s="87"/>
      <c r="L30" s="87"/>
      <c r="M30" s="88">
        <f t="shared" si="0"/>
        <v>1</v>
      </c>
    </row>
    <row r="31" spans="1:13">
      <c r="A31" s="165"/>
      <c r="B31" s="159"/>
      <c r="C31" s="161"/>
      <c r="D31" s="156"/>
      <c r="E31" s="89">
        <f t="shared" ref="E31:L31" si="9">E30*$C$30</f>
        <v>0</v>
      </c>
      <c r="F31" s="89">
        <f t="shared" si="9"/>
        <v>0</v>
      </c>
      <c r="G31" s="89">
        <f t="shared" si="9"/>
        <v>17304.013999999999</v>
      </c>
      <c r="H31" s="89">
        <f t="shared" si="9"/>
        <v>17304.013999999999</v>
      </c>
      <c r="I31" s="89">
        <f t="shared" si="9"/>
        <v>17304.013999999999</v>
      </c>
      <c r="J31" s="89">
        <f t="shared" si="9"/>
        <v>34608.027999999998</v>
      </c>
      <c r="K31" s="89">
        <f t="shared" si="9"/>
        <v>0</v>
      </c>
      <c r="L31" s="89">
        <f t="shared" si="9"/>
        <v>0</v>
      </c>
      <c r="M31" s="90">
        <f t="shared" si="0"/>
        <v>86520.07</v>
      </c>
    </row>
    <row r="32" spans="1:13">
      <c r="A32" s="165">
        <v>10</v>
      </c>
      <c r="B32" s="159" t="str">
        <f>PLANILHA!B93:H93</f>
        <v>INSTALAÇÕES HIDROSSANITÁRIAS, LOUÇAS E METAIS</v>
      </c>
      <c r="C32" s="161">
        <f>PLANILHA!J93</f>
        <v>3191.95</v>
      </c>
      <c r="D32" s="156">
        <f>C32/$C$42</f>
        <v>4.2810924000688299E-3</v>
      </c>
      <c r="E32" s="87"/>
      <c r="F32" s="87"/>
      <c r="G32" s="87"/>
      <c r="H32" s="87"/>
      <c r="I32" s="87"/>
      <c r="J32" s="87"/>
      <c r="K32" s="87">
        <v>0.5</v>
      </c>
      <c r="L32" s="87">
        <v>0.5</v>
      </c>
      <c r="M32" s="88">
        <f t="shared" si="0"/>
        <v>1</v>
      </c>
    </row>
    <row r="33" spans="1:38">
      <c r="A33" s="165"/>
      <c r="B33" s="159"/>
      <c r="C33" s="161"/>
      <c r="D33" s="156"/>
      <c r="E33" s="89">
        <f t="shared" ref="E33:L33" si="10">E32*$C$32</f>
        <v>0</v>
      </c>
      <c r="F33" s="89">
        <f t="shared" si="10"/>
        <v>0</v>
      </c>
      <c r="G33" s="89">
        <f t="shared" si="10"/>
        <v>0</v>
      </c>
      <c r="H33" s="89">
        <f t="shared" si="10"/>
        <v>0</v>
      </c>
      <c r="I33" s="89">
        <f t="shared" si="10"/>
        <v>0</v>
      </c>
      <c r="J33" s="89">
        <f t="shared" si="10"/>
        <v>0</v>
      </c>
      <c r="K33" s="89">
        <f t="shared" si="10"/>
        <v>1595.9749999999999</v>
      </c>
      <c r="L33" s="89">
        <f t="shared" si="10"/>
        <v>1595.9749999999999</v>
      </c>
      <c r="M33" s="90">
        <f t="shared" si="0"/>
        <v>3191.95</v>
      </c>
    </row>
    <row r="34" spans="1:38">
      <c r="A34" s="165">
        <v>11</v>
      </c>
      <c r="B34" s="159" t="str">
        <f>PLANILHA!B96:H96</f>
        <v>ACESSÓRIOS - ACADEMIA</v>
      </c>
      <c r="C34" s="161">
        <f>PLANILHA!J96</f>
        <v>21086.99</v>
      </c>
      <c r="D34" s="156">
        <f>C34/$C$42</f>
        <v>2.82821950936974E-2</v>
      </c>
      <c r="E34" s="87"/>
      <c r="F34" s="87"/>
      <c r="G34" s="87"/>
      <c r="H34" s="87">
        <v>0.2</v>
      </c>
      <c r="I34" s="87">
        <v>0.3</v>
      </c>
      <c r="J34" s="87"/>
      <c r="K34" s="87">
        <v>0.3</v>
      </c>
      <c r="L34" s="87">
        <v>0.2</v>
      </c>
      <c r="M34" s="88">
        <f t="shared" si="0"/>
        <v>1</v>
      </c>
    </row>
    <row r="35" spans="1:38">
      <c r="A35" s="165"/>
      <c r="B35" s="159"/>
      <c r="C35" s="161"/>
      <c r="D35" s="156"/>
      <c r="E35" s="89">
        <f t="shared" ref="E35:L35" si="11">E34*$C$34</f>
        <v>0</v>
      </c>
      <c r="F35" s="89">
        <f t="shared" si="11"/>
        <v>0</v>
      </c>
      <c r="G35" s="89">
        <f t="shared" si="11"/>
        <v>0</v>
      </c>
      <c r="H35" s="89">
        <f t="shared" si="11"/>
        <v>4217.3980000000001</v>
      </c>
      <c r="I35" s="89">
        <f t="shared" si="11"/>
        <v>6326.0969999999998</v>
      </c>
      <c r="J35" s="89">
        <f t="shared" si="11"/>
        <v>0</v>
      </c>
      <c r="K35" s="89">
        <f t="shared" si="11"/>
        <v>6326.0969999999998</v>
      </c>
      <c r="L35" s="89">
        <f t="shared" si="11"/>
        <v>4217.3980000000001</v>
      </c>
      <c r="M35" s="90">
        <f t="shared" si="0"/>
        <v>21086.99</v>
      </c>
    </row>
    <row r="36" spans="1:38">
      <c r="A36" s="165">
        <v>12</v>
      </c>
      <c r="B36" s="159" t="str">
        <f>PLANILHA!B102:H102</f>
        <v>GUARDA CORPO</v>
      </c>
      <c r="C36" s="161">
        <f>PLANILHA!J102</f>
        <v>22663.18</v>
      </c>
      <c r="D36" s="156">
        <f>C36/$C$42</f>
        <v>3.0396205347637598E-2</v>
      </c>
      <c r="E36" s="87"/>
      <c r="F36" s="87"/>
      <c r="G36" s="87"/>
      <c r="H36" s="87"/>
      <c r="I36" s="87"/>
      <c r="J36" s="87">
        <v>0.4</v>
      </c>
      <c r="K36" s="87">
        <v>0.6</v>
      </c>
      <c r="L36" s="87"/>
      <c r="M36" s="88">
        <f t="shared" si="0"/>
        <v>1</v>
      </c>
    </row>
    <row r="37" spans="1:38">
      <c r="A37" s="165"/>
      <c r="B37" s="159"/>
      <c r="C37" s="161"/>
      <c r="D37" s="156"/>
      <c r="E37" s="89">
        <f t="shared" ref="E37:L37" si="12">E36*$C$36</f>
        <v>0</v>
      </c>
      <c r="F37" s="89">
        <f t="shared" si="12"/>
        <v>0</v>
      </c>
      <c r="G37" s="89">
        <f t="shared" si="12"/>
        <v>0</v>
      </c>
      <c r="H37" s="89">
        <f t="shared" si="12"/>
        <v>0</v>
      </c>
      <c r="I37" s="89">
        <f t="shared" si="12"/>
        <v>0</v>
      </c>
      <c r="J37" s="89">
        <f t="shared" si="12"/>
        <v>9065.2720000000008</v>
      </c>
      <c r="K37" s="89">
        <f t="shared" si="12"/>
        <v>13597.907999999999</v>
      </c>
      <c r="L37" s="89">
        <f t="shared" si="12"/>
        <v>0</v>
      </c>
      <c r="M37" s="90">
        <f t="shared" si="0"/>
        <v>22663.18</v>
      </c>
    </row>
    <row r="38" spans="1:38">
      <c r="A38" s="165">
        <v>13</v>
      </c>
      <c r="B38" s="157" t="str">
        <f>PLANILHA!B105:H105</f>
        <v>PINTURA</v>
      </c>
      <c r="C38" s="162">
        <f>PLANILHA!J105</f>
        <v>23853.3</v>
      </c>
      <c r="D38" s="156">
        <f>C38/$C$42</f>
        <v>3.1992412583706401E-2</v>
      </c>
      <c r="E38" s="87"/>
      <c r="F38" s="87"/>
      <c r="G38" s="87"/>
      <c r="H38" s="87"/>
      <c r="I38" s="87">
        <v>0.8</v>
      </c>
      <c r="J38" s="87">
        <v>0.2</v>
      </c>
      <c r="K38" s="87"/>
      <c r="L38" s="87"/>
      <c r="M38" s="88">
        <f t="shared" si="0"/>
        <v>1</v>
      </c>
    </row>
    <row r="39" spans="1:38">
      <c r="A39" s="165"/>
      <c r="B39" s="158"/>
      <c r="C39" s="163"/>
      <c r="D39" s="156"/>
      <c r="E39" s="89">
        <f t="shared" ref="E39:L39" si="13">E38*$C$38</f>
        <v>0</v>
      </c>
      <c r="F39" s="89">
        <f t="shared" si="13"/>
        <v>0</v>
      </c>
      <c r="G39" s="89">
        <f t="shared" si="13"/>
        <v>0</v>
      </c>
      <c r="H39" s="89">
        <f t="shared" si="13"/>
        <v>0</v>
      </c>
      <c r="I39" s="89">
        <f t="shared" si="13"/>
        <v>19082.64</v>
      </c>
      <c r="J39" s="89">
        <f t="shared" si="13"/>
        <v>4770.66</v>
      </c>
      <c r="K39" s="89">
        <f t="shared" si="13"/>
        <v>0</v>
      </c>
      <c r="L39" s="89">
        <f t="shared" si="13"/>
        <v>0</v>
      </c>
      <c r="M39" s="90">
        <f t="shared" si="0"/>
        <v>23853.3</v>
      </c>
    </row>
    <row r="40" spans="1:38">
      <c r="A40" s="165">
        <v>15</v>
      </c>
      <c r="B40" s="159" t="str">
        <f>PLANILHA!B110:H110</f>
        <v>LIMPEZA FINAL</v>
      </c>
      <c r="C40" s="161">
        <f>PLANILHA!J110</f>
        <v>2190</v>
      </c>
      <c r="D40" s="156">
        <f>C40/$C$42</f>
        <v>2.9372616601609498E-3</v>
      </c>
      <c r="E40" s="87"/>
      <c r="F40" s="87"/>
      <c r="G40" s="87"/>
      <c r="H40" s="87"/>
      <c r="I40" s="87"/>
      <c r="J40" s="87"/>
      <c r="K40" s="87"/>
      <c r="L40" s="87">
        <v>1</v>
      </c>
      <c r="M40" s="88">
        <f t="shared" si="0"/>
        <v>1</v>
      </c>
    </row>
    <row r="41" spans="1:38">
      <c r="A41" s="165"/>
      <c r="B41" s="159"/>
      <c r="C41" s="161"/>
      <c r="D41" s="156"/>
      <c r="E41" s="89">
        <f t="shared" ref="E41:L41" si="14">E40*$C$40</f>
        <v>0</v>
      </c>
      <c r="F41" s="89">
        <f t="shared" si="14"/>
        <v>0</v>
      </c>
      <c r="G41" s="89">
        <f t="shared" si="14"/>
        <v>0</v>
      </c>
      <c r="H41" s="89">
        <f t="shared" si="14"/>
        <v>0</v>
      </c>
      <c r="I41" s="89">
        <f t="shared" si="14"/>
        <v>0</v>
      </c>
      <c r="J41" s="89">
        <f t="shared" si="14"/>
        <v>0</v>
      </c>
      <c r="K41" s="89">
        <f t="shared" si="14"/>
        <v>0</v>
      </c>
      <c r="L41" s="89">
        <f t="shared" si="14"/>
        <v>2190</v>
      </c>
      <c r="M41" s="90">
        <f t="shared" si="0"/>
        <v>2190</v>
      </c>
    </row>
    <row r="42" spans="1:38">
      <c r="A42" s="171" t="s">
        <v>347</v>
      </c>
      <c r="B42" s="171"/>
      <c r="C42" s="91">
        <f>PLANILHA!J112</f>
        <v>745592.41</v>
      </c>
      <c r="D42" s="92">
        <f>SUM(D14:D41)</f>
        <v>1</v>
      </c>
      <c r="E42" s="93">
        <f t="shared" ref="E42:M42" si="15">E15+E17+E19+E21+E23+E25+E27+E29+E31+E33+E35+E37+E39+E41</f>
        <v>67075.646999999997</v>
      </c>
      <c r="F42" s="93">
        <f t="shared" si="15"/>
        <v>31295.776999999998</v>
      </c>
      <c r="G42" s="93">
        <f t="shared" si="15"/>
        <v>149779.92749999999</v>
      </c>
      <c r="H42" s="93">
        <f t="shared" si="15"/>
        <v>64880.260499999997</v>
      </c>
      <c r="I42" s="93">
        <f t="shared" si="15"/>
        <v>86071.599499999997</v>
      </c>
      <c r="J42" s="93">
        <f t="shared" si="15"/>
        <v>120107.9865</v>
      </c>
      <c r="K42" s="93">
        <f t="shared" si="15"/>
        <v>113561.65949999999</v>
      </c>
      <c r="L42" s="93">
        <f t="shared" si="15"/>
        <v>112819.55250000001</v>
      </c>
      <c r="M42" s="93">
        <f t="shared" si="15"/>
        <v>745592.41</v>
      </c>
    </row>
    <row r="43" spans="1:38">
      <c r="A43" s="172" t="s">
        <v>348</v>
      </c>
      <c r="B43" s="173"/>
      <c r="C43" s="173"/>
      <c r="D43" s="174"/>
      <c r="E43" s="94">
        <f>E42/$C$42</f>
        <v>8.9962888704835403E-2</v>
      </c>
      <c r="F43" s="94">
        <f t="shared" ref="F43:M43" si="16">F42/$C$42</f>
        <v>4.1974377126505397E-2</v>
      </c>
      <c r="G43" s="94">
        <f t="shared" si="16"/>
        <v>0.20088714087097501</v>
      </c>
      <c r="H43" s="94">
        <f t="shared" si="16"/>
        <v>8.7018402588084298E-2</v>
      </c>
      <c r="I43" s="94">
        <f t="shared" si="16"/>
        <v>0.11544055216441899</v>
      </c>
      <c r="J43" s="94">
        <f t="shared" si="16"/>
        <v>0.16109067754592599</v>
      </c>
      <c r="K43" s="94">
        <f t="shared" si="16"/>
        <v>0.15231064315689599</v>
      </c>
      <c r="L43" s="94">
        <f t="shared" si="16"/>
        <v>0.15131531784235799</v>
      </c>
      <c r="M43" s="94">
        <f t="shared" si="16"/>
        <v>1</v>
      </c>
    </row>
    <row r="44" spans="1:38">
      <c r="A44" s="154" t="s">
        <v>349</v>
      </c>
      <c r="B44" s="154"/>
      <c r="C44" s="154"/>
      <c r="D44" s="154"/>
      <c r="E44" s="150">
        <f>E42</f>
        <v>67075.646999999997</v>
      </c>
      <c r="F44" s="150">
        <f t="shared" ref="F44:L44" si="17">E44+F42</f>
        <v>98371.423999999999</v>
      </c>
      <c r="G44" s="150">
        <f t="shared" si="17"/>
        <v>248151.35149999999</v>
      </c>
      <c r="H44" s="150">
        <f t="shared" si="17"/>
        <v>313031.61200000002</v>
      </c>
      <c r="I44" s="150">
        <f t="shared" si="17"/>
        <v>399103.21149999998</v>
      </c>
      <c r="J44" s="150">
        <f t="shared" si="17"/>
        <v>519211.19799999997</v>
      </c>
      <c r="K44" s="150">
        <f t="shared" si="17"/>
        <v>632772.85750000004</v>
      </c>
      <c r="L44" s="150">
        <f t="shared" si="17"/>
        <v>745592.41</v>
      </c>
      <c r="M44" s="152" t="s">
        <v>350</v>
      </c>
    </row>
    <row r="45" spans="1:38">
      <c r="A45" s="155"/>
      <c r="B45" s="155"/>
      <c r="C45" s="155"/>
      <c r="D45" s="155"/>
      <c r="E45" s="151"/>
      <c r="F45" s="151"/>
      <c r="G45" s="151"/>
      <c r="H45" s="151"/>
      <c r="I45" s="151"/>
      <c r="J45" s="151"/>
      <c r="K45" s="151"/>
      <c r="L45" s="151"/>
      <c r="M45" s="153"/>
    </row>
    <row r="46" spans="1:38" ht="30" customHeight="1">
      <c r="A46" s="164" t="s">
        <v>351</v>
      </c>
      <c r="B46" s="164"/>
      <c r="C46" s="164"/>
      <c r="D46" s="164"/>
      <c r="E46" s="96">
        <f>E44/$C$42</f>
        <v>8.9962888704835403E-2</v>
      </c>
      <c r="F46" s="96">
        <f t="shared" ref="F46:L46" si="18">F44/$C$42</f>
        <v>0.13193726583134099</v>
      </c>
      <c r="G46" s="96">
        <f t="shared" si="18"/>
        <v>0.332824406702316</v>
      </c>
      <c r="H46" s="96">
        <f t="shared" si="18"/>
        <v>0.41984280929040102</v>
      </c>
      <c r="I46" s="96">
        <f t="shared" si="18"/>
        <v>0.53528336145482003</v>
      </c>
      <c r="J46" s="96">
        <f t="shared" si="18"/>
        <v>0.69637403900074601</v>
      </c>
      <c r="K46" s="96">
        <f t="shared" si="18"/>
        <v>0.84868468215764203</v>
      </c>
      <c r="L46" s="96">
        <f t="shared" si="18"/>
        <v>1</v>
      </c>
      <c r="M46" s="95" t="s">
        <v>350</v>
      </c>
      <c r="N46" s="1"/>
      <c r="O46" s="1"/>
      <c r="P46" s="1"/>
      <c r="Q46" s="1"/>
      <c r="R46" s="1"/>
      <c r="S46" s="1"/>
      <c r="T46" s="1"/>
      <c r="U46" s="1"/>
      <c r="V46" s="1"/>
      <c r="W46" s="1"/>
      <c r="X46" s="1"/>
      <c r="Y46" s="1"/>
      <c r="Z46" s="1"/>
      <c r="AA46" s="1"/>
      <c r="AB46" s="1"/>
      <c r="AC46" s="1"/>
      <c r="AD46" s="1"/>
      <c r="AE46" s="1"/>
      <c r="AF46" s="1"/>
      <c r="AG46" s="1"/>
      <c r="AH46" s="1"/>
      <c r="AI46" s="1"/>
      <c r="AJ46" s="1"/>
      <c r="AK46" s="1"/>
      <c r="AL46" s="1"/>
    </row>
    <row r="47" spans="1:38">
      <c r="A47" s="97"/>
      <c r="B47" s="100"/>
      <c r="C47" s="97"/>
      <c r="D47" s="97"/>
      <c r="E47" s="97"/>
      <c r="F47" s="97"/>
      <c r="G47" s="98"/>
      <c r="H47" s="98"/>
      <c r="I47" s="98"/>
      <c r="J47" s="98"/>
      <c r="K47" s="97"/>
      <c r="L47" s="97"/>
      <c r="M47" s="99"/>
      <c r="N47" s="1"/>
      <c r="O47" s="1"/>
      <c r="P47" s="1"/>
      <c r="Q47" s="1"/>
      <c r="R47" s="1"/>
      <c r="S47" s="1"/>
      <c r="T47" s="1"/>
      <c r="U47" s="1"/>
      <c r="V47" s="1"/>
      <c r="W47" s="1"/>
      <c r="X47" s="1"/>
      <c r="Y47" s="1"/>
      <c r="Z47" s="1"/>
      <c r="AA47" s="1"/>
      <c r="AB47" s="1"/>
      <c r="AC47" s="1"/>
      <c r="AD47" s="1"/>
      <c r="AE47" s="1"/>
      <c r="AF47" s="1"/>
      <c r="AG47" s="1"/>
      <c r="AH47" s="1"/>
      <c r="AI47" s="1"/>
      <c r="AJ47" s="1"/>
      <c r="AK47" s="1"/>
      <c r="AL47" s="1"/>
    </row>
    <row r="48" spans="1:38">
      <c r="A48" s="97"/>
      <c r="B48" s="100"/>
      <c r="C48" s="97"/>
      <c r="D48" s="97"/>
      <c r="E48" s="97"/>
      <c r="F48" s="97"/>
      <c r="G48" s="98"/>
      <c r="H48" s="98"/>
      <c r="I48" s="98"/>
      <c r="J48" s="98"/>
      <c r="K48" s="97"/>
      <c r="L48" s="97"/>
      <c r="M48" s="97"/>
      <c r="N48" s="1"/>
      <c r="O48" s="1"/>
      <c r="P48" s="1"/>
      <c r="Q48" s="1"/>
      <c r="R48" s="1"/>
      <c r="S48" s="1"/>
      <c r="T48" s="1"/>
      <c r="U48" s="1"/>
      <c r="V48" s="1"/>
      <c r="W48" s="1"/>
      <c r="X48" s="1"/>
      <c r="Y48" s="1"/>
      <c r="Z48" s="1"/>
      <c r="AA48" s="1"/>
      <c r="AB48" s="1"/>
      <c r="AC48" s="1"/>
      <c r="AD48" s="1"/>
      <c r="AE48" s="1"/>
      <c r="AF48" s="1"/>
      <c r="AG48" s="1"/>
      <c r="AH48" s="1"/>
      <c r="AI48" s="1"/>
      <c r="AJ48" s="1"/>
      <c r="AK48" s="1"/>
      <c r="AL48" s="1"/>
    </row>
    <row r="49" spans="1:38">
      <c r="A49" s="97"/>
      <c r="B49" s="100"/>
      <c r="C49" s="97"/>
      <c r="D49" s="97"/>
      <c r="E49" s="97"/>
      <c r="F49" s="97"/>
      <c r="G49" s="98"/>
      <c r="H49" s="98"/>
      <c r="I49" s="98"/>
      <c r="J49" s="98"/>
      <c r="K49" s="97"/>
      <c r="L49" s="97"/>
      <c r="M49" s="97"/>
      <c r="N49" s="1"/>
      <c r="O49" s="1"/>
      <c r="P49" s="1"/>
      <c r="Q49" s="1"/>
      <c r="R49" s="1"/>
      <c r="S49" s="1"/>
      <c r="T49" s="1"/>
      <c r="U49" s="1"/>
      <c r="V49" s="1"/>
      <c r="W49" s="1"/>
      <c r="X49" s="1"/>
      <c r="Y49" s="1"/>
      <c r="Z49" s="1"/>
      <c r="AA49" s="1"/>
      <c r="AB49" s="1"/>
      <c r="AC49" s="1"/>
      <c r="AD49" s="1"/>
      <c r="AE49" s="1"/>
      <c r="AF49" s="1"/>
      <c r="AG49" s="1"/>
      <c r="AH49" s="1"/>
      <c r="AI49" s="1"/>
      <c r="AJ49" s="1"/>
      <c r="AK49" s="1"/>
      <c r="AL49" s="1"/>
    </row>
    <row r="50" spans="1:38">
      <c r="A50" s="97"/>
      <c r="B50" s="100"/>
      <c r="C50" s="97"/>
      <c r="D50" s="97"/>
      <c r="E50" s="97"/>
      <c r="F50" s="97"/>
      <c r="G50" s="98"/>
      <c r="H50" s="98"/>
      <c r="I50" s="98"/>
      <c r="J50" s="98"/>
      <c r="K50" s="97"/>
      <c r="L50" s="97"/>
      <c r="M50" s="97"/>
      <c r="N50" s="1"/>
      <c r="O50" s="1"/>
      <c r="P50" s="1"/>
      <c r="Q50" s="1"/>
      <c r="R50" s="1"/>
      <c r="S50" s="1"/>
      <c r="T50" s="1"/>
      <c r="U50" s="1"/>
      <c r="V50" s="1"/>
      <c r="W50" s="1"/>
      <c r="X50" s="1"/>
      <c r="Y50" s="1"/>
      <c r="Z50" s="1"/>
      <c r="AA50" s="1"/>
      <c r="AB50" s="1"/>
      <c r="AC50" s="1"/>
      <c r="AD50" s="1"/>
      <c r="AE50" s="1"/>
      <c r="AF50" s="1"/>
      <c r="AG50" s="1"/>
      <c r="AH50" s="1"/>
      <c r="AI50" s="1"/>
      <c r="AJ50" s="1"/>
      <c r="AK50" s="1"/>
      <c r="AL50" s="1"/>
    </row>
    <row r="51" spans="1:38" ht="18.75" customHeight="1">
      <c r="A51" s="149" t="s">
        <v>380</v>
      </c>
      <c r="B51" s="149"/>
      <c r="C51" s="149"/>
      <c r="D51" s="149"/>
      <c r="E51" s="149" t="s">
        <v>387</v>
      </c>
      <c r="F51" s="149"/>
      <c r="G51" s="149"/>
      <c r="H51" s="149"/>
      <c r="I51" s="149"/>
      <c r="J51" s="149"/>
      <c r="K51" s="149"/>
      <c r="L51" s="149"/>
      <c r="M51" s="97"/>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1:38" ht="15" customHeight="1">
      <c r="A52" s="149"/>
      <c r="B52" s="149"/>
      <c r="C52" s="149"/>
      <c r="D52" s="149"/>
      <c r="E52" s="149"/>
      <c r="F52" s="149"/>
      <c r="G52" s="149"/>
      <c r="H52" s="149"/>
      <c r="I52" s="149"/>
      <c r="J52" s="149"/>
      <c r="K52" s="149"/>
      <c r="L52" s="149"/>
      <c r="M52" s="97"/>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1:38" ht="26.25" customHeight="1">
      <c r="A53" s="149"/>
      <c r="B53" s="149"/>
      <c r="C53" s="149"/>
      <c r="D53" s="149"/>
      <c r="E53" s="149"/>
      <c r="F53" s="149"/>
      <c r="G53" s="149"/>
      <c r="H53" s="149"/>
      <c r="I53" s="149"/>
      <c r="J53" s="149"/>
      <c r="K53" s="149"/>
      <c r="L53" s="149"/>
      <c r="M53" s="97"/>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1:38" ht="15" customHeight="1">
      <c r="A54" s="149"/>
      <c r="B54" s="149"/>
      <c r="C54" s="149"/>
      <c r="D54" s="149"/>
      <c r="E54" s="149"/>
      <c r="F54" s="149"/>
      <c r="G54" s="149"/>
      <c r="H54" s="149"/>
      <c r="I54" s="149"/>
      <c r="J54" s="149"/>
      <c r="K54" s="149"/>
      <c r="L54" s="149"/>
      <c r="M54" s="97"/>
      <c r="N54" s="1"/>
      <c r="O54" s="1"/>
      <c r="P54" s="1"/>
      <c r="Q54" s="1"/>
      <c r="R54" s="1"/>
      <c r="S54" s="1"/>
      <c r="T54" s="1"/>
      <c r="U54" s="1"/>
      <c r="V54" s="1"/>
      <c r="W54" s="1"/>
      <c r="X54" s="1"/>
      <c r="Y54" s="1"/>
      <c r="Z54" s="1"/>
      <c r="AA54" s="1"/>
      <c r="AB54" s="1"/>
      <c r="AC54" s="1"/>
      <c r="AD54" s="1"/>
      <c r="AE54" s="1"/>
      <c r="AF54" s="1"/>
      <c r="AG54" s="1"/>
      <c r="AH54" s="1"/>
      <c r="AI54" s="1"/>
      <c r="AJ54" s="1"/>
      <c r="AK54" s="1"/>
      <c r="AL54" s="1"/>
    </row>
    <row r="55" spans="1:38" s="1" customFormat="1"/>
    <row r="56" spans="1:38" s="1" customFormat="1"/>
    <row r="57" spans="1:38" s="1" customFormat="1"/>
    <row r="58" spans="1:38" s="1" customFormat="1"/>
  </sheetData>
  <mergeCells count="80">
    <mergeCell ref="A5:M5"/>
    <mergeCell ref="A6:M6"/>
    <mergeCell ref="A7:M7"/>
    <mergeCell ref="A8:M8"/>
    <mergeCell ref="A9:M9"/>
    <mergeCell ref="A10:M10"/>
    <mergeCell ref="C11:M11"/>
    <mergeCell ref="B12:M12"/>
    <mergeCell ref="A42:B42"/>
    <mergeCell ref="A43:D43"/>
    <mergeCell ref="B16:B17"/>
    <mergeCell ref="B18:B19"/>
    <mergeCell ref="B20:B21"/>
    <mergeCell ref="B22:B23"/>
    <mergeCell ref="B24:B25"/>
    <mergeCell ref="B26:B27"/>
    <mergeCell ref="B28:B29"/>
    <mergeCell ref="B30:B31"/>
    <mergeCell ref="B32:B33"/>
    <mergeCell ref="B34:B35"/>
    <mergeCell ref="B36:B37"/>
    <mergeCell ref="A34:A35"/>
    <mergeCell ref="A36:A37"/>
    <mergeCell ref="A38:A39"/>
    <mergeCell ref="A40:A41"/>
    <mergeCell ref="B14:B15"/>
    <mergeCell ref="A24:A25"/>
    <mergeCell ref="A26:A27"/>
    <mergeCell ref="A28:A29"/>
    <mergeCell ref="A30:A31"/>
    <mergeCell ref="A32:A33"/>
    <mergeCell ref="A14:A15"/>
    <mergeCell ref="A16:A17"/>
    <mergeCell ref="A18:A19"/>
    <mergeCell ref="A20:A21"/>
    <mergeCell ref="A22:A23"/>
    <mergeCell ref="B38:B39"/>
    <mergeCell ref="B40:B41"/>
    <mergeCell ref="C14:C15"/>
    <mergeCell ref="C16:C17"/>
    <mergeCell ref="C18:C19"/>
    <mergeCell ref="C20:C21"/>
    <mergeCell ref="C22:C23"/>
    <mergeCell ref="C24:C25"/>
    <mergeCell ref="C26:C27"/>
    <mergeCell ref="C28:C29"/>
    <mergeCell ref="C30:C31"/>
    <mergeCell ref="C32:C33"/>
    <mergeCell ref="C34:C35"/>
    <mergeCell ref="C36:C37"/>
    <mergeCell ref="C38:C39"/>
    <mergeCell ref="C40:C41"/>
    <mergeCell ref="D32:D33"/>
    <mergeCell ref="D14:D15"/>
    <mergeCell ref="D16:D17"/>
    <mergeCell ref="D18:D19"/>
    <mergeCell ref="D20:D21"/>
    <mergeCell ref="D22:D23"/>
    <mergeCell ref="A1:M4"/>
    <mergeCell ref="A44:D45"/>
    <mergeCell ref="F44:F45"/>
    <mergeCell ref="G44:G45"/>
    <mergeCell ref="H44:H45"/>
    <mergeCell ref="I44:I45"/>
    <mergeCell ref="J44:J45"/>
    <mergeCell ref="D34:D35"/>
    <mergeCell ref="D36:D37"/>
    <mergeCell ref="D38:D39"/>
    <mergeCell ref="D40:D41"/>
    <mergeCell ref="E44:E45"/>
    <mergeCell ref="D24:D25"/>
    <mergeCell ref="D26:D27"/>
    <mergeCell ref="D28:D29"/>
    <mergeCell ref="D30:D31"/>
    <mergeCell ref="A51:D54"/>
    <mergeCell ref="E51:L54"/>
    <mergeCell ref="K44:K45"/>
    <mergeCell ref="L44:L45"/>
    <mergeCell ref="M44:M45"/>
    <mergeCell ref="A46:D46"/>
  </mergeCells>
  <printOptions horizontalCentered="1" verticalCentered="1"/>
  <pageMargins left="0.39370078740157483" right="0.39370078740157483" top="0.39370078740157483" bottom="0.39370078740157483" header="0" footer="0"/>
  <pageSetup paperSize="9" scale="63" orientation="landscape" r:id="rId1"/>
  <headerFooter>
    <oddHeader>&amp;L&amp;G&amp;C&amp;G</oddHeader>
    <oddFooter>&amp;R&amp;N</oddFooter>
  </headerFooter>
  <drawing r:id="rId2"/>
  <legacyDrawing r:id="rId3"/>
  <legacyDrawingHF r:id="rId4"/>
  <oleObjects>
    <mc:AlternateContent xmlns:mc="http://schemas.openxmlformats.org/markup-compatibility/2006">
      <mc:Choice Requires="x14">
        <oleObject progId="CorelDRAW.Graphic.12" shapeId="3073" r:id="rId5">
          <objectPr defaultSize="0" altText="" r:id="rId6">
            <anchor moveWithCells="1">
              <from>
                <xdr:col>0</xdr:col>
                <xdr:colOff>285750</xdr:colOff>
                <xdr:row>1</xdr:row>
                <xdr:rowOff>104775</xdr:rowOff>
              </from>
              <to>
                <xdr:col>1</xdr:col>
                <xdr:colOff>133350</xdr:colOff>
                <xdr:row>3</xdr:row>
                <xdr:rowOff>352425</xdr:rowOff>
              </to>
            </anchor>
          </objectPr>
        </oleObject>
      </mc:Choice>
      <mc:Fallback>
        <oleObject progId="CorelDRAW.Graphic.12" shapeId="3073" r:id="rId5"/>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L39"/>
  <sheetViews>
    <sheetView workbookViewId="0">
      <selection activeCell="B12" sqref="B12:G12"/>
    </sheetView>
  </sheetViews>
  <sheetFormatPr defaultColWidth="9" defaultRowHeight="15"/>
  <cols>
    <col min="1" max="1" width="25.7109375" customWidth="1"/>
    <col min="2" max="2" width="17.7109375" customWidth="1"/>
    <col min="3" max="3" width="24.42578125" customWidth="1"/>
    <col min="6" max="6" width="22.140625" customWidth="1"/>
    <col min="7" max="7" width="18.28515625" customWidth="1"/>
    <col min="8" max="12" width="9.140625" style="1"/>
  </cols>
  <sheetData>
    <row r="1" spans="1:7">
      <c r="A1" s="101"/>
      <c r="B1" s="101"/>
      <c r="C1" s="101"/>
      <c r="D1" s="101"/>
      <c r="E1" s="101"/>
      <c r="F1" s="101"/>
      <c r="G1" s="101"/>
    </row>
    <row r="2" spans="1:7">
      <c r="A2" s="101"/>
      <c r="B2" s="101"/>
      <c r="C2" s="101"/>
      <c r="D2" s="101"/>
      <c r="E2" s="101"/>
      <c r="F2" s="101"/>
      <c r="G2" s="101"/>
    </row>
    <row r="3" spans="1:7">
      <c r="A3" s="101"/>
      <c r="B3" s="101"/>
      <c r="C3" s="101"/>
      <c r="D3" s="101"/>
      <c r="E3" s="101"/>
      <c r="F3" s="101"/>
      <c r="G3" s="101"/>
    </row>
    <row r="4" spans="1:7">
      <c r="A4" s="101"/>
      <c r="B4" s="101"/>
      <c r="C4" s="101"/>
      <c r="D4" s="101"/>
      <c r="E4" s="101"/>
      <c r="F4" s="101"/>
      <c r="G4" s="101"/>
    </row>
    <row r="5" spans="1:7" ht="23.25">
      <c r="A5" s="109" t="s">
        <v>352</v>
      </c>
      <c r="B5" s="109"/>
      <c r="C5" s="109"/>
      <c r="D5" s="109"/>
      <c r="E5" s="109"/>
      <c r="F5" s="109"/>
      <c r="G5" s="109"/>
    </row>
    <row r="6" spans="1:7">
      <c r="A6" s="102" t="s">
        <v>1</v>
      </c>
      <c r="B6" s="102"/>
      <c r="C6" s="102"/>
      <c r="D6" s="102"/>
      <c r="E6" s="102"/>
      <c r="F6" s="102"/>
      <c r="G6" s="102"/>
    </row>
    <row r="7" spans="1:7">
      <c r="A7" s="102" t="s">
        <v>274</v>
      </c>
      <c r="B7" s="102"/>
      <c r="C7" s="102"/>
      <c r="D7" s="102"/>
      <c r="E7" s="102"/>
      <c r="F7" s="102"/>
      <c r="G7" s="102"/>
    </row>
    <row r="8" spans="1:7">
      <c r="A8" s="102" t="s">
        <v>3</v>
      </c>
      <c r="B8" s="102"/>
      <c r="C8" s="102"/>
      <c r="D8" s="102"/>
      <c r="E8" s="102"/>
      <c r="F8" s="102"/>
      <c r="G8" s="102"/>
    </row>
    <row r="9" spans="1:7">
      <c r="A9" s="102" t="s">
        <v>4</v>
      </c>
      <c r="B9" s="102"/>
      <c r="C9" s="102"/>
      <c r="D9" s="102"/>
      <c r="E9" s="102"/>
      <c r="F9" s="102"/>
      <c r="G9" s="102"/>
    </row>
    <row r="10" spans="1:7">
      <c r="A10" s="102" t="s">
        <v>381</v>
      </c>
      <c r="B10" s="102"/>
      <c r="C10" s="102"/>
      <c r="D10" s="102"/>
      <c r="E10" s="102"/>
      <c r="F10" s="102"/>
      <c r="G10" s="102"/>
    </row>
    <row r="11" spans="1:7">
      <c r="A11" s="4" t="s">
        <v>5</v>
      </c>
      <c r="B11" s="5">
        <f>BDI!G13</f>
        <v>0.24666704095238101</v>
      </c>
      <c r="C11" s="103" t="str">
        <f>PLANILHA!D11</f>
        <v>EXECUÇÃO DA OBRA: (  ) DIRETA   (X) INDIRETA</v>
      </c>
      <c r="D11" s="104"/>
      <c r="E11" s="104"/>
      <c r="F11" s="104"/>
      <c r="G11" s="105"/>
    </row>
    <row r="12" spans="1:7" s="1" customFormat="1">
      <c r="A12" s="4" t="s">
        <v>7</v>
      </c>
      <c r="B12" s="106" t="str">
        <f>PLANILHA!B12</f>
        <v>SINAPI 02/2026 - SEM DESONERAÇÃO, SICRO  01/2026 - SEM DESONERAÇÃO</v>
      </c>
      <c r="C12" s="106"/>
      <c r="D12" s="106"/>
      <c r="E12" s="106"/>
      <c r="F12" s="106"/>
      <c r="G12" s="106"/>
    </row>
    <row r="13" spans="1:7" ht="21.6" customHeight="1">
      <c r="A13" s="107" t="s">
        <v>353</v>
      </c>
      <c r="B13" s="107"/>
      <c r="C13" s="6" t="s">
        <v>354</v>
      </c>
      <c r="D13" s="7"/>
      <c r="E13" s="8" t="s">
        <v>355</v>
      </c>
      <c r="F13" s="8"/>
      <c r="G13" s="9">
        <f>((1+D17+D14+D15)*(1+D16)*(1+D18))/(1-D19)-1</f>
        <v>0.24666704095238101</v>
      </c>
    </row>
    <row r="14" spans="1:7">
      <c r="A14" s="10" t="s">
        <v>356</v>
      </c>
      <c r="B14" s="10" t="s">
        <v>357</v>
      </c>
      <c r="C14" s="10" t="s">
        <v>358</v>
      </c>
      <c r="D14" s="11">
        <v>4.0000000000000001E-3</v>
      </c>
      <c r="G14" s="12"/>
    </row>
    <row r="15" spans="1:7">
      <c r="A15" s="10" t="s">
        <v>359</v>
      </c>
      <c r="B15" s="10" t="s">
        <v>360</v>
      </c>
      <c r="C15" s="10" t="s">
        <v>361</v>
      </c>
      <c r="D15" s="11">
        <v>5.5999999999999999E-3</v>
      </c>
      <c r="G15" s="12"/>
    </row>
    <row r="16" spans="1:7">
      <c r="A16" s="10" t="s">
        <v>362</v>
      </c>
      <c r="B16" s="10" t="s">
        <v>363</v>
      </c>
      <c r="C16" s="10" t="s">
        <v>364</v>
      </c>
      <c r="D16" s="11">
        <v>1.11E-2</v>
      </c>
      <c r="G16" s="12"/>
    </row>
    <row r="17" spans="1:38">
      <c r="A17" s="10" t="s">
        <v>365</v>
      </c>
      <c r="B17" s="10" t="s">
        <v>366</v>
      </c>
      <c r="C17" s="10" t="s">
        <v>367</v>
      </c>
      <c r="D17" s="11">
        <v>4.0099999999999997E-2</v>
      </c>
      <c r="G17" s="12"/>
    </row>
    <row r="18" spans="1:38">
      <c r="A18" s="10" t="s">
        <v>368</v>
      </c>
      <c r="B18" s="10" t="s">
        <v>369</v>
      </c>
      <c r="C18" s="10" t="s">
        <v>370</v>
      </c>
      <c r="D18" s="11">
        <v>7.2999999999999995E-2</v>
      </c>
      <c r="G18" s="12"/>
    </row>
    <row r="19" spans="1:38">
      <c r="A19" s="10" t="s">
        <v>371</v>
      </c>
      <c r="B19" s="10" t="s">
        <v>372</v>
      </c>
      <c r="C19" s="10" t="s">
        <v>373</v>
      </c>
      <c r="D19" s="11">
        <f>D26</f>
        <v>8.6499999999999994E-2</v>
      </c>
      <c r="E19" s="13"/>
      <c r="F19" s="13"/>
      <c r="G19" s="14"/>
    </row>
    <row r="20" spans="1:38">
      <c r="A20" s="1"/>
      <c r="B20" s="1"/>
      <c r="C20" s="1"/>
      <c r="D20" s="1"/>
      <c r="E20" s="1"/>
      <c r="F20" s="1"/>
      <c r="G20" s="1"/>
    </row>
    <row r="21" spans="1:38">
      <c r="A21" s="1"/>
      <c r="B21" s="1"/>
      <c r="C21" s="15" t="s">
        <v>374</v>
      </c>
      <c r="D21" s="1"/>
      <c r="E21" s="1"/>
      <c r="F21" s="1"/>
      <c r="G21" s="1"/>
    </row>
    <row r="22" spans="1:38">
      <c r="A22" s="1"/>
      <c r="B22" s="1"/>
      <c r="C22" s="10" t="s">
        <v>375</v>
      </c>
      <c r="D22" s="11">
        <v>0.03</v>
      </c>
      <c r="E22" s="1"/>
      <c r="F22" s="1"/>
      <c r="G22" s="1"/>
    </row>
    <row r="23" spans="1:38">
      <c r="A23" s="1"/>
      <c r="B23" s="1"/>
      <c r="C23" s="10" t="s">
        <v>376</v>
      </c>
      <c r="D23" s="11">
        <v>6.4999999999999997E-3</v>
      </c>
      <c r="E23" s="1"/>
      <c r="F23" s="1"/>
      <c r="G23" s="1"/>
    </row>
    <row r="24" spans="1:38">
      <c r="A24" s="1"/>
      <c r="B24" s="1"/>
      <c r="C24" s="10" t="s">
        <v>377</v>
      </c>
      <c r="D24" s="11">
        <v>0.05</v>
      </c>
      <c r="E24" s="1"/>
      <c r="F24" s="1"/>
      <c r="G24" s="1"/>
    </row>
    <row r="25" spans="1:38">
      <c r="A25" s="1"/>
      <c r="B25" s="1"/>
      <c r="C25" s="10" t="s">
        <v>378</v>
      </c>
      <c r="D25" s="16"/>
      <c r="E25" s="1"/>
      <c r="F25" s="1"/>
      <c r="G25" s="1"/>
    </row>
    <row r="26" spans="1:38">
      <c r="A26" s="1"/>
      <c r="B26" s="1"/>
      <c r="C26" s="10" t="s">
        <v>283</v>
      </c>
      <c r="D26" s="16">
        <f>SUM(D22:D25)</f>
        <v>8.6499999999999994E-2</v>
      </c>
      <c r="E26" s="1"/>
      <c r="F26" s="1"/>
      <c r="G26" s="1"/>
    </row>
    <row r="27" spans="1:38" s="2" customFormat="1" ht="15.75">
      <c r="A27" s="18"/>
      <c r="B27" s="17"/>
      <c r="C27" s="18"/>
      <c r="D27" s="18"/>
      <c r="E27" s="18"/>
      <c r="F27" s="18"/>
      <c r="G27" s="19"/>
      <c r="H27" s="19"/>
      <c r="I27" s="19"/>
      <c r="J27" s="19"/>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row>
    <row r="28" spans="1:38" s="2" customFormat="1" ht="15.75">
      <c r="A28" s="18"/>
      <c r="B28" s="17"/>
      <c r="C28" s="18"/>
      <c r="D28" s="18"/>
      <c r="E28" s="18"/>
      <c r="F28" s="18"/>
      <c r="G28" s="19"/>
      <c r="H28" s="19"/>
      <c r="I28" s="19"/>
      <c r="J28" s="19"/>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row>
    <row r="29" spans="1:38" s="2" customFormat="1" ht="15.75">
      <c r="A29" s="18"/>
      <c r="B29" s="17"/>
      <c r="C29" s="18"/>
      <c r="D29" s="18"/>
      <c r="E29" s="18"/>
      <c r="F29" s="18"/>
      <c r="G29" s="19"/>
      <c r="H29" s="19"/>
      <c r="I29" s="19"/>
      <c r="J29" s="19"/>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row>
    <row r="30" spans="1:38" s="2" customFormat="1" ht="18.75" customHeight="1">
      <c r="A30" s="108" t="s">
        <v>380</v>
      </c>
      <c r="B30" s="108"/>
      <c r="C30" s="108"/>
      <c r="D30" s="108" t="s">
        <v>387</v>
      </c>
      <c r="E30" s="108"/>
      <c r="F30" s="108"/>
      <c r="G30" s="108"/>
      <c r="H30" s="20"/>
      <c r="I30" s="20"/>
      <c r="J30" s="20"/>
      <c r="K30" s="20"/>
      <c r="L30" s="20"/>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row>
    <row r="31" spans="1:38" s="2" customFormat="1" ht="15" customHeight="1">
      <c r="A31" s="108"/>
      <c r="B31" s="108"/>
      <c r="C31" s="108"/>
      <c r="D31" s="108"/>
      <c r="E31" s="108"/>
      <c r="F31" s="108"/>
      <c r="G31" s="108"/>
      <c r="H31" s="20"/>
      <c r="I31" s="20"/>
      <c r="J31" s="20"/>
      <c r="K31" s="20"/>
      <c r="L31" s="20"/>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row>
    <row r="32" spans="1:38" s="2" customFormat="1" ht="26.25" customHeight="1">
      <c r="A32" s="108"/>
      <c r="B32" s="108"/>
      <c r="C32" s="108"/>
      <c r="D32" s="108"/>
      <c r="E32" s="108"/>
      <c r="F32" s="108"/>
      <c r="G32" s="108"/>
      <c r="H32" s="20"/>
      <c r="I32" s="20"/>
      <c r="J32" s="20"/>
      <c r="K32" s="20"/>
      <c r="L32" s="20"/>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row>
    <row r="33" spans="1:38" s="2" customFormat="1" ht="15" customHeight="1">
      <c r="A33" s="20"/>
      <c r="B33" s="20"/>
      <c r="C33" s="20"/>
      <c r="D33" s="20"/>
      <c r="E33" s="20"/>
      <c r="F33" s="20"/>
      <c r="G33" s="20"/>
      <c r="H33" s="20"/>
      <c r="I33" s="20"/>
      <c r="J33" s="20"/>
      <c r="K33" s="20"/>
      <c r="L33" s="20"/>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row>
    <row r="34" spans="1:38" s="1" customFormat="1"/>
    <row r="35" spans="1:38" s="1" customFormat="1"/>
    <row r="36" spans="1:38" s="1" customFormat="1"/>
    <row r="37" spans="1:38" s="1" customFormat="1"/>
    <row r="38" spans="1:38" s="1" customFormat="1"/>
    <row r="39" spans="1:38" s="1" customFormat="1"/>
  </sheetData>
  <mergeCells count="12">
    <mergeCell ref="D30:G32"/>
    <mergeCell ref="A30:C32"/>
    <mergeCell ref="A5:G5"/>
    <mergeCell ref="A6:G6"/>
    <mergeCell ref="A7:G7"/>
    <mergeCell ref="A8:G8"/>
    <mergeCell ref="A9:G9"/>
    <mergeCell ref="A1:G4"/>
    <mergeCell ref="A10:G10"/>
    <mergeCell ref="C11:G11"/>
    <mergeCell ref="B12:G12"/>
    <mergeCell ref="A13:B13"/>
  </mergeCells>
  <printOptions horizontalCentered="1"/>
  <pageMargins left="0.39370078740157483" right="0.39370078740157483" top="1.1811023622047245" bottom="0.39370078740157483" header="0.31496062992125984" footer="0.31496062992125984"/>
  <pageSetup paperSize="9" scale="77" orientation="portrait" horizontalDpi="300" verticalDpi="300" r:id="rId1"/>
  <headerFooter>
    <oddHeader>&amp;L&amp;G&amp;C&amp;G</oddHeader>
    <oddFooter>&amp;R&amp;P</oddFooter>
  </headerFooter>
  <rowBreaks count="1" manualBreakCount="1">
    <brk id="28" max="6" man="1"/>
  </rowBreaks>
  <drawing r:id="rId2"/>
  <legacyDrawing r:id="rId3"/>
  <legacyDrawingHF r:id="rId4"/>
  <oleObjects>
    <mc:AlternateContent xmlns:mc="http://schemas.openxmlformats.org/markup-compatibility/2006">
      <mc:Choice Requires="x14">
        <oleObject progId="CorelDRAW.Graphic.12" shapeId="4097" r:id="rId5">
          <objectPr defaultSize="0" altText="" r:id="rId6">
            <anchor moveWithCells="1">
              <from>
                <xdr:col>0</xdr:col>
                <xdr:colOff>466725</xdr:colOff>
                <xdr:row>0</xdr:row>
                <xdr:rowOff>123825</xdr:rowOff>
              </from>
              <to>
                <xdr:col>0</xdr:col>
                <xdr:colOff>1228725</xdr:colOff>
                <xdr:row>3</xdr:row>
                <xdr:rowOff>180975</xdr:rowOff>
              </to>
            </anchor>
          </objectPr>
        </oleObject>
      </mc:Choice>
      <mc:Fallback>
        <oleObject progId="CorelDRAW.Graphic.12" shapeId="4097" r:id="rId5"/>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6</vt:i4>
      </vt:variant>
    </vt:vector>
  </HeadingPairs>
  <TitlesOfParts>
    <vt:vector size="10" baseType="lpstr">
      <vt:lpstr>PLANILHA</vt:lpstr>
      <vt:lpstr>MEMORIAL DE CÁLCULO</vt:lpstr>
      <vt:lpstr>CRONOGRAMA</vt:lpstr>
      <vt:lpstr>BDI</vt:lpstr>
      <vt:lpstr>BDI!Area_de_impressao</vt:lpstr>
      <vt:lpstr>CRONOGRAMA!Area_de_impressao</vt:lpstr>
      <vt:lpstr>'MEMORIAL DE CÁLCULO'!Area_de_impressao</vt:lpstr>
      <vt:lpstr>PLANILHA!Area_de_impressao</vt:lpstr>
      <vt:lpstr>'MEMORIAL DE CÁLCULO'!Titulos_de_impressao</vt:lpstr>
      <vt:lpstr>PLANILHA!Titulos_de_impressao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Usuário do Windows</cp:lastModifiedBy>
  <cp:lastPrinted>2026-06-24T19:01:11Z</cp:lastPrinted>
  <dcterms:created xsi:type="dcterms:W3CDTF">2015-06-05T18:19:00Z</dcterms:created>
  <dcterms:modified xsi:type="dcterms:W3CDTF">2026-06-24T19:12:28Z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C39CAF8E824A4445B92B683749688FA5_12</vt:lpwstr>
  </property>
  <property fmtid="{D5CDD505-2E9C-101B-9397-08002B2CF9AE}" pid="3" name="KSOProductBuildVer">
    <vt:lpwstr>1046-12.1.0.26880</vt:lpwstr>
  </property>
  <property fmtid="{D5CDD505-2E9C-101B-9397-08002B2CF9AE}" pid="4" name="CalculationRule">
    <vt:i4>0</vt:i4>
  </property>
</Properties>
</file>