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4787\Desktop\"/>
    </mc:Choice>
  </mc:AlternateContent>
  <bookViews>
    <workbookView xWindow="0" yWindow="0" windowWidth="28800" windowHeight="12315" tabRatio="999"/>
  </bookViews>
  <sheets>
    <sheet name="Anexo II - Modelo de proposta" sheetId="40" r:id="rId1"/>
    <sheet name="RESUMO" sheetId="41" r:id="rId2"/>
    <sheet name="I-Copeiragem" sheetId="22" r:id="rId3"/>
    <sheet name="II-Servente de Limpeza" sheetId="1" r:id="rId4"/>
    <sheet name="III-Aux. de Manutenção Predial" sheetId="17" r:id="rId5"/>
    <sheet name="IV-Recepcionista" sheetId="18" r:id="rId6"/>
    <sheet name="V-Assistente Administrativo " sheetId="19" r:id="rId7"/>
    <sheet name="VI-Assistente Adm. MHMTT" sheetId="20" r:id="rId8"/>
    <sheet name="VII-Motorista I" sheetId="31" r:id="rId9"/>
    <sheet name="VIII-Motorista II" sheetId="37" r:id="rId10"/>
    <sheet name="UNIFORMES.EPIS" sheetId="42" r:id="rId11"/>
  </sheets>
  <externalReferences>
    <externalReference r:id="rId12"/>
  </externalReferences>
  <definedNames>
    <definedName name="_Key1" localSheetId="8" hidden="1">#REF!</definedName>
    <definedName name="_Key1" hidden="1">#REF!</definedName>
    <definedName name="_Key2" localSheetId="8" hidden="1">#REF!</definedName>
    <definedName name="_Key2" hidden="1">#REF!</definedName>
    <definedName name="_Order1" hidden="1">0</definedName>
    <definedName name="_Order2" hidden="1">0</definedName>
    <definedName name="_Sort" localSheetId="8" hidden="1">#REF!</definedName>
    <definedName name="_Sort" hidden="1">#REF!</definedName>
    <definedName name="a" localSheetId="8">[1]cruz!#REF!</definedName>
    <definedName name="a">[1]cruz!#REF!</definedName>
    <definedName name="aaa" localSheetId="8">[1]cruz!#REF!</definedName>
    <definedName name="aaa">[1]cruz!#REF!</definedName>
    <definedName name="aaaa" localSheetId="8">[1]cruz!#REF!</definedName>
    <definedName name="aaaa">[1]cruz!#REF!</definedName>
    <definedName name="aaaaa" localSheetId="8">[1]cruz!#REF!</definedName>
    <definedName name="aaaaa">[1]cruz!#REF!</definedName>
    <definedName name="_xlnm.Print_Area" localSheetId="0">'Anexo II - Modelo de proposta'!$A$4:$I$32</definedName>
    <definedName name="_xlnm.Print_Area" localSheetId="2">'I-Copeiragem'!$A$1:$G$144</definedName>
    <definedName name="_xlnm.Print_Area" localSheetId="4">'III-Aux. de Manutenção Predial'!$A$1:$G$144</definedName>
    <definedName name="_xlnm.Print_Area" localSheetId="3">'II-Servente de Limpeza'!$A$1:$G$144</definedName>
    <definedName name="_xlnm.Print_Area" localSheetId="5">'IV-Recepcionista'!$A$1:$G$144</definedName>
    <definedName name="_xlnm.Print_Area" localSheetId="10">UNIFORMES.EPIS!$A$1:$L$41</definedName>
    <definedName name="_xlnm.Print_Area" localSheetId="6">'V-Assistente Administrativo '!$A$1:$G$144</definedName>
    <definedName name="_xlnm.Print_Area" localSheetId="7">'VI-Assistente Adm. MHMTT'!$A$1:$G$144</definedName>
    <definedName name="_xlnm.Print_Area" localSheetId="9">'VIII-Motorista II'!$A$1:$G$149</definedName>
    <definedName name="_xlnm.Print_Area" localSheetId="8">'VII-Motorista I'!$A$1:$G$149</definedName>
    <definedName name="b" localSheetId="8">[1]cruz!#REF!</definedName>
    <definedName name="b">[1]cruz!#REF!</definedName>
    <definedName name="_xlnm.Database" localSheetId="8">[1]cruz!#REF!</definedName>
    <definedName name="_xlnm.Database">[1]cruz!#REF!</definedName>
    <definedName name="_xlnm.Criteria" localSheetId="8">[1]cruz!#REF!</definedName>
    <definedName name="_xlnm.Criteria">[1]cruz!#REF!</definedName>
    <definedName name="d" localSheetId="8">[1]cruz!#REF!</definedName>
    <definedName name="d">[1]cruz!#REF!</definedName>
    <definedName name="fdhg" localSheetId="8">[1]cruz!#REF!</definedName>
    <definedName name="fdhg">[1]cruz!#REF!</definedName>
    <definedName name="fff" localSheetId="8">[1]cruz!#REF!</definedName>
    <definedName name="fff">[1]cruz!#REF!</definedName>
    <definedName name="gfdjdh" localSheetId="8">[1]cruz!#REF!</definedName>
    <definedName name="gfdjdh">[1]cruz!#REF!</definedName>
    <definedName name="gggg" localSheetId="8">[1]cruz!#REF!</definedName>
    <definedName name="gggg">[1]cruz!#REF!</definedName>
    <definedName name="_xlnm.Recorder" localSheetId="8">#REF!</definedName>
    <definedName name="_xlnm.Recorder">#REF!</definedName>
    <definedName name="iiouoiuo" localSheetId="8">[1]cruz!#REF!</definedName>
    <definedName name="iiouoiuo">[1]cruz!#REF!</definedName>
    <definedName name="jghfhf" localSheetId="8">[1]cruz!#REF!</definedName>
    <definedName name="jghfhf">[1]cruz!#REF!</definedName>
    <definedName name="kjhk" localSheetId="8">[1]cruz!#REF!</definedName>
    <definedName name="kjhk">[1]cruz!#REF!</definedName>
    <definedName name="kkk" localSheetId="8">[1]cruz!#REF!</definedName>
    <definedName name="kkk">[1]cruz!#REF!</definedName>
    <definedName name="klhlkhj" localSheetId="8">[1]cruz!#REF!</definedName>
    <definedName name="klhlkhj">[1]cruz!#REF!</definedName>
    <definedName name="Limpeza" localSheetId="8">[1]cruz!#REF!</definedName>
    <definedName name="Limpeza">[1]cruz!#REF!</definedName>
    <definedName name="NUMERO" localSheetId="8">#REF!</definedName>
    <definedName name="NUMERO">#REF!</definedName>
    <definedName name="oficial" localSheetId="8">[1]cruz!#REF!</definedName>
    <definedName name="oficial">[1]cruz!#REF!</definedName>
    <definedName name="oi" localSheetId="8">[1]cruz!#REF!</definedName>
    <definedName name="oi">[1]cruz!#REF!</definedName>
    <definedName name="s" localSheetId="8">[1]cruz!#REF!</definedName>
    <definedName name="s">[1]cruz!#REF!</definedName>
    <definedName name="sgfd" localSheetId="8">[1]cruz!#REF!</definedName>
    <definedName name="sgfd">[1]cruz!#REF!</definedName>
    <definedName name="ss" localSheetId="8">[1]cruz!#REF!</definedName>
    <definedName name="ss">[1]cruz!#REF!</definedName>
    <definedName name="ssssssssss" localSheetId="8">[1]cruz!#REF!</definedName>
    <definedName name="ssssssssss">[1]cruz!#REF!</definedName>
    <definedName name="try" localSheetId="8">[1]cruz!#REF!</definedName>
    <definedName name="try">[1]cruz!#REF!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1" i="37" l="1"/>
  <c r="G83" i="17" l="1"/>
  <c r="G85" i="17"/>
  <c r="J5" i="42"/>
  <c r="H7" i="42"/>
  <c r="J7" i="42" s="1"/>
  <c r="H37" i="42"/>
  <c r="H36" i="42"/>
  <c r="I36" i="42" s="1"/>
  <c r="K37" i="42" s="1"/>
  <c r="H33" i="42"/>
  <c r="H32" i="42"/>
  <c r="H31" i="42"/>
  <c r="H30" i="42"/>
  <c r="I30" i="42" s="1"/>
  <c r="H27" i="42"/>
  <c r="H26" i="42"/>
  <c r="H25" i="42"/>
  <c r="H24" i="42"/>
  <c r="H23" i="42"/>
  <c r="I21" i="42" s="1"/>
  <c r="K23" i="42" s="1"/>
  <c r="H22" i="42"/>
  <c r="H21" i="42"/>
  <c r="H19" i="42"/>
  <c r="H18" i="42"/>
  <c r="H17" i="42"/>
  <c r="H16" i="42"/>
  <c r="H15" i="42"/>
  <c r="H13" i="42"/>
  <c r="H12" i="42"/>
  <c r="H11" i="42"/>
  <c r="H10" i="42"/>
  <c r="H9" i="42"/>
  <c r="H5" i="42"/>
  <c r="I9" i="42" l="1"/>
  <c r="M26" i="42"/>
  <c r="I15" i="42"/>
  <c r="J15" i="42" s="1"/>
  <c r="G15" i="41"/>
  <c r="D132" i="22"/>
  <c r="G83" i="22"/>
  <c r="E132" i="37"/>
  <c r="F118" i="37"/>
  <c r="G132" i="37" l="1"/>
  <c r="G133" i="37" s="1"/>
  <c r="D132" i="20"/>
  <c r="C24" i="40" s="1"/>
  <c r="B132" i="20"/>
  <c r="A24" i="40" s="1"/>
  <c r="D132" i="19"/>
  <c r="C21" i="40" s="1"/>
  <c r="B132" i="19"/>
  <c r="A21" i="40" s="1"/>
  <c r="D132" i="18"/>
  <c r="C18" i="40" s="1"/>
  <c r="B132" i="18"/>
  <c r="A18" i="40" s="1"/>
  <c r="D132" i="17"/>
  <c r="C15" i="40" s="1"/>
  <c r="B132" i="17"/>
  <c r="A15" i="40" s="1"/>
  <c r="C9" i="40"/>
  <c r="B132" i="22"/>
  <c r="A9" i="40" s="1"/>
  <c r="D132" i="1"/>
  <c r="C12" i="40" s="1"/>
  <c r="C137" i="37" l="1"/>
  <c r="C30" i="40" s="1"/>
  <c r="B137" i="37"/>
  <c r="A30" i="40" s="1"/>
  <c r="F111" i="31" l="1"/>
  <c r="E132" i="31" s="1"/>
  <c r="F40" i="1" l="1"/>
  <c r="G24" i="20"/>
  <c r="G24" i="19"/>
  <c r="G25" i="17"/>
  <c r="G24" i="1"/>
  <c r="G24" i="18"/>
  <c r="F111" i="20"/>
  <c r="G83" i="37" l="1"/>
  <c r="G83" i="31"/>
  <c r="G83" i="20" l="1"/>
  <c r="G83" i="19"/>
  <c r="G83" i="18"/>
  <c r="G83" i="1"/>
  <c r="G85" i="1" l="1"/>
  <c r="G25" i="1"/>
  <c r="G25" i="37"/>
  <c r="G27" i="37" s="1"/>
  <c r="G25" i="20"/>
  <c r="E127" i="37" l="1"/>
  <c r="E125" i="37"/>
  <c r="E126" i="37"/>
  <c r="F137" i="37"/>
  <c r="G102" i="37"/>
  <c r="G85" i="37"/>
  <c r="F66" i="37"/>
  <c r="F65" i="37"/>
  <c r="F64" i="37"/>
  <c r="F68" i="37" s="1"/>
  <c r="F58" i="37"/>
  <c r="F57" i="37"/>
  <c r="F50" i="37"/>
  <c r="F69" i="37" s="1"/>
  <c r="F49" i="37"/>
  <c r="F48" i="37"/>
  <c r="F47" i="37"/>
  <c r="F46" i="37"/>
  <c r="F45" i="37"/>
  <c r="F40" i="37"/>
  <c r="F74" i="37" s="1"/>
  <c r="F30" i="40" l="1"/>
  <c r="F52" i="37"/>
  <c r="F53" i="37" s="1"/>
  <c r="F59" i="37"/>
  <c r="G69" i="37"/>
  <c r="G68" i="37"/>
  <c r="G93" i="37"/>
  <c r="G65" i="37"/>
  <c r="G59" i="37"/>
  <c r="G57" i="37"/>
  <c r="G51" i="37"/>
  <c r="G36" i="37"/>
  <c r="G32" i="37"/>
  <c r="G47" i="37"/>
  <c r="G33" i="37"/>
  <c r="G50" i="37"/>
  <c r="G48" i="37"/>
  <c r="G46" i="37"/>
  <c r="G44" i="37"/>
  <c r="G39" i="37"/>
  <c r="G35" i="37"/>
  <c r="G49" i="37"/>
  <c r="G45" i="37"/>
  <c r="G37" i="37"/>
  <c r="G66" i="37"/>
  <c r="G64" i="37"/>
  <c r="G58" i="37"/>
  <c r="G52" i="37"/>
  <c r="G43" i="37"/>
  <c r="G38" i="37"/>
  <c r="G34" i="37"/>
  <c r="F60" i="37"/>
  <c r="G60" i="37" s="1"/>
  <c r="F67" i="37"/>
  <c r="F70" i="37" s="1"/>
  <c r="F77" i="37" s="1"/>
  <c r="C137" i="31"/>
  <c r="C27" i="40" s="1"/>
  <c r="B137" i="31"/>
  <c r="A27" i="40" s="1"/>
  <c r="F118" i="31"/>
  <c r="G132" i="31" s="1"/>
  <c r="G133" i="31" s="1"/>
  <c r="G102" i="31"/>
  <c r="G85" i="31"/>
  <c r="F66" i="31"/>
  <c r="F65" i="31"/>
  <c r="F64" i="31"/>
  <c r="F58" i="31"/>
  <c r="F57" i="31"/>
  <c r="F50" i="31"/>
  <c r="F69" i="31" s="1"/>
  <c r="F49" i="31"/>
  <c r="F48" i="31"/>
  <c r="F47" i="31"/>
  <c r="F46" i="31"/>
  <c r="F45" i="31"/>
  <c r="F40" i="31"/>
  <c r="F74" i="31" s="1"/>
  <c r="G25" i="31"/>
  <c r="G27" i="31" s="1"/>
  <c r="F118" i="22"/>
  <c r="F111" i="22"/>
  <c r="G102" i="22"/>
  <c r="G85" i="22"/>
  <c r="G93" i="22" s="1"/>
  <c r="F66" i="22"/>
  <c r="F65" i="22"/>
  <c r="F64" i="22"/>
  <c r="F58" i="22"/>
  <c r="F57" i="22"/>
  <c r="F50" i="22"/>
  <c r="F69" i="22" s="1"/>
  <c r="F49" i="22"/>
  <c r="F48" i="22"/>
  <c r="F47" i="22"/>
  <c r="F46" i="22"/>
  <c r="F45" i="22"/>
  <c r="F40" i="22"/>
  <c r="F74" i="22" s="1"/>
  <c r="G25" i="22"/>
  <c r="G27" i="22" s="1"/>
  <c r="E125" i="22" s="1"/>
  <c r="F118" i="20"/>
  <c r="G102" i="20"/>
  <c r="G85" i="20"/>
  <c r="F66" i="20"/>
  <c r="F65" i="20"/>
  <c r="F64" i="20"/>
  <c r="F58" i="20"/>
  <c r="F57" i="20"/>
  <c r="F50" i="20"/>
  <c r="F69" i="20" s="1"/>
  <c r="F49" i="20"/>
  <c r="F48" i="20"/>
  <c r="F47" i="20"/>
  <c r="F46" i="20"/>
  <c r="F45" i="20"/>
  <c r="F40" i="20"/>
  <c r="F74" i="20" s="1"/>
  <c r="G27" i="20"/>
  <c r="F118" i="19"/>
  <c r="F111" i="19"/>
  <c r="G102" i="19"/>
  <c r="G85" i="19"/>
  <c r="F66" i="19"/>
  <c r="F65" i="19"/>
  <c r="F64" i="19"/>
  <c r="F58" i="19"/>
  <c r="F57" i="19"/>
  <c r="F59" i="19" s="1"/>
  <c r="F50" i="19"/>
  <c r="F69" i="19" s="1"/>
  <c r="F49" i="19"/>
  <c r="F48" i="19"/>
  <c r="F47" i="19"/>
  <c r="F46" i="19"/>
  <c r="F45" i="19"/>
  <c r="F40" i="19"/>
  <c r="F74" i="19" s="1"/>
  <c r="G25" i="19"/>
  <c r="G27" i="19" s="1"/>
  <c r="F118" i="18"/>
  <c r="F111" i="18"/>
  <c r="G102" i="18"/>
  <c r="G85" i="18"/>
  <c r="F66" i="18"/>
  <c r="F65" i="18"/>
  <c r="F64" i="18"/>
  <c r="F58" i="18"/>
  <c r="F57" i="18"/>
  <c r="F50" i="18"/>
  <c r="F69" i="18" s="1"/>
  <c r="F49" i="18"/>
  <c r="F48" i="18"/>
  <c r="F47" i="18"/>
  <c r="F46" i="18"/>
  <c r="F45" i="18"/>
  <c r="F40" i="18"/>
  <c r="F74" i="18" s="1"/>
  <c r="G25" i="18"/>
  <c r="G27" i="18" s="1"/>
  <c r="F118" i="17"/>
  <c r="F111" i="17"/>
  <c r="G102" i="17"/>
  <c r="F66" i="17"/>
  <c r="F65" i="17"/>
  <c r="F64" i="17"/>
  <c r="F58" i="17"/>
  <c r="F57" i="17"/>
  <c r="F50" i="17"/>
  <c r="F69" i="17" s="1"/>
  <c r="F49" i="17"/>
  <c r="F48" i="17"/>
  <c r="F47" i="17"/>
  <c r="F46" i="17"/>
  <c r="F45" i="17"/>
  <c r="F40" i="17"/>
  <c r="F74" i="17" s="1"/>
  <c r="G27" i="17"/>
  <c r="B132" i="1"/>
  <c r="A12" i="40" s="1"/>
  <c r="F118" i="1"/>
  <c r="F111" i="1"/>
  <c r="G102" i="1"/>
  <c r="F66" i="1"/>
  <c r="F65" i="1"/>
  <c r="F64" i="1"/>
  <c r="F68" i="1" s="1"/>
  <c r="F58" i="1"/>
  <c r="F57" i="1"/>
  <c r="F50" i="1"/>
  <c r="F69" i="1" s="1"/>
  <c r="F49" i="1"/>
  <c r="F48" i="1"/>
  <c r="F47" i="1"/>
  <c r="F46" i="1"/>
  <c r="F45" i="1"/>
  <c r="F74" i="1"/>
  <c r="G27" i="1"/>
  <c r="F59" i="17" l="1"/>
  <c r="F59" i="18"/>
  <c r="G59" i="18" s="1"/>
  <c r="E127" i="31"/>
  <c r="E125" i="31"/>
  <c r="E126" i="31"/>
  <c r="E127" i="22"/>
  <c r="E126" i="22"/>
  <c r="E127" i="20"/>
  <c r="E125" i="20"/>
  <c r="E126" i="20"/>
  <c r="E127" i="19"/>
  <c r="E126" i="19"/>
  <c r="E125" i="19"/>
  <c r="E126" i="18"/>
  <c r="E127" i="18"/>
  <c r="E125" i="18"/>
  <c r="E127" i="17"/>
  <c r="E126" i="17"/>
  <c r="E125" i="17"/>
  <c r="E126" i="1"/>
  <c r="E127" i="1"/>
  <c r="E125" i="1"/>
  <c r="F52" i="17"/>
  <c r="F53" i="17" s="1"/>
  <c r="G53" i="17" s="1"/>
  <c r="F67" i="18"/>
  <c r="F52" i="18"/>
  <c r="G52" i="18" s="1"/>
  <c r="F137" i="31"/>
  <c r="F54" i="37"/>
  <c r="F75" i="37" s="1"/>
  <c r="G53" i="37"/>
  <c r="G54" i="37" s="1"/>
  <c r="G75" i="37" s="1"/>
  <c r="F59" i="22"/>
  <c r="G59" i="22" s="1"/>
  <c r="F52" i="22"/>
  <c r="G52" i="22" s="1"/>
  <c r="F67" i="22"/>
  <c r="F59" i="20"/>
  <c r="F60" i="20" s="1"/>
  <c r="G60" i="20" s="1"/>
  <c r="F52" i="20"/>
  <c r="G52" i="20" s="1"/>
  <c r="F67" i="20"/>
  <c r="F67" i="19"/>
  <c r="F68" i="19"/>
  <c r="G68" i="19" s="1"/>
  <c r="F52" i="19"/>
  <c r="G52" i="19" s="1"/>
  <c r="G69" i="19"/>
  <c r="F67" i="17"/>
  <c r="F68" i="17"/>
  <c r="G68" i="17" s="1"/>
  <c r="F59" i="1"/>
  <c r="G59" i="1" s="1"/>
  <c r="G69" i="17"/>
  <c r="G35" i="1"/>
  <c r="G67" i="37"/>
  <c r="G70" i="37" s="1"/>
  <c r="G77" i="37" s="1"/>
  <c r="F61" i="37"/>
  <c r="F76" i="37" s="1"/>
  <c r="F59" i="31"/>
  <c r="F60" i="31" s="1"/>
  <c r="G60" i="31" s="1"/>
  <c r="G36" i="1"/>
  <c r="G40" i="37"/>
  <c r="G74" i="37" s="1"/>
  <c r="G61" i="37"/>
  <c r="G76" i="37" s="1"/>
  <c r="F52" i="31"/>
  <c r="G52" i="31" s="1"/>
  <c r="F67" i="31"/>
  <c r="G69" i="31"/>
  <c r="G49" i="31"/>
  <c r="G47" i="31"/>
  <c r="G45" i="31"/>
  <c r="G37" i="31"/>
  <c r="G33" i="31"/>
  <c r="G66" i="31"/>
  <c r="G64" i="31"/>
  <c r="G43" i="31"/>
  <c r="G93" i="31"/>
  <c r="G65" i="31"/>
  <c r="G57" i="31"/>
  <c r="G51" i="31"/>
  <c r="G36" i="31"/>
  <c r="G32" i="31"/>
  <c r="G38" i="31"/>
  <c r="G50" i="31"/>
  <c r="G48" i="31"/>
  <c r="G46" i="31"/>
  <c r="G44" i="31"/>
  <c r="G39" i="31"/>
  <c r="G35" i="31"/>
  <c r="G58" i="31"/>
  <c r="G34" i="31"/>
  <c r="F68" i="31"/>
  <c r="G68" i="31" s="1"/>
  <c r="G69" i="22"/>
  <c r="G49" i="22"/>
  <c r="G47" i="22"/>
  <c r="G45" i="22"/>
  <c r="G37" i="22"/>
  <c r="G33" i="22"/>
  <c r="G64" i="22"/>
  <c r="G34" i="22"/>
  <c r="G65" i="22"/>
  <c r="G57" i="22"/>
  <c r="G51" i="22"/>
  <c r="G36" i="22"/>
  <c r="G32" i="22"/>
  <c r="G38" i="22"/>
  <c r="G50" i="22"/>
  <c r="G48" i="22"/>
  <c r="G46" i="22"/>
  <c r="G44" i="22"/>
  <c r="G39" i="22"/>
  <c r="G35" i="22"/>
  <c r="G66" i="22"/>
  <c r="G58" i="22"/>
  <c r="G43" i="22"/>
  <c r="F68" i="22"/>
  <c r="G68" i="22" s="1"/>
  <c r="G69" i="20"/>
  <c r="G49" i="20"/>
  <c r="G47" i="20"/>
  <c r="G45" i="20"/>
  <c r="G37" i="20"/>
  <c r="G33" i="20"/>
  <c r="G66" i="20"/>
  <c r="G58" i="20"/>
  <c r="G43" i="20"/>
  <c r="G93" i="20"/>
  <c r="G65" i="20"/>
  <c r="G57" i="20"/>
  <c r="G51" i="20"/>
  <c r="G36" i="20"/>
  <c r="G32" i="20"/>
  <c r="G38" i="20"/>
  <c r="G50" i="20"/>
  <c r="G48" i="20"/>
  <c r="G46" i="20"/>
  <c r="G44" i="20"/>
  <c r="G39" i="20"/>
  <c r="G35" i="20"/>
  <c r="G64" i="20"/>
  <c r="G34" i="20"/>
  <c r="F68" i="20"/>
  <c r="G68" i="20" s="1"/>
  <c r="G49" i="19"/>
  <c r="G47" i="19"/>
  <c r="G45" i="19"/>
  <c r="G37" i="19"/>
  <c r="G33" i="19"/>
  <c r="G66" i="19"/>
  <c r="G43" i="19"/>
  <c r="G38" i="19"/>
  <c r="G93" i="19"/>
  <c r="G65" i="19"/>
  <c r="G59" i="19"/>
  <c r="G57" i="19"/>
  <c r="G51" i="19"/>
  <c r="G36" i="19"/>
  <c r="G32" i="19"/>
  <c r="G50" i="19"/>
  <c r="G48" i="19"/>
  <c r="G46" i="19"/>
  <c r="G44" i="19"/>
  <c r="G39" i="19"/>
  <c r="G35" i="19"/>
  <c r="G64" i="19"/>
  <c r="G58" i="19"/>
  <c r="G34" i="19"/>
  <c r="F60" i="19"/>
  <c r="G60" i="19" s="1"/>
  <c r="G69" i="18"/>
  <c r="G49" i="18"/>
  <c r="G47" i="18"/>
  <c r="G45" i="18"/>
  <c r="G37" i="18"/>
  <c r="G33" i="18"/>
  <c r="G66" i="18"/>
  <c r="G43" i="18"/>
  <c r="G93" i="18"/>
  <c r="G65" i="18"/>
  <c r="G57" i="18"/>
  <c r="G51" i="18"/>
  <c r="G36" i="18"/>
  <c r="G32" i="18"/>
  <c r="G58" i="18"/>
  <c r="G38" i="18"/>
  <c r="G50" i="18"/>
  <c r="G48" i="18"/>
  <c r="G46" i="18"/>
  <c r="G44" i="18"/>
  <c r="G39" i="18"/>
  <c r="G35" i="18"/>
  <c r="G64" i="18"/>
  <c r="G34" i="18"/>
  <c r="F60" i="18"/>
  <c r="G60" i="18" s="1"/>
  <c r="F53" i="18"/>
  <c r="G53" i="18" s="1"/>
  <c r="F68" i="18"/>
  <c r="G68" i="18" s="1"/>
  <c r="G49" i="17"/>
  <c r="G47" i="17"/>
  <c r="G45" i="17"/>
  <c r="G37" i="17"/>
  <c r="G33" i="17"/>
  <c r="G46" i="17"/>
  <c r="G43" i="17"/>
  <c r="G34" i="17"/>
  <c r="G93" i="17"/>
  <c r="G65" i="17"/>
  <c r="G59" i="17"/>
  <c r="G57" i="17"/>
  <c r="G51" i="17"/>
  <c r="G36" i="17"/>
  <c r="G32" i="17"/>
  <c r="G50" i="17"/>
  <c r="G48" i="17"/>
  <c r="G44" i="17"/>
  <c r="G39" i="17"/>
  <c r="G35" i="17"/>
  <c r="G66" i="17"/>
  <c r="G64" i="17"/>
  <c r="G58" i="17"/>
  <c r="G38" i="17"/>
  <c r="F60" i="17"/>
  <c r="G60" i="17" s="1"/>
  <c r="F52" i="1"/>
  <c r="F53" i="1" s="1"/>
  <c r="G53" i="1" s="1"/>
  <c r="G69" i="1"/>
  <c r="G64" i="1"/>
  <c r="G50" i="1"/>
  <c r="G46" i="1"/>
  <c r="G39" i="1"/>
  <c r="G34" i="1"/>
  <c r="G49" i="1"/>
  <c r="G45" i="1"/>
  <c r="G37" i="1"/>
  <c r="G33" i="1"/>
  <c r="G93" i="1"/>
  <c r="G66" i="1"/>
  <c r="G58" i="1"/>
  <c r="G48" i="1"/>
  <c r="G44" i="1"/>
  <c r="G32" i="1"/>
  <c r="G65" i="1"/>
  <c r="G57" i="1"/>
  <c r="G47" i="1"/>
  <c r="G43" i="1"/>
  <c r="G68" i="1"/>
  <c r="F67" i="1"/>
  <c r="F70" i="1" s="1"/>
  <c r="F77" i="1" s="1"/>
  <c r="G38" i="1"/>
  <c r="G51" i="1"/>
  <c r="G52" i="17" l="1"/>
  <c r="F70" i="20"/>
  <c r="F77" i="20" s="1"/>
  <c r="F70" i="18"/>
  <c r="F77" i="18" s="1"/>
  <c r="F53" i="22"/>
  <c r="G53" i="22" s="1"/>
  <c r="F60" i="22"/>
  <c r="G60" i="22" s="1"/>
  <c r="G61" i="22" s="1"/>
  <c r="G76" i="22" s="1"/>
  <c r="F27" i="40"/>
  <c r="F53" i="19"/>
  <c r="G53" i="19" s="1"/>
  <c r="G54" i="19" s="1"/>
  <c r="G75" i="19" s="1"/>
  <c r="G59" i="31"/>
  <c r="G61" i="31" s="1"/>
  <c r="G76" i="31" s="1"/>
  <c r="F60" i="1"/>
  <c r="F61" i="1" s="1"/>
  <c r="F76" i="1" s="1"/>
  <c r="F70" i="17"/>
  <c r="F77" i="17" s="1"/>
  <c r="F70" i="19"/>
  <c r="F77" i="19" s="1"/>
  <c r="F53" i="20"/>
  <c r="G53" i="20" s="1"/>
  <c r="G54" i="20" s="1"/>
  <c r="G75" i="20" s="1"/>
  <c r="G59" i="20"/>
  <c r="G61" i="20" s="1"/>
  <c r="G76" i="20" s="1"/>
  <c r="F53" i="31"/>
  <c r="G53" i="31" s="1"/>
  <c r="G54" i="31" s="1"/>
  <c r="G75" i="31" s="1"/>
  <c r="F61" i="20"/>
  <c r="F76" i="20" s="1"/>
  <c r="F61" i="18"/>
  <c r="F76" i="18" s="1"/>
  <c r="G54" i="17"/>
  <c r="G75" i="17" s="1"/>
  <c r="F78" i="37"/>
  <c r="F70" i="31"/>
  <c r="F77" i="31" s="1"/>
  <c r="F70" i="22"/>
  <c r="F77" i="22" s="1"/>
  <c r="G61" i="19"/>
  <c r="G76" i="19" s="1"/>
  <c r="F61" i="19"/>
  <c r="F76" i="19" s="1"/>
  <c r="F54" i="17"/>
  <c r="F75" i="17" s="1"/>
  <c r="F54" i="1"/>
  <c r="F75" i="1" s="1"/>
  <c r="G78" i="37"/>
  <c r="G104" i="37" s="1"/>
  <c r="G108" i="37" s="1"/>
  <c r="F61" i="31"/>
  <c r="F76" i="31" s="1"/>
  <c r="G67" i="31"/>
  <c r="G70" i="31" s="1"/>
  <c r="G77" i="31" s="1"/>
  <c r="G40" i="31"/>
  <c r="G74" i="31" s="1"/>
  <c r="G40" i="22"/>
  <c r="G74" i="22" s="1"/>
  <c r="G67" i="22"/>
  <c r="G70" i="22" s="1"/>
  <c r="G77" i="22" s="1"/>
  <c r="G54" i="22"/>
  <c r="G75" i="22" s="1"/>
  <c r="G61" i="18"/>
  <c r="G76" i="18" s="1"/>
  <c r="G67" i="20"/>
  <c r="G70" i="20" s="1"/>
  <c r="G77" i="20" s="1"/>
  <c r="G40" i="20"/>
  <c r="G74" i="20" s="1"/>
  <c r="G67" i="19"/>
  <c r="G70" i="19" s="1"/>
  <c r="G77" i="19" s="1"/>
  <c r="G40" i="19"/>
  <c r="G74" i="19" s="1"/>
  <c r="G40" i="18"/>
  <c r="G74" i="18" s="1"/>
  <c r="F54" i="18"/>
  <c r="F75" i="18" s="1"/>
  <c r="G67" i="18"/>
  <c r="G70" i="18" s="1"/>
  <c r="G77" i="18" s="1"/>
  <c r="G54" i="18"/>
  <c r="G75" i="18" s="1"/>
  <c r="F61" i="17"/>
  <c r="F76" i="17" s="1"/>
  <c r="G67" i="17"/>
  <c r="G70" i="17" s="1"/>
  <c r="G77" i="17" s="1"/>
  <c r="G40" i="17"/>
  <c r="G74" i="17" s="1"/>
  <c r="G61" i="17"/>
  <c r="G76" i="17" s="1"/>
  <c r="G52" i="1"/>
  <c r="G54" i="1" s="1"/>
  <c r="G75" i="1" s="1"/>
  <c r="G67" i="1"/>
  <c r="G70" i="1" s="1"/>
  <c r="G77" i="1" s="1"/>
  <c r="G40" i="1"/>
  <c r="F54" i="19" l="1"/>
  <c r="F75" i="19" s="1"/>
  <c r="F61" i="22"/>
  <c r="F76" i="22" s="1"/>
  <c r="F54" i="22"/>
  <c r="F75" i="22" s="1"/>
  <c r="F78" i="17"/>
  <c r="F127" i="17" s="1"/>
  <c r="G60" i="1"/>
  <c r="G61" i="1" s="1"/>
  <c r="G76" i="1" s="1"/>
  <c r="F54" i="31"/>
  <c r="F75" i="31" s="1"/>
  <c r="F78" i="31" s="1"/>
  <c r="F125" i="31" s="1"/>
  <c r="F54" i="20"/>
  <c r="F75" i="20" s="1"/>
  <c r="F78" i="20" s="1"/>
  <c r="F125" i="20" s="1"/>
  <c r="G125" i="20" s="1"/>
  <c r="F127" i="37"/>
  <c r="G127" i="37" s="1"/>
  <c r="F125" i="37"/>
  <c r="G125" i="37" s="1"/>
  <c r="F126" i="37"/>
  <c r="G126" i="37" s="1"/>
  <c r="F78" i="1"/>
  <c r="F125" i="1" s="1"/>
  <c r="G127" i="17"/>
  <c r="F78" i="19"/>
  <c r="F125" i="19" s="1"/>
  <c r="F78" i="18"/>
  <c r="F125" i="18" s="1"/>
  <c r="G125" i="18" s="1"/>
  <c r="G110" i="37"/>
  <c r="G109" i="37"/>
  <c r="F78" i="22"/>
  <c r="F126" i="22" s="1"/>
  <c r="G78" i="19"/>
  <c r="G104" i="19" s="1"/>
  <c r="G108" i="19" s="1"/>
  <c r="G78" i="31"/>
  <c r="G104" i="31" s="1"/>
  <c r="G78" i="22"/>
  <c r="G104" i="22" s="1"/>
  <c r="G110" i="22" s="1"/>
  <c r="G78" i="20"/>
  <c r="G104" i="20" s="1"/>
  <c r="G78" i="18"/>
  <c r="G104" i="18" s="1"/>
  <c r="F125" i="17"/>
  <c r="G125" i="17" s="1"/>
  <c r="G78" i="17"/>
  <c r="G104" i="17" s="1"/>
  <c r="G74" i="1"/>
  <c r="F126" i="17" l="1"/>
  <c r="G78" i="1"/>
  <c r="G104" i="1" s="1"/>
  <c r="G108" i="1" s="1"/>
  <c r="F126" i="20"/>
  <c r="F127" i="20"/>
  <c r="F126" i="19"/>
  <c r="G126" i="19" s="1"/>
  <c r="F127" i="31"/>
  <c r="G127" i="31" s="1"/>
  <c r="G128" i="37"/>
  <c r="E137" i="37" s="1"/>
  <c r="F127" i="1"/>
  <c r="G127" i="1" s="1"/>
  <c r="F126" i="1"/>
  <c r="G126" i="1" s="1"/>
  <c r="G126" i="22"/>
  <c r="G126" i="20"/>
  <c r="G127" i="20"/>
  <c r="G125" i="19"/>
  <c r="G126" i="17"/>
  <c r="G125" i="1"/>
  <c r="F126" i="31"/>
  <c r="G126" i="31" s="1"/>
  <c r="G125" i="31"/>
  <c r="F127" i="19"/>
  <c r="F127" i="18"/>
  <c r="F126" i="18"/>
  <c r="G111" i="37"/>
  <c r="F125" i="22"/>
  <c r="F127" i="22"/>
  <c r="G110" i="31"/>
  <c r="G109" i="19"/>
  <c r="G110" i="19"/>
  <c r="G108" i="31"/>
  <c r="G109" i="31"/>
  <c r="G108" i="22"/>
  <c r="G109" i="22"/>
  <c r="G108" i="20"/>
  <c r="G110" i="20"/>
  <c r="G109" i="20"/>
  <c r="G110" i="18"/>
  <c r="G108" i="18"/>
  <c r="G109" i="18"/>
  <c r="G108" i="17"/>
  <c r="G110" i="17"/>
  <c r="G109" i="17"/>
  <c r="G109" i="1" l="1"/>
  <c r="G110" i="1"/>
  <c r="E30" i="40"/>
  <c r="G128" i="20"/>
  <c r="F132" i="20" s="1"/>
  <c r="E24" i="40" s="1"/>
  <c r="G125" i="22"/>
  <c r="G127" i="22"/>
  <c r="G127" i="19"/>
  <c r="G127" i="18"/>
  <c r="G126" i="18"/>
  <c r="G128" i="17"/>
  <c r="F132" i="17" s="1"/>
  <c r="E15" i="40" s="1"/>
  <c r="G128" i="1"/>
  <c r="F132" i="1" s="1"/>
  <c r="E12" i="40" s="1"/>
  <c r="G128" i="31"/>
  <c r="E137" i="31" s="1"/>
  <c r="E27" i="40" s="1"/>
  <c r="G111" i="19"/>
  <c r="G117" i="19" s="1"/>
  <c r="G111" i="31"/>
  <c r="G115" i="31" s="1"/>
  <c r="G111" i="22"/>
  <c r="G111" i="18"/>
  <c r="G111" i="20"/>
  <c r="G111" i="17"/>
  <c r="G111" i="1" l="1"/>
  <c r="G117" i="1" s="1"/>
  <c r="G128" i="19"/>
  <c r="F132" i="19" s="1"/>
  <c r="E21" i="40" s="1"/>
  <c r="G128" i="22"/>
  <c r="F132" i="22" s="1"/>
  <c r="E9" i="40" s="1"/>
  <c r="G128" i="18"/>
  <c r="F132" i="18" s="1"/>
  <c r="E18" i="40" s="1"/>
  <c r="G116" i="1"/>
  <c r="G115" i="1"/>
  <c r="G118" i="37"/>
  <c r="G120" i="37" s="1"/>
  <c r="G116" i="19"/>
  <c r="G115" i="19"/>
  <c r="G116" i="31"/>
  <c r="G117" i="31"/>
  <c r="G115" i="22"/>
  <c r="G116" i="22"/>
  <c r="G117" i="22"/>
  <c r="G116" i="18"/>
  <c r="G115" i="18"/>
  <c r="G117" i="18"/>
  <c r="G116" i="20"/>
  <c r="G117" i="20"/>
  <c r="G115" i="20"/>
  <c r="G117" i="17"/>
  <c r="G115" i="17"/>
  <c r="G116" i="17"/>
  <c r="G118" i="19" l="1"/>
  <c r="G120" i="19" s="1"/>
  <c r="E132" i="19" s="1"/>
  <c r="F10" i="41" s="1"/>
  <c r="D137" i="37"/>
  <c r="F13" i="41" s="1"/>
  <c r="G118" i="31"/>
  <c r="G120" i="31" s="1"/>
  <c r="G118" i="18"/>
  <c r="G120" i="18" s="1"/>
  <c r="E132" i="18" s="1"/>
  <c r="F9" i="41" s="1"/>
  <c r="G118" i="1"/>
  <c r="G120" i="1" s="1"/>
  <c r="G118" i="22"/>
  <c r="G118" i="20"/>
  <c r="G120" i="20" s="1"/>
  <c r="E132" i="20" s="1"/>
  <c r="F11" i="41" s="1"/>
  <c r="G118" i="17"/>
  <c r="G120" i="17" s="1"/>
  <c r="E132" i="17" s="1"/>
  <c r="F8" i="41" s="1"/>
  <c r="G132" i="20" l="1"/>
  <c r="D24" i="40"/>
  <c r="G24" i="40" s="1"/>
  <c r="H24" i="40" s="1"/>
  <c r="D21" i="40"/>
  <c r="G21" i="40" s="1"/>
  <c r="H21" i="40" s="1"/>
  <c r="G132" i="19"/>
  <c r="G132" i="18"/>
  <c r="D18" i="40"/>
  <c r="G18" i="40" s="1"/>
  <c r="H18" i="40" s="1"/>
  <c r="G132" i="17"/>
  <c r="D15" i="40"/>
  <c r="G15" i="40" s="1"/>
  <c r="H15" i="40" s="1"/>
  <c r="D30" i="40"/>
  <c r="G30" i="40" s="1"/>
  <c r="H30" i="40" s="1"/>
  <c r="G137" i="37"/>
  <c r="D137" i="31"/>
  <c r="F12" i="41" s="1"/>
  <c r="G120" i="22"/>
  <c r="E132" i="22" s="1"/>
  <c r="E132" i="1"/>
  <c r="F7" i="41" s="1"/>
  <c r="F6" i="41" l="1"/>
  <c r="G132" i="22"/>
  <c r="G138" i="37"/>
  <c r="H13" i="41"/>
  <c r="J13" i="41" s="1"/>
  <c r="G133" i="20"/>
  <c r="H11" i="41"/>
  <c r="J11" i="41" s="1"/>
  <c r="G133" i="19"/>
  <c r="H10" i="41"/>
  <c r="J10" i="41" s="1"/>
  <c r="G133" i="18"/>
  <c r="H9" i="41"/>
  <c r="J9" i="41" s="1"/>
  <c r="G133" i="17"/>
  <c r="H8" i="41"/>
  <c r="J8" i="41" s="1"/>
  <c r="D27" i="40"/>
  <c r="G27" i="40" s="1"/>
  <c r="H27" i="40" s="1"/>
  <c r="G137" i="31"/>
  <c r="H12" i="41" s="1"/>
  <c r="J12" i="41" s="1"/>
  <c r="G132" i="1"/>
  <c r="H7" i="41" s="1"/>
  <c r="D12" i="40"/>
  <c r="G12" i="40" s="1"/>
  <c r="H12" i="40" s="1"/>
  <c r="D9" i="40"/>
  <c r="G9" i="40" s="1"/>
  <c r="H9" i="40" s="1"/>
  <c r="G133" i="1" l="1"/>
  <c r="G138" i="31"/>
  <c r="G133" i="22"/>
  <c r="H6" i="41"/>
  <c r="J6" i="41" s="1"/>
  <c r="J7" i="41"/>
  <c r="I32" i="40"/>
  <c r="J15" i="41" l="1"/>
  <c r="H15" i="41"/>
  <c r="I17" i="41" s="1"/>
  <c r="N7" i="41" l="1"/>
  <c r="M15" i="41"/>
</calcChain>
</file>

<file path=xl/comments1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2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3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4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5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6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7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comments8.xml><?xml version="1.0" encoding="utf-8"?>
<comments xmlns="http://schemas.openxmlformats.org/spreadsheetml/2006/main">
  <authors>
    <author>Jurídico</author>
  </authors>
  <commentList>
    <comment ref="A127" authorId="0" shapeId="0">
      <text>
        <r>
          <rPr>
            <b/>
            <sz val="9"/>
            <color indexed="81"/>
            <rFont val="Segoe UI"/>
            <family val="2"/>
          </rPr>
          <t>Após 22hs</t>
        </r>
      </text>
    </comment>
  </commentList>
</comments>
</file>

<file path=xl/sharedStrings.xml><?xml version="1.0" encoding="utf-8"?>
<sst xmlns="http://schemas.openxmlformats.org/spreadsheetml/2006/main" count="2047" uniqueCount="292">
  <si>
    <t>PLANILHA DE CUSTOS E FORMAÇÃO DE PREÇOS</t>
  </si>
  <si>
    <t>Razão Social:</t>
  </si>
  <si>
    <t>CNPJ:</t>
  </si>
  <si>
    <t>Pregão n°:</t>
  </si>
  <si>
    <t>Data:</t>
  </si>
  <si>
    <t>DISCRIMINAÇÃO DOS SERVIÇOS</t>
  </si>
  <si>
    <t>A</t>
  </si>
  <si>
    <t xml:space="preserve">Data de apresentação da proposta (dia/mês/ano) </t>
  </si>
  <si>
    <t>B</t>
  </si>
  <si>
    <t xml:space="preserve">Município/UF </t>
  </si>
  <si>
    <t>C</t>
  </si>
  <si>
    <t>Ano Acordo, Convenção ou Sentença Normativa em Dissídio Coletivo</t>
  </si>
  <si>
    <t>D</t>
  </si>
  <si>
    <t>No. Registro acordo convenção coletiva</t>
  </si>
  <si>
    <t>E</t>
  </si>
  <si>
    <r>
      <t>N</t>
    </r>
    <r>
      <rPr>
        <strike/>
        <sz val="8"/>
        <rFont val="Arial"/>
        <family val="2"/>
      </rPr>
      <t>º</t>
    </r>
    <r>
      <rPr>
        <sz val="8"/>
        <rFont val="Arial"/>
        <family val="2"/>
      </rPr>
      <t xml:space="preserve"> de meses de execução contratual</t>
    </r>
  </si>
  <si>
    <t>IDENTIFICAÇÃO DO SERVIÇO</t>
  </si>
  <si>
    <t>Unidade</t>
  </si>
  <si>
    <t>Tipo de Serviço</t>
  </si>
  <si>
    <t>Quantidade a contratar</t>
  </si>
  <si>
    <t>Postos</t>
  </si>
  <si>
    <t>Servente de Limpeza</t>
  </si>
  <si>
    <t>DADOS COMPLEMENTARES PARA CUSTOS REFERENTES À MÃO DE OBRA</t>
  </si>
  <si>
    <t>Salário Normativo da categoria Profissional Vigente</t>
  </si>
  <si>
    <t>Categoria profissional</t>
  </si>
  <si>
    <t>Data-base da categoria</t>
  </si>
  <si>
    <t>01/01/2022</t>
  </si>
  <si>
    <t>MÓDULO 1 - COMPOSIÇÃO DA REMUNERAÇÃO</t>
  </si>
  <si>
    <t>Composição da Remuneração:</t>
  </si>
  <si>
    <t>%</t>
  </si>
  <si>
    <t>Valor (R$)</t>
  </si>
  <si>
    <t>Salário Base</t>
  </si>
  <si>
    <t>Adicionais (especificar)</t>
  </si>
  <si>
    <t>*Adicionais de horas extras e noturno extra em planilha à parte</t>
  </si>
  <si>
    <t xml:space="preserve">Valor Total da Remuneração: </t>
  </si>
  <si>
    <t>MÓDULO 2 - ENCARGOS SOCIAIS E TRABALHISTAS INCIDENTES SOBRE A REMUNERAÇÃO</t>
  </si>
  <si>
    <t>Grupo 2.1</t>
  </si>
  <si>
    <t>Encargos Previdenciários e FGTS</t>
  </si>
  <si>
    <t>INSS</t>
  </si>
  <si>
    <t>SESI ou SESC</t>
  </si>
  <si>
    <t>SENAI ou SENAC</t>
  </si>
  <si>
    <t>INCRA</t>
  </si>
  <si>
    <t>Salário educação</t>
  </si>
  <si>
    <t>F</t>
  </si>
  <si>
    <t>FGTS</t>
  </si>
  <si>
    <t>G</t>
  </si>
  <si>
    <r>
      <t xml:space="preserve">RAT (Risco Ambiental do Trabalho) x FAP </t>
    </r>
    <r>
      <rPr>
        <sz val="8"/>
        <color indexed="10"/>
        <rFont val="Arial"/>
        <family val="2"/>
      </rPr>
      <t>(no máximo 2,00%)</t>
    </r>
  </si>
  <si>
    <t>H</t>
  </si>
  <si>
    <t>SEBRAE</t>
  </si>
  <si>
    <t xml:space="preserve">Valor Total dos encargos previdenciários e FGTS: </t>
  </si>
  <si>
    <t>Grupo 2.2</t>
  </si>
  <si>
    <t>13º Salário e Afastamentos</t>
  </si>
  <si>
    <t>13º Salário</t>
  </si>
  <si>
    <t>Férias</t>
  </si>
  <si>
    <t>Adicional de férias (1/3)</t>
  </si>
  <si>
    <t>Aviso prévio trabalhado *(1)</t>
  </si>
  <si>
    <t>Ausência por doença *(2)</t>
  </si>
  <si>
    <t>Licença Paternidade *(3)</t>
  </si>
  <si>
    <t>Ausências Legais *(4)</t>
  </si>
  <si>
    <t>Ausência por acidente de trabalho *(5)</t>
  </si>
  <si>
    <t>J</t>
  </si>
  <si>
    <t>Outros (especificar)</t>
  </si>
  <si>
    <t xml:space="preserve">Subtotal: </t>
  </si>
  <si>
    <t>K</t>
  </si>
  <si>
    <t>Incidência do grupo 2.1 sobre o grupo 2.2</t>
  </si>
  <si>
    <t xml:space="preserve">Valor total do 13º Salário e Afastamentos: </t>
  </si>
  <si>
    <t>Grupo 2.3</t>
  </si>
  <si>
    <t xml:space="preserve">Afastamento Maternidade </t>
  </si>
  <si>
    <t>Afastamento Maternidade *(6)</t>
  </si>
  <si>
    <t>Férias sobre licença maternidade *(7)</t>
  </si>
  <si>
    <t>Incidência do grupo 2.1 sobre o grupo 2.3</t>
  </si>
  <si>
    <t xml:space="preserve">Valor total do Afastamento Maternidade: </t>
  </si>
  <si>
    <t>Grupo 2.4</t>
  </si>
  <si>
    <t>Provisão para Rescisão</t>
  </si>
  <si>
    <t>Aviso Prévio Indenizado *(8)</t>
  </si>
  <si>
    <t>Indenização Adicional *(9)</t>
  </si>
  <si>
    <t>Indenização (rescisão sem justa causa - multa de 40% do FGTS) *(10)</t>
  </si>
  <si>
    <t>Incidência do FGTS sobre o aviso prévio indenizado</t>
  </si>
  <si>
    <t>Incidência do FGTS sobre o período médio de afastamento superior a 15 dias motivado por acidente de trabalho</t>
  </si>
  <si>
    <t xml:space="preserve">Valor total da Provisão para Rescisão: </t>
  </si>
  <si>
    <t>QUADRO RESUMO - ENCARGOS SOCIAIS E TRABALHISTAS</t>
  </si>
  <si>
    <t>Encargos Sociais e Trabalhistas</t>
  </si>
  <si>
    <t>2.1</t>
  </si>
  <si>
    <t>2.2</t>
  </si>
  <si>
    <t>2.3</t>
  </si>
  <si>
    <t>Afastamento Maternidade</t>
  </si>
  <si>
    <t>2.4</t>
  </si>
  <si>
    <t xml:space="preserve">Valor Total de encargos sociais e trabalhistas: </t>
  </si>
  <si>
    <t>MÓDULO 3 - BENEFÍCIOS MENSAIS E DIÁRIOS</t>
  </si>
  <si>
    <t>Benefícios Mensais e Diários (deduzida parcela do empregado)</t>
  </si>
  <si>
    <t>Transporte</t>
  </si>
  <si>
    <t>A1</t>
  </si>
  <si>
    <t xml:space="preserve">Auxílio alimentação </t>
  </si>
  <si>
    <t>B1</t>
  </si>
  <si>
    <t>Assistência médica e Familiar</t>
  </si>
  <si>
    <t>Auxílio creche</t>
  </si>
  <si>
    <t xml:space="preserve">Seguro de vida </t>
  </si>
  <si>
    <t>Auxílio Funeral</t>
  </si>
  <si>
    <t>Cesta Básica</t>
  </si>
  <si>
    <t>Assistência odontológica</t>
  </si>
  <si>
    <t>I</t>
  </si>
  <si>
    <t xml:space="preserve">Valor Total de benefícios mensais e diários: </t>
  </si>
  <si>
    <t>MÓDULO 4 - INSUMOS DIVERSOS</t>
  </si>
  <si>
    <t>Insumos Diversos</t>
  </si>
  <si>
    <t>Uniformes</t>
  </si>
  <si>
    <t>EPIs</t>
  </si>
  <si>
    <t>Materiais</t>
  </si>
  <si>
    <t>Equipamentos (ponto eletrônico, outros)</t>
  </si>
  <si>
    <t xml:space="preserve">Valor Total de insumos diversos: </t>
  </si>
  <si>
    <t>VALOR TOTAL DE REMUNERAÇÃO + ENCARGOS SOCIAIS + BENEFÍCIOS + INSUMOS</t>
  </si>
  <si>
    <t>MÓDULO 5 - BONIFICAÇÃO E OUTRAS DESPESAS</t>
  </si>
  <si>
    <t>Bonificações e outras despesas</t>
  </si>
  <si>
    <t>LDI - Lucro e Despesas Indiretas</t>
  </si>
  <si>
    <t>Despesas Administrativas / Operacionais</t>
  </si>
  <si>
    <t>Outras despesas (especificar)</t>
  </si>
  <si>
    <t xml:space="preserve">Valor Total de bonificações e outras despesas: </t>
  </si>
  <si>
    <t>MÓDULO 6 - TRIBUTAÇÃO SOBRE O FATURAMENTO</t>
  </si>
  <si>
    <t>Tributos</t>
  </si>
  <si>
    <t>ISS</t>
  </si>
  <si>
    <t>PIS</t>
  </si>
  <si>
    <t>COFINS</t>
  </si>
  <si>
    <t xml:space="preserve">Valor Total dos tributos: </t>
  </si>
  <si>
    <t>VALOR MENSAL TOTAL POR EMPREGADO</t>
  </si>
  <si>
    <t>7 - PREVISÃO DE ADICIONAL NOTURNO E DE HORAS EXTRAS ANUAL</t>
  </si>
  <si>
    <t>Benefício</t>
  </si>
  <si>
    <t>Previsão (hs) / ano</t>
  </si>
  <si>
    <t>Adicional</t>
  </si>
  <si>
    <t>Valor Base</t>
  </si>
  <si>
    <t xml:space="preserve">Valor com Encargos </t>
  </si>
  <si>
    <t>Valor com Impostos</t>
  </si>
  <si>
    <t>A - Hora extra (dias úteis)</t>
  </si>
  <si>
    <t>B - Hora extra (repouso/feriado)</t>
  </si>
  <si>
    <t>C - Hora extra noturna</t>
  </si>
  <si>
    <t xml:space="preserve">Valor Total de Adicional Noturno e de Horas Extras: </t>
  </si>
  <si>
    <t>QUADRO RESUMO DO VALOR MENSAL DO SERVIÇO</t>
  </si>
  <si>
    <t>ITEM</t>
  </si>
  <si>
    <t>DESCRIÇÃO</t>
  </si>
  <si>
    <t>QUANT. DE EMPREGADO PARA O SERVIÇO</t>
  </si>
  <si>
    <t>VALOR PROPOSTO POR EMPREGADO</t>
  </si>
  <si>
    <t>VALOR TOTAL DO SERVIÇO</t>
  </si>
  <si>
    <t xml:space="preserve"> *(1) Redução de 7 dias ou de 2h por dia. (Percentual relativo a contrato de 12 meses</t>
  </si>
  <si>
    <t>*(2) Estimativa de 5 dias de licença por ano</t>
  </si>
  <si>
    <t>*(3) Estimativa de 1,5% dos funcionários usufruindo 5 dias de licença por ano</t>
  </si>
  <si>
    <t>*(4) Estimativa de 1 ausência por ano</t>
  </si>
  <si>
    <t>*(5) Estimativa de 1 licença de 15 dias por ano para 8% dos funcionários</t>
  </si>
  <si>
    <t>*(6) Estimativa de 2% dos funcionários usufruindo de 4 meses de licença por ano</t>
  </si>
  <si>
    <t>*(7) Estimativa de 2% dos funcionários usufruindo de 4 meses de licença por ano</t>
  </si>
  <si>
    <t xml:space="preserve"> *(8) Estimativa de que 5% dos funcionários serão substituídos em um ano.</t>
  </si>
  <si>
    <t xml:space="preserve"> *(9) Estimativa de que 2% dos funcionários serão demitidos com indenização adicional.</t>
  </si>
  <si>
    <t xml:space="preserve"> *(10) Multa de 40% do FGTS em relação aos trabalhadores contratados.</t>
  </si>
  <si>
    <t>Auxiliar de Manutenção Predial</t>
  </si>
  <si>
    <t>Recepcionista</t>
  </si>
  <si>
    <t>Assistente Administrativo I</t>
  </si>
  <si>
    <t>Assistente Administrativo - Museu Histórico</t>
  </si>
  <si>
    <t>Copeiro</t>
  </si>
  <si>
    <t>Motorista Executivo I</t>
  </si>
  <si>
    <t>8 - PREVISÃO DE DIÁRIAS E INDENIZAÇÃO DE ALIMENTAÇÃO ANUAL</t>
  </si>
  <si>
    <t>Antecipações</t>
  </si>
  <si>
    <t xml:space="preserve">Valor Total de previsão de diárias e indenização de alimentação: </t>
  </si>
  <si>
    <t>ITEM 1</t>
  </si>
  <si>
    <t>CARGA HORÁRIA</t>
  </si>
  <si>
    <t>VALOR MENSAL (ESTIMADO)</t>
  </si>
  <si>
    <t>VALOR ANUAL (ESTIMADO)</t>
  </si>
  <si>
    <t>150h</t>
  </si>
  <si>
    <t>ITEM 2</t>
  </si>
  <si>
    <t>ITEM 3</t>
  </si>
  <si>
    <t>ITEM 4</t>
  </si>
  <si>
    <t>ITEM 5</t>
  </si>
  <si>
    <t>ITEM 6</t>
  </si>
  <si>
    <t>ITEM 7</t>
  </si>
  <si>
    <t>ITEM 8</t>
  </si>
  <si>
    <t>VALOR CONTRATUAL TOTAL DOS SERVIÇO COM HORAS EXTRAS, NOTURNAS E DIÁRIAS/INDENIZAÇÕES</t>
  </si>
  <si>
    <t>Salário-mínimo vigente</t>
  </si>
  <si>
    <t>Adicional de insalubridade</t>
  </si>
  <si>
    <t>Adicional de periculosidade</t>
  </si>
  <si>
    <r>
      <t xml:space="preserve">Desconto legal sobre transporte </t>
    </r>
    <r>
      <rPr>
        <sz val="8"/>
        <color rgb="FFFF0000"/>
        <rFont val="Arial"/>
        <family val="2"/>
      </rPr>
      <t>(máximo de 6% sobre o salário base)</t>
    </r>
  </si>
  <si>
    <r>
      <t xml:space="preserve">Desconto Legal sobre auxilio alimentação </t>
    </r>
    <r>
      <rPr>
        <sz val="8"/>
        <color rgb="FFFF0000"/>
        <rFont val="Arial"/>
        <family val="2"/>
      </rPr>
      <t>(até 20%)</t>
    </r>
  </si>
  <si>
    <r>
      <t>Desconto Legal sobre auxilio alimentação</t>
    </r>
    <r>
      <rPr>
        <sz val="8"/>
        <color rgb="FFFF0000"/>
        <rFont val="Arial"/>
        <family val="2"/>
      </rPr>
      <t xml:space="preserve"> (até 20%)</t>
    </r>
  </si>
  <si>
    <r>
      <t>Desconto legal sobre transporte</t>
    </r>
    <r>
      <rPr>
        <sz val="8"/>
        <color rgb="FFFF0000"/>
        <rFont val="Arial"/>
        <family val="2"/>
      </rPr>
      <t xml:space="preserve"> (máximo de 6% sobre o salário base)</t>
    </r>
  </si>
  <si>
    <t>SENAC</t>
  </si>
  <si>
    <t>SESC</t>
  </si>
  <si>
    <t>Valor com Impostos e Bonificações</t>
  </si>
  <si>
    <t xml:space="preserve">RAT (Risco Ambiental do Trabalho) x FAP </t>
  </si>
  <si>
    <t>Indenização para custeio de viagens</t>
  </si>
  <si>
    <t>VALOR MENSAL ESTIMADO HORAS EXTRAS</t>
  </si>
  <si>
    <t>VALOR MENSAL ESTIMADO - INDENIZAÇÕES PARA CUSTEIO DE VIAGENS</t>
  </si>
  <si>
    <t>Valor c/ Bonificações e Outras Despesas</t>
  </si>
  <si>
    <t>Valor c/ Bonificações e  Impostos</t>
  </si>
  <si>
    <t>Valor Anual Estimado (Base de cálculo)</t>
  </si>
  <si>
    <t>8 - PREVISÃO ANUAL DE INDENIZAÇÕES PARA CUSTEIO DE VIAGENS</t>
  </si>
  <si>
    <t>VALOR ESTIMADO ANUAL DO SERVIÇO</t>
  </si>
  <si>
    <t>QUADRO RESUMO DO VALOR ESTIMADO MENSAL DO SERVIÇO</t>
  </si>
  <si>
    <t>VALOR TOTAL ESTIMADO MENSAL DO SERVIÇO</t>
  </si>
  <si>
    <t>VALOR ESTIMADO HORAS EXTRAS</t>
  </si>
  <si>
    <t>VALOR ESTIMADO PARA CUSTEIO DE VIAGENS</t>
  </si>
  <si>
    <t>Assistente Administrativo - MHMTT</t>
  </si>
  <si>
    <t>QTD</t>
  </si>
  <si>
    <t>Motorista Executivo II</t>
  </si>
  <si>
    <t>Valor Anual Estimado (Base de Cálculo)</t>
  </si>
  <si>
    <t>Valor com Bonificações e Outras Despesas</t>
  </si>
  <si>
    <t>VALOR ESTIMADO PARA CUSTEIO DE VIAGENS (NÃO SE APLICA)</t>
  </si>
  <si>
    <t>RESUMO DE CUSTOS CONTRATUAIS</t>
  </si>
  <si>
    <t>SERVIÇOS DE COPEIRAGEM</t>
  </si>
  <si>
    <t>SERVIÇOS DE MANUTENÇÃO PREDIAL</t>
  </si>
  <si>
    <t>SERVIÇOS DE RECEPCIONISTA</t>
  </si>
  <si>
    <t>SERVIÇOS DE AUXILIAR ADMINISTRATIVO</t>
  </si>
  <si>
    <t>SERVIÇOS DE CHOFERAGEM</t>
  </si>
  <si>
    <t>12 meses prorrogáveis até vigência decenal</t>
  </si>
  <si>
    <t>Pregão n°: 05/2024</t>
  </si>
  <si>
    <t>VALOR DO CONTRATO PREVISTO</t>
  </si>
  <si>
    <t>QUADRO RESUMO</t>
  </si>
  <si>
    <t>Item</t>
  </si>
  <si>
    <t>Local de prestação do serviço</t>
  </si>
  <si>
    <t>Categoria</t>
  </si>
  <si>
    <t>Carga Horária</t>
  </si>
  <si>
    <t>Valor proposto por empregado (B)</t>
  </si>
  <si>
    <t>Qtde. de empregados por posto (C)</t>
  </si>
  <si>
    <t>Valor proposto por posto (D)=(BxC)</t>
  </si>
  <si>
    <t>Qtde. de postos (E)</t>
  </si>
  <si>
    <t>Valor total do serviço ANUAL</t>
  </si>
  <si>
    <t>CÂMARA MUNICIPAL DE POUSO ALEGRE  MG</t>
  </si>
  <si>
    <t>COPEIRO</t>
  </si>
  <si>
    <t>44 horas 
semanais</t>
  </si>
  <si>
    <t>SERVENTE DE LIMPEZA</t>
  </si>
  <si>
    <t>AUXILIAR DE MANUTENÇÃO.P</t>
  </si>
  <si>
    <t>RECEPCIONISTA</t>
  </si>
  <si>
    <t>ASSISTENTE ADM 1</t>
  </si>
  <si>
    <t>MOTORISTA EXECUTIVO 1</t>
  </si>
  <si>
    <t>MOTORISTA EXECUTIVO 2</t>
  </si>
  <si>
    <t>TOTAL COLABORADORES</t>
  </si>
  <si>
    <t>TOTAL MÊS</t>
  </si>
  <si>
    <t>TOTAL ANUAL</t>
  </si>
  <si>
    <t>Valor total do contrato Final</t>
  </si>
  <si>
    <t>MESES</t>
  </si>
  <si>
    <t>MG002103/2024</t>
  </si>
  <si>
    <t>Assistente Administrativo</t>
  </si>
  <si>
    <t>05- unidades</t>
  </si>
  <si>
    <t>Camiseta de malha fria com gola polo sem bolso (67% poliléster e 33%
viscose) com logomarca da empresa.</t>
  </si>
  <si>
    <t>Motorista Executivo</t>
  </si>
  <si>
    <t>02 unidades</t>
  </si>
  <si>
    <t>02 pares</t>
  </si>
  <si>
    <t>02 - unidades</t>
  </si>
  <si>
    <t>Calça em Brim ou Oxford (botão e zíper), 100% algodão, 2 bolsos traseiros</t>
  </si>
  <si>
    <t>02 – unidades</t>
  </si>
  <si>
    <t>Camisa em tricoline com lycra, manga curta, botões com silk da empresa</t>
  </si>
  <si>
    <t>Camisa em tricoline com lycra, manga longa, botões comsilk da empresa.</t>
  </si>
  <si>
    <t>02 - pares</t>
  </si>
  <si>
    <t>Sapato de segurança em vaqueta com cadarço e solado PU</t>
  </si>
  <si>
    <t>Calça masculina em tecido microfibra Oxford (cor a definir)</t>
  </si>
  <si>
    <t>02 (duas)
unidades</t>
  </si>
  <si>
    <t>Calça e/ou saia social preta (comprimento na altura do joelho, para saia),
100% poliéster</t>
  </si>
  <si>
    <t>Blusa manga curta com gola colarinho, branca, em algodão ou poliéster</t>
  </si>
  <si>
    <t>02 (duas)</t>
  </si>
  <si>
    <t>Par de sapatos de couro macio, salto baixo, com solado emborrachado
antiderrapante, preto</t>
  </si>
  <si>
    <t>02 (dois)
pares</t>
  </si>
  <si>
    <t>Meia social, na cor branca</t>
  </si>
  <si>
    <t>04 (quatro)
unidades</t>
  </si>
  <si>
    <t>Avental em gabardine, com amarração no pescoço e na cintura, branco</t>
  </si>
  <si>
    <t>Touca com aba e filó, preta, 100% poliéster</t>
  </si>
  <si>
    <t>Agasalho de inverno, em malha de lã, preto</t>
  </si>
  <si>
    <t>Auxiliar de Manutenção
Predial</t>
  </si>
  <si>
    <t>Camisa em tricoline com lycra, manga curta, botões ou camiseta/gola polo
manga curta 100% algodão com silk da empresa.</t>
  </si>
  <si>
    <t>Camisa em tricoline com lycra, manga longa, botões ou camiseta/gola polo
manga longa 100% algodão com silk da empresa.</t>
  </si>
  <si>
    <t>Sapato de segurança em vaqueta com cadarço e solado PU.</t>
  </si>
  <si>
    <t>Para todos os postos</t>
  </si>
  <si>
    <t>01 - unidade</t>
  </si>
  <si>
    <t>Livro para registro de ocorrências que deverá ser preenchido pelos próprios
funcionários, sob orientação da CONTRATADA.</t>
  </si>
  <si>
    <t>Crachá para identificação da empresa e dos funcionários, em material PVC
0,76 mm, com impressão digital e laminado</t>
  </si>
  <si>
    <t>01 - unidade Para cada colaborador</t>
  </si>
  <si>
    <t>Calça social, na cor preta, com bolsos na frente e atrás.</t>
  </si>
  <si>
    <t>Camisa social de manga curta, com bolso, com silk da empresa.</t>
  </si>
  <si>
    <t>Camisa social de manga longa, com bolso, com silk da empresa.</t>
  </si>
  <si>
    <t>Gravata, na cor preta ou azul escuro.</t>
  </si>
  <si>
    <t>Sapato preto, tipo social.</t>
  </si>
  <si>
    <t>QUANTIDADE</t>
  </si>
  <si>
    <t>DESCRITIVO</t>
  </si>
  <si>
    <t>VALOR UNITARIO</t>
  </si>
  <si>
    <t>VALOR ANUAL</t>
  </si>
  <si>
    <t>CARGO</t>
  </si>
  <si>
    <t>ASSISTENTE ADM 2 MHMTT</t>
  </si>
  <si>
    <t>MG000705/2024(NUMERO DO PROCESSO-19980.221998/2024-00)</t>
  </si>
  <si>
    <t>DESCONTO NO CONTRATO</t>
  </si>
  <si>
    <t>VALOR MINIMO</t>
  </si>
  <si>
    <t>SINSERHT-MG 12/06/2024(NUMERO DO PROCESSO 13621.212174/2024-33)</t>
  </si>
  <si>
    <t>MG001445/2024</t>
  </si>
  <si>
    <t>24/04/2024  SINDICATO DOS TRABALHADORES EM TRANSPORTES RODOVIARIOS DE CARGAS EM GERAL DE
POUSO ALEGRE E REGIAO, CNPJ n. 13.960.867/0001-30, neste ato representado(a) por seu Presidente,
Sr(a). RICARDO FERNANDO MACHADO;</t>
  </si>
  <si>
    <t>29/02/2024 SINDICATO DOS EMPREGADOS EM EMPRESAS DE ASSEIO E CONSERVACAO DE POUSO ALEGRE E
REGIAO, CNPJ n. 23.928.068/0001-30, neste ato representado(a) por seu Presidente, Sr(a). MICHELE
FERREIRA DOS SANTOS MOURA;</t>
  </si>
  <si>
    <r>
      <t xml:space="preserve">SERVIÇOS DE AUXILIAR ADMINISTRATIVO COM </t>
    </r>
    <r>
      <rPr>
        <b/>
        <sz val="8"/>
        <color rgb="FFFF0000"/>
        <rFont val="Arial"/>
        <family val="2"/>
      </rPr>
      <t>INSALUBRIDADE 20%</t>
    </r>
  </si>
  <si>
    <r>
      <t>SERVIÇOS DE LIMPEZA COM I</t>
    </r>
    <r>
      <rPr>
        <b/>
        <sz val="8"/>
        <color rgb="FFFF0000"/>
        <rFont val="Arial"/>
        <family val="2"/>
      </rPr>
      <t>NSALUBRIDADE 40%</t>
    </r>
  </si>
  <si>
    <r>
      <t>SERVIÇOS DE CHOFERAGEM COM</t>
    </r>
    <r>
      <rPr>
        <b/>
        <sz val="8"/>
        <color rgb="FFFF0000"/>
        <rFont val="Arial"/>
        <family val="2"/>
      </rPr>
      <t xml:space="preserve"> 30% PERICULOSIDADE</t>
    </r>
  </si>
  <si>
    <t>Adicional de Periculosidade</t>
  </si>
  <si>
    <t>Pouso Alegre-MG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</si>
</sst>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0.000%"/>
    <numFmt numFmtId="166" formatCode="_(* #,##0.000_);_(* \(#,##0.000\);_(* &quot;-&quot;???_);_(@_)"/>
    <numFmt numFmtId="167" formatCode="_(&quot;R$ &quot;* #,##0.00_);_(&quot;R$ &quot;* \(#,##0.00\);_(&quot;R$ &quot;* \-??_);_(@_)"/>
    <numFmt numFmtId="168" formatCode="_(* #,##0.00_);_(* \(#,##0.00\);_(* &quot;-&quot;??_);_(@_)"/>
    <numFmt numFmtId="169" formatCode="&quot;R$ &quot;#,##0.00"/>
    <numFmt numFmtId="170" formatCode="00"/>
    <numFmt numFmtId="171" formatCode="&quot;R$&quot;\ #,##0.00"/>
    <numFmt numFmtId="172" formatCode="_-&quot;R$&quot;* #,##0.00_-;\-&quot;R$&quot;* #,##0.00_-;_-&quot;R$&quot;* &quot;-&quot;??_-;_-@_-"/>
    <numFmt numFmtId="173" formatCode="_-&quot;R$&quot;\ * #,##0.000_-;\-&quot;R$&quot;\ * #,##0.000_-;_-&quot;R$&quot;\ * &quot;-&quot;???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trike/>
      <sz val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8"/>
      <color theme="0"/>
      <name val="Arial"/>
      <family val="2"/>
    </font>
    <font>
      <b/>
      <sz val="9"/>
      <color indexed="81"/>
      <name val="Segoe UI"/>
      <family val="2"/>
    </font>
    <font>
      <b/>
      <sz val="8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20"/>
      <color theme="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3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u val="singleAccounting"/>
      <sz val="16"/>
      <color theme="1"/>
      <name val="Calibri Light"/>
      <family val="2"/>
      <scheme val="major"/>
    </font>
    <font>
      <b/>
      <sz val="18"/>
      <color theme="0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b/>
      <sz val="16"/>
      <color theme="0"/>
      <name val="Calibri Light"/>
      <family val="2"/>
      <scheme val="major"/>
    </font>
    <font>
      <b/>
      <sz val="9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8"/>
      <color theme="2"/>
      <name val="Arial"/>
      <family val="2"/>
    </font>
    <font>
      <sz val="11"/>
      <color theme="2"/>
      <name val="Calibri"/>
      <family val="2"/>
      <scheme val="minor"/>
    </font>
    <font>
      <b/>
      <sz val="8"/>
      <color theme="0"/>
      <name val="Arial"/>
      <family val="2"/>
    </font>
    <font>
      <sz val="8"/>
      <color theme="0" tint="-4.9989318521683403E-2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8"/>
      <name val="Calibri Light"/>
      <family val="2"/>
      <scheme val="major"/>
    </font>
    <font>
      <sz val="8"/>
      <color indexed="8"/>
      <name val="Calibri Light"/>
      <family val="2"/>
      <scheme val="maj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8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554">
    <xf numFmtId="0" fontId="0" fillId="0" borderId="0" xfId="0"/>
    <xf numFmtId="0" fontId="4" fillId="2" borderId="0" xfId="3" applyFont="1" applyFill="1"/>
    <xf numFmtId="0" fontId="5" fillId="0" borderId="5" xfId="3" applyFont="1" applyBorder="1" applyAlignment="1">
      <alignment horizontal="center" vertical="top" wrapText="1"/>
    </xf>
    <xf numFmtId="0" fontId="3" fillId="4" borderId="5" xfId="3" applyFont="1" applyFill="1" applyBorder="1" applyAlignment="1">
      <alignment horizontal="center" vertical="top" wrapText="1"/>
    </xf>
    <xf numFmtId="0" fontId="5" fillId="4" borderId="5" xfId="3" applyFont="1" applyFill="1" applyBorder="1" applyAlignment="1">
      <alignment horizontal="center" vertical="top" wrapText="1"/>
    </xf>
    <xf numFmtId="0" fontId="3" fillId="0" borderId="5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7" xfId="3" applyFont="1" applyBorder="1" applyAlignment="1">
      <alignment horizontal="center"/>
    </xf>
    <xf numFmtId="0" fontId="5" fillId="0" borderId="5" xfId="4" applyFont="1" applyBorder="1" applyAlignment="1">
      <alignment horizontal="center" vertical="center" wrapText="1"/>
    </xf>
    <xf numFmtId="9" fontId="5" fillId="0" borderId="6" xfId="3" applyNumberFormat="1" applyFont="1" applyBorder="1" applyAlignment="1">
      <alignment horizontal="center"/>
    </xf>
    <xf numFmtId="44" fontId="5" fillId="0" borderId="7" xfId="5" applyFont="1" applyFill="1" applyBorder="1" applyAlignment="1" applyProtection="1">
      <alignment horizontal="center"/>
    </xf>
    <xf numFmtId="10" fontId="5" fillId="0" borderId="6" xfId="3" applyNumberFormat="1" applyFont="1" applyBorder="1" applyAlignment="1">
      <alignment horizontal="center"/>
    </xf>
    <xf numFmtId="44" fontId="3" fillId="5" borderId="7" xfId="5" applyFont="1" applyFill="1" applyBorder="1" applyAlignment="1" applyProtection="1">
      <alignment horizontal="center"/>
    </xf>
    <xf numFmtId="0" fontId="5" fillId="0" borderId="5" xfId="3" applyFont="1" applyBorder="1" applyAlignment="1">
      <alignment horizontal="center"/>
    </xf>
    <xf numFmtId="165" fontId="5" fillId="0" borderId="6" xfId="6" applyNumberFormat="1" applyFont="1" applyFill="1" applyBorder="1" applyAlignment="1" applyProtection="1">
      <alignment horizontal="center"/>
    </xf>
    <xf numFmtId="165" fontId="5" fillId="4" borderId="6" xfId="6" applyNumberFormat="1" applyFont="1" applyFill="1" applyBorder="1" applyAlignment="1" applyProtection="1">
      <alignment horizontal="center"/>
    </xf>
    <xf numFmtId="165" fontId="3" fillId="5" borderId="6" xfId="6" applyNumberFormat="1" applyFont="1" applyFill="1" applyBorder="1" applyAlignment="1" applyProtection="1">
      <alignment horizontal="center"/>
    </xf>
    <xf numFmtId="167" fontId="5" fillId="0" borderId="7" xfId="3" applyNumberFormat="1" applyFont="1" applyBorder="1" applyAlignment="1">
      <alignment horizontal="center"/>
    </xf>
    <xf numFmtId="165" fontId="4" fillId="0" borderId="6" xfId="6" applyNumberFormat="1" applyFont="1" applyFill="1" applyBorder="1" applyAlignment="1" applyProtection="1">
      <alignment horizontal="center"/>
    </xf>
    <xf numFmtId="165" fontId="3" fillId="0" borderId="6" xfId="6" applyNumberFormat="1" applyFont="1" applyFill="1" applyBorder="1" applyAlignment="1" applyProtection="1">
      <alignment horizontal="center"/>
    </xf>
    <xf numFmtId="44" fontId="3" fillId="0" borderId="7" xfId="5" applyFont="1" applyFill="1" applyBorder="1" applyAlignment="1" applyProtection="1">
      <alignment horizontal="center"/>
    </xf>
    <xf numFmtId="165" fontId="3" fillId="5" borderId="6" xfId="3" applyNumberFormat="1" applyFont="1" applyFill="1" applyBorder="1" applyAlignment="1">
      <alignment horizontal="center"/>
    </xf>
    <xf numFmtId="165" fontId="5" fillId="0" borderId="6" xfId="3" applyNumberFormat="1" applyFont="1" applyBorder="1" applyAlignment="1">
      <alignment horizontal="center"/>
    </xf>
    <xf numFmtId="165" fontId="3" fillId="0" borderId="6" xfId="3" applyNumberFormat="1" applyFont="1" applyBorder="1" applyAlignment="1">
      <alignment horizontal="center"/>
    </xf>
    <xf numFmtId="0" fontId="5" fillId="0" borderId="5" xfId="3" applyFont="1" applyBorder="1" applyAlignment="1">
      <alignment horizontal="center" vertical="center"/>
    </xf>
    <xf numFmtId="165" fontId="5" fillId="0" borderId="6" xfId="3" applyNumberFormat="1" applyFont="1" applyBorder="1" applyAlignment="1">
      <alignment horizontal="center" vertical="center"/>
    </xf>
    <xf numFmtId="44" fontId="5" fillId="0" borderId="7" xfId="5" applyFont="1" applyFill="1" applyBorder="1" applyAlignment="1" applyProtection="1">
      <alignment horizontal="center" vertical="center"/>
    </xf>
    <xf numFmtId="0" fontId="5" fillId="0" borderId="26" xfId="3" applyFont="1" applyBorder="1" applyAlignment="1">
      <alignment horizontal="center" vertical="center"/>
    </xf>
    <xf numFmtId="0" fontId="3" fillId="0" borderId="27" xfId="3" applyFont="1" applyBorder="1" applyAlignment="1">
      <alignment horizontal="center"/>
    </xf>
    <xf numFmtId="0" fontId="5" fillId="0" borderId="28" xfId="3" applyFont="1" applyBorder="1" applyAlignment="1">
      <alignment horizontal="center"/>
    </xf>
    <xf numFmtId="165" fontId="5" fillId="0" borderId="26" xfId="3" applyNumberFormat="1" applyFont="1" applyBorder="1" applyAlignment="1">
      <alignment horizontal="center" vertical="center"/>
    </xf>
    <xf numFmtId="167" fontId="5" fillId="0" borderId="27" xfId="3" applyNumberFormat="1" applyFont="1" applyBorder="1" applyAlignment="1">
      <alignment horizontal="center" vertical="center"/>
    </xf>
    <xf numFmtId="167" fontId="3" fillId="5" borderId="7" xfId="3" applyNumberFormat="1" applyFont="1" applyFill="1" applyBorder="1" applyAlignment="1">
      <alignment horizontal="center"/>
    </xf>
    <xf numFmtId="44" fontId="3" fillId="5" borderId="34" xfId="5" applyFont="1" applyFill="1" applyBorder="1" applyAlignment="1" applyProtection="1">
      <alignment horizontal="center"/>
    </xf>
    <xf numFmtId="44" fontId="7" fillId="5" borderId="17" xfId="3" applyNumberFormat="1" applyFont="1" applyFill="1" applyBorder="1" applyAlignment="1">
      <alignment vertical="center" wrapText="1"/>
    </xf>
    <xf numFmtId="44" fontId="5" fillId="4" borderId="7" xfId="5" applyFont="1" applyFill="1" applyBorder="1" applyAlignment="1" applyProtection="1">
      <alignment horizontal="center"/>
    </xf>
    <xf numFmtId="165" fontId="7" fillId="5" borderId="6" xfId="2" applyNumberFormat="1" applyFont="1" applyFill="1" applyBorder="1" applyAlignment="1">
      <alignment horizontal="center"/>
    </xf>
    <xf numFmtId="0" fontId="3" fillId="0" borderId="6" xfId="3" applyFont="1" applyBorder="1" applyAlignment="1">
      <alignment horizontal="center" vertical="center"/>
    </xf>
    <xf numFmtId="167" fontId="5" fillId="0" borderId="7" xfId="3" applyNumberFormat="1" applyFont="1" applyBorder="1" applyAlignment="1">
      <alignment horizontal="center" vertical="center"/>
    </xf>
    <xf numFmtId="167" fontId="3" fillId="5" borderId="7" xfId="3" applyNumberFormat="1" applyFont="1" applyFill="1" applyBorder="1" applyAlignment="1">
      <alignment horizontal="center" vertical="center"/>
    </xf>
    <xf numFmtId="44" fontId="3" fillId="5" borderId="44" xfId="5" applyFont="1" applyFill="1" applyBorder="1" applyAlignment="1" applyProtection="1">
      <alignment horizontal="center"/>
    </xf>
    <xf numFmtId="0" fontId="5" fillId="0" borderId="6" xfId="3" applyFont="1" applyBorder="1" applyAlignment="1">
      <alignment horizontal="center"/>
    </xf>
    <xf numFmtId="44" fontId="5" fillId="0" borderId="6" xfId="3" applyNumberFormat="1" applyFont="1" applyBorder="1"/>
    <xf numFmtId="44" fontId="5" fillId="0" borderId="7" xfId="3" applyNumberFormat="1" applyFont="1" applyBorder="1"/>
    <xf numFmtId="0" fontId="5" fillId="0" borderId="42" xfId="3" applyFont="1" applyBorder="1" applyAlignment="1">
      <alignment horizontal="center"/>
    </xf>
    <xf numFmtId="9" fontId="5" fillId="0" borderId="42" xfId="3" applyNumberFormat="1" applyFont="1" applyBorder="1" applyAlignment="1">
      <alignment horizontal="center"/>
    </xf>
    <xf numFmtId="44" fontId="5" fillId="0" borderId="42" xfId="3" applyNumberFormat="1" applyFont="1" applyBorder="1"/>
    <xf numFmtId="0" fontId="5" fillId="2" borderId="0" xfId="3" applyFont="1" applyFill="1"/>
    <xf numFmtId="44" fontId="4" fillId="2" borderId="0" xfId="1" applyFont="1" applyFill="1"/>
    <xf numFmtId="0" fontId="5" fillId="2" borderId="0" xfId="3" applyFont="1" applyFill="1" applyAlignment="1">
      <alignment horizontal="center"/>
    </xf>
    <xf numFmtId="169" fontId="3" fillId="2" borderId="0" xfId="3" applyNumberFormat="1" applyFont="1" applyFill="1" applyAlignment="1">
      <alignment horizontal="center"/>
    </xf>
    <xf numFmtId="166" fontId="5" fillId="2" borderId="0" xfId="3" applyNumberFormat="1" applyFont="1" applyFill="1"/>
    <xf numFmtId="44" fontId="5" fillId="2" borderId="0" xfId="3" applyNumberFormat="1" applyFont="1" applyFill="1"/>
    <xf numFmtId="0" fontId="12" fillId="2" borderId="0" xfId="3" applyFont="1" applyFill="1"/>
    <xf numFmtId="44" fontId="12" fillId="2" borderId="0" xfId="3" applyNumberFormat="1" applyFont="1" applyFill="1"/>
    <xf numFmtId="0" fontId="13" fillId="0" borderId="0" xfId="0" applyFont="1"/>
    <xf numFmtId="0" fontId="14" fillId="2" borderId="0" xfId="3" applyFont="1" applyFill="1"/>
    <xf numFmtId="168" fontId="5" fillId="2" borderId="0" xfId="3" applyNumberFormat="1" applyFont="1" applyFill="1"/>
    <xf numFmtId="0" fontId="4" fillId="0" borderId="0" xfId="3" applyFont="1"/>
    <xf numFmtId="0" fontId="5" fillId="2" borderId="0" xfId="0" applyFont="1" applyFill="1"/>
    <xf numFmtId="0" fontId="15" fillId="2" borderId="0" xfId="3" applyFont="1" applyFill="1"/>
    <xf numFmtId="0" fontId="15" fillId="0" borderId="0" xfId="3" applyFont="1"/>
    <xf numFmtId="0" fontId="3" fillId="0" borderId="5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165" fontId="4" fillId="0" borderId="6" xfId="6" applyNumberFormat="1" applyFont="1" applyFill="1" applyBorder="1" applyAlignment="1" applyProtection="1">
      <alignment horizontal="center" vertical="center"/>
    </xf>
    <xf numFmtId="0" fontId="5" fillId="0" borderId="6" xfId="3" applyFont="1" applyBorder="1" applyAlignment="1">
      <alignment horizontal="center" vertical="center"/>
    </xf>
    <xf numFmtId="9" fontId="5" fillId="0" borderId="6" xfId="3" applyNumberFormat="1" applyFont="1" applyBorder="1" applyAlignment="1">
      <alignment horizontal="center" vertical="center"/>
    </xf>
    <xf numFmtId="44" fontId="5" fillId="0" borderId="6" xfId="3" applyNumberFormat="1" applyFont="1" applyBorder="1" applyAlignment="1">
      <alignment vertical="center"/>
    </xf>
    <xf numFmtId="44" fontId="5" fillId="0" borderId="7" xfId="3" applyNumberFormat="1" applyFont="1" applyBorder="1" applyAlignment="1">
      <alignment vertical="center"/>
    </xf>
    <xf numFmtId="0" fontId="5" fillId="4" borderId="5" xfId="3" applyFont="1" applyFill="1" applyBorder="1" applyAlignment="1">
      <alignment horizontal="center" vertical="center" wrapText="1"/>
    </xf>
    <xf numFmtId="0" fontId="18" fillId="0" borderId="52" xfId="0" applyFont="1" applyBorder="1" applyAlignment="1">
      <alignment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44" fontId="18" fillId="0" borderId="53" xfId="0" applyNumberFormat="1" applyFont="1" applyBorder="1" applyAlignment="1">
      <alignment horizontal="justify" vertical="center" wrapText="1"/>
    </xf>
    <xf numFmtId="44" fontId="17" fillId="7" borderId="44" xfId="0" applyNumberFormat="1" applyFont="1" applyFill="1" applyBorder="1" applyAlignment="1">
      <alignment horizontal="center" vertical="center"/>
    </xf>
    <xf numFmtId="44" fontId="0" fillId="0" borderId="0" xfId="0" applyNumberFormat="1"/>
    <xf numFmtId="9" fontId="5" fillId="0" borderId="6" xfId="2" applyFont="1" applyFill="1" applyBorder="1" applyAlignment="1" applyProtection="1">
      <alignment horizontal="center" vertical="center"/>
    </xf>
    <xf numFmtId="9" fontId="5" fillId="0" borderId="6" xfId="2" applyFont="1" applyFill="1" applyBorder="1" applyAlignment="1" applyProtection="1">
      <alignment horizontal="center"/>
    </xf>
    <xf numFmtId="0" fontId="3" fillId="8" borderId="6" xfId="3" applyFont="1" applyFill="1" applyBorder="1" applyProtection="1">
      <protection locked="0"/>
    </xf>
    <xf numFmtId="44" fontId="5" fillId="8" borderId="7" xfId="5" applyFont="1" applyFill="1" applyBorder="1" applyAlignment="1" applyProtection="1">
      <alignment horizontal="center"/>
      <protection locked="0"/>
    </xf>
    <xf numFmtId="165" fontId="5" fillId="8" borderId="6" xfId="6" applyNumberFormat="1" applyFont="1" applyFill="1" applyBorder="1" applyAlignment="1" applyProtection="1">
      <alignment horizontal="center"/>
      <protection locked="0"/>
    </xf>
    <xf numFmtId="44" fontId="10" fillId="8" borderId="7" xfId="5" applyFont="1" applyFill="1" applyBorder="1" applyAlignment="1" applyProtection="1">
      <alignment horizontal="center"/>
      <protection locked="0"/>
    </xf>
    <xf numFmtId="10" fontId="5" fillId="8" borderId="6" xfId="2" applyNumberFormat="1" applyFont="1" applyFill="1" applyBorder="1" applyAlignment="1" applyProtection="1">
      <alignment horizontal="center"/>
      <protection locked="0"/>
    </xf>
    <xf numFmtId="44" fontId="7" fillId="5" borderId="44" xfId="3" applyNumberFormat="1" applyFont="1" applyFill="1" applyBorder="1" applyAlignment="1">
      <alignment vertical="center" wrapText="1"/>
    </xf>
    <xf numFmtId="44" fontId="5" fillId="0" borderId="42" xfId="3" applyNumberFormat="1" applyFont="1" applyBorder="1" applyAlignment="1">
      <alignment vertical="center"/>
    </xf>
    <xf numFmtId="44" fontId="3" fillId="5" borderId="44" xfId="3" applyNumberFormat="1" applyFont="1" applyFill="1" applyBorder="1"/>
    <xf numFmtId="169" fontId="3" fillId="7" borderId="44" xfId="3" applyNumberFormat="1" applyFont="1" applyFill="1" applyBorder="1" applyAlignment="1">
      <alignment horizontal="center"/>
    </xf>
    <xf numFmtId="10" fontId="5" fillId="0" borderId="42" xfId="3" applyNumberFormat="1" applyFont="1" applyBorder="1" applyAlignment="1">
      <alignment horizontal="center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5" fillId="0" borderId="55" xfId="3" applyFont="1" applyBorder="1" applyAlignment="1">
      <alignment horizontal="center" vertical="center" wrapText="1"/>
    </xf>
    <xf numFmtId="167" fontId="5" fillId="0" borderId="55" xfId="3" applyNumberFormat="1" applyFont="1" applyBorder="1" applyAlignment="1">
      <alignment vertical="center"/>
    </xf>
    <xf numFmtId="0" fontId="5" fillId="0" borderId="55" xfId="3" applyFont="1" applyBorder="1" applyAlignment="1">
      <alignment horizontal="center" vertical="center"/>
    </xf>
    <xf numFmtId="44" fontId="5" fillId="0" borderId="55" xfId="5" applyFont="1" applyFill="1" applyBorder="1" applyAlignment="1" applyProtection="1">
      <alignment horizontal="center" vertical="center"/>
    </xf>
    <xf numFmtId="44" fontId="5" fillId="0" borderId="25" xfId="5" applyFont="1" applyFill="1" applyBorder="1" applyAlignment="1" applyProtection="1">
      <alignment horizontal="center" vertical="center"/>
    </xf>
    <xf numFmtId="0" fontId="5" fillId="0" borderId="56" xfId="3" applyFont="1" applyBorder="1" applyAlignment="1">
      <alignment horizontal="center" vertical="center"/>
    </xf>
    <xf numFmtId="0" fontId="5" fillId="0" borderId="57" xfId="3" applyFont="1" applyBorder="1" applyAlignment="1">
      <alignment vertical="center" wrapText="1"/>
    </xf>
    <xf numFmtId="0" fontId="5" fillId="0" borderId="57" xfId="3" applyFont="1" applyBorder="1" applyAlignment="1">
      <alignment horizontal="center" vertical="center" wrapText="1"/>
    </xf>
    <xf numFmtId="0" fontId="5" fillId="0" borderId="58" xfId="3" applyFont="1" applyBorder="1" applyAlignment="1">
      <alignment horizontal="center" vertical="center" wrapText="1"/>
    </xf>
    <xf numFmtId="167" fontId="5" fillId="0" borderId="55" xfId="3" applyNumberFormat="1" applyFont="1" applyBorder="1" applyAlignment="1">
      <alignment horizontal="center" vertical="center" wrapText="1"/>
    </xf>
    <xf numFmtId="44" fontId="3" fillId="5" borderId="54" xfId="3" applyNumberFormat="1" applyFont="1" applyFill="1" applyBorder="1"/>
    <xf numFmtId="0" fontId="0" fillId="0" borderId="39" xfId="0" applyBorder="1" applyAlignment="1">
      <alignment horizontal="center"/>
    </xf>
    <xf numFmtId="169" fontId="3" fillId="7" borderId="54" xfId="3" applyNumberFormat="1" applyFont="1" applyFill="1" applyBorder="1" applyAlignment="1">
      <alignment horizontal="center"/>
    </xf>
    <xf numFmtId="0" fontId="5" fillId="0" borderId="21" xfId="3" applyFont="1" applyBorder="1" applyAlignment="1">
      <alignment horizontal="center" vertical="center"/>
    </xf>
    <xf numFmtId="0" fontId="5" fillId="0" borderId="22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5" fillId="0" borderId="56" xfId="3" applyFont="1" applyBorder="1" applyAlignment="1">
      <alignment horizontal="center" vertical="center" wrapText="1"/>
    </xf>
    <xf numFmtId="167" fontId="5" fillId="0" borderId="57" xfId="3" applyNumberFormat="1" applyFont="1" applyBorder="1" applyAlignment="1">
      <alignment vertical="center"/>
    </xf>
    <xf numFmtId="0" fontId="5" fillId="0" borderId="57" xfId="3" applyFont="1" applyBorder="1" applyAlignment="1">
      <alignment horizontal="center" vertical="center"/>
    </xf>
    <xf numFmtId="44" fontId="5" fillId="0" borderId="57" xfId="5" applyFont="1" applyFill="1" applyBorder="1" applyAlignment="1" applyProtection="1">
      <alignment horizontal="center" vertical="center"/>
    </xf>
    <xf numFmtId="44" fontId="18" fillId="0" borderId="57" xfId="0" applyNumberFormat="1" applyFont="1" applyBorder="1"/>
    <xf numFmtId="44" fontId="5" fillId="0" borderId="58" xfId="5" applyFont="1" applyFill="1" applyBorder="1" applyAlignment="1" applyProtection="1">
      <alignment horizontal="center" vertical="center"/>
    </xf>
    <xf numFmtId="0" fontId="16" fillId="0" borderId="39" xfId="0" applyFont="1" applyBorder="1" applyAlignment="1">
      <alignment vertical="center" wrapText="1"/>
    </xf>
    <xf numFmtId="0" fontId="16" fillId="0" borderId="40" xfId="0" applyFont="1" applyBorder="1" applyAlignment="1">
      <alignment vertical="center" wrapText="1"/>
    </xf>
    <xf numFmtId="44" fontId="18" fillId="0" borderId="64" xfId="0" applyNumberFormat="1" applyFont="1" applyBorder="1" applyAlignment="1">
      <alignment horizontal="center" vertical="center" wrapText="1"/>
    </xf>
    <xf numFmtId="44" fontId="18" fillId="0" borderId="64" xfId="1" applyFont="1" applyBorder="1" applyAlignment="1">
      <alignment horizontal="center" vertical="center" wrapText="1"/>
    </xf>
    <xf numFmtId="0" fontId="18" fillId="9" borderId="49" xfId="0" applyFont="1" applyFill="1" applyBorder="1" applyAlignment="1">
      <alignment horizontal="center" vertical="center" wrapText="1"/>
    </xf>
    <xf numFmtId="0" fontId="18" fillId="9" borderId="50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18" fillId="9" borderId="44" xfId="0" applyFont="1" applyFill="1" applyBorder="1" applyAlignment="1">
      <alignment horizontal="center" vertical="center" wrapText="1"/>
    </xf>
    <xf numFmtId="44" fontId="17" fillId="0" borderId="54" xfId="0" applyNumberFormat="1" applyFont="1" applyBorder="1" applyAlignment="1">
      <alignment horizontal="justify" vertical="center" wrapText="1"/>
    </xf>
    <xf numFmtId="44" fontId="18" fillId="0" borderId="51" xfId="0" applyNumberFormat="1" applyFont="1" applyBorder="1" applyAlignment="1">
      <alignment horizontal="center" vertical="center" wrapText="1"/>
    </xf>
    <xf numFmtId="0" fontId="3" fillId="0" borderId="49" xfId="3" applyFont="1" applyBorder="1"/>
    <xf numFmtId="0" fontId="3" fillId="0" borderId="50" xfId="3" applyFont="1" applyBorder="1"/>
    <xf numFmtId="0" fontId="1" fillId="2" borderId="0" xfId="12" applyFill="1" applyAlignment="1">
      <alignment vertical="center"/>
    </xf>
    <xf numFmtId="165" fontId="5" fillId="12" borderId="6" xfId="6" applyNumberFormat="1" applyFont="1" applyFill="1" applyBorder="1" applyAlignment="1" applyProtection="1">
      <alignment horizontal="center"/>
      <protection locked="0"/>
    </xf>
    <xf numFmtId="10" fontId="5" fillId="12" borderId="6" xfId="2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8" borderId="50" xfId="0" applyFill="1" applyBorder="1"/>
    <xf numFmtId="0" fontId="0" fillId="8" borderId="51" xfId="0" applyFill="1" applyBorder="1" applyAlignment="1">
      <alignment wrapText="1"/>
    </xf>
    <xf numFmtId="0" fontId="0" fillId="8" borderId="48" xfId="0" applyFill="1" applyBorder="1"/>
    <xf numFmtId="0" fontId="0" fillId="8" borderId="21" xfId="0" applyFill="1" applyBorder="1"/>
    <xf numFmtId="0" fontId="0" fillId="8" borderId="23" xfId="0" applyFill="1" applyBorder="1"/>
    <xf numFmtId="0" fontId="0" fillId="8" borderId="67" xfId="0" applyFill="1" applyBorder="1"/>
    <xf numFmtId="0" fontId="0" fillId="8" borderId="5" xfId="0" applyFill="1" applyBorder="1"/>
    <xf numFmtId="0" fontId="0" fillId="8" borderId="7" xfId="0" applyFill="1" applyBorder="1"/>
    <xf numFmtId="0" fontId="0" fillId="8" borderId="74" xfId="0" applyFill="1" applyBorder="1"/>
    <xf numFmtId="0" fontId="0" fillId="8" borderId="56" xfId="0" applyFill="1" applyBorder="1"/>
    <xf numFmtId="0" fontId="0" fillId="8" borderId="58" xfId="0" applyFill="1" applyBorder="1"/>
    <xf numFmtId="0" fontId="0" fillId="8" borderId="75" xfId="0" applyFill="1" applyBorder="1"/>
    <xf numFmtId="0" fontId="0" fillId="8" borderId="21" xfId="0" applyFill="1" applyBorder="1" applyAlignment="1">
      <alignment wrapText="1"/>
    </xf>
    <xf numFmtId="0" fontId="0" fillId="8" borderId="23" xfId="0" applyFill="1" applyBorder="1" applyAlignment="1">
      <alignment wrapText="1"/>
    </xf>
    <xf numFmtId="0" fontId="0" fillId="8" borderId="5" xfId="0" applyFill="1" applyBorder="1" applyAlignment="1">
      <alignment wrapText="1"/>
    </xf>
    <xf numFmtId="0" fontId="0" fillId="8" borderId="7" xfId="0" applyFill="1" applyBorder="1" applyAlignment="1">
      <alignment wrapText="1"/>
    </xf>
    <xf numFmtId="0" fontId="0" fillId="8" borderId="56" xfId="0" applyFill="1" applyBorder="1" applyAlignment="1">
      <alignment wrapText="1"/>
    </xf>
    <xf numFmtId="0" fontId="0" fillId="8" borderId="58" xfId="0" applyFill="1" applyBorder="1" applyAlignment="1">
      <alignment wrapText="1"/>
    </xf>
    <xf numFmtId="0" fontId="0" fillId="8" borderId="63" xfId="0" applyFill="1" applyBorder="1" applyAlignment="1">
      <alignment wrapText="1"/>
    </xf>
    <xf numFmtId="0" fontId="0" fillId="8" borderId="62" xfId="0" applyFill="1" applyBorder="1" applyAlignment="1">
      <alignment wrapText="1"/>
    </xf>
    <xf numFmtId="0" fontId="0" fillId="8" borderId="61" xfId="0" applyFill="1" applyBorder="1" applyAlignment="1">
      <alignment wrapText="1"/>
    </xf>
    <xf numFmtId="0" fontId="0" fillId="8" borderId="60" xfId="0" applyFill="1" applyBorder="1" applyAlignment="1">
      <alignment wrapText="1"/>
    </xf>
    <xf numFmtId="0" fontId="0" fillId="19" borderId="63" xfId="0" applyFill="1" applyBorder="1" applyAlignment="1">
      <alignment wrapText="1"/>
    </xf>
    <xf numFmtId="0" fontId="0" fillId="19" borderId="62" xfId="0" applyFill="1" applyBorder="1"/>
    <xf numFmtId="0" fontId="0" fillId="19" borderId="67" xfId="0" applyFill="1" applyBorder="1"/>
    <xf numFmtId="0" fontId="0" fillId="19" borderId="74" xfId="0" applyFill="1" applyBorder="1"/>
    <xf numFmtId="0" fontId="0" fillId="19" borderId="61" xfId="0" applyFill="1" applyBorder="1" applyAlignment="1">
      <alignment wrapText="1"/>
    </xf>
    <xf numFmtId="0" fontId="0" fillId="19" borderId="60" xfId="0" applyFill="1" applyBorder="1"/>
    <xf numFmtId="0" fontId="0" fillId="19" borderId="75" xfId="0" applyFill="1" applyBorder="1"/>
    <xf numFmtId="0" fontId="0" fillId="19" borderId="21" xfId="0" applyFill="1" applyBorder="1"/>
    <xf numFmtId="0" fontId="0" fillId="19" borderId="23" xfId="0" applyFill="1" applyBorder="1"/>
    <xf numFmtId="0" fontId="0" fillId="19" borderId="5" xfId="0" applyFill="1" applyBorder="1"/>
    <xf numFmtId="0" fontId="0" fillId="19" borderId="7" xfId="0" applyFill="1" applyBorder="1"/>
    <xf numFmtId="0" fontId="0" fillId="19" borderId="56" xfId="0" applyFill="1" applyBorder="1"/>
    <xf numFmtId="0" fontId="0" fillId="19" borderId="58" xfId="0" applyFill="1" applyBorder="1"/>
    <xf numFmtId="0" fontId="0" fillId="19" borderId="50" xfId="0" applyFill="1" applyBorder="1" applyAlignment="1">
      <alignment horizontal="center" vertical="center"/>
    </xf>
    <xf numFmtId="0" fontId="0" fillId="19" borderId="51" xfId="0" applyFill="1" applyBorder="1" applyAlignment="1">
      <alignment horizontal="center" vertical="center" wrapText="1"/>
    </xf>
    <xf numFmtId="0" fontId="0" fillId="19" borderId="48" xfId="0" applyFill="1" applyBorder="1"/>
    <xf numFmtId="0" fontId="0" fillId="8" borderId="59" xfId="0" applyFill="1" applyBorder="1"/>
    <xf numFmtId="0" fontId="0" fillId="19" borderId="59" xfId="0" applyFill="1" applyBorder="1" applyAlignment="1">
      <alignment horizontal="center" vertical="center"/>
    </xf>
    <xf numFmtId="0" fontId="0" fillId="8" borderId="39" xfId="0" applyFill="1" applyBorder="1"/>
    <xf numFmtId="0" fontId="0" fillId="19" borderId="39" xfId="0" applyFill="1" applyBorder="1"/>
    <xf numFmtId="0" fontId="0" fillId="8" borderId="46" xfId="0" applyFill="1" applyBorder="1"/>
    <xf numFmtId="0" fontId="0" fillId="8" borderId="77" xfId="0" applyFill="1" applyBorder="1"/>
    <xf numFmtId="0" fontId="0" fillId="19" borderId="45" xfId="0" applyFill="1" applyBorder="1"/>
    <xf numFmtId="0" fontId="0" fillId="19" borderId="8" xfId="0" applyFill="1" applyBorder="1"/>
    <xf numFmtId="0" fontId="0" fillId="19" borderId="76" xfId="0" applyFill="1" applyBorder="1"/>
    <xf numFmtId="0" fontId="0" fillId="8" borderId="45" xfId="0" applyFill="1" applyBorder="1"/>
    <xf numFmtId="0" fontId="0" fillId="8" borderId="76" xfId="0" applyFill="1" applyBorder="1"/>
    <xf numFmtId="0" fontId="0" fillId="18" borderId="38" xfId="0" applyFill="1" applyBorder="1"/>
    <xf numFmtId="0" fontId="0" fillId="18" borderId="39" xfId="0" applyFill="1" applyBorder="1"/>
    <xf numFmtId="0" fontId="0" fillId="18" borderId="40" xfId="0" applyFill="1" applyBorder="1"/>
    <xf numFmtId="0" fontId="16" fillId="20" borderId="48" xfId="0" applyFont="1" applyFill="1" applyBorder="1" applyAlignment="1">
      <alignment vertical="center" wrapText="1"/>
    </xf>
    <xf numFmtId="0" fontId="16" fillId="12" borderId="48" xfId="0" applyFont="1" applyFill="1" applyBorder="1" applyAlignment="1">
      <alignment vertical="center" wrapText="1"/>
    </xf>
    <xf numFmtId="44" fontId="5" fillId="12" borderId="7" xfId="5" applyFont="1" applyFill="1" applyBorder="1" applyAlignment="1" applyProtection="1">
      <alignment horizontal="center" vertical="center"/>
    </xf>
    <xf numFmtId="44" fontId="5" fillId="12" borderId="7" xfId="5" applyFont="1" applyFill="1" applyBorder="1" applyAlignment="1" applyProtection="1">
      <alignment horizontal="center"/>
    </xf>
    <xf numFmtId="44" fontId="5" fillId="12" borderId="7" xfId="5" applyFont="1" applyFill="1" applyBorder="1" applyAlignment="1" applyProtection="1">
      <alignment horizontal="center"/>
      <protection locked="0"/>
    </xf>
    <xf numFmtId="0" fontId="21" fillId="18" borderId="78" xfId="0" applyFont="1" applyFill="1" applyBorder="1" applyAlignment="1">
      <alignment horizontal="center" vertical="center"/>
    </xf>
    <xf numFmtId="0" fontId="21" fillId="18" borderId="65" xfId="0" applyFont="1" applyFill="1" applyBorder="1" applyAlignment="1">
      <alignment horizontal="center" vertical="center"/>
    </xf>
    <xf numFmtId="0" fontId="21" fillId="18" borderId="65" xfId="0" applyFont="1" applyFill="1" applyBorder="1" applyAlignment="1">
      <alignment horizontal="center" vertical="center" wrapText="1"/>
    </xf>
    <xf numFmtId="0" fontId="21" fillId="18" borderId="66" xfId="0" applyFont="1" applyFill="1" applyBorder="1" applyAlignment="1">
      <alignment horizontal="center" vertical="center" wrapText="1"/>
    </xf>
    <xf numFmtId="0" fontId="0" fillId="8" borderId="68" xfId="0" applyFill="1" applyBorder="1"/>
    <xf numFmtId="0" fontId="0" fillId="19" borderId="78" xfId="0" applyFill="1" applyBorder="1" applyAlignment="1">
      <alignment wrapText="1"/>
    </xf>
    <xf numFmtId="0" fontId="0" fillId="19" borderId="66" xfId="0" applyFill="1" applyBorder="1" applyAlignment="1">
      <alignment wrapText="1"/>
    </xf>
    <xf numFmtId="0" fontId="0" fillId="12" borderId="70" xfId="0" applyFill="1" applyBorder="1" applyAlignment="1">
      <alignment vertical="center"/>
    </xf>
    <xf numFmtId="0" fontId="0" fillId="12" borderId="71" xfId="0" applyFill="1" applyBorder="1" applyAlignment="1">
      <alignment vertical="center"/>
    </xf>
    <xf numFmtId="0" fontId="0" fillId="12" borderId="72" xfId="0" applyFill="1" applyBorder="1" applyAlignment="1">
      <alignment vertical="center"/>
    </xf>
    <xf numFmtId="0" fontId="0" fillId="21" borderId="0" xfId="0" applyFill="1"/>
    <xf numFmtId="0" fontId="0" fillId="12" borderId="0" xfId="0" applyFill="1"/>
    <xf numFmtId="0" fontId="0" fillId="22" borderId="0" xfId="0" applyFill="1"/>
    <xf numFmtId="0" fontId="22" fillId="0" borderId="0" xfId="0" applyFont="1"/>
    <xf numFmtId="0" fontId="0" fillId="2" borderId="0" xfId="0" applyFill="1" applyBorder="1"/>
    <xf numFmtId="170" fontId="22" fillId="2" borderId="0" xfId="12" applyNumberFormat="1" applyFont="1" applyFill="1" applyAlignment="1">
      <alignment vertical="center"/>
    </xf>
    <xf numFmtId="170" fontId="24" fillId="2" borderId="0" xfId="12" applyNumberFormat="1" applyFont="1" applyFill="1" applyAlignment="1">
      <alignment vertical="center" wrapText="1"/>
    </xf>
    <xf numFmtId="0" fontId="22" fillId="2" borderId="0" xfId="12" applyFont="1" applyFill="1" applyAlignment="1">
      <alignment vertical="center"/>
    </xf>
    <xf numFmtId="44" fontId="22" fillId="2" borderId="0" xfId="1" applyFont="1" applyFill="1" applyAlignment="1">
      <alignment vertical="center"/>
    </xf>
    <xf numFmtId="0" fontId="26" fillId="11" borderId="65" xfId="12" applyFont="1" applyFill="1" applyBorder="1" applyAlignment="1">
      <alignment horizontal="center" vertical="center"/>
    </xf>
    <xf numFmtId="0" fontId="26" fillId="11" borderId="65" xfId="12" applyFont="1" applyFill="1" applyBorder="1" applyAlignment="1">
      <alignment horizontal="center" vertical="center" wrapText="1"/>
    </xf>
    <xf numFmtId="44" fontId="26" fillId="8" borderId="66" xfId="1" applyFont="1" applyFill="1" applyBorder="1" applyAlignment="1">
      <alignment horizontal="center" vertical="center" wrapText="1"/>
    </xf>
    <xf numFmtId="0" fontId="26" fillId="12" borderId="67" xfId="12" applyFont="1" applyFill="1" applyBorder="1" applyAlignment="1">
      <alignment horizontal="center" vertical="center" wrapText="1"/>
    </xf>
    <xf numFmtId="44" fontId="26" fillId="13" borderId="67" xfId="1" applyFont="1" applyFill="1" applyBorder="1" applyAlignment="1">
      <alignment horizontal="center" vertical="center" wrapText="1"/>
    </xf>
    <xf numFmtId="0" fontId="26" fillId="11" borderId="68" xfId="12" applyFont="1" applyFill="1" applyBorder="1" applyAlignment="1">
      <alignment horizontal="center" vertical="center" wrapText="1"/>
    </xf>
    <xf numFmtId="44" fontId="26" fillId="14" borderId="67" xfId="1" applyFont="1" applyFill="1" applyBorder="1" applyAlignment="1">
      <alignment horizontal="center" vertical="center" wrapText="1"/>
    </xf>
    <xf numFmtId="0" fontId="27" fillId="0" borderId="65" xfId="12" applyFont="1" applyBorder="1" applyAlignment="1">
      <alignment horizontal="center" vertical="center" wrapText="1"/>
    </xf>
    <xf numFmtId="44" fontId="22" fillId="8" borderId="66" xfId="1" applyFont="1" applyFill="1" applyBorder="1" applyAlignment="1">
      <alignment vertical="center"/>
    </xf>
    <xf numFmtId="44" fontId="22" fillId="13" borderId="69" xfId="1" applyFont="1" applyFill="1" applyBorder="1" applyAlignment="1">
      <alignment horizontal="center" vertical="center"/>
    </xf>
    <xf numFmtId="3" fontId="22" fillId="2" borderId="68" xfId="12" applyNumberFormat="1" applyFont="1" applyFill="1" applyBorder="1" applyAlignment="1">
      <alignment horizontal="center" vertical="center"/>
    </xf>
    <xf numFmtId="44" fontId="22" fillId="14" borderId="69" xfId="1" applyFont="1" applyFill="1" applyBorder="1" applyAlignment="1">
      <alignment horizontal="center" vertical="center"/>
    </xf>
    <xf numFmtId="170" fontId="26" fillId="0" borderId="65" xfId="12" applyNumberFormat="1" applyFont="1" applyBorder="1" applyAlignment="1">
      <alignment horizontal="center" vertical="center"/>
    </xf>
    <xf numFmtId="44" fontId="22" fillId="8" borderId="66" xfId="1" applyFont="1" applyFill="1" applyBorder="1" applyAlignment="1">
      <alignment horizontal="center" vertical="center"/>
    </xf>
    <xf numFmtId="0" fontId="24" fillId="12" borderId="70" xfId="12" applyFont="1" applyFill="1" applyBorder="1" applyAlignment="1">
      <alignment horizontal="center" vertical="center" wrapText="1"/>
    </xf>
    <xf numFmtId="0" fontId="24" fillId="13" borderId="70" xfId="12" applyFont="1" applyFill="1" applyBorder="1" applyAlignment="1">
      <alignment horizontal="center" vertical="center"/>
    </xf>
    <xf numFmtId="0" fontId="24" fillId="14" borderId="71" xfId="12" applyFont="1" applyFill="1" applyBorder="1" applyAlignment="1">
      <alignment horizontal="center" vertical="center" wrapText="1"/>
    </xf>
    <xf numFmtId="0" fontId="28" fillId="12" borderId="72" xfId="12" applyFont="1" applyFill="1" applyBorder="1" applyAlignment="1">
      <alignment horizontal="center" vertical="center"/>
    </xf>
    <xf numFmtId="172" fontId="22" fillId="13" borderId="72" xfId="12" applyNumberFormat="1" applyFont="1" applyFill="1" applyBorder="1" applyAlignment="1">
      <alignment vertical="center"/>
    </xf>
    <xf numFmtId="172" fontId="29" fillId="14" borderId="72" xfId="12" applyNumberFormat="1" applyFont="1" applyFill="1" applyBorder="1" applyAlignment="1">
      <alignment vertical="center"/>
    </xf>
    <xf numFmtId="170" fontId="34" fillId="0" borderId="65" xfId="12" applyNumberFormat="1" applyFont="1" applyBorder="1" applyAlignment="1">
      <alignment horizontal="left" vertical="center" wrapText="1"/>
    </xf>
    <xf numFmtId="170" fontId="26" fillId="2" borderId="65" xfId="12" applyNumberFormat="1" applyFont="1" applyFill="1" applyBorder="1" applyAlignment="1">
      <alignment horizontal="center" vertical="center"/>
    </xf>
    <xf numFmtId="0" fontId="24" fillId="24" borderId="69" xfId="12" applyFont="1" applyFill="1" applyBorder="1" applyAlignment="1">
      <alignment horizontal="center" vertical="center"/>
    </xf>
    <xf numFmtId="44" fontId="22" fillId="2" borderId="16" xfId="1" applyFont="1" applyFill="1" applyBorder="1" applyAlignment="1">
      <alignment vertical="center"/>
    </xf>
    <xf numFmtId="44" fontId="22" fillId="2" borderId="1" xfId="1" applyFont="1" applyFill="1" applyBorder="1" applyAlignment="1">
      <alignment vertical="center"/>
    </xf>
    <xf numFmtId="0" fontId="5" fillId="2" borderId="5" xfId="3" applyFont="1" applyFill="1" applyBorder="1" applyAlignment="1">
      <alignment horizontal="center"/>
    </xf>
    <xf numFmtId="44" fontId="5" fillId="2" borderId="7" xfId="5" applyFont="1" applyFill="1" applyBorder="1" applyAlignment="1" applyProtection="1">
      <alignment horizontal="center"/>
    </xf>
    <xf numFmtId="10" fontId="5" fillId="17" borderId="6" xfId="2" applyNumberFormat="1" applyFont="1" applyFill="1" applyBorder="1" applyAlignment="1" applyProtection="1">
      <alignment horizontal="center"/>
      <protection locked="0"/>
    </xf>
    <xf numFmtId="4" fontId="36" fillId="2" borderId="0" xfId="0" applyNumberFormat="1" applyFont="1" applyFill="1"/>
    <xf numFmtId="0" fontId="22" fillId="2" borderId="0" xfId="0" applyFont="1" applyFill="1"/>
    <xf numFmtId="165" fontId="5" fillId="2" borderId="6" xfId="6" applyNumberFormat="1" applyFont="1" applyFill="1" applyBorder="1" applyAlignment="1" applyProtection="1">
      <alignment horizontal="center"/>
      <protection locked="0"/>
    </xf>
    <xf numFmtId="0" fontId="3" fillId="2" borderId="7" xfId="3" applyFont="1" applyFill="1" applyBorder="1" applyAlignment="1">
      <alignment horizontal="center" vertical="center"/>
    </xf>
    <xf numFmtId="44" fontId="5" fillId="2" borderId="7" xfId="5" applyFont="1" applyFill="1" applyBorder="1" applyAlignment="1" applyProtection="1">
      <alignment horizontal="center" vertical="center"/>
    </xf>
    <xf numFmtId="44" fontId="10" fillId="2" borderId="7" xfId="5" applyFont="1" applyFill="1" applyBorder="1" applyAlignment="1" applyProtection="1">
      <alignment horizontal="center"/>
      <protection locked="0"/>
    </xf>
    <xf numFmtId="44" fontId="5" fillId="2" borderId="7" xfId="5" applyFont="1" applyFill="1" applyBorder="1" applyAlignment="1" applyProtection="1">
      <alignment horizontal="center"/>
      <protection locked="0"/>
    </xf>
    <xf numFmtId="44" fontId="5" fillId="24" borderId="7" xfId="5" applyFont="1" applyFill="1" applyBorder="1" applyAlignment="1" applyProtection="1">
      <alignment horizontal="center" vertical="center"/>
    </xf>
    <xf numFmtId="44" fontId="5" fillId="24" borderId="7" xfId="5" applyFont="1" applyFill="1" applyBorder="1" applyAlignment="1" applyProtection="1">
      <alignment horizontal="center"/>
    </xf>
    <xf numFmtId="44" fontId="5" fillId="24" borderId="7" xfId="5" applyFont="1" applyFill="1" applyBorder="1" applyAlignment="1" applyProtection="1">
      <alignment horizontal="center"/>
      <protection locked="0"/>
    </xf>
    <xf numFmtId="10" fontId="5" fillId="24" borderId="6" xfId="2" applyNumberFormat="1" applyFont="1" applyFill="1" applyBorder="1" applyAlignment="1" applyProtection="1">
      <alignment horizontal="center"/>
      <protection locked="0"/>
    </xf>
    <xf numFmtId="0" fontId="5" fillId="24" borderId="5" xfId="3" applyFont="1" applyFill="1" applyBorder="1" applyAlignment="1">
      <alignment horizontal="center"/>
    </xf>
    <xf numFmtId="165" fontId="5" fillId="24" borderId="6" xfId="6" applyNumberFormat="1" applyFont="1" applyFill="1" applyBorder="1" applyAlignment="1" applyProtection="1">
      <alignment horizontal="center"/>
      <protection locked="0"/>
    </xf>
    <xf numFmtId="167" fontId="5" fillId="24" borderId="7" xfId="3" applyNumberFormat="1" applyFont="1" applyFill="1" applyBorder="1" applyAlignment="1">
      <alignment horizontal="center" vertical="center"/>
    </xf>
    <xf numFmtId="0" fontId="37" fillId="2" borderId="0" xfId="3" applyFont="1" applyFill="1"/>
    <xf numFmtId="166" fontId="37" fillId="2" borderId="0" xfId="3" applyNumberFormat="1" applyFont="1" applyFill="1"/>
    <xf numFmtId="0" fontId="38" fillId="0" borderId="0" xfId="0" applyFont="1"/>
    <xf numFmtId="165" fontId="5" fillId="24" borderId="6" xfId="6" applyNumberFormat="1" applyFont="1" applyFill="1" applyBorder="1" applyAlignment="1" applyProtection="1">
      <alignment horizontal="center"/>
    </xf>
    <xf numFmtId="0" fontId="5" fillId="22" borderId="5" xfId="4" applyFont="1" applyFill="1" applyBorder="1" applyAlignment="1">
      <alignment horizontal="center" vertical="center" wrapText="1"/>
    </xf>
    <xf numFmtId="9" fontId="10" fillId="22" borderId="6" xfId="3" applyNumberFormat="1" applyFont="1" applyFill="1" applyBorder="1" applyAlignment="1">
      <alignment horizontal="center"/>
    </xf>
    <xf numFmtId="0" fontId="39" fillId="22" borderId="5" xfId="4" applyFont="1" applyFill="1" applyBorder="1" applyAlignment="1">
      <alignment horizontal="center" vertical="center" wrapText="1"/>
    </xf>
    <xf numFmtId="9" fontId="39" fillId="22" borderId="6" xfId="3" applyNumberFormat="1" applyFont="1" applyFill="1" applyBorder="1" applyAlignment="1">
      <alignment horizontal="center"/>
    </xf>
    <xf numFmtId="44" fontId="10" fillId="22" borderId="7" xfId="5" applyFont="1" applyFill="1" applyBorder="1" applyAlignment="1" applyProtection="1">
      <alignment horizontal="center"/>
    </xf>
    <xf numFmtId="44" fontId="39" fillId="22" borderId="7" xfId="5" applyFont="1" applyFill="1" applyBorder="1" applyAlignment="1" applyProtection="1">
      <alignment horizontal="center"/>
    </xf>
    <xf numFmtId="0" fontId="40" fillId="2" borderId="0" xfId="3" applyFont="1" applyFill="1"/>
    <xf numFmtId="166" fontId="40" fillId="2" borderId="0" xfId="3" applyNumberFormat="1" applyFont="1" applyFill="1"/>
    <xf numFmtId="0" fontId="41" fillId="0" borderId="0" xfId="0" applyFont="1"/>
    <xf numFmtId="0" fontId="40" fillId="2" borderId="0" xfId="3" applyFont="1" applyFill="1" applyAlignment="1">
      <alignment horizontal="center"/>
    </xf>
    <xf numFmtId="0" fontId="5" fillId="14" borderId="5" xfId="3" applyFont="1" applyFill="1" applyBorder="1" applyAlignment="1">
      <alignment horizontal="center" vertical="center" wrapText="1"/>
    </xf>
    <xf numFmtId="0" fontId="5" fillId="21" borderId="5" xfId="3" applyFont="1" applyFill="1" applyBorder="1" applyAlignment="1">
      <alignment horizontal="center" vertical="top" wrapText="1"/>
    </xf>
    <xf numFmtId="0" fontId="5" fillId="14" borderId="5" xfId="3" applyFont="1" applyFill="1" applyBorder="1" applyAlignment="1">
      <alignment horizontal="center" vertical="center"/>
    </xf>
    <xf numFmtId="0" fontId="5" fillId="20" borderId="5" xfId="3" applyFont="1" applyFill="1" applyBorder="1" applyAlignment="1">
      <alignment horizontal="center" vertical="center" wrapText="1"/>
    </xf>
    <xf numFmtId="0" fontId="5" fillId="25" borderId="5" xfId="3" applyFont="1" applyFill="1" applyBorder="1" applyAlignment="1">
      <alignment horizontal="center" vertical="center" wrapText="1"/>
    </xf>
    <xf numFmtId="0" fontId="5" fillId="25" borderId="5" xfId="3" applyFont="1" applyFill="1" applyBorder="1" applyAlignment="1">
      <alignment horizontal="center" vertical="top" wrapText="1"/>
    </xf>
    <xf numFmtId="0" fontId="3" fillId="8" borderId="8" xfId="3" applyFont="1" applyFill="1" applyBorder="1" applyAlignment="1" applyProtection="1">
      <alignment horizontal="left"/>
      <protection locked="0"/>
    </xf>
    <xf numFmtId="0" fontId="3" fillId="8" borderId="9" xfId="3" applyFont="1" applyFill="1" applyBorder="1" applyAlignment="1" applyProtection="1">
      <alignment horizontal="left"/>
      <protection locked="0"/>
    </xf>
    <xf numFmtId="0" fontId="3" fillId="8" borderId="10" xfId="3" applyFont="1" applyFill="1" applyBorder="1" applyAlignment="1" applyProtection="1">
      <alignment horizontal="left"/>
      <protection locked="0"/>
    </xf>
    <xf numFmtId="0" fontId="3" fillId="8" borderId="11" xfId="3" applyFont="1" applyFill="1" applyBorder="1" applyAlignment="1" applyProtection="1">
      <alignment horizontal="left"/>
      <protection locked="0"/>
    </xf>
    <xf numFmtId="0" fontId="3" fillId="8" borderId="12" xfId="3" applyFont="1" applyFill="1" applyBorder="1" applyAlignment="1" applyProtection="1">
      <alignment horizontal="left"/>
      <protection locked="0"/>
    </xf>
    <xf numFmtId="0" fontId="3" fillId="8" borderId="5" xfId="3" applyFont="1" applyFill="1" applyBorder="1" applyAlignment="1" applyProtection="1">
      <alignment horizontal="left"/>
      <protection locked="0"/>
    </xf>
    <xf numFmtId="0" fontId="3" fillId="8" borderId="6" xfId="3" applyFont="1" applyFill="1" applyBorder="1" applyAlignment="1" applyProtection="1">
      <alignment horizontal="left"/>
      <protection locked="0"/>
    </xf>
    <xf numFmtId="0" fontId="3" fillId="8" borderId="7" xfId="3" applyFont="1" applyFill="1" applyBorder="1" applyAlignment="1" applyProtection="1">
      <alignment horizontal="left"/>
      <protection locked="0"/>
    </xf>
    <xf numFmtId="0" fontId="17" fillId="6" borderId="38" xfId="0" applyFont="1" applyFill="1" applyBorder="1" applyAlignment="1">
      <alignment horizontal="center" vertical="center" wrapText="1"/>
    </xf>
    <xf numFmtId="0" fontId="17" fillId="6" borderId="39" xfId="0" applyFont="1" applyFill="1" applyBorder="1" applyAlignment="1">
      <alignment horizontal="center" vertical="center" wrapText="1"/>
    </xf>
    <xf numFmtId="0" fontId="17" fillId="6" borderId="59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171" fontId="23" fillId="23" borderId="0" xfId="12" applyNumberFormat="1" applyFont="1" applyFill="1" applyBorder="1" applyAlignment="1">
      <alignment horizontal="center" vertical="center"/>
    </xf>
    <xf numFmtId="170" fontId="23" fillId="23" borderId="24" xfId="12" applyNumberFormat="1" applyFont="1" applyFill="1" applyBorder="1" applyAlignment="1">
      <alignment horizontal="center" vertical="center"/>
    </xf>
    <xf numFmtId="170" fontId="23" fillId="23" borderId="0" xfId="12" applyNumberFormat="1" applyFont="1" applyFill="1" applyBorder="1" applyAlignment="1">
      <alignment horizontal="center" vertical="center"/>
    </xf>
    <xf numFmtId="0" fontId="35" fillId="17" borderId="17" xfId="0" applyFont="1" applyFill="1" applyBorder="1" applyAlignment="1">
      <alignment horizontal="center" vertical="center"/>
    </xf>
    <xf numFmtId="0" fontId="35" fillId="17" borderId="14" xfId="0" applyFont="1" applyFill="1" applyBorder="1" applyAlignment="1">
      <alignment horizontal="center" vertical="center"/>
    </xf>
    <xf numFmtId="40" fontId="0" fillId="0" borderId="0" xfId="0" applyNumberFormat="1" applyAlignment="1">
      <alignment horizontal="center"/>
    </xf>
    <xf numFmtId="171" fontId="20" fillId="12" borderId="0" xfId="0" applyNumberFormat="1" applyFont="1" applyFill="1" applyAlignment="1">
      <alignment horizontal="center"/>
    </xf>
    <xf numFmtId="0" fontId="20" fillId="1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5" fillId="10" borderId="21" xfId="12" applyFont="1" applyFill="1" applyBorder="1" applyAlignment="1">
      <alignment horizontal="center" vertical="center"/>
    </xf>
    <xf numFmtId="0" fontId="25" fillId="10" borderId="22" xfId="12" applyFont="1" applyFill="1" applyBorder="1" applyAlignment="1">
      <alignment horizontal="center" vertical="center"/>
    </xf>
    <xf numFmtId="0" fontId="25" fillId="10" borderId="3" xfId="12" applyFont="1" applyFill="1" applyBorder="1" applyAlignment="1">
      <alignment horizontal="center" vertical="center"/>
    </xf>
    <xf numFmtId="0" fontId="25" fillId="10" borderId="4" xfId="12" applyFont="1" applyFill="1" applyBorder="1" applyAlignment="1">
      <alignment horizontal="center" vertical="center"/>
    </xf>
    <xf numFmtId="170" fontId="22" fillId="0" borderId="0" xfId="12" applyNumberFormat="1" applyFont="1" applyAlignment="1">
      <alignment horizontal="center" vertical="center"/>
    </xf>
    <xf numFmtId="170" fontId="30" fillId="15" borderId="15" xfId="12" applyNumberFormat="1" applyFont="1" applyFill="1" applyBorder="1" applyAlignment="1">
      <alignment horizontal="center" vertical="center"/>
    </xf>
    <xf numFmtId="170" fontId="30" fillId="15" borderId="16" xfId="12" applyNumberFormat="1" applyFont="1" applyFill="1" applyBorder="1" applyAlignment="1">
      <alignment horizontal="center" vertical="center"/>
    </xf>
    <xf numFmtId="170" fontId="30" fillId="15" borderId="13" xfId="12" applyNumberFormat="1" applyFont="1" applyFill="1" applyBorder="1" applyAlignment="1">
      <alignment horizontal="center" vertical="center"/>
    </xf>
    <xf numFmtId="170" fontId="30" fillId="15" borderId="1" xfId="12" applyNumberFormat="1" applyFont="1" applyFill="1" applyBorder="1" applyAlignment="1">
      <alignment horizontal="center" vertical="center"/>
    </xf>
    <xf numFmtId="3" fontId="31" fillId="16" borderId="70" xfId="1" applyNumberFormat="1" applyFont="1" applyFill="1" applyBorder="1" applyAlignment="1">
      <alignment horizontal="center" vertical="center"/>
    </xf>
    <xf numFmtId="3" fontId="31" fillId="16" borderId="72" xfId="1" applyNumberFormat="1" applyFont="1" applyFill="1" applyBorder="1" applyAlignment="1">
      <alignment horizontal="center" vertical="center"/>
    </xf>
    <xf numFmtId="170" fontId="32" fillId="15" borderId="70" xfId="12" applyNumberFormat="1" applyFont="1" applyFill="1" applyBorder="1" applyAlignment="1">
      <alignment horizontal="center" vertical="center"/>
    </xf>
    <xf numFmtId="170" fontId="32" fillId="15" borderId="72" xfId="12" applyNumberFormat="1" applyFont="1" applyFill="1" applyBorder="1" applyAlignment="1">
      <alignment horizontal="center" vertical="center"/>
    </xf>
    <xf numFmtId="44" fontId="33" fillId="17" borderId="70" xfId="1" applyFont="1" applyFill="1" applyBorder="1" applyAlignment="1">
      <alignment horizontal="center" vertical="center"/>
    </xf>
    <xf numFmtId="44" fontId="33" fillId="17" borderId="72" xfId="1" applyFont="1" applyFill="1" applyBorder="1" applyAlignment="1">
      <alignment horizontal="center" vertical="center"/>
    </xf>
    <xf numFmtId="0" fontId="3" fillId="6" borderId="52" xfId="3" applyFont="1" applyFill="1" applyBorder="1" applyAlignment="1">
      <alignment horizontal="center"/>
    </xf>
    <xf numFmtId="0" fontId="3" fillId="6" borderId="53" xfId="3" applyFont="1" applyFill="1" applyBorder="1" applyAlignment="1">
      <alignment horizontal="center"/>
    </xf>
    <xf numFmtId="0" fontId="5" fillId="0" borderId="5" xfId="3" applyFont="1" applyBorder="1" applyAlignment="1">
      <alignment horizontal="left" vertical="center"/>
    </xf>
    <xf numFmtId="0" fontId="5" fillId="0" borderId="6" xfId="3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 wrapText="1"/>
    </xf>
    <xf numFmtId="0" fontId="5" fillId="0" borderId="6" xfId="3" applyFont="1" applyBorder="1" applyAlignment="1">
      <alignment horizontal="left" vertical="center" wrapText="1"/>
    </xf>
    <xf numFmtId="0" fontId="5" fillId="0" borderId="41" xfId="3" applyFont="1" applyBorder="1" applyAlignment="1">
      <alignment horizontal="left"/>
    </xf>
    <xf numFmtId="0" fontId="5" fillId="0" borderId="42" xfId="3" applyFont="1" applyBorder="1" applyAlignment="1">
      <alignment horizontal="left"/>
    </xf>
    <xf numFmtId="0" fontId="5" fillId="0" borderId="13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5" fillId="0" borderId="14" xfId="3" applyFont="1" applyBorder="1" applyAlignment="1">
      <alignment horizontal="center"/>
    </xf>
    <xf numFmtId="0" fontId="3" fillId="3" borderId="15" xfId="3" applyFont="1" applyFill="1" applyBorder="1" applyAlignment="1">
      <alignment horizontal="center"/>
    </xf>
    <xf numFmtId="0" fontId="3" fillId="3" borderId="16" xfId="3" applyFont="1" applyFill="1" applyBorder="1" applyAlignment="1">
      <alignment horizontal="center"/>
    </xf>
    <xf numFmtId="0" fontId="3" fillId="3" borderId="17" xfId="3" applyFont="1" applyFill="1" applyBorder="1" applyAlignment="1">
      <alignment horizontal="center"/>
    </xf>
    <xf numFmtId="0" fontId="5" fillId="0" borderId="62" xfId="3" applyFont="1" applyBorder="1" applyAlignment="1">
      <alignment horizontal="center" vertical="center" wrapText="1"/>
    </xf>
    <xf numFmtId="0" fontId="5" fillId="0" borderId="63" xfId="3" applyFont="1" applyBorder="1" applyAlignment="1">
      <alignment horizontal="center" vertical="center" wrapText="1"/>
    </xf>
    <xf numFmtId="167" fontId="5" fillId="0" borderId="60" xfId="3" applyNumberFormat="1" applyFont="1" applyBorder="1" applyAlignment="1">
      <alignment horizontal="left" vertical="center"/>
    </xf>
    <xf numFmtId="167" fontId="5" fillId="0" borderId="61" xfId="3" applyNumberFormat="1" applyFont="1" applyBorder="1" applyAlignment="1">
      <alignment horizontal="left" vertical="center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left"/>
    </xf>
    <xf numFmtId="0" fontId="3" fillId="0" borderId="8" xfId="3" applyFont="1" applyBorder="1" applyAlignment="1">
      <alignment horizontal="right"/>
    </xf>
    <xf numFmtId="0" fontId="7" fillId="0" borderId="9" xfId="3" applyFont="1" applyBorder="1" applyAlignment="1">
      <alignment horizontal="right"/>
    </xf>
    <xf numFmtId="0" fontId="7" fillId="0" borderId="10" xfId="3" applyFont="1" applyBorder="1" applyAlignment="1">
      <alignment horizontal="right"/>
    </xf>
    <xf numFmtId="0" fontId="3" fillId="0" borderId="41" xfId="3" applyFont="1" applyBorder="1" applyAlignment="1">
      <alignment horizontal="center"/>
    </xf>
    <xf numFmtId="0" fontId="3" fillId="0" borderId="42" xfId="3" applyFont="1" applyBorder="1" applyAlignment="1">
      <alignment horizontal="center"/>
    </xf>
    <xf numFmtId="0" fontId="3" fillId="0" borderId="43" xfId="3" applyFont="1" applyBorder="1" applyAlignment="1">
      <alignment horizontal="center"/>
    </xf>
    <xf numFmtId="0" fontId="3" fillId="3" borderId="38" xfId="3" applyFont="1" applyFill="1" applyBorder="1" applyAlignment="1">
      <alignment horizontal="center" vertical="center" wrapText="1"/>
    </xf>
    <xf numFmtId="0" fontId="3" fillId="3" borderId="39" xfId="3" applyFont="1" applyFill="1" applyBorder="1" applyAlignment="1">
      <alignment horizontal="center" vertical="center" wrapText="1"/>
    </xf>
    <xf numFmtId="0" fontId="5" fillId="0" borderId="38" xfId="3" applyFont="1" applyBorder="1" applyAlignment="1">
      <alignment horizontal="center"/>
    </xf>
    <xf numFmtId="0" fontId="5" fillId="0" borderId="39" xfId="3" applyFont="1" applyBorder="1" applyAlignment="1">
      <alignment horizontal="center"/>
    </xf>
    <xf numFmtId="0" fontId="5" fillId="0" borderId="40" xfId="3" applyFont="1" applyBorder="1" applyAlignment="1">
      <alignment horizontal="center"/>
    </xf>
    <xf numFmtId="0" fontId="3" fillId="3" borderId="45" xfId="3" applyFont="1" applyFill="1" applyBorder="1" applyAlignment="1">
      <alignment horizontal="center"/>
    </xf>
    <xf numFmtId="0" fontId="3" fillId="3" borderId="46" xfId="3" applyFont="1" applyFill="1" applyBorder="1" applyAlignment="1">
      <alignment horizontal="center"/>
    </xf>
    <xf numFmtId="0" fontId="3" fillId="3" borderId="47" xfId="3" applyFont="1" applyFill="1" applyBorder="1" applyAlignment="1">
      <alignment horizontal="center"/>
    </xf>
    <xf numFmtId="0" fontId="3" fillId="0" borderId="9" xfId="3" applyFont="1" applyBorder="1" applyAlignment="1">
      <alignment horizontal="right"/>
    </xf>
    <xf numFmtId="0" fontId="3" fillId="0" borderId="8" xfId="3" applyFont="1" applyBorder="1" applyAlignment="1">
      <alignment horizontal="center"/>
    </xf>
    <xf numFmtId="0" fontId="3" fillId="0" borderId="9" xfId="3" applyFont="1" applyBorder="1" applyAlignment="1">
      <alignment horizontal="center"/>
    </xf>
    <xf numFmtId="0" fontId="3" fillId="0" borderId="12" xfId="3" applyFont="1" applyBorder="1" applyAlignment="1">
      <alignment horizontal="center"/>
    </xf>
    <xf numFmtId="0" fontId="3" fillId="3" borderId="15" xfId="3" applyFont="1" applyFill="1" applyBorder="1" applyAlignment="1">
      <alignment horizontal="center" vertical="center" wrapText="1"/>
    </xf>
    <xf numFmtId="0" fontId="4" fillId="3" borderId="16" xfId="3" applyFont="1" applyFill="1" applyBorder="1" applyAlignment="1">
      <alignment horizontal="center" vertical="center" wrapText="1"/>
    </xf>
    <xf numFmtId="0" fontId="4" fillId="3" borderId="17" xfId="3" applyFont="1" applyFill="1" applyBorder="1" applyAlignment="1">
      <alignment horizontal="center" vertical="center" wrapText="1"/>
    </xf>
    <xf numFmtId="0" fontId="3" fillId="0" borderId="6" xfId="3" applyFont="1" applyBorder="1" applyAlignment="1">
      <alignment horizontal="left"/>
    </xf>
    <xf numFmtId="0" fontId="3" fillId="0" borderId="1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14" xfId="3" applyFont="1" applyBorder="1" applyAlignment="1">
      <alignment horizontal="center"/>
    </xf>
    <xf numFmtId="0" fontId="3" fillId="0" borderId="11" xfId="3" applyFont="1" applyBorder="1" applyAlignment="1">
      <alignment horizontal="left"/>
    </xf>
    <xf numFmtId="0" fontId="3" fillId="0" borderId="9" xfId="3" applyFont="1" applyBorder="1" applyAlignment="1">
      <alignment horizontal="left"/>
    </xf>
    <xf numFmtId="0" fontId="3" fillId="0" borderId="10" xfId="3" applyFont="1" applyBorder="1" applyAlignment="1">
      <alignment horizontal="left"/>
    </xf>
    <xf numFmtId="0" fontId="5" fillId="0" borderId="11" xfId="3" applyFont="1" applyBorder="1" applyAlignment="1">
      <alignment horizontal="left"/>
    </xf>
    <xf numFmtId="0" fontId="5" fillId="0" borderId="9" xfId="3" applyFont="1" applyBorder="1" applyAlignment="1">
      <alignment horizontal="left"/>
    </xf>
    <xf numFmtId="0" fontId="5" fillId="0" borderId="10" xfId="3" applyFont="1" applyBorder="1" applyAlignment="1">
      <alignment horizontal="left"/>
    </xf>
    <xf numFmtId="0" fontId="4" fillId="0" borderId="10" xfId="3" applyFont="1" applyBorder="1" applyAlignment="1">
      <alignment horizontal="right"/>
    </xf>
    <xf numFmtId="0" fontId="3" fillId="0" borderId="24" xfId="3" applyFont="1" applyBorder="1" applyAlignment="1">
      <alignment horizontal="center"/>
    </xf>
    <xf numFmtId="0" fontId="3" fillId="0" borderId="0" xfId="3" applyFont="1" applyAlignment="1">
      <alignment horizontal="center"/>
    </xf>
    <xf numFmtId="0" fontId="3" fillId="0" borderId="25" xfId="3" applyFont="1" applyBorder="1" applyAlignment="1">
      <alignment horizontal="center"/>
    </xf>
    <xf numFmtId="0" fontId="3" fillId="3" borderId="49" xfId="3" applyFont="1" applyFill="1" applyBorder="1" applyAlignment="1">
      <alignment horizontal="center" vertical="center" wrapText="1"/>
    </xf>
    <xf numFmtId="0" fontId="3" fillId="3" borderId="50" xfId="3" applyFont="1" applyFill="1" applyBorder="1" applyAlignment="1">
      <alignment horizontal="center" vertical="center" wrapText="1"/>
    </xf>
    <xf numFmtId="0" fontId="3" fillId="0" borderId="31" xfId="3" applyFont="1" applyBorder="1" applyAlignment="1">
      <alignment horizontal="right" wrapText="1"/>
    </xf>
    <xf numFmtId="0" fontId="3" fillId="0" borderId="32" xfId="3" applyFont="1" applyBorder="1" applyAlignment="1">
      <alignment horizontal="right" wrapText="1"/>
    </xf>
    <xf numFmtId="0" fontId="4" fillId="0" borderId="33" xfId="3" applyFont="1" applyBorder="1" applyAlignment="1">
      <alignment horizontal="right" wrapText="1"/>
    </xf>
    <xf numFmtId="0" fontId="3" fillId="0" borderId="35" xfId="3" applyFont="1" applyBorder="1" applyAlignment="1">
      <alignment horizontal="center"/>
    </xf>
    <xf numFmtId="0" fontId="3" fillId="0" borderId="36" xfId="3" applyFont="1" applyBorder="1" applyAlignment="1">
      <alignment horizontal="center"/>
    </xf>
    <xf numFmtId="0" fontId="3" fillId="0" borderId="37" xfId="3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3" fillId="0" borderId="6" xfId="3" applyFont="1" applyBorder="1" applyAlignment="1">
      <alignment horizontal="left" vertical="center" wrapText="1"/>
    </xf>
    <xf numFmtId="0" fontId="5" fillId="2" borderId="11" xfId="3" applyFont="1" applyFill="1" applyBorder="1" applyAlignment="1">
      <alignment horizontal="left"/>
    </xf>
    <xf numFmtId="0" fontId="5" fillId="2" borderId="9" xfId="3" applyFont="1" applyFill="1" applyBorder="1" applyAlignment="1">
      <alignment horizontal="left"/>
    </xf>
    <xf numFmtId="0" fontId="5" fillId="2" borderId="10" xfId="3" applyFont="1" applyFill="1" applyBorder="1" applyAlignment="1">
      <alignment horizontal="left"/>
    </xf>
    <xf numFmtId="0" fontId="5" fillId="0" borderId="29" xfId="3" applyFont="1" applyBorder="1" applyAlignment="1">
      <alignment horizontal="left"/>
    </xf>
    <xf numFmtId="0" fontId="5" fillId="0" borderId="30" xfId="3" applyFont="1" applyBorder="1" applyAlignment="1">
      <alignment horizontal="left"/>
    </xf>
    <xf numFmtId="0" fontId="3" fillId="0" borderId="10" xfId="3" applyFont="1" applyBorder="1" applyAlignment="1">
      <alignment horizontal="right"/>
    </xf>
    <xf numFmtId="0" fontId="5" fillId="0" borderId="11" xfId="3" applyFont="1" applyBorder="1" applyAlignment="1">
      <alignment horizontal="left" vertical="center" wrapText="1"/>
    </xf>
    <xf numFmtId="0" fontId="5" fillId="0" borderId="9" xfId="3" applyFont="1" applyBorder="1" applyAlignment="1">
      <alignment horizontal="left" vertical="center" wrapText="1"/>
    </xf>
    <xf numFmtId="0" fontId="5" fillId="0" borderId="10" xfId="3" applyFont="1" applyBorder="1" applyAlignment="1">
      <alignment horizontal="left" vertical="center" wrapText="1"/>
    </xf>
    <xf numFmtId="0" fontId="3" fillId="0" borderId="5" xfId="3" applyFont="1" applyBorder="1" applyAlignment="1">
      <alignment horizontal="right"/>
    </xf>
    <xf numFmtId="0" fontId="3" fillId="0" borderId="6" xfId="3" applyFont="1" applyBorder="1" applyAlignment="1">
      <alignment horizontal="right"/>
    </xf>
    <xf numFmtId="0" fontId="3" fillId="0" borderId="5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7" xfId="3" applyFont="1" applyBorder="1" applyAlignment="1">
      <alignment horizontal="center"/>
    </xf>
    <xf numFmtId="0" fontId="3" fillId="3" borderId="24" xfId="3" applyFont="1" applyFill="1" applyBorder="1" applyAlignment="1">
      <alignment horizontal="center" vertical="center" wrapText="1"/>
    </xf>
    <xf numFmtId="0" fontId="4" fillId="3" borderId="0" xfId="3" applyFont="1" applyFill="1" applyAlignment="1">
      <alignment horizontal="center" vertical="center" wrapText="1"/>
    </xf>
    <xf numFmtId="0" fontId="4" fillId="3" borderId="25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/>
    </xf>
    <xf numFmtId="0" fontId="3" fillId="0" borderId="5" xfId="3" applyFont="1" applyBorder="1" applyAlignment="1">
      <alignment horizontal="right" wrapText="1"/>
    </xf>
    <xf numFmtId="0" fontId="4" fillId="0" borderId="6" xfId="3" applyFont="1" applyBorder="1" applyAlignment="1">
      <alignment horizontal="right" wrapText="1"/>
    </xf>
    <xf numFmtId="0" fontId="5" fillId="0" borderId="11" xfId="4" applyFont="1" applyBorder="1" applyAlignment="1">
      <alignment horizontal="left" vertical="center" wrapText="1"/>
    </xf>
    <xf numFmtId="0" fontId="5" fillId="0" borderId="9" xfId="4" applyFont="1" applyBorder="1" applyAlignment="1">
      <alignment horizontal="left" vertical="center" wrapText="1"/>
    </xf>
    <xf numFmtId="0" fontId="5" fillId="0" borderId="10" xfId="4" applyFont="1" applyBorder="1" applyAlignment="1">
      <alignment horizontal="left" vertical="center" wrapText="1"/>
    </xf>
    <xf numFmtId="0" fontId="5" fillId="0" borderId="6" xfId="4" applyFont="1" applyBorder="1" applyAlignment="1">
      <alignment vertical="center" wrapText="1"/>
    </xf>
    <xf numFmtId="0" fontId="5" fillId="0" borderId="8" xfId="4" applyFont="1" applyBorder="1" applyAlignment="1">
      <alignment horizontal="left" vertical="center" wrapText="1"/>
    </xf>
    <xf numFmtId="0" fontId="3" fillId="0" borderId="8" xfId="3" applyFont="1" applyBorder="1" applyAlignment="1">
      <alignment horizontal="right" vertical="center" wrapText="1"/>
    </xf>
    <xf numFmtId="0" fontId="3" fillId="0" borderId="9" xfId="3" applyFont="1" applyBorder="1" applyAlignment="1">
      <alignment horizontal="right" vertical="center" wrapText="1"/>
    </xf>
    <xf numFmtId="0" fontId="4" fillId="0" borderId="10" xfId="3" applyFont="1" applyBorder="1" applyAlignment="1">
      <alignment horizontal="right" vertical="center" wrapText="1"/>
    </xf>
    <xf numFmtId="0" fontId="5" fillId="4" borderId="6" xfId="3" applyFont="1" applyFill="1" applyBorder="1" applyAlignment="1">
      <alignment horizontal="left" vertical="top" wrapText="1"/>
    </xf>
    <xf numFmtId="49" fontId="3" fillId="0" borderId="6" xfId="3" applyNumberFormat="1" applyFont="1" applyBorder="1" applyAlignment="1">
      <alignment horizontal="center" vertical="center" wrapText="1"/>
    </xf>
    <xf numFmtId="49" fontId="4" fillId="0" borderId="7" xfId="3" applyNumberFormat="1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7" xfId="3" applyFont="1" applyBorder="1" applyAlignment="1">
      <alignment horizontal="center"/>
    </xf>
    <xf numFmtId="0" fontId="3" fillId="4" borderId="6" xfId="3" applyFont="1" applyFill="1" applyBorder="1" applyAlignment="1">
      <alignment horizontal="left" vertical="top" wrapText="1"/>
    </xf>
    <xf numFmtId="14" fontId="3" fillId="0" borderId="6" xfId="3" applyNumberFormat="1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5" fillId="21" borderId="6" xfId="3" applyFont="1" applyFill="1" applyBorder="1" applyAlignment="1">
      <alignment horizontal="left" vertical="top" wrapText="1"/>
    </xf>
    <xf numFmtId="0" fontId="5" fillId="14" borderId="6" xfId="3" applyFont="1" applyFill="1" applyBorder="1" applyAlignment="1">
      <alignment horizontal="center" vertical="center" wrapText="1"/>
    </xf>
    <xf numFmtId="0" fontId="4" fillId="14" borderId="7" xfId="3" applyFont="1" applyFill="1" applyBorder="1" applyAlignment="1">
      <alignment horizontal="center" vertical="center" wrapText="1"/>
    </xf>
    <xf numFmtId="0" fontId="4" fillId="0" borderId="6" xfId="3" applyFont="1" applyBorder="1" applyAlignment="1">
      <alignment horizontal="left"/>
    </xf>
    <xf numFmtId="44" fontId="3" fillId="14" borderId="6" xfId="1" applyFont="1" applyFill="1" applyBorder="1" applyAlignment="1" applyProtection="1">
      <alignment horizontal="center" vertical="center" wrapText="1"/>
    </xf>
    <xf numFmtId="44" fontId="4" fillId="14" borderId="7" xfId="1" applyFont="1" applyFill="1" applyBorder="1" applyAlignment="1" applyProtection="1">
      <alignment horizontal="center" vertical="center" wrapText="1"/>
    </xf>
    <xf numFmtId="44" fontId="3" fillId="0" borderId="6" xfId="1" applyFont="1" applyFill="1" applyBorder="1" applyAlignment="1">
      <alignment horizontal="center" vertical="center" wrapText="1"/>
    </xf>
    <xf numFmtId="44" fontId="4" fillId="0" borderId="7" xfId="1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20" xfId="3" applyFont="1" applyBorder="1" applyAlignment="1">
      <alignment horizontal="center"/>
    </xf>
    <xf numFmtId="0" fontId="3" fillId="3" borderId="21" xfId="3" applyFont="1" applyFill="1" applyBorder="1" applyAlignment="1">
      <alignment horizontal="center" vertical="center" wrapText="1"/>
    </xf>
    <xf numFmtId="0" fontId="4" fillId="3" borderId="22" xfId="3" applyFont="1" applyFill="1" applyBorder="1" applyAlignment="1">
      <alignment horizontal="center" vertical="center" wrapText="1"/>
    </xf>
    <xf numFmtId="0" fontId="4" fillId="3" borderId="23" xfId="3" applyFont="1" applyFill="1" applyBorder="1" applyAlignment="1">
      <alignment horizontal="center" vertical="center" wrapText="1"/>
    </xf>
    <xf numFmtId="0" fontId="5" fillId="0" borderId="11" xfId="3" applyFont="1" applyBorder="1" applyAlignment="1">
      <alignment horizontal="left" vertical="top" wrapText="1"/>
    </xf>
    <xf numFmtId="0" fontId="5" fillId="0" borderId="9" xfId="3" applyFont="1" applyBorder="1" applyAlignment="1">
      <alignment horizontal="left" vertical="top" wrapText="1"/>
    </xf>
    <xf numFmtId="0" fontId="5" fillId="0" borderId="10" xfId="3" applyFont="1" applyBorder="1" applyAlignment="1">
      <alignment horizontal="left" vertical="top" wrapText="1"/>
    </xf>
    <xf numFmtId="0" fontId="5" fillId="14" borderId="11" xfId="3" applyFont="1" applyFill="1" applyBorder="1" applyAlignment="1">
      <alignment horizontal="left" vertical="center" wrapText="1"/>
    </xf>
    <xf numFmtId="0" fontId="5" fillId="14" borderId="9" xfId="3" applyFont="1" applyFill="1" applyBorder="1" applyAlignment="1">
      <alignment horizontal="left" vertical="center" wrapText="1"/>
    </xf>
    <xf numFmtId="0" fontId="5" fillId="14" borderId="10" xfId="3" applyFont="1" applyFill="1" applyBorder="1" applyAlignment="1">
      <alignment horizontal="left" vertical="center" wrapText="1"/>
    </xf>
    <xf numFmtId="49" fontId="3" fillId="14" borderId="6" xfId="3" applyNumberFormat="1" applyFont="1" applyFill="1" applyBorder="1" applyAlignment="1">
      <alignment horizontal="center" vertical="center" wrapText="1"/>
    </xf>
    <xf numFmtId="49" fontId="4" fillId="14" borderId="7" xfId="3" applyNumberFormat="1" applyFont="1" applyFill="1" applyBorder="1" applyAlignment="1">
      <alignment horizontal="center" vertical="center" wrapText="1"/>
    </xf>
    <xf numFmtId="2" fontId="3" fillId="0" borderId="6" xfId="3" applyNumberFormat="1" applyFont="1" applyBorder="1" applyAlignment="1">
      <alignment horizontal="center" vertical="center" wrapText="1"/>
    </xf>
    <xf numFmtId="2" fontId="7" fillId="0" borderId="7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21" borderId="2" xfId="3" applyFont="1" applyFill="1" applyBorder="1" applyAlignment="1">
      <alignment horizontal="center"/>
    </xf>
    <xf numFmtId="0" fontId="3" fillId="21" borderId="3" xfId="3" applyFont="1" applyFill="1" applyBorder="1" applyAlignment="1">
      <alignment horizontal="center"/>
    </xf>
    <xf numFmtId="0" fontId="3" fillId="21" borderId="4" xfId="3" applyFont="1" applyFill="1" applyBorder="1" applyAlignment="1">
      <alignment horizontal="center"/>
    </xf>
    <xf numFmtId="0" fontId="5" fillId="14" borderId="11" xfId="3" applyFont="1" applyFill="1" applyBorder="1" applyAlignment="1">
      <alignment horizontal="left" vertical="top" wrapText="1"/>
    </xf>
    <xf numFmtId="0" fontId="5" fillId="14" borderId="9" xfId="3" applyFont="1" applyFill="1" applyBorder="1" applyAlignment="1">
      <alignment horizontal="left" vertical="top" wrapText="1"/>
    </xf>
    <xf numFmtId="0" fontId="5" fillId="14" borderId="10" xfId="3" applyFont="1" applyFill="1" applyBorder="1" applyAlignment="1">
      <alignment horizontal="left" vertical="top" wrapText="1"/>
    </xf>
    <xf numFmtId="14" fontId="3" fillId="14" borderId="6" xfId="3" applyNumberFormat="1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left"/>
    </xf>
    <xf numFmtId="0" fontId="3" fillId="0" borderId="49" xfId="3" applyFont="1" applyBorder="1" applyAlignment="1">
      <alignment horizontal="right"/>
    </xf>
    <xf numFmtId="0" fontId="3" fillId="0" borderId="50" xfId="3" applyFont="1" applyBorder="1" applyAlignment="1">
      <alignment horizontal="right"/>
    </xf>
    <xf numFmtId="0" fontId="5" fillId="0" borderId="11" xfId="3" applyFont="1" applyBorder="1" applyAlignment="1">
      <alignment horizontal="left" vertical="center"/>
    </xf>
    <xf numFmtId="0" fontId="5" fillId="0" borderId="9" xfId="3" applyFont="1" applyBorder="1" applyAlignment="1">
      <alignment horizontal="left" vertical="center"/>
    </xf>
    <xf numFmtId="0" fontId="5" fillId="0" borderId="10" xfId="3" applyFont="1" applyBorder="1" applyAlignment="1">
      <alignment horizontal="left" vertical="center"/>
    </xf>
    <xf numFmtId="0" fontId="10" fillId="22" borderId="6" xfId="4" applyFont="1" applyFill="1" applyBorder="1" applyAlignment="1">
      <alignment vertical="center" wrapText="1"/>
    </xf>
    <xf numFmtId="0" fontId="5" fillId="21" borderId="6" xfId="3" applyFont="1" applyFill="1" applyBorder="1" applyAlignment="1">
      <alignment horizontal="center" vertical="center" wrapText="1"/>
    </xf>
    <xf numFmtId="0" fontId="4" fillId="21" borderId="7" xfId="3" applyFont="1" applyFill="1" applyBorder="1" applyAlignment="1">
      <alignment horizontal="center" vertical="center" wrapText="1"/>
    </xf>
    <xf numFmtId="44" fontId="3" fillId="0" borderId="6" xfId="1" applyFont="1" applyFill="1" applyBorder="1" applyAlignment="1" applyProtection="1">
      <alignment horizontal="center" vertical="center" wrapText="1"/>
    </xf>
    <xf numFmtId="44" fontId="4" fillId="0" borderId="7" xfId="1" applyFont="1" applyFill="1" applyBorder="1" applyAlignment="1" applyProtection="1">
      <alignment horizontal="center" vertical="center" wrapText="1"/>
    </xf>
    <xf numFmtId="0" fontId="5" fillId="25" borderId="11" xfId="3" applyFont="1" applyFill="1" applyBorder="1" applyAlignment="1">
      <alignment horizontal="left" vertical="center" wrapText="1"/>
    </xf>
    <xf numFmtId="0" fontId="5" fillId="25" borderId="9" xfId="3" applyFont="1" applyFill="1" applyBorder="1" applyAlignment="1">
      <alignment horizontal="left" vertical="center" wrapText="1"/>
    </xf>
    <xf numFmtId="0" fontId="5" fillId="25" borderId="10" xfId="3" applyFont="1" applyFill="1" applyBorder="1" applyAlignment="1">
      <alignment horizontal="left" vertical="center" wrapText="1"/>
    </xf>
    <xf numFmtId="49" fontId="3" fillId="25" borderId="6" xfId="3" applyNumberFormat="1" applyFont="1" applyFill="1" applyBorder="1" applyAlignment="1">
      <alignment horizontal="center" vertical="center" wrapText="1"/>
    </xf>
    <xf numFmtId="49" fontId="4" fillId="25" borderId="7" xfId="3" applyNumberFormat="1" applyFont="1" applyFill="1" applyBorder="1" applyAlignment="1">
      <alignment horizontal="center" vertical="center" wrapText="1"/>
    </xf>
    <xf numFmtId="0" fontId="3" fillId="25" borderId="2" xfId="3" applyFont="1" applyFill="1" applyBorder="1" applyAlignment="1">
      <alignment horizontal="center"/>
    </xf>
    <xf numFmtId="0" fontId="3" fillId="25" borderId="3" xfId="3" applyFont="1" applyFill="1" applyBorder="1" applyAlignment="1">
      <alignment horizontal="center"/>
    </xf>
    <xf numFmtId="0" fontId="3" fillId="25" borderId="4" xfId="3" applyFont="1" applyFill="1" applyBorder="1" applyAlignment="1">
      <alignment horizontal="center"/>
    </xf>
    <xf numFmtId="0" fontId="5" fillId="25" borderId="11" xfId="3" applyFont="1" applyFill="1" applyBorder="1" applyAlignment="1">
      <alignment horizontal="left" vertical="top" wrapText="1"/>
    </xf>
    <xf numFmtId="0" fontId="5" fillId="25" borderId="9" xfId="3" applyFont="1" applyFill="1" applyBorder="1" applyAlignment="1">
      <alignment horizontal="left" vertical="top" wrapText="1"/>
    </xf>
    <xf numFmtId="0" fontId="5" fillId="25" borderId="10" xfId="3" applyFont="1" applyFill="1" applyBorder="1" applyAlignment="1">
      <alignment horizontal="left" vertical="top" wrapText="1"/>
    </xf>
    <xf numFmtId="14" fontId="3" fillId="25" borderId="6" xfId="3" applyNumberFormat="1" applyFont="1" applyFill="1" applyBorder="1" applyAlignment="1">
      <alignment horizontal="center" vertical="center" wrapText="1"/>
    </xf>
    <xf numFmtId="0" fontId="4" fillId="25" borderId="7" xfId="3" applyFont="1" applyFill="1" applyBorder="1" applyAlignment="1">
      <alignment horizontal="center" vertical="center" wrapText="1"/>
    </xf>
    <xf numFmtId="167" fontId="5" fillId="0" borderId="60" xfId="3" applyNumberFormat="1" applyFont="1" applyBorder="1" applyAlignment="1">
      <alignment horizontal="left" vertical="center" wrapText="1"/>
    </xf>
    <xf numFmtId="167" fontId="5" fillId="0" borderId="61" xfId="3" applyNumberFormat="1" applyFont="1" applyBorder="1" applyAlignment="1">
      <alignment horizontal="left" vertical="center" wrapText="1"/>
    </xf>
    <xf numFmtId="0" fontId="5" fillId="24" borderId="6" xfId="3" applyFont="1" applyFill="1" applyBorder="1" applyAlignment="1">
      <alignment horizontal="left"/>
    </xf>
    <xf numFmtId="0" fontId="5" fillId="2" borderId="6" xfId="3" applyFont="1" applyFill="1" applyBorder="1" applyAlignment="1">
      <alignment horizontal="left"/>
    </xf>
    <xf numFmtId="0" fontId="39" fillId="22" borderId="6" xfId="4" applyFont="1" applyFill="1" applyBorder="1" applyAlignment="1">
      <alignment vertical="center" wrapText="1"/>
    </xf>
    <xf numFmtId="0" fontId="3" fillId="6" borderId="38" xfId="3" applyFont="1" applyFill="1" applyBorder="1" applyAlignment="1">
      <alignment horizontal="center"/>
    </xf>
    <xf numFmtId="0" fontId="3" fillId="6" borderId="39" xfId="3" applyFont="1" applyFill="1" applyBorder="1" applyAlignment="1">
      <alignment horizontal="center"/>
    </xf>
    <xf numFmtId="0" fontId="3" fillId="6" borderId="59" xfId="3" applyFont="1" applyFill="1" applyBorder="1" applyAlignment="1">
      <alignment horizontal="center"/>
    </xf>
    <xf numFmtId="0" fontId="3" fillId="3" borderId="38" xfId="3" applyFont="1" applyFill="1" applyBorder="1" applyAlignment="1">
      <alignment horizontal="center"/>
    </xf>
    <xf numFmtId="0" fontId="3" fillId="3" borderId="39" xfId="3" applyFont="1" applyFill="1" applyBorder="1" applyAlignment="1">
      <alignment horizontal="center"/>
    </xf>
    <xf numFmtId="0" fontId="3" fillId="3" borderId="40" xfId="3" applyFont="1" applyFill="1" applyBorder="1" applyAlignment="1">
      <alignment horizontal="center"/>
    </xf>
    <xf numFmtId="0" fontId="3" fillId="0" borderId="38" xfId="3" applyFont="1" applyBorder="1" applyAlignment="1">
      <alignment horizontal="center"/>
    </xf>
    <xf numFmtId="0" fontId="3" fillId="0" borderId="39" xfId="3" applyFont="1" applyBorder="1" applyAlignment="1">
      <alignment horizontal="center"/>
    </xf>
    <xf numFmtId="0" fontId="3" fillId="0" borderId="40" xfId="3" applyFont="1" applyBorder="1" applyAlignment="1">
      <alignment horizontal="center"/>
    </xf>
    <xf numFmtId="0" fontId="3" fillId="3" borderId="16" xfId="3" applyFont="1" applyFill="1" applyBorder="1" applyAlignment="1">
      <alignment horizontal="center" vertical="center" wrapText="1"/>
    </xf>
    <xf numFmtId="49" fontId="3" fillId="20" borderId="6" xfId="3" applyNumberFormat="1" applyFont="1" applyFill="1" applyBorder="1" applyAlignment="1">
      <alignment horizontal="center" vertical="center" wrapText="1"/>
    </xf>
    <xf numFmtId="49" fontId="4" fillId="20" borderId="7" xfId="3" applyNumberFormat="1" applyFont="1" applyFill="1" applyBorder="1" applyAlignment="1">
      <alignment horizontal="center" vertical="center" wrapText="1"/>
    </xf>
    <xf numFmtId="0" fontId="5" fillId="20" borderId="11" xfId="3" applyFont="1" applyFill="1" applyBorder="1" applyAlignment="1">
      <alignment horizontal="left" vertical="center" wrapText="1"/>
    </xf>
    <xf numFmtId="0" fontId="5" fillId="20" borderId="9" xfId="3" applyFont="1" applyFill="1" applyBorder="1" applyAlignment="1">
      <alignment horizontal="left" vertical="center" wrapText="1"/>
    </xf>
    <xf numFmtId="0" fontId="5" fillId="20" borderId="10" xfId="3" applyFont="1" applyFill="1" applyBorder="1" applyAlignment="1">
      <alignment horizontal="left" vertical="center" wrapText="1"/>
    </xf>
    <xf numFmtId="14" fontId="3" fillId="20" borderId="6" xfId="3" applyNumberFormat="1" applyFont="1" applyFill="1" applyBorder="1" applyAlignment="1">
      <alignment horizontal="center" vertical="center" wrapText="1"/>
    </xf>
    <xf numFmtId="0" fontId="4" fillId="20" borderId="7" xfId="3" applyFont="1" applyFill="1" applyBorder="1" applyAlignment="1">
      <alignment horizontal="center" vertical="center" wrapText="1"/>
    </xf>
    <xf numFmtId="0" fontId="5" fillId="20" borderId="11" xfId="3" applyFont="1" applyFill="1" applyBorder="1" applyAlignment="1">
      <alignment horizontal="left" vertical="top" wrapText="1"/>
    </xf>
    <xf numFmtId="0" fontId="5" fillId="20" borderId="9" xfId="3" applyFont="1" applyFill="1" applyBorder="1" applyAlignment="1">
      <alignment horizontal="left" vertical="top" wrapText="1"/>
    </xf>
    <xf numFmtId="0" fontId="5" fillId="20" borderId="10" xfId="3" applyFont="1" applyFill="1" applyBorder="1" applyAlignment="1">
      <alignment horizontal="left" vertical="top" wrapText="1"/>
    </xf>
    <xf numFmtId="0" fontId="5" fillId="0" borderId="6" xfId="3" applyFont="1" applyBorder="1" applyAlignment="1">
      <alignment horizontal="left" wrapText="1"/>
    </xf>
    <xf numFmtId="44" fontId="3" fillId="24" borderId="6" xfId="1" applyFont="1" applyFill="1" applyBorder="1" applyAlignment="1" applyProtection="1">
      <alignment horizontal="center" vertical="center" wrapText="1"/>
    </xf>
    <xf numFmtId="44" fontId="4" fillId="24" borderId="7" xfId="1" applyFont="1" applyFill="1" applyBorder="1" applyAlignment="1" applyProtection="1">
      <alignment horizontal="center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5" fillId="20" borderId="6" xfId="3" applyFont="1" applyFill="1" applyBorder="1" applyAlignment="1">
      <alignment horizontal="left" vertical="top" wrapText="1"/>
    </xf>
    <xf numFmtId="0" fontId="5" fillId="0" borderId="6" xfId="3" applyFont="1" applyBorder="1" applyAlignment="1">
      <alignment horizontal="center" vertical="center" wrapText="1"/>
    </xf>
    <xf numFmtId="44" fontId="3" fillId="12" borderId="6" xfId="1" applyFont="1" applyFill="1" applyBorder="1" applyAlignment="1" applyProtection="1">
      <alignment horizontal="center" vertical="center" wrapText="1"/>
    </xf>
    <xf numFmtId="44" fontId="4" fillId="12" borderId="7" xfId="1" applyFont="1" applyFill="1" applyBorder="1" applyAlignment="1" applyProtection="1">
      <alignment horizontal="center" vertical="center" wrapText="1"/>
    </xf>
    <xf numFmtId="2" fontId="3" fillId="25" borderId="66" xfId="3" applyNumberFormat="1" applyFont="1" applyFill="1" applyBorder="1" applyAlignment="1">
      <alignment horizontal="center" vertical="center" wrapText="1"/>
    </xf>
    <xf numFmtId="2" fontId="3" fillId="25" borderId="79" xfId="3" applyNumberFormat="1" applyFont="1" applyFill="1" applyBorder="1" applyAlignment="1">
      <alignment horizontal="center" vertical="center" wrapText="1"/>
    </xf>
    <xf numFmtId="0" fontId="5" fillId="0" borderId="24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25" xfId="3" applyFont="1" applyBorder="1" applyAlignment="1">
      <alignment horizontal="center"/>
    </xf>
    <xf numFmtId="0" fontId="3" fillId="3" borderId="21" xfId="3" applyFont="1" applyFill="1" applyBorder="1" applyAlignment="1">
      <alignment horizontal="center"/>
    </xf>
    <xf numFmtId="0" fontId="3" fillId="3" borderId="22" xfId="3" applyFont="1" applyFill="1" applyBorder="1" applyAlignment="1">
      <alignment horizontal="center"/>
    </xf>
    <xf numFmtId="0" fontId="3" fillId="3" borderId="23" xfId="3" applyFont="1" applyFill="1" applyBorder="1" applyAlignment="1">
      <alignment horizontal="center"/>
    </xf>
    <xf numFmtId="0" fontId="5" fillId="0" borderId="8" xfId="3" applyFont="1" applyBorder="1" applyAlignment="1">
      <alignment horizontal="left" wrapText="1"/>
    </xf>
    <xf numFmtId="0" fontId="5" fillId="0" borderId="10" xfId="3" applyFont="1" applyBorder="1" applyAlignment="1">
      <alignment horizontal="left" wrapText="1"/>
    </xf>
    <xf numFmtId="0" fontId="3" fillId="0" borderId="53" xfId="3" applyFont="1" applyBorder="1" applyAlignment="1">
      <alignment horizontal="right"/>
    </xf>
    <xf numFmtId="164" fontId="5" fillId="0" borderId="6" xfId="8" applyFont="1" applyFill="1" applyBorder="1" applyAlignment="1">
      <alignment horizontal="center" vertical="center"/>
    </xf>
    <xf numFmtId="44" fontId="5" fillId="0" borderId="6" xfId="3" applyNumberFormat="1" applyFont="1" applyBorder="1" applyAlignment="1">
      <alignment horizontal="center" vertical="center"/>
    </xf>
    <xf numFmtId="0" fontId="5" fillId="0" borderId="11" xfId="4" applyFont="1" applyBorder="1" applyAlignment="1">
      <alignment vertical="center" wrapText="1"/>
    </xf>
    <xf numFmtId="0" fontId="5" fillId="0" borderId="9" xfId="4" applyFont="1" applyBorder="1" applyAlignment="1">
      <alignment vertical="center" wrapText="1"/>
    </xf>
    <xf numFmtId="0" fontId="5" fillId="0" borderId="10" xfId="4" applyFont="1" applyBorder="1" applyAlignment="1">
      <alignment vertical="center" wrapText="1"/>
    </xf>
    <xf numFmtId="0" fontId="5" fillId="14" borderId="11" xfId="3" applyFont="1" applyFill="1" applyBorder="1" applyAlignment="1">
      <alignment horizontal="left" vertical="center"/>
    </xf>
    <xf numFmtId="0" fontId="5" fillId="14" borderId="9" xfId="3" applyFont="1" applyFill="1" applyBorder="1" applyAlignment="1">
      <alignment horizontal="left" vertical="center"/>
    </xf>
    <xf numFmtId="0" fontId="5" fillId="14" borderId="10" xfId="3" applyFont="1" applyFill="1" applyBorder="1" applyAlignment="1">
      <alignment horizontal="left" vertical="center"/>
    </xf>
    <xf numFmtId="49" fontId="42" fillId="14" borderId="6" xfId="3" applyNumberFormat="1" applyFont="1" applyFill="1" applyBorder="1" applyAlignment="1">
      <alignment horizontal="center" vertical="center" wrapText="1"/>
    </xf>
    <xf numFmtId="49" fontId="43" fillId="14" borderId="7" xfId="3" applyNumberFormat="1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/>
    </xf>
    <xf numFmtId="0" fontId="3" fillId="3" borderId="3" xfId="3" applyFont="1" applyFill="1" applyBorder="1" applyAlignment="1">
      <alignment horizontal="center"/>
    </xf>
    <xf numFmtId="0" fontId="3" fillId="3" borderId="4" xfId="3" applyFont="1" applyFill="1" applyBorder="1" applyAlignment="1">
      <alignment horizontal="center"/>
    </xf>
    <xf numFmtId="49" fontId="42" fillId="25" borderId="6" xfId="3" applyNumberFormat="1" applyFont="1" applyFill="1" applyBorder="1" applyAlignment="1">
      <alignment horizontal="center" vertical="center" wrapText="1"/>
    </xf>
    <xf numFmtId="49" fontId="43" fillId="25" borderId="7" xfId="3" applyNumberFormat="1" applyFont="1" applyFill="1" applyBorder="1" applyAlignment="1">
      <alignment horizontal="center" vertical="center" wrapText="1"/>
    </xf>
    <xf numFmtId="49" fontId="3" fillId="21" borderId="6" xfId="3" applyNumberFormat="1" applyFont="1" applyFill="1" applyBorder="1" applyAlignment="1">
      <alignment horizontal="center" vertical="center" wrapText="1"/>
    </xf>
    <xf numFmtId="49" fontId="4" fillId="21" borderId="7" xfId="3" applyNumberFormat="1" applyFont="1" applyFill="1" applyBorder="1" applyAlignment="1">
      <alignment horizontal="center" vertical="center" wrapText="1"/>
    </xf>
    <xf numFmtId="0" fontId="5" fillId="0" borderId="8" xfId="3" applyFont="1" applyBorder="1" applyAlignment="1">
      <alignment horizontal="left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164" fontId="5" fillId="0" borderId="60" xfId="8" applyFont="1" applyFill="1" applyBorder="1" applyAlignment="1">
      <alignment horizontal="center" vertical="center"/>
    </xf>
    <xf numFmtId="164" fontId="5" fillId="0" borderId="61" xfId="8" applyFont="1" applyFill="1" applyBorder="1" applyAlignment="1">
      <alignment horizontal="center" vertical="center"/>
    </xf>
    <xf numFmtId="0" fontId="0" fillId="12" borderId="70" xfId="0" applyFill="1" applyBorder="1" applyAlignment="1">
      <alignment horizontal="center" vertical="center"/>
    </xf>
    <xf numFmtId="0" fontId="0" fillId="12" borderId="71" xfId="0" applyFill="1" applyBorder="1" applyAlignment="1">
      <alignment horizontal="center" vertical="center"/>
    </xf>
    <xf numFmtId="0" fontId="0" fillId="12" borderId="72" xfId="0" applyFill="1" applyBorder="1" applyAlignment="1">
      <alignment horizontal="center" vertical="center"/>
    </xf>
    <xf numFmtId="0" fontId="0" fillId="22" borderId="70" xfId="0" applyFill="1" applyBorder="1" applyAlignment="1">
      <alignment horizontal="center" vertical="center"/>
    </xf>
    <xf numFmtId="0" fontId="0" fillId="22" borderId="71" xfId="0" applyFill="1" applyBorder="1" applyAlignment="1">
      <alignment horizontal="center" vertical="center"/>
    </xf>
    <xf numFmtId="0" fontId="0" fillId="22" borderId="72" xfId="0" applyFill="1" applyBorder="1" applyAlignment="1">
      <alignment horizontal="center" vertical="center"/>
    </xf>
    <xf numFmtId="0" fontId="0" fillId="18" borderId="70" xfId="0" applyFill="1" applyBorder="1" applyAlignment="1">
      <alignment horizontal="center"/>
    </xf>
    <xf numFmtId="0" fontId="0" fillId="18" borderId="71" xfId="0" applyFill="1" applyBorder="1" applyAlignment="1">
      <alignment horizontal="center"/>
    </xf>
    <xf numFmtId="0" fontId="0" fillId="18" borderId="72" xfId="0" applyFill="1" applyBorder="1" applyAlignment="1">
      <alignment horizontal="center"/>
    </xf>
    <xf numFmtId="0" fontId="0" fillId="8" borderId="16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9" borderId="47" xfId="0" applyFill="1" applyBorder="1" applyAlignment="1">
      <alignment horizontal="center" vertical="center" wrapText="1"/>
    </xf>
    <xf numFmtId="0" fontId="0" fillId="19" borderId="79" xfId="0" applyFill="1" applyBorder="1" applyAlignment="1">
      <alignment horizontal="center" vertical="center" wrapText="1"/>
    </xf>
    <xf numFmtId="0" fontId="0" fillId="19" borderId="73" xfId="0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19" borderId="17" xfId="0" applyFill="1" applyBorder="1" applyAlignment="1">
      <alignment horizontal="center" vertical="center"/>
    </xf>
    <xf numFmtId="0" fontId="0" fillId="19" borderId="25" xfId="0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173" fontId="0" fillId="0" borderId="0" xfId="0" applyNumberFormat="1"/>
  </cellXfs>
  <cellStyles count="13">
    <cellStyle name="Moeda" xfId="1" builtinId="4"/>
    <cellStyle name="Moeda 2" xfId="8"/>
    <cellStyle name="Moeda 3" xfId="10"/>
    <cellStyle name="Moeda 4" xfId="5"/>
    <cellStyle name="Moeda 4 2" xfId="11"/>
    <cellStyle name="Normal" xfId="0" builtinId="0"/>
    <cellStyle name="Normal 2" xfId="7"/>
    <cellStyle name="Normal 3" xfId="12"/>
    <cellStyle name="Normal_Pasta2" xfId="4"/>
    <cellStyle name="Normal_Pr 062012 Telefonista SAMF Ministerio fazenda" xfId="3"/>
    <cellStyle name="Porcentagem" xfId="2" builtinId="5"/>
    <cellStyle name="Porcentagem 2" xfId="9"/>
    <cellStyle name="Porcentagem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244929</xdr:colOff>
      <xdr:row>12</xdr:row>
      <xdr:rowOff>435428</xdr:rowOff>
    </xdr:from>
    <xdr:to>
      <xdr:col>5</xdr:col>
      <xdr:colOff>1211036</xdr:colOff>
      <xdr:row>15</xdr:row>
      <xdr:rowOff>408214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FB8C5734-9D10-4520-91D6-5585BD167D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29" y="6681107"/>
          <a:ext cx="8667750" cy="194582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435428</xdr:colOff>
      <xdr:row>17</xdr:row>
      <xdr:rowOff>95250</xdr:rowOff>
    </xdr:from>
    <xdr:to>
      <xdr:col>9</xdr:col>
      <xdr:colOff>1444212</xdr:colOff>
      <xdr:row>17</xdr:row>
      <xdr:rowOff>563707</xdr:rowOff>
    </xdr:to>
    <xdr:sp macro="" textlink="">
      <xdr:nvSpPr>
        <xdr:cNvPr id="3" name="Seta: para Cima 2">
          <a:extLst>
            <a:ext uri="{FF2B5EF4-FFF2-40B4-BE49-F238E27FC236}">
              <a16:creationId xmlns="" xmlns:a16="http://schemas.microsoft.com/office/drawing/2014/main" id="{8E8EC719-848C-421D-8482-6BCE5F385BC6}"/>
            </a:ext>
          </a:extLst>
        </xdr:cNvPr>
        <xdr:cNvSpPr/>
      </xdr:nvSpPr>
      <xdr:spPr>
        <a:xfrm rot="16200000">
          <a:off x="14979484" y="10220944"/>
          <a:ext cx="468457" cy="1008784"/>
        </a:xfrm>
        <a:prstGeom prst="upArrow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31750</xdr:colOff>
      <xdr:row>5</xdr:row>
      <xdr:rowOff>126999</xdr:rowOff>
    </xdr:from>
    <xdr:to>
      <xdr:col>16</xdr:col>
      <xdr:colOff>556463</xdr:colOff>
      <xdr:row>12</xdr:row>
      <xdr:rowOff>153684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B5966502-DA5A-5CE8-34EC-AA40B9A61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1417" y="1291166"/>
          <a:ext cx="6001588" cy="1619476"/>
        </a:xfrm>
        <a:prstGeom prst="rect">
          <a:avLst/>
        </a:prstGeom>
      </xdr:spPr>
    </xdr:pic>
    <xdr:clientData/>
  </xdr:twoCellAnchor>
  <xdr:twoCellAnchor editAs="oneCell">
    <xdr:from>
      <xdr:col>7</xdr:col>
      <xdr:colOff>338666</xdr:colOff>
      <xdr:row>113</xdr:row>
      <xdr:rowOff>174625</xdr:rowOff>
    </xdr:from>
    <xdr:to>
      <xdr:col>18</xdr:col>
      <xdr:colOff>475086</xdr:colOff>
      <xdr:row>124</xdr:row>
      <xdr:rowOff>86010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DFF9D24-B58F-718F-5B88-6B4244627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38333" y="23330958"/>
          <a:ext cx="6830378" cy="20386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68792</xdr:colOff>
      <xdr:row>113</xdr:row>
      <xdr:rowOff>95250</xdr:rowOff>
    </xdr:from>
    <xdr:to>
      <xdr:col>17</xdr:col>
      <xdr:colOff>67629</xdr:colOff>
      <xdr:row>124</xdr:row>
      <xdr:rowOff>6635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7D23F302-C4FB-4AED-AB2C-2EE648EBB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01834" y="23611417"/>
          <a:ext cx="6830378" cy="2038635"/>
        </a:xfrm>
        <a:prstGeom prst="rect">
          <a:avLst/>
        </a:prstGeom>
      </xdr:spPr>
    </xdr:pic>
    <xdr:clientData/>
  </xdr:twoCellAnchor>
  <xdr:twoCellAnchor editAs="oneCell">
    <xdr:from>
      <xdr:col>7</xdr:col>
      <xdr:colOff>21167</xdr:colOff>
      <xdr:row>8</xdr:row>
      <xdr:rowOff>0</xdr:rowOff>
    </xdr:from>
    <xdr:to>
      <xdr:col>13</xdr:col>
      <xdr:colOff>140273</xdr:colOff>
      <xdr:row>20</xdr:row>
      <xdr:rowOff>187057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AE3F62FD-83F0-4AA6-B946-EFA694602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4209" y="1746250"/>
          <a:ext cx="4516481" cy="29281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344366</xdr:colOff>
      <xdr:row>6</xdr:row>
      <xdr:rowOff>51288</xdr:rowOff>
    </xdr:from>
    <xdr:to>
      <xdr:col>14</xdr:col>
      <xdr:colOff>603905</xdr:colOff>
      <xdr:row>16</xdr:row>
      <xdr:rowOff>92620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332E9EFF-BC2A-45E8-851F-3C477D822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5808" y="1399442"/>
          <a:ext cx="4516481" cy="2928140"/>
        </a:xfrm>
        <a:prstGeom prst="rect">
          <a:avLst/>
        </a:prstGeom>
      </xdr:spPr>
    </xdr:pic>
    <xdr:clientData/>
  </xdr:twoCellAnchor>
  <xdr:twoCellAnchor editAs="oneCell">
    <xdr:from>
      <xdr:col>7</xdr:col>
      <xdr:colOff>395653</xdr:colOff>
      <xdr:row>113</xdr:row>
      <xdr:rowOff>124558</xdr:rowOff>
    </xdr:from>
    <xdr:to>
      <xdr:col>18</xdr:col>
      <xdr:colOff>536550</xdr:colOff>
      <xdr:row>124</xdr:row>
      <xdr:rowOff>45712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FDE0DE82-232C-4E81-BCD6-422DB647D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0384" y="24127558"/>
          <a:ext cx="6830378" cy="20386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</xdr:row>
      <xdr:rowOff>0</xdr:rowOff>
    </xdr:from>
    <xdr:to>
      <xdr:col>14</xdr:col>
      <xdr:colOff>235244</xdr:colOff>
      <xdr:row>19</xdr:row>
      <xdr:rowOff>5469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BCC4C0FC-5764-4C5C-AF45-9BED267D0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3145" y="1744579"/>
          <a:ext cx="4516481" cy="2928140"/>
        </a:xfrm>
        <a:prstGeom prst="rect">
          <a:avLst/>
        </a:prstGeom>
      </xdr:spPr>
    </xdr:pic>
    <xdr:clientData/>
  </xdr:twoCellAnchor>
  <xdr:twoCellAnchor editAs="oneCell">
    <xdr:from>
      <xdr:col>7</xdr:col>
      <xdr:colOff>90237</xdr:colOff>
      <xdr:row>113</xdr:row>
      <xdr:rowOff>120316</xdr:rowOff>
    </xdr:from>
    <xdr:to>
      <xdr:col>18</xdr:col>
      <xdr:colOff>192957</xdr:colOff>
      <xdr:row>124</xdr:row>
      <xdr:rowOff>33372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71CE0062-030A-49A6-B422-5B6C28D94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3382" y="23376355"/>
          <a:ext cx="6830378" cy="20386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73269</xdr:colOff>
      <xdr:row>7</xdr:row>
      <xdr:rowOff>58614</xdr:rowOff>
    </xdr:from>
    <xdr:to>
      <xdr:col>14</xdr:col>
      <xdr:colOff>339219</xdr:colOff>
      <xdr:row>17</xdr:row>
      <xdr:rowOff>63770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C6836C1F-4BCD-757B-CD28-94970BE2A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77404" y="1604595"/>
          <a:ext cx="4522892" cy="2935925"/>
        </a:xfrm>
        <a:prstGeom prst="rect">
          <a:avLst/>
        </a:prstGeom>
      </xdr:spPr>
    </xdr:pic>
    <xdr:clientData/>
  </xdr:twoCellAnchor>
  <xdr:twoCellAnchor editAs="oneCell">
    <xdr:from>
      <xdr:col>7</xdr:col>
      <xdr:colOff>71438</xdr:colOff>
      <xdr:row>112</xdr:row>
      <xdr:rowOff>166688</xdr:rowOff>
    </xdr:from>
    <xdr:to>
      <xdr:col>18</xdr:col>
      <xdr:colOff>222410</xdr:colOff>
      <xdr:row>123</xdr:row>
      <xdr:rowOff>74105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F84A2688-B110-4AC0-8015-411FFEA91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1" y="23770829"/>
          <a:ext cx="6830378" cy="20386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23813</xdr:colOff>
      <xdr:row>7</xdr:row>
      <xdr:rowOff>53578</xdr:rowOff>
    </xdr:from>
    <xdr:to>
      <xdr:col>14</xdr:col>
      <xdr:colOff>289763</xdr:colOff>
      <xdr:row>18</xdr:row>
      <xdr:rowOff>52781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881AC197-7E6C-4215-9523-76F037FF7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7063" y="1613297"/>
          <a:ext cx="4516481" cy="2928140"/>
        </a:xfrm>
        <a:prstGeom prst="rect">
          <a:avLst/>
        </a:prstGeom>
      </xdr:spPr>
    </xdr:pic>
    <xdr:clientData/>
  </xdr:twoCellAnchor>
  <xdr:twoCellAnchor editAs="oneCell">
    <xdr:from>
      <xdr:col>7</xdr:col>
      <xdr:colOff>119062</xdr:colOff>
      <xdr:row>113</xdr:row>
      <xdr:rowOff>113109</xdr:rowOff>
    </xdr:from>
    <xdr:to>
      <xdr:col>18</xdr:col>
      <xdr:colOff>270034</xdr:colOff>
      <xdr:row>124</xdr:row>
      <xdr:rowOff>20525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46921D68-C2BF-4B30-92C9-C1A74B0F0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72312" y="24032765"/>
          <a:ext cx="6830378" cy="20386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16565</xdr:colOff>
      <xdr:row>7</xdr:row>
      <xdr:rowOff>28463</xdr:rowOff>
    </xdr:from>
    <xdr:to>
      <xdr:col>14</xdr:col>
      <xdr:colOff>140805</xdr:colOff>
      <xdr:row>17</xdr:row>
      <xdr:rowOff>101462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F1415265-C892-4244-2C30-B883783E8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0739" y="1577311"/>
          <a:ext cx="4414631" cy="3029890"/>
        </a:xfrm>
        <a:prstGeom prst="rect">
          <a:avLst/>
        </a:prstGeom>
      </xdr:spPr>
    </xdr:pic>
    <xdr:clientData/>
  </xdr:twoCellAnchor>
  <xdr:twoCellAnchor editAs="oneCell">
    <xdr:from>
      <xdr:col>7</xdr:col>
      <xdr:colOff>77391</xdr:colOff>
      <xdr:row>113</xdr:row>
      <xdr:rowOff>166687</xdr:rowOff>
    </xdr:from>
    <xdr:to>
      <xdr:col>18</xdr:col>
      <xdr:colOff>228362</xdr:colOff>
      <xdr:row>124</xdr:row>
      <xdr:rowOff>74104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5219CCA9-98B2-41A2-9195-935084C75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1047" y="24288750"/>
          <a:ext cx="6830378" cy="20386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243052</xdr:colOff>
      <xdr:row>112</xdr:row>
      <xdr:rowOff>131380</xdr:rowOff>
    </xdr:from>
    <xdr:to>
      <xdr:col>18</xdr:col>
      <xdr:colOff>156310</xdr:colOff>
      <xdr:row>123</xdr:row>
      <xdr:rowOff>54808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2FA8D07-25C2-485E-9FEF-CD55B3DC8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9466" y="23911035"/>
          <a:ext cx="6830378" cy="20386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C\SYS\desen\nota\Gen98%2309\GEN96%23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z"/>
      <sheetName val="cota"/>
      <sheetName val="tab."/>
      <sheetName val="c.gr"/>
      <sheetName val="enpe."/>
      <sheetName val="div"/>
      <sheetName val="ric."/>
      <sheetName val="prop."/>
      <sheetName val="8905-1"/>
      <sheetName val="8905-2"/>
      <sheetName val="8905-3"/>
      <sheetName val="8905-4"/>
      <sheetName val="8910-1"/>
      <sheetName val="8910-2"/>
      <sheetName val="8915-1"/>
      <sheetName val="8915-2"/>
      <sheetName val="8915-3"/>
      <sheetName val="8920-1"/>
      <sheetName val="8920-2"/>
      <sheetName val="8925-1"/>
      <sheetName val="8930-1"/>
      <sheetName val="8935-1"/>
      <sheetName val="8945-1"/>
      <sheetName val="8950-1"/>
      <sheetName val="8955-1"/>
      <sheetName val="8960-1"/>
      <sheetName val="ANX2"/>
      <sheetName val="rc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dcruz"/>
      <sheetName val="dmari"/>
      <sheetName val="drei"/>
      <sheetName val="pven"/>
      <sheetName val="p cc"/>
      <sheetName val="pcida"/>
      <sheetName val="firmas"/>
      <sheetName val="evolução"/>
      <sheetName val="evolução (2)"/>
      <sheetName val="Extenso Real"/>
      <sheetName val="Modelo"/>
      <sheetName val="MapaFatMai_06"/>
      <sheetName val="DiversosMai_06"/>
      <sheetName val="RecibosMai_06"/>
      <sheetName val="Parametros"/>
      <sheetName val="Gráf1"/>
      <sheetName val="Gráf2"/>
      <sheetName val="Gráf4"/>
      <sheetName val="Módulo1"/>
      <sheetName val="Fat_diversos"/>
      <sheetName val="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5"/>
  <sheetViews>
    <sheetView showGridLines="0" tabSelected="1" topLeftCell="A11" workbookViewId="0">
      <selection activeCell="L11" sqref="L11"/>
    </sheetView>
  </sheetViews>
  <sheetFormatPr defaultRowHeight="15" x14ac:dyDescent="0.25"/>
  <cols>
    <col min="1" max="1" width="17" customWidth="1"/>
    <col min="2" max="2" width="7.5703125" customWidth="1"/>
    <col min="3" max="3" width="3.85546875" customWidth="1"/>
    <col min="4" max="4" width="12.42578125" customWidth="1"/>
    <col min="5" max="5" width="10.5703125" customWidth="1"/>
    <col min="6" max="6" width="11.42578125" customWidth="1"/>
    <col min="7" max="7" width="12.140625" customWidth="1"/>
    <col min="8" max="8" width="12.28515625" customWidth="1"/>
    <col min="9" max="9" width="13.140625" customWidth="1"/>
  </cols>
  <sheetData>
    <row r="2" spans="1:9" x14ac:dyDescent="0.25">
      <c r="A2" s="275" t="s">
        <v>1</v>
      </c>
      <c r="B2" s="276"/>
      <c r="C2" s="276"/>
      <c r="D2" s="276"/>
      <c r="E2" s="276"/>
      <c r="F2" s="276"/>
      <c r="G2" s="277"/>
    </row>
    <row r="3" spans="1:9" x14ac:dyDescent="0.25">
      <c r="A3" s="270" t="s">
        <v>2</v>
      </c>
      <c r="B3" s="271"/>
      <c r="C3" s="271"/>
      <c r="D3" s="272"/>
      <c r="E3" s="78" t="s">
        <v>3</v>
      </c>
      <c r="F3" s="273" t="s">
        <v>4</v>
      </c>
      <c r="G3" s="274"/>
    </row>
    <row r="5" spans="1:9" ht="12.75" customHeight="1" x14ac:dyDescent="0.25">
      <c r="A5" s="281" t="s">
        <v>201</v>
      </c>
      <c r="B5" s="281"/>
      <c r="C5" s="281"/>
      <c r="D5" s="281"/>
      <c r="E5" s="281"/>
      <c r="F5" s="281"/>
      <c r="G5" s="281"/>
      <c r="H5" s="281"/>
      <c r="I5" s="281"/>
    </row>
    <row r="6" spans="1:9" ht="15.75" thickBot="1" x14ac:dyDescent="0.3"/>
    <row r="7" spans="1:9" ht="15.75" thickBot="1" x14ac:dyDescent="0.3">
      <c r="A7" s="184" t="s">
        <v>159</v>
      </c>
      <c r="B7" s="112"/>
      <c r="C7" s="112"/>
      <c r="D7" s="112"/>
      <c r="E7" s="112"/>
      <c r="F7" s="112"/>
      <c r="G7" s="112"/>
      <c r="H7" s="112"/>
      <c r="I7" s="113"/>
    </row>
    <row r="8" spans="1:9" ht="74.25" customHeight="1" thickBot="1" x14ac:dyDescent="0.3">
      <c r="A8" s="116" t="s">
        <v>136</v>
      </c>
      <c r="B8" s="117" t="s">
        <v>160</v>
      </c>
      <c r="C8" s="118" t="s">
        <v>196</v>
      </c>
      <c r="D8" s="118" t="s">
        <v>138</v>
      </c>
      <c r="E8" s="118" t="s">
        <v>193</v>
      </c>
      <c r="F8" s="118" t="s">
        <v>200</v>
      </c>
      <c r="G8" s="117" t="s">
        <v>161</v>
      </c>
      <c r="H8" s="117" t="s">
        <v>162</v>
      </c>
      <c r="I8" s="119"/>
    </row>
    <row r="9" spans="1:9" ht="15.75" thickBot="1" x14ac:dyDescent="0.3">
      <c r="A9" s="70" t="str">
        <f>'I-Copeiragem'!B132</f>
        <v>Copeiro</v>
      </c>
      <c r="B9" s="71" t="s">
        <v>163</v>
      </c>
      <c r="C9" s="72">
        <f>'I-Copeiragem'!D132</f>
        <v>2</v>
      </c>
      <c r="D9" s="114">
        <f>'I-Copeiragem'!E132</f>
        <v>3381.3918766786555</v>
      </c>
      <c r="E9" s="114">
        <f>'I-Copeiragem'!F132</f>
        <v>1360.4067406696831</v>
      </c>
      <c r="F9" s="115">
        <v>0</v>
      </c>
      <c r="G9" s="73">
        <f>C9*D9+E9+F9</f>
        <v>8123.1904940269942</v>
      </c>
      <c r="H9" s="73">
        <f>G9*12</f>
        <v>97478.285928323923</v>
      </c>
      <c r="I9" s="120"/>
    </row>
    <row r="10" spans="1:9" ht="15.75" thickBot="1" x14ac:dyDescent="0.3">
      <c r="A10" s="185" t="s">
        <v>164</v>
      </c>
      <c r="B10" s="112"/>
      <c r="C10" s="112"/>
      <c r="D10" s="112"/>
      <c r="E10" s="112"/>
      <c r="F10" s="112"/>
      <c r="G10" s="112"/>
      <c r="H10" s="112"/>
      <c r="I10" s="113"/>
    </row>
    <row r="11" spans="1:9" ht="81.75" customHeight="1" thickBot="1" x14ac:dyDescent="0.3">
      <c r="A11" s="116" t="s">
        <v>136</v>
      </c>
      <c r="B11" s="117" t="s">
        <v>160</v>
      </c>
      <c r="C11" s="118" t="s">
        <v>196</v>
      </c>
      <c r="D11" s="118" t="s">
        <v>138</v>
      </c>
      <c r="E11" s="118" t="s">
        <v>193</v>
      </c>
      <c r="F11" s="118" t="s">
        <v>200</v>
      </c>
      <c r="G11" s="117" t="s">
        <v>161</v>
      </c>
      <c r="H11" s="117" t="s">
        <v>162</v>
      </c>
      <c r="I11" s="119"/>
    </row>
    <row r="12" spans="1:9" ht="15.75" thickBot="1" x14ac:dyDescent="0.3">
      <c r="A12" s="70" t="str">
        <f>'II-Servente de Limpeza'!B132</f>
        <v>Servente de Limpeza</v>
      </c>
      <c r="B12" s="71" t="s">
        <v>163</v>
      </c>
      <c r="C12" s="72">
        <f>'II-Servente de Limpeza'!D132</f>
        <v>5</v>
      </c>
      <c r="D12" s="114">
        <f>'II-Servente de Limpeza'!E132</f>
        <v>4397.3122874656265</v>
      </c>
      <c r="E12" s="114">
        <f>'II-Servente de Limpeza'!F132</f>
        <v>760.26530066030125</v>
      </c>
      <c r="F12" s="115">
        <v>0</v>
      </c>
      <c r="G12" s="73">
        <f>C12*D12+E12+F12</f>
        <v>22746.826737988431</v>
      </c>
      <c r="H12" s="73">
        <f>G12*12</f>
        <v>272961.92085586116</v>
      </c>
      <c r="I12" s="120"/>
    </row>
    <row r="13" spans="1:9" ht="15.75" thickBot="1" x14ac:dyDescent="0.3">
      <c r="A13" s="184" t="s">
        <v>165</v>
      </c>
      <c r="B13" s="112"/>
      <c r="C13" s="112"/>
      <c r="D13" s="112"/>
      <c r="E13" s="112"/>
      <c r="F13" s="112"/>
      <c r="G13" s="112"/>
      <c r="H13" s="112"/>
      <c r="I13" s="113"/>
    </row>
    <row r="14" spans="1:9" ht="85.5" customHeight="1" thickBot="1" x14ac:dyDescent="0.3">
      <c r="A14" s="116" t="s">
        <v>136</v>
      </c>
      <c r="B14" s="117" t="s">
        <v>160</v>
      </c>
      <c r="C14" s="118" t="s">
        <v>196</v>
      </c>
      <c r="D14" s="118" t="s">
        <v>138</v>
      </c>
      <c r="E14" s="118" t="s">
        <v>193</v>
      </c>
      <c r="F14" s="118" t="s">
        <v>200</v>
      </c>
      <c r="G14" s="117" t="s">
        <v>161</v>
      </c>
      <c r="H14" s="117" t="s">
        <v>162</v>
      </c>
      <c r="I14" s="119"/>
    </row>
    <row r="15" spans="1:9" ht="23.25" thickBot="1" x14ac:dyDescent="0.3">
      <c r="A15" s="70" t="str">
        <f>'III-Aux. de Manutenção Predial'!B132</f>
        <v>Auxiliar de Manutenção Predial</v>
      </c>
      <c r="B15" s="71" t="s">
        <v>163</v>
      </c>
      <c r="C15" s="72">
        <f>'III-Aux. de Manutenção Predial'!D132</f>
        <v>1</v>
      </c>
      <c r="D15" s="121">
        <f>'III-Aux. de Manutenção Predial'!E132</f>
        <v>6001.3538027268642</v>
      </c>
      <c r="E15" s="121">
        <f>'III-Aux. de Manutenção Predial'!F132</f>
        <v>176.94816207428707</v>
      </c>
      <c r="F15" s="115">
        <v>0</v>
      </c>
      <c r="G15" s="73">
        <f>C15*D15+E15+F15</f>
        <v>6178.3019648011514</v>
      </c>
      <c r="H15" s="73">
        <f>G15*12</f>
        <v>74139.62357761382</v>
      </c>
      <c r="I15" s="120"/>
    </row>
    <row r="16" spans="1:9" ht="15.75" thickBot="1" x14ac:dyDescent="0.3">
      <c r="A16" s="185" t="s">
        <v>166</v>
      </c>
      <c r="B16" s="112"/>
      <c r="C16" s="112"/>
      <c r="D16" s="112"/>
      <c r="E16" s="112"/>
      <c r="F16" s="112"/>
      <c r="G16" s="112"/>
      <c r="H16" s="112"/>
      <c r="I16" s="113"/>
    </row>
    <row r="17" spans="1:9" ht="73.5" customHeight="1" thickBot="1" x14ac:dyDescent="0.3">
      <c r="A17" s="116" t="s">
        <v>136</v>
      </c>
      <c r="B17" s="117" t="s">
        <v>160</v>
      </c>
      <c r="C17" s="118" t="s">
        <v>196</v>
      </c>
      <c r="D17" s="118" t="s">
        <v>138</v>
      </c>
      <c r="E17" s="118" t="s">
        <v>193</v>
      </c>
      <c r="F17" s="118" t="s">
        <v>200</v>
      </c>
      <c r="G17" s="117" t="s">
        <v>161</v>
      </c>
      <c r="H17" s="117" t="s">
        <v>162</v>
      </c>
      <c r="I17" s="119"/>
    </row>
    <row r="18" spans="1:9" ht="15.75" thickBot="1" x14ac:dyDescent="0.3">
      <c r="A18" s="70" t="str">
        <f>'IV-Recepcionista'!B132</f>
        <v>Recepcionista</v>
      </c>
      <c r="B18" s="71" t="s">
        <v>163</v>
      </c>
      <c r="C18" s="72">
        <f>'IV-Recepcionista'!D132</f>
        <v>8</v>
      </c>
      <c r="D18" s="121">
        <f>'IV-Recepcionista'!E132</f>
        <v>5031.5114375444646</v>
      </c>
      <c r="E18" s="121">
        <f>'IV-Recepcionista'!F132</f>
        <v>3265.6791891440571</v>
      </c>
      <c r="F18" s="115">
        <v>0</v>
      </c>
      <c r="G18" s="73">
        <f>C18*D18+E18+F18</f>
        <v>43517.770689499775</v>
      </c>
      <c r="H18" s="73">
        <f>G18*12</f>
        <v>522213.24827399733</v>
      </c>
      <c r="I18" s="120"/>
    </row>
    <row r="19" spans="1:9" ht="15.75" thickBot="1" x14ac:dyDescent="0.3">
      <c r="A19" s="184" t="s">
        <v>167</v>
      </c>
      <c r="B19" s="112"/>
      <c r="C19" s="112"/>
      <c r="D19" s="112"/>
      <c r="E19" s="112"/>
      <c r="F19" s="112"/>
      <c r="G19" s="112"/>
      <c r="H19" s="112"/>
      <c r="I19" s="113"/>
    </row>
    <row r="20" spans="1:9" ht="91.5" customHeight="1" thickBot="1" x14ac:dyDescent="0.3">
      <c r="A20" s="116" t="s">
        <v>136</v>
      </c>
      <c r="B20" s="117" t="s">
        <v>160</v>
      </c>
      <c r="C20" s="118" t="s">
        <v>196</v>
      </c>
      <c r="D20" s="118" t="s">
        <v>138</v>
      </c>
      <c r="E20" s="118" t="s">
        <v>193</v>
      </c>
      <c r="F20" s="118" t="s">
        <v>200</v>
      </c>
      <c r="G20" s="117" t="s">
        <v>161</v>
      </c>
      <c r="H20" s="117" t="s">
        <v>162</v>
      </c>
      <c r="I20" s="119"/>
    </row>
    <row r="21" spans="1:9" ht="23.25" thickBot="1" x14ac:dyDescent="0.3">
      <c r="A21" s="70" t="str">
        <f>'V-Assistente Administrativo '!B132</f>
        <v>Assistente Administrativo I</v>
      </c>
      <c r="B21" s="71" t="s">
        <v>163</v>
      </c>
      <c r="C21" s="72">
        <f>'V-Assistente Administrativo '!D132</f>
        <v>4</v>
      </c>
      <c r="D21" s="121">
        <f>'V-Assistente Administrativo '!E132</f>
        <v>4728.2246535678441</v>
      </c>
      <c r="E21" s="121">
        <f>'V-Assistente Administrativo '!F132</f>
        <v>1343.0521768154624</v>
      </c>
      <c r="F21" s="115">
        <v>0</v>
      </c>
      <c r="G21" s="73">
        <f>C21*D21+E21+F21</f>
        <v>20255.950791086838</v>
      </c>
      <c r="H21" s="73">
        <f>G21*12</f>
        <v>243071.40949304204</v>
      </c>
      <c r="I21" s="120"/>
    </row>
    <row r="22" spans="1:9" ht="15.75" thickBot="1" x14ac:dyDescent="0.3">
      <c r="A22" s="185" t="s">
        <v>168</v>
      </c>
      <c r="B22" s="112"/>
      <c r="C22" s="112"/>
      <c r="D22" s="112"/>
      <c r="E22" s="112"/>
      <c r="F22" s="112"/>
      <c r="G22" s="112"/>
      <c r="H22" s="112"/>
      <c r="I22" s="113"/>
    </row>
    <row r="23" spans="1:9" ht="70.5" customHeight="1" thickBot="1" x14ac:dyDescent="0.3">
      <c r="A23" s="116" t="s">
        <v>136</v>
      </c>
      <c r="B23" s="117" t="s">
        <v>160</v>
      </c>
      <c r="C23" s="118" t="s">
        <v>196</v>
      </c>
      <c r="D23" s="118" t="s">
        <v>138</v>
      </c>
      <c r="E23" s="118" t="s">
        <v>193</v>
      </c>
      <c r="F23" s="118" t="s">
        <v>200</v>
      </c>
      <c r="G23" s="117" t="s">
        <v>161</v>
      </c>
      <c r="H23" s="117" t="s">
        <v>162</v>
      </c>
      <c r="I23" s="119"/>
    </row>
    <row r="24" spans="1:9" ht="34.5" thickBot="1" x14ac:dyDescent="0.3">
      <c r="A24" s="70" t="str">
        <f>'VI-Assistente Adm. MHMTT'!B132</f>
        <v>Assistente Administrativo - MHMTT</v>
      </c>
      <c r="B24" s="71" t="s">
        <v>163</v>
      </c>
      <c r="C24" s="72">
        <f>'VI-Assistente Adm. MHMTT'!D132</f>
        <v>1</v>
      </c>
      <c r="D24" s="121">
        <f>'VI-Assistente Adm. MHMTT'!E132</f>
        <v>5243.8208564946326</v>
      </c>
      <c r="E24" s="121">
        <f>'VI-Assistente Adm. MHMTT'!F132</f>
        <v>375.76841988677808</v>
      </c>
      <c r="F24" s="115">
        <v>0</v>
      </c>
      <c r="G24" s="73">
        <f>C24*D24+E24+F24</f>
        <v>5619.5892763814109</v>
      </c>
      <c r="H24" s="73">
        <f>G24*12</f>
        <v>67435.071316576927</v>
      </c>
      <c r="I24" s="120"/>
    </row>
    <row r="25" spans="1:9" ht="15.75" thickBot="1" x14ac:dyDescent="0.3">
      <c r="A25" s="184" t="s">
        <v>169</v>
      </c>
      <c r="B25" s="112"/>
      <c r="C25" s="112"/>
      <c r="D25" s="112"/>
      <c r="E25" s="112"/>
      <c r="F25" s="112"/>
      <c r="G25" s="112"/>
      <c r="H25" s="112"/>
      <c r="I25" s="113"/>
    </row>
    <row r="26" spans="1:9" ht="68.25" customHeight="1" thickBot="1" x14ac:dyDescent="0.3">
      <c r="A26" s="116" t="s">
        <v>136</v>
      </c>
      <c r="B26" s="117" t="s">
        <v>160</v>
      </c>
      <c r="C26" s="118" t="s">
        <v>196</v>
      </c>
      <c r="D26" s="118" t="s">
        <v>138</v>
      </c>
      <c r="E26" s="118" t="s">
        <v>193</v>
      </c>
      <c r="F26" s="118" t="s">
        <v>194</v>
      </c>
      <c r="G26" s="117" t="s">
        <v>161</v>
      </c>
      <c r="H26" s="117" t="s">
        <v>162</v>
      </c>
      <c r="I26" s="119"/>
    </row>
    <row r="27" spans="1:9" ht="23.25" customHeight="1" thickBot="1" x14ac:dyDescent="0.3">
      <c r="A27" s="70" t="str">
        <f>'VII-Motorista I'!B137</f>
        <v>Motorista Executivo I</v>
      </c>
      <c r="B27" s="71" t="s">
        <v>163</v>
      </c>
      <c r="C27" s="72">
        <f>'VII-Motorista I'!C137</f>
        <v>1</v>
      </c>
      <c r="D27" s="121">
        <f>'VII-Motorista I'!D137</f>
        <v>7063.4571184032575</v>
      </c>
      <c r="E27" s="121">
        <f>'VII-Motorista I'!E137</f>
        <v>1074.7881954665581</v>
      </c>
      <c r="F27" s="121">
        <f>'VII-Motorista I'!F137</f>
        <v>1420.9523105458402</v>
      </c>
      <c r="G27" s="73">
        <f>C27*D27+E27+F27</f>
        <v>9559.1976244156558</v>
      </c>
      <c r="H27" s="73">
        <f>G27*12</f>
        <v>114710.37149298788</v>
      </c>
      <c r="I27" s="120"/>
    </row>
    <row r="28" spans="1:9" ht="15.75" thickBot="1" x14ac:dyDescent="0.3">
      <c r="A28" s="185" t="s">
        <v>170</v>
      </c>
      <c r="B28" s="112"/>
      <c r="C28" s="112"/>
      <c r="D28" s="112"/>
      <c r="E28" s="112"/>
      <c r="F28" s="112"/>
      <c r="G28" s="112"/>
      <c r="H28" s="112"/>
      <c r="I28" s="113"/>
    </row>
    <row r="29" spans="1:9" ht="45.75" customHeight="1" thickBot="1" x14ac:dyDescent="0.3">
      <c r="A29" s="116" t="s">
        <v>136</v>
      </c>
      <c r="B29" s="117" t="s">
        <v>160</v>
      </c>
      <c r="C29" s="118" t="s">
        <v>196</v>
      </c>
      <c r="D29" s="118" t="s">
        <v>138</v>
      </c>
      <c r="E29" s="118" t="s">
        <v>193</v>
      </c>
      <c r="F29" s="118" t="s">
        <v>194</v>
      </c>
      <c r="G29" s="117" t="s">
        <v>161</v>
      </c>
      <c r="H29" s="117" t="s">
        <v>162</v>
      </c>
      <c r="I29" s="119"/>
    </row>
    <row r="30" spans="1:9" ht="15.75" thickBot="1" x14ac:dyDescent="0.3">
      <c r="A30" s="70" t="str">
        <f>'VIII-Motorista II'!B137</f>
        <v>Motorista Executivo II</v>
      </c>
      <c r="B30" s="71" t="s">
        <v>163</v>
      </c>
      <c r="C30" s="72">
        <f>'VIII-Motorista II'!C137</f>
        <v>1</v>
      </c>
      <c r="D30" s="121">
        <f>'VIII-Motorista II'!D137</f>
        <v>8509.4533141775155</v>
      </c>
      <c r="E30" s="121">
        <f>'VIII-Motorista II'!E137</f>
        <v>1397.2246541065253</v>
      </c>
      <c r="F30" s="121">
        <f>'VIII-Motorista II'!F137</f>
        <v>1420.9523105458402</v>
      </c>
      <c r="G30" s="73">
        <f>C30*D30+E30+F30</f>
        <v>11327.630278829882</v>
      </c>
      <c r="H30" s="73">
        <f>G30*12</f>
        <v>135931.5633459586</v>
      </c>
      <c r="I30" s="120"/>
    </row>
    <row r="31" spans="1:9" ht="15.75" thickBot="1" x14ac:dyDescent="0.3">
      <c r="A31" s="101"/>
      <c r="B31" s="101"/>
      <c r="C31" s="101"/>
      <c r="D31" s="101"/>
      <c r="E31" s="101"/>
      <c r="F31" s="101"/>
      <c r="G31" s="101"/>
      <c r="H31" s="101"/>
      <c r="I31" s="101"/>
    </row>
    <row r="32" spans="1:9" ht="45.75" customHeight="1" thickBot="1" x14ac:dyDescent="0.3">
      <c r="A32" s="278" t="s">
        <v>171</v>
      </c>
      <c r="B32" s="279"/>
      <c r="C32" s="279"/>
      <c r="D32" s="279"/>
      <c r="E32" s="279"/>
      <c r="F32" s="279"/>
      <c r="G32" s="279"/>
      <c r="H32" s="280"/>
      <c r="I32" s="74">
        <f>H9+H12+H15+H18+H21+H27+H24+H30</f>
        <v>1527941.4942843616</v>
      </c>
    </row>
    <row r="35" spans="1:9" s="55" customFormat="1" ht="15.75" customHeight="1" x14ac:dyDescent="0.25">
      <c r="A35"/>
      <c r="B35"/>
      <c r="C35"/>
      <c r="D35"/>
      <c r="E35"/>
      <c r="F35"/>
      <c r="G35"/>
      <c r="H35"/>
      <c r="I35"/>
    </row>
  </sheetData>
  <mergeCells count="5">
    <mergeCell ref="A3:D3"/>
    <mergeCell ref="F3:G3"/>
    <mergeCell ref="A2:G2"/>
    <mergeCell ref="A32:H32"/>
    <mergeCell ref="A5:I5"/>
  </mergeCells>
  <printOptions horizontalCentered="1"/>
  <pageMargins left="0.11811023622047245" right="0.11811023622047245" top="0.19685039370078741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18"/>
  <sheetViews>
    <sheetView topLeftCell="A4" zoomScale="70" zoomScaleNormal="70" workbookViewId="0">
      <selection activeCell="M14" sqref="M14:N14"/>
    </sheetView>
  </sheetViews>
  <sheetFormatPr defaultColWidth="23.140625" defaultRowHeight="15" x14ac:dyDescent="0.25"/>
  <cols>
    <col min="2" max="2" width="23.28515625" bestFit="1" customWidth="1"/>
    <col min="6" max="8" width="23.28515625" bestFit="1" customWidth="1"/>
    <col min="9" max="9" width="28.85546875" bestFit="1" customWidth="1"/>
    <col min="10" max="10" width="35.140625" customWidth="1"/>
    <col min="11" max="11" width="35.5703125" customWidth="1"/>
  </cols>
  <sheetData>
    <row r="1" spans="1:15" ht="36" customHeight="1" x14ac:dyDescent="0.25">
      <c r="A1" s="203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15" ht="48.75" customHeight="1" x14ac:dyDescent="0.25">
      <c r="A2" s="202"/>
      <c r="B2" s="283" t="s">
        <v>209</v>
      </c>
      <c r="C2" s="284"/>
      <c r="D2" s="284"/>
      <c r="E2" s="284"/>
      <c r="F2" s="284"/>
      <c r="G2" s="284"/>
      <c r="H2" s="284"/>
      <c r="I2" s="282">
        <v>1838527.08</v>
      </c>
      <c r="J2" s="282"/>
    </row>
    <row r="3" spans="1:15" ht="15.75" thickBot="1" x14ac:dyDescent="0.3">
      <c r="A3" s="202"/>
      <c r="B3" s="204"/>
      <c r="C3" s="205"/>
      <c r="D3" s="206"/>
      <c r="E3" s="206"/>
      <c r="F3" s="206"/>
      <c r="G3" s="206"/>
      <c r="H3" s="206"/>
      <c r="I3" s="206"/>
      <c r="J3" s="207"/>
    </row>
    <row r="4" spans="1:15" ht="18" thickBot="1" x14ac:dyDescent="0.3">
      <c r="A4" s="202"/>
      <c r="B4" s="291" t="s">
        <v>210</v>
      </c>
      <c r="C4" s="292"/>
      <c r="D4" s="292"/>
      <c r="E4" s="292"/>
      <c r="F4" s="292"/>
      <c r="G4" s="293"/>
      <c r="H4" s="293"/>
      <c r="I4" s="292"/>
      <c r="J4" s="294"/>
    </row>
    <row r="5" spans="1:15" ht="40.5" customHeight="1" x14ac:dyDescent="0.25">
      <c r="A5" s="202"/>
      <c r="B5" s="208" t="s">
        <v>211</v>
      </c>
      <c r="C5" s="209" t="s">
        <v>212</v>
      </c>
      <c r="D5" s="208" t="s">
        <v>213</v>
      </c>
      <c r="E5" s="208" t="s">
        <v>214</v>
      </c>
      <c r="F5" s="210" t="s">
        <v>215</v>
      </c>
      <c r="G5" s="211" t="s">
        <v>216</v>
      </c>
      <c r="H5" s="212" t="s">
        <v>217</v>
      </c>
      <c r="I5" s="213" t="s">
        <v>218</v>
      </c>
      <c r="J5" s="214" t="s">
        <v>219</v>
      </c>
    </row>
    <row r="6" spans="1:15" ht="50.25" customHeight="1" x14ac:dyDescent="0.25">
      <c r="A6" s="202"/>
      <c r="B6" s="229">
        <v>1</v>
      </c>
      <c r="C6" s="228" t="s">
        <v>220</v>
      </c>
      <c r="D6" s="215" t="s">
        <v>221</v>
      </c>
      <c r="E6" s="215" t="s">
        <v>222</v>
      </c>
      <c r="F6" s="216">
        <f>'I-Copeiragem'!E132+'I-Copeiragem'!F132</f>
        <v>4741.7986173483387</v>
      </c>
      <c r="G6" s="230">
        <v>2</v>
      </c>
      <c r="H6" s="217">
        <f>'I-Copeiragem'!G132</f>
        <v>8123.1904940269942</v>
      </c>
      <c r="I6" s="218">
        <v>1</v>
      </c>
      <c r="J6" s="219">
        <f>H6*12</f>
        <v>97478.285928323923</v>
      </c>
      <c r="N6" s="290" t="s">
        <v>281</v>
      </c>
      <c r="O6" s="290"/>
    </row>
    <row r="7" spans="1:15" ht="50.25" customHeight="1" x14ac:dyDescent="0.25">
      <c r="A7" s="202"/>
      <c r="B7" s="229">
        <v>2</v>
      </c>
      <c r="C7" s="228" t="s">
        <v>220</v>
      </c>
      <c r="D7" s="215" t="s">
        <v>223</v>
      </c>
      <c r="E7" s="215" t="s">
        <v>222</v>
      </c>
      <c r="F7" s="216">
        <f>'II-Servente de Limpeza'!E132+'II-Servente de Limpeza'!F132</f>
        <v>5157.5775881259278</v>
      </c>
      <c r="G7" s="230">
        <v>5</v>
      </c>
      <c r="H7" s="217">
        <f>'II-Servente de Limpeza'!G132</f>
        <v>22746.826737988431</v>
      </c>
      <c r="I7" s="218">
        <v>1</v>
      </c>
      <c r="J7" s="219">
        <f>H7*G17</f>
        <v>272961.92085586116</v>
      </c>
      <c r="N7" s="288">
        <f>I2-I17</f>
        <v>310585.58571563847</v>
      </c>
      <c r="O7" s="289"/>
    </row>
    <row r="8" spans="1:15" ht="48" customHeight="1" x14ac:dyDescent="0.25">
      <c r="A8" s="202"/>
      <c r="B8" s="220">
        <v>3</v>
      </c>
      <c r="C8" s="228" t="s">
        <v>220</v>
      </c>
      <c r="D8" s="215" t="s">
        <v>224</v>
      </c>
      <c r="E8" s="215" t="s">
        <v>222</v>
      </c>
      <c r="F8" s="221">
        <f>'III-Aux. de Manutenção Predial'!E132+'III-Aux. de Manutenção Predial'!F132</f>
        <v>6178.3019648011514</v>
      </c>
      <c r="G8" s="230">
        <v>1</v>
      </c>
      <c r="H8" s="217">
        <f>'III-Aux. de Manutenção Predial'!G132</f>
        <v>6178.3019648011514</v>
      </c>
      <c r="I8" s="218">
        <v>1</v>
      </c>
      <c r="J8" s="219">
        <f>H8*G17</f>
        <v>74139.62357761382</v>
      </c>
      <c r="N8" s="289"/>
      <c r="O8" s="289"/>
    </row>
    <row r="9" spans="1:15" ht="48" customHeight="1" x14ac:dyDescent="0.25">
      <c r="A9" s="202"/>
      <c r="B9" s="220">
        <v>4</v>
      </c>
      <c r="C9" s="228" t="s">
        <v>220</v>
      </c>
      <c r="D9" s="215" t="s">
        <v>225</v>
      </c>
      <c r="E9" s="215" t="s">
        <v>222</v>
      </c>
      <c r="F9" s="221">
        <f>'IV-Recepcionista'!E132+'IV-Recepcionista'!F132</f>
        <v>8297.1906266885217</v>
      </c>
      <c r="G9" s="230">
        <v>8</v>
      </c>
      <c r="H9" s="217">
        <f>'IV-Recepcionista'!G132</f>
        <v>43517.770689499775</v>
      </c>
      <c r="I9" s="218">
        <v>1</v>
      </c>
      <c r="J9" s="219">
        <f>H9*G17</f>
        <v>522213.24827399733</v>
      </c>
    </row>
    <row r="10" spans="1:15" ht="38.25" customHeight="1" x14ac:dyDescent="0.25">
      <c r="A10" s="202"/>
      <c r="B10" s="220">
        <v>5</v>
      </c>
      <c r="C10" s="228" t="s">
        <v>220</v>
      </c>
      <c r="D10" s="215" t="s">
        <v>226</v>
      </c>
      <c r="E10" s="215" t="s">
        <v>222</v>
      </c>
      <c r="F10" s="221">
        <f>'V-Assistente Administrativo '!E132+'V-Assistente Administrativo '!F132</f>
        <v>6071.2768303833063</v>
      </c>
      <c r="G10" s="230">
        <v>4</v>
      </c>
      <c r="H10" s="217">
        <f>'V-Assistente Administrativo '!G132</f>
        <v>20255.950791086838</v>
      </c>
      <c r="I10" s="218">
        <v>1</v>
      </c>
      <c r="J10" s="219">
        <f>H10*G17</f>
        <v>243071.40949304204</v>
      </c>
    </row>
    <row r="11" spans="1:15" ht="45.75" customHeight="1" x14ac:dyDescent="0.25">
      <c r="A11" s="202"/>
      <c r="B11" s="220">
        <v>6</v>
      </c>
      <c r="C11" s="228" t="s">
        <v>220</v>
      </c>
      <c r="D11" s="215" t="s">
        <v>279</v>
      </c>
      <c r="E11" s="215" t="s">
        <v>222</v>
      </c>
      <c r="F11" s="221">
        <f>'VI-Assistente Adm. MHMTT'!E132+'VI-Assistente Adm. MHMTT'!F132</f>
        <v>5619.5892763814109</v>
      </c>
      <c r="G11" s="230">
        <v>1</v>
      </c>
      <c r="H11" s="217">
        <f>'VI-Assistente Adm. MHMTT'!G132</f>
        <v>5619.5892763814109</v>
      </c>
      <c r="I11" s="218">
        <v>1</v>
      </c>
      <c r="J11" s="219">
        <f>H11*G17</f>
        <v>67435.071316576927</v>
      </c>
    </row>
    <row r="12" spans="1:15" ht="48.75" customHeight="1" x14ac:dyDescent="0.25">
      <c r="A12" s="202"/>
      <c r="B12" s="220">
        <v>7</v>
      </c>
      <c r="C12" s="228" t="s">
        <v>220</v>
      </c>
      <c r="D12" s="215" t="s">
        <v>227</v>
      </c>
      <c r="E12" s="215" t="s">
        <v>222</v>
      </c>
      <c r="F12" s="221">
        <f>'VII-Motorista I'!D137+'VII-Motorista I'!E137+'VII-Motorista I'!F137</f>
        <v>9559.1976244156558</v>
      </c>
      <c r="G12" s="230">
        <v>1</v>
      </c>
      <c r="H12" s="217">
        <f>'VII-Motorista I'!G137</f>
        <v>9559.1976244156558</v>
      </c>
      <c r="I12" s="218">
        <v>1</v>
      </c>
      <c r="J12" s="219">
        <f>H12*G17</f>
        <v>114710.37149298788</v>
      </c>
    </row>
    <row r="13" spans="1:15" ht="46.5" customHeight="1" thickBot="1" x14ac:dyDescent="0.3">
      <c r="A13" s="202"/>
      <c r="B13" s="220">
        <v>8</v>
      </c>
      <c r="C13" s="228" t="s">
        <v>220</v>
      </c>
      <c r="D13" s="215" t="s">
        <v>228</v>
      </c>
      <c r="E13" s="215" t="s">
        <v>222</v>
      </c>
      <c r="F13" s="221">
        <f>'VIII-Motorista II'!D137+'VIII-Motorista II'!E137+'VIII-Motorista II'!F137</f>
        <v>11327.630278829882</v>
      </c>
      <c r="G13" s="230">
        <v>1</v>
      </c>
      <c r="H13" s="217">
        <f>'VIII-Motorista II'!G137</f>
        <v>11327.630278829882</v>
      </c>
      <c r="I13" s="218">
        <v>1</v>
      </c>
      <c r="J13" s="219">
        <f>H13*G17</f>
        <v>135931.5633459586</v>
      </c>
    </row>
    <row r="14" spans="1:15" ht="75" customHeight="1" x14ac:dyDescent="0.25">
      <c r="A14" s="206"/>
      <c r="B14" s="206"/>
      <c r="C14" s="206"/>
      <c r="D14" s="206"/>
      <c r="E14" s="206"/>
      <c r="F14" s="237"/>
      <c r="G14" s="222" t="s">
        <v>229</v>
      </c>
      <c r="H14" s="223" t="s">
        <v>230</v>
      </c>
      <c r="I14" s="206"/>
      <c r="J14" s="224" t="s">
        <v>231</v>
      </c>
      <c r="K14" s="124"/>
    </row>
    <row r="15" spans="1:15" ht="34.5" customHeight="1" thickBot="1" x14ac:dyDescent="0.3">
      <c r="A15" s="206"/>
      <c r="B15" s="206"/>
      <c r="C15" s="236">
        <v>1543795.4</v>
      </c>
      <c r="D15" s="206"/>
      <c r="E15" s="206"/>
      <c r="F15" s="237"/>
      <c r="G15" s="225">
        <f>SUM(G6:G14)</f>
        <v>23</v>
      </c>
      <c r="H15" s="226">
        <f>SUM(H6:H14)</f>
        <v>127328.45785703014</v>
      </c>
      <c r="I15" s="206"/>
      <c r="J15" s="227">
        <f>SUM(J6:J14)</f>
        <v>1527941.4942843616</v>
      </c>
      <c r="K15" s="124"/>
      <c r="M15" s="287">
        <f>C15-I17</f>
        <v>15853.905715638306</v>
      </c>
      <c r="N15" s="287"/>
    </row>
    <row r="16" spans="1:15" ht="45" customHeight="1" thickBot="1" x14ac:dyDescent="0.3">
      <c r="A16" s="295"/>
      <c r="B16" s="295"/>
      <c r="C16" s="295"/>
      <c r="D16" s="295"/>
      <c r="E16" s="295"/>
      <c r="F16" s="295"/>
      <c r="G16" s="295"/>
      <c r="H16" s="295"/>
      <c r="I16" s="295"/>
      <c r="J16" s="295"/>
      <c r="M16" s="287"/>
      <c r="N16" s="287"/>
    </row>
    <row r="17" spans="1:11" ht="15" customHeight="1" x14ac:dyDescent="0.25">
      <c r="A17" s="296" t="s">
        <v>232</v>
      </c>
      <c r="B17" s="297"/>
      <c r="C17" s="297"/>
      <c r="D17" s="297"/>
      <c r="E17" s="297"/>
      <c r="F17" s="297"/>
      <c r="G17" s="300">
        <v>12</v>
      </c>
      <c r="H17" s="302" t="s">
        <v>233</v>
      </c>
      <c r="I17" s="304">
        <f>SUM(H15*G17)</f>
        <v>1527941.4942843616</v>
      </c>
      <c r="J17" s="231"/>
      <c r="K17" s="285" t="s">
        <v>282</v>
      </c>
    </row>
    <row r="18" spans="1:11" ht="69" customHeight="1" thickBot="1" x14ac:dyDescent="0.3">
      <c r="A18" s="298"/>
      <c r="B18" s="299"/>
      <c r="C18" s="299"/>
      <c r="D18" s="299"/>
      <c r="E18" s="299"/>
      <c r="F18" s="299"/>
      <c r="G18" s="301"/>
      <c r="H18" s="303"/>
      <c r="I18" s="305"/>
      <c r="J18" s="232"/>
      <c r="K18" s="286"/>
    </row>
  </sheetData>
  <mergeCells count="12">
    <mergeCell ref="I2:J2"/>
    <mergeCell ref="B2:H2"/>
    <mergeCell ref="K17:K18"/>
    <mergeCell ref="M15:N16"/>
    <mergeCell ref="N7:O8"/>
    <mergeCell ref="N6:O6"/>
    <mergeCell ref="B4:J4"/>
    <mergeCell ref="A16:J16"/>
    <mergeCell ref="A17:F18"/>
    <mergeCell ref="G17:G18"/>
    <mergeCell ref="H17:H18"/>
    <mergeCell ref="I17:I18"/>
  </mergeCells>
  <pageMargins left="0.511811024" right="0.511811024" top="0.78740157499999996" bottom="0.78740157499999996" header="0.31496062000000002" footer="0.31496062000000002"/>
  <pageSetup paperSize="9" scale="3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H148"/>
  <sheetViews>
    <sheetView showGridLines="0" topLeftCell="A100" zoomScale="150" zoomScaleNormal="15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1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36" t="s">
        <v>202</v>
      </c>
      <c r="B2" s="437"/>
      <c r="C2" s="437"/>
      <c r="D2" s="437"/>
      <c r="E2" s="437"/>
      <c r="F2" s="437"/>
      <c r="G2" s="438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27" customHeight="1" x14ac:dyDescent="0.25">
      <c r="A9" s="264" t="s">
        <v>10</v>
      </c>
      <c r="B9" s="428" t="s">
        <v>11</v>
      </c>
      <c r="C9" s="429"/>
      <c r="D9" s="429"/>
      <c r="E9" s="430"/>
      <c r="F9" s="431" t="s">
        <v>283</v>
      </c>
      <c r="G9" s="432"/>
      <c r="H9" s="47"/>
    </row>
    <row r="10" spans="1:8" x14ac:dyDescent="0.25">
      <c r="A10" s="264" t="s">
        <v>12</v>
      </c>
      <c r="B10" s="439" t="s">
        <v>13</v>
      </c>
      <c r="C10" s="440"/>
      <c r="D10" s="440"/>
      <c r="E10" s="441"/>
      <c r="F10" s="442" t="s">
        <v>234</v>
      </c>
      <c r="G10" s="413"/>
      <c r="H10" s="47"/>
    </row>
    <row r="11" spans="1:8" ht="21.75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4" t="s">
        <v>20</v>
      </c>
      <c r="B15" s="411" t="s">
        <v>154</v>
      </c>
      <c r="C15" s="411"/>
      <c r="D15" s="411"/>
      <c r="E15" s="411"/>
      <c r="F15" s="412">
        <v>2</v>
      </c>
      <c r="G15" s="413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15">
        <v>1529</v>
      </c>
      <c r="G17" s="416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154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v>1529</v>
      </c>
      <c r="H24" s="47"/>
    </row>
    <row r="25" spans="1:8" ht="15" customHeight="1" x14ac:dyDescent="0.25">
      <c r="A25" s="8" t="s">
        <v>8</v>
      </c>
      <c r="B25" s="397" t="s">
        <v>32</v>
      </c>
      <c r="C25" s="397"/>
      <c r="D25" s="397"/>
      <c r="E25" s="397"/>
      <c r="F25" s="9"/>
      <c r="G25" s="10">
        <f>G24*F25</f>
        <v>0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1529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14">
        <v>0.2</v>
      </c>
      <c r="G32" s="10">
        <f t="shared" ref="G32:G39" si="0">$G$27*F32</f>
        <v>305.8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14">
        <v>1.4999999999999999E-2</v>
      </c>
      <c r="G33" s="10">
        <f t="shared" si="0"/>
        <v>22.934999999999999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14">
        <v>0.01</v>
      </c>
      <c r="G34" s="10">
        <f t="shared" si="0"/>
        <v>15.290000000000001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14">
        <v>2E-3</v>
      </c>
      <c r="G35" s="10">
        <f t="shared" si="0"/>
        <v>3.0580000000000003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14">
        <v>2.5000000000000001E-2</v>
      </c>
      <c r="G36" s="10">
        <f t="shared" si="0"/>
        <v>38.225000000000001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15">
        <v>0.08</v>
      </c>
      <c r="G37" s="10">
        <f t="shared" si="0"/>
        <v>122.32000000000001</v>
      </c>
      <c r="H37" s="47"/>
    </row>
    <row r="38" spans="1:8" x14ac:dyDescent="0.25">
      <c r="A38" s="13" t="s">
        <v>45</v>
      </c>
      <c r="B38" s="327" t="s">
        <v>46</v>
      </c>
      <c r="C38" s="327"/>
      <c r="D38" s="327"/>
      <c r="E38" s="327"/>
      <c r="F38" s="80">
        <v>5.0000000000000001E-3</v>
      </c>
      <c r="G38" s="10">
        <f t="shared" si="0"/>
        <v>7.6450000000000005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14">
        <v>6.0000000000000001E-3</v>
      </c>
      <c r="G39" s="10">
        <f t="shared" si="0"/>
        <v>9.1739999999999995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524.447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127.41157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127.3657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42.472222222222221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29.730555555555554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21.236111111111111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0.31854166666666667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4.2472222222222227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5.0966666666666667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357.87858944444446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122.75235617944448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480.63094562388892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10.193333333333333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1.1324793333333334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11.325812666666666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3.8847537446666673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15.210566411333334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6.3708333333333336</v>
      </c>
      <c r="H64" s="47"/>
    </row>
    <row r="65" spans="1:8" ht="27" customHeight="1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2.5483333333333333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48.928000000000004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57.847166666666674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0.5096666666666666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0.40773333333333334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58.764566666666674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524.447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480.63094562388892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15.210566411333334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58.764566666666674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1079.053078701889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x14ac:dyDescent="0.25">
      <c r="A82" s="233" t="s">
        <v>6</v>
      </c>
      <c r="B82" s="374" t="s">
        <v>90</v>
      </c>
      <c r="C82" s="375"/>
      <c r="D82" s="375"/>
      <c r="E82" s="375"/>
      <c r="F82" s="376"/>
      <c r="G82" s="243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-91.74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594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-118.80000000000001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79">
        <v>0</v>
      </c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79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10"/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523.46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21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21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3152.5130787018888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18.915078472211334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18.915078472211334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37.830156944422669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>
        <f>($G$104+$G$111)/(1-$F$118)*F115</f>
        <v>67.627837533573114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>
        <f>($G$104+$G$111)/(1-$F$118)*F116</f>
        <v>21.979047198411259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>
        <f>($G$104+$G$111)/(1-$F$118)*F117</f>
        <v>101.44175630035966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191.04864103234402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3381.3918766786555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ht="27" customHeight="1" x14ac:dyDescent="0.25">
      <c r="A125" s="308" t="s">
        <v>130</v>
      </c>
      <c r="B125" s="309"/>
      <c r="C125" s="65">
        <v>540</v>
      </c>
      <c r="D125" s="66">
        <v>0.5</v>
      </c>
      <c r="E125" s="67">
        <f>C125*(D125+1)*$G$27/220</f>
        <v>5629.5</v>
      </c>
      <c r="F125" s="67">
        <f>E125*(1+$F$78)</f>
        <v>9602.3772443114995</v>
      </c>
      <c r="G125" s="68">
        <f>F125/(1-$F$118)*(1+$F$111)</f>
        <v>10299.529169309208</v>
      </c>
      <c r="H125" s="1"/>
    </row>
    <row r="126" spans="1:8" ht="27" customHeight="1" x14ac:dyDescent="0.25">
      <c r="A126" s="310" t="s">
        <v>131</v>
      </c>
      <c r="B126" s="311"/>
      <c r="C126" s="65">
        <v>116</v>
      </c>
      <c r="D126" s="66">
        <v>1</v>
      </c>
      <c r="E126" s="67">
        <f>C126*(D126+1)/220*$G$27</f>
        <v>1612.3999999999999</v>
      </c>
      <c r="F126" s="67">
        <f>E126*(1+$F$78)</f>
        <v>2750.3105193583551</v>
      </c>
      <c r="G126" s="68">
        <f>F126/(1-$F$118)*(1+$F$111)</f>
        <v>2949.9886015799207</v>
      </c>
      <c r="H126" s="58"/>
    </row>
    <row r="127" spans="1:8" ht="15.75" thickBot="1" x14ac:dyDescent="0.3">
      <c r="A127" s="312" t="s">
        <v>132</v>
      </c>
      <c r="B127" s="313"/>
      <c r="C127" s="44">
        <v>116</v>
      </c>
      <c r="D127" s="45">
        <v>0.39</v>
      </c>
      <c r="E127" s="84">
        <f>C$127*($G$27/220)*(1+D$125)*(1+D$127)</f>
        <v>1680.9270000000004</v>
      </c>
      <c r="F127" s="46">
        <f>E127*(1+$F$78)</f>
        <v>2867.1987164310863</v>
      </c>
      <c r="G127" s="68">
        <f>F127/(1-$F$118)*(1+$F$111)</f>
        <v>3075.3631171470688</v>
      </c>
      <c r="H127" s="47"/>
    </row>
    <row r="128" spans="1:8" ht="15.75" thickBot="1" x14ac:dyDescent="0.3">
      <c r="A128" s="122" t="s">
        <v>133</v>
      </c>
      <c r="B128" s="123"/>
      <c r="C128" s="123"/>
      <c r="D128" s="123"/>
      <c r="E128" s="123"/>
      <c r="F128" s="123"/>
      <c r="G128" s="85">
        <f>SUM(G125:G127)</f>
        <v>16324.880888036198</v>
      </c>
      <c r="H128" s="47"/>
    </row>
    <row r="129" spans="1:8" ht="15.75" thickBot="1" x14ac:dyDescent="0.3">
      <c r="A129" s="314"/>
      <c r="B129" s="315"/>
      <c r="C129" s="315"/>
      <c r="D129" s="315"/>
      <c r="E129" s="315"/>
      <c r="F129" s="315"/>
      <c r="G129" s="316"/>
      <c r="H129" s="55"/>
    </row>
    <row r="130" spans="1:8" ht="15.75" thickBot="1" x14ac:dyDescent="0.3">
      <c r="A130" s="317" t="s">
        <v>191</v>
      </c>
      <c r="B130" s="318"/>
      <c r="C130" s="318"/>
      <c r="D130" s="318"/>
      <c r="E130" s="318"/>
      <c r="F130" s="318"/>
      <c r="G130" s="319"/>
      <c r="H130" s="47"/>
    </row>
    <row r="131" spans="1:8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59"/>
    </row>
    <row r="132" spans="1:8" ht="15.75" thickBot="1" x14ac:dyDescent="0.3">
      <c r="A132" s="106">
        <v>1</v>
      </c>
      <c r="B132" s="322" t="str">
        <f>B15</f>
        <v>Copeiro</v>
      </c>
      <c r="C132" s="323"/>
      <c r="D132" s="108">
        <f>F15</f>
        <v>2</v>
      </c>
      <c r="E132" s="109">
        <f>G120</f>
        <v>3381.3918766786555</v>
      </c>
      <c r="F132" s="110">
        <f>G128/12</f>
        <v>1360.4067406696831</v>
      </c>
      <c r="G132" s="111">
        <f>E132*D132+F132</f>
        <v>8123.1904940269942</v>
      </c>
      <c r="H132" s="59"/>
    </row>
    <row r="133" spans="1:8" ht="15.75" thickBot="1" x14ac:dyDescent="0.3">
      <c r="A133" s="306" t="s">
        <v>190</v>
      </c>
      <c r="B133" s="307"/>
      <c r="C133" s="307"/>
      <c r="D133" s="307"/>
      <c r="E133" s="307"/>
      <c r="F133" s="307"/>
      <c r="G133" s="102">
        <f>G132*12</f>
        <v>97478.285928323923</v>
      </c>
      <c r="H133" s="1"/>
    </row>
    <row r="134" spans="1:8" ht="14.25" customHeight="1" x14ac:dyDescent="0.25">
      <c r="A134" s="263"/>
      <c r="B134" s="263"/>
      <c r="C134" s="263"/>
      <c r="D134" s="263"/>
      <c r="E134" s="263"/>
      <c r="F134" s="263"/>
      <c r="G134" s="50"/>
      <c r="H134" s="48"/>
    </row>
    <row r="135" spans="1:8" x14ac:dyDescent="0.25">
      <c r="A135" s="260" t="s">
        <v>140</v>
      </c>
      <c r="B135" s="260"/>
      <c r="C135" s="260"/>
      <c r="D135" s="260"/>
      <c r="E135" s="260"/>
      <c r="F135" s="260"/>
      <c r="G135" s="1"/>
      <c r="H135" s="1"/>
    </row>
    <row r="136" spans="1:8" x14ac:dyDescent="0.25">
      <c r="A136" s="261" t="s">
        <v>141</v>
      </c>
      <c r="B136" s="260"/>
      <c r="C136" s="260"/>
      <c r="D136" s="260"/>
      <c r="E136" s="260"/>
      <c r="F136" s="260"/>
      <c r="G136" s="1"/>
      <c r="H136" s="1"/>
    </row>
    <row r="137" spans="1:8" x14ac:dyDescent="0.25">
      <c r="A137" s="261" t="s">
        <v>142</v>
      </c>
      <c r="B137" s="260"/>
      <c r="C137" s="260"/>
      <c r="D137" s="260"/>
      <c r="E137" s="260"/>
      <c r="F137" s="260"/>
      <c r="G137" s="1"/>
      <c r="H137" s="1"/>
    </row>
    <row r="138" spans="1:8" x14ac:dyDescent="0.25">
      <c r="A138" s="261" t="s">
        <v>143</v>
      </c>
      <c r="B138" s="260"/>
      <c r="C138" s="260"/>
      <c r="D138" s="260"/>
      <c r="E138" s="260"/>
      <c r="F138" s="260"/>
      <c r="G138" s="1"/>
      <c r="H138" s="1"/>
    </row>
    <row r="139" spans="1:8" x14ac:dyDescent="0.25">
      <c r="A139" s="261" t="s">
        <v>144</v>
      </c>
      <c r="B139" s="260"/>
      <c r="C139" s="260"/>
      <c r="D139" s="260"/>
      <c r="E139" s="260"/>
      <c r="F139" s="260"/>
      <c r="G139" s="1"/>
      <c r="H139" s="1"/>
    </row>
    <row r="140" spans="1:8" x14ac:dyDescent="0.25">
      <c r="A140" s="261" t="s">
        <v>145</v>
      </c>
      <c r="B140" s="260"/>
      <c r="C140" s="260"/>
      <c r="D140" s="260"/>
      <c r="E140" s="260"/>
      <c r="F140" s="260"/>
      <c r="G140" s="1"/>
      <c r="H140" s="1"/>
    </row>
    <row r="141" spans="1:8" x14ac:dyDescent="0.25">
      <c r="A141" s="261" t="s">
        <v>146</v>
      </c>
      <c r="B141" s="260"/>
      <c r="C141" s="260"/>
      <c r="D141" s="260"/>
      <c r="E141" s="260"/>
      <c r="F141" s="260"/>
      <c r="G141" s="1"/>
      <c r="H141" s="1"/>
    </row>
    <row r="142" spans="1:8" x14ac:dyDescent="0.25">
      <c r="A142" s="260" t="s">
        <v>147</v>
      </c>
      <c r="B142" s="260"/>
      <c r="C142" s="260"/>
      <c r="D142" s="260"/>
      <c r="E142" s="260"/>
      <c r="F142" s="260"/>
      <c r="G142" s="1"/>
      <c r="H142" s="1"/>
    </row>
    <row r="143" spans="1:8" x14ac:dyDescent="0.25">
      <c r="A143" s="260" t="s">
        <v>148</v>
      </c>
      <c r="B143" s="260"/>
      <c r="C143" s="260"/>
      <c r="D143" s="260"/>
      <c r="E143" s="260"/>
      <c r="F143" s="260"/>
      <c r="G143" s="1"/>
      <c r="H143" s="1"/>
    </row>
    <row r="144" spans="1:8" x14ac:dyDescent="0.25">
      <c r="A144" s="260" t="s">
        <v>149</v>
      </c>
      <c r="B144" s="260"/>
      <c r="C144" s="260"/>
      <c r="D144" s="260"/>
      <c r="E144" s="260"/>
      <c r="F144" s="260"/>
      <c r="G144" s="1"/>
      <c r="H144" s="1"/>
    </row>
    <row r="145" spans="1:8" x14ac:dyDescent="0.25">
      <c r="A145" s="262"/>
      <c r="B145" s="262"/>
      <c r="C145" s="262"/>
      <c r="D145" s="262"/>
      <c r="E145" s="262"/>
      <c r="F145" s="262"/>
      <c r="H145" s="55"/>
    </row>
    <row r="146" spans="1:8" x14ac:dyDescent="0.25">
      <c r="A146" s="262"/>
      <c r="B146" s="262"/>
      <c r="C146" s="262"/>
      <c r="D146" s="262"/>
      <c r="E146" s="262"/>
      <c r="F146" s="262"/>
    </row>
    <row r="147" spans="1:8" x14ac:dyDescent="0.25">
      <c r="A147" s="262"/>
      <c r="B147" s="262"/>
      <c r="C147" s="262"/>
      <c r="D147" s="262"/>
      <c r="E147" s="262"/>
      <c r="F147" s="262"/>
    </row>
    <row r="148" spans="1:8" x14ac:dyDescent="0.25">
      <c r="A148" s="262"/>
      <c r="B148" s="262"/>
      <c r="C148" s="262"/>
      <c r="D148" s="262"/>
      <c r="E148" s="262"/>
      <c r="F148" s="262"/>
    </row>
  </sheetData>
  <mergeCells count="149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F11:G11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B23:E23"/>
    <mergeCell ref="B24:F24"/>
    <mergeCell ref="B25:E25"/>
    <mergeCell ref="A26:E26"/>
    <mergeCell ref="A27:F27"/>
    <mergeCell ref="A28:G28"/>
    <mergeCell ref="B19:E19"/>
    <mergeCell ref="F19:G19"/>
    <mergeCell ref="B20:E20"/>
    <mergeCell ref="F20:G20"/>
    <mergeCell ref="A21:G21"/>
    <mergeCell ref="A22:G22"/>
    <mergeCell ref="B35:E35"/>
    <mergeCell ref="B36:E36"/>
    <mergeCell ref="B37:E37"/>
    <mergeCell ref="B38:E38"/>
    <mergeCell ref="B39:E39"/>
    <mergeCell ref="A40:E40"/>
    <mergeCell ref="A29:G29"/>
    <mergeCell ref="A30:G30"/>
    <mergeCell ref="B31:E31"/>
    <mergeCell ref="B32:E32"/>
    <mergeCell ref="B33:E33"/>
    <mergeCell ref="B34:E34"/>
    <mergeCell ref="B47:E47"/>
    <mergeCell ref="B48:E48"/>
    <mergeCell ref="B49:E49"/>
    <mergeCell ref="B50:E50"/>
    <mergeCell ref="B51:E51"/>
    <mergeCell ref="B52:E52"/>
    <mergeCell ref="A41:G41"/>
    <mergeCell ref="B42:E42"/>
    <mergeCell ref="B43:E43"/>
    <mergeCell ref="B44:E44"/>
    <mergeCell ref="B45:E45"/>
    <mergeCell ref="B46:E46"/>
    <mergeCell ref="H57:H58"/>
    <mergeCell ref="B59:E59"/>
    <mergeCell ref="B60:E60"/>
    <mergeCell ref="A61:E61"/>
    <mergeCell ref="A62:G62"/>
    <mergeCell ref="B63:E63"/>
    <mergeCell ref="B53:E53"/>
    <mergeCell ref="A54:E54"/>
    <mergeCell ref="A55:G55"/>
    <mergeCell ref="B56:E56"/>
    <mergeCell ref="B57:E57"/>
    <mergeCell ref="B58:E58"/>
    <mergeCell ref="B69:E69"/>
    <mergeCell ref="A70:E70"/>
    <mergeCell ref="A71:G71"/>
    <mergeCell ref="A72:G72"/>
    <mergeCell ref="B73:E73"/>
    <mergeCell ref="B74:E74"/>
    <mergeCell ref="B64:E64"/>
    <mergeCell ref="B65:E65"/>
    <mergeCell ref="B66:E66"/>
    <mergeCell ref="A67:E67"/>
    <mergeCell ref="B68:E68"/>
    <mergeCell ref="B81:E81"/>
    <mergeCell ref="B82:F82"/>
    <mergeCell ref="B83:E83"/>
    <mergeCell ref="B84:F84"/>
    <mergeCell ref="B85:E85"/>
    <mergeCell ref="B86:F86"/>
    <mergeCell ref="B75:E75"/>
    <mergeCell ref="B76:E76"/>
    <mergeCell ref="B77:E77"/>
    <mergeCell ref="A78:E78"/>
    <mergeCell ref="A79:G79"/>
    <mergeCell ref="A80:G80"/>
    <mergeCell ref="A93:F93"/>
    <mergeCell ref="A94:G94"/>
    <mergeCell ref="A95:G95"/>
    <mergeCell ref="B96:F96"/>
    <mergeCell ref="B97:F97"/>
    <mergeCell ref="B98:F98"/>
    <mergeCell ref="B87:F87"/>
    <mergeCell ref="B88:F88"/>
    <mergeCell ref="B89:F89"/>
    <mergeCell ref="B90:F90"/>
    <mergeCell ref="B91:F91"/>
    <mergeCell ref="B92:F92"/>
    <mergeCell ref="A105:G105"/>
    <mergeCell ref="A106:G106"/>
    <mergeCell ref="B107:E107"/>
    <mergeCell ref="B108:E108"/>
    <mergeCell ref="B109:E109"/>
    <mergeCell ref="B110:E110"/>
    <mergeCell ref="B99:F99"/>
    <mergeCell ref="B100:F100"/>
    <mergeCell ref="B101:F101"/>
    <mergeCell ref="A102:F102"/>
    <mergeCell ref="A103:G103"/>
    <mergeCell ref="A104:F104"/>
    <mergeCell ref="B117:E117"/>
    <mergeCell ref="A118:E118"/>
    <mergeCell ref="A119:G119"/>
    <mergeCell ref="A120:F120"/>
    <mergeCell ref="A121:G121"/>
    <mergeCell ref="A122:G122"/>
    <mergeCell ref="A111:E111"/>
    <mergeCell ref="A112:G112"/>
    <mergeCell ref="A113:G113"/>
    <mergeCell ref="B114:E114"/>
    <mergeCell ref="B115:E115"/>
    <mergeCell ref="B116:E116"/>
    <mergeCell ref="A133:F133"/>
    <mergeCell ref="A125:B125"/>
    <mergeCell ref="A126:B126"/>
    <mergeCell ref="A127:B127"/>
    <mergeCell ref="A129:G129"/>
    <mergeCell ref="A130:G130"/>
    <mergeCell ref="B131:C131"/>
    <mergeCell ref="B132:C132"/>
    <mergeCell ref="A123:B124"/>
    <mergeCell ref="C123:C124"/>
    <mergeCell ref="D123:D124"/>
    <mergeCell ref="E123:E124"/>
    <mergeCell ref="F123:F124"/>
    <mergeCell ref="G123:G124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39997558519241921"/>
  </sheetPr>
  <dimension ref="A1:L145"/>
  <sheetViews>
    <sheetView showGridLines="0" topLeftCell="A100" zoomScale="180" zoomScaleNormal="18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20" customWidth="1"/>
    <col min="10" max="11" width="12.140625" bestFit="1" customWidth="1"/>
    <col min="12" max="12" width="14.28515625" bestFit="1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59" t="s">
        <v>288</v>
      </c>
      <c r="B2" s="460"/>
      <c r="C2" s="460"/>
      <c r="D2" s="460"/>
      <c r="E2" s="460"/>
      <c r="F2" s="460"/>
      <c r="G2" s="461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33" customHeight="1" x14ac:dyDescent="0.25">
      <c r="A9" s="268" t="s">
        <v>10</v>
      </c>
      <c r="B9" s="454" t="s">
        <v>11</v>
      </c>
      <c r="C9" s="455"/>
      <c r="D9" s="455"/>
      <c r="E9" s="456"/>
      <c r="F9" s="457" t="s">
        <v>286</v>
      </c>
      <c r="G9" s="458"/>
      <c r="H9" s="47"/>
    </row>
    <row r="10" spans="1:8" ht="25.5" customHeight="1" x14ac:dyDescent="0.25">
      <c r="A10" s="268" t="s">
        <v>12</v>
      </c>
      <c r="B10" s="462" t="s">
        <v>13</v>
      </c>
      <c r="C10" s="463"/>
      <c r="D10" s="463"/>
      <c r="E10" s="464"/>
      <c r="F10" s="465" t="s">
        <v>280</v>
      </c>
      <c r="G10" s="466"/>
      <c r="H10" s="47"/>
    </row>
    <row r="11" spans="1:8" ht="21.75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265" t="s">
        <v>20</v>
      </c>
      <c r="B15" s="411" t="s">
        <v>21</v>
      </c>
      <c r="C15" s="411"/>
      <c r="D15" s="411"/>
      <c r="E15" s="411"/>
      <c r="F15" s="450">
        <v>5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52">
        <v>1491.84</v>
      </c>
      <c r="G17" s="453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21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f>F17</f>
        <v>1491.84</v>
      </c>
      <c r="H24" s="47"/>
    </row>
    <row r="25" spans="1:8" x14ac:dyDescent="0.25">
      <c r="A25" s="254" t="s">
        <v>8</v>
      </c>
      <c r="B25" s="449" t="s">
        <v>173</v>
      </c>
      <c r="C25" s="449"/>
      <c r="D25" s="449"/>
      <c r="E25" s="449"/>
      <c r="F25" s="255">
        <v>0.4</v>
      </c>
      <c r="G25" s="258">
        <f>F18*F25</f>
        <v>564.80000000000007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2056.64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411.32799999999997</v>
      </c>
      <c r="H32" s="53"/>
    </row>
    <row r="33" spans="1:8" x14ac:dyDescent="0.25">
      <c r="A33" s="13" t="s">
        <v>8</v>
      </c>
      <c r="B33" s="327" t="s">
        <v>180</v>
      </c>
      <c r="C33" s="327"/>
      <c r="D33" s="327"/>
      <c r="E33" s="327"/>
      <c r="F33" s="253">
        <v>1.4999999999999999E-2</v>
      </c>
      <c r="G33" s="10">
        <f t="shared" si="0"/>
        <v>30.849599999999995</v>
      </c>
      <c r="H33" s="47"/>
    </row>
    <row r="34" spans="1:8" x14ac:dyDescent="0.25">
      <c r="A34" s="13" t="s">
        <v>10</v>
      </c>
      <c r="B34" s="327" t="s">
        <v>179</v>
      </c>
      <c r="C34" s="327"/>
      <c r="D34" s="327"/>
      <c r="E34" s="327"/>
      <c r="F34" s="253">
        <v>0.01</v>
      </c>
      <c r="G34" s="10">
        <f t="shared" si="0"/>
        <v>20.566399999999998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4.1132799999999996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51.415999999999997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164.53119999999998</v>
      </c>
      <c r="H37" s="47"/>
    </row>
    <row r="38" spans="1:8" x14ac:dyDescent="0.25">
      <c r="A38" s="13" t="s">
        <v>45</v>
      </c>
      <c r="B38" s="327" t="s">
        <v>182</v>
      </c>
      <c r="C38" s="327"/>
      <c r="D38" s="327"/>
      <c r="E38" s="327"/>
      <c r="F38" s="248">
        <v>5.0000000000000001E-3</v>
      </c>
      <c r="G38" s="10">
        <f t="shared" si="0"/>
        <v>10.283199999999999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12.339839999999999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705.42751999999984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171.37981120000001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8.3330000000000001E-2</v>
      </c>
      <c r="G44" s="17">
        <f>G27*F44</f>
        <v>171.37981120000001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57.128888888888881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39.990222222222222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28.56444444444444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0.42846666666666661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5.7128888888888891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6.8554666666666657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0.23409055555555552</v>
      </c>
      <c r="G52" s="20">
        <f>SUM($G$27*F52)</f>
        <v>481.44000017777768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8.0293060555555559E-2</v>
      </c>
      <c r="G53" s="10">
        <f>F53*G27</f>
        <v>165.13392006097777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0.3143836161111111</v>
      </c>
      <c r="G54" s="12">
        <f>G52+G53</f>
        <v>646.57392023875548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13.710933333333331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1.5232846933333333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15.234218026666664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5.2253367831466671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20.45955480981333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8.5693333333333328</v>
      </c>
      <c r="H64" s="47"/>
    </row>
    <row r="65" spans="1:8" ht="27" customHeight="1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3.4277333333333333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65.812479999999994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77.809546666666662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0.68554666666666664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0.54843733333333333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79.043530666666669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705.42751999999984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0.3143836161111111</v>
      </c>
      <c r="G75" s="31">
        <f>G54</f>
        <v>646.57392023875548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20.45955480981333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79.043530666666669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0.70576499811111115</v>
      </c>
      <c r="G78" s="32">
        <f>SUM(G74:G77)</f>
        <v>1451.5045257152353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ht="27" customHeight="1" x14ac:dyDescent="0.25">
      <c r="A82" s="24" t="s">
        <v>6</v>
      </c>
      <c r="B82" s="446" t="s">
        <v>90</v>
      </c>
      <c r="C82" s="447"/>
      <c r="D82" s="447"/>
      <c r="E82" s="447"/>
      <c r="F82" s="448"/>
      <c r="G82" s="243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-89.51039999999999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599.28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-119.85599999999999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79">
        <v>0</v>
      </c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79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244">
        <v>48.43</v>
      </c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578.34359999999992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10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13.18</v>
      </c>
      <c r="H97" s="47"/>
    </row>
    <row r="98" spans="1:10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10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10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10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10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13.18</v>
      </c>
      <c r="H102" s="1"/>
    </row>
    <row r="103" spans="1:10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10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4099.6681257152359</v>
      </c>
      <c r="H104" s="1"/>
    </row>
    <row r="105" spans="1:10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10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10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10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24.598008754291417</v>
      </c>
      <c r="H108" s="1"/>
      <c r="J108" s="75"/>
    </row>
    <row r="109" spans="1:10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24.598008754291417</v>
      </c>
      <c r="H109" s="47"/>
    </row>
    <row r="110" spans="1:10" x14ac:dyDescent="0.25">
      <c r="A110" s="13" t="s">
        <v>10</v>
      </c>
      <c r="B110" s="327" t="s">
        <v>114</v>
      </c>
      <c r="C110" s="327"/>
      <c r="D110" s="327"/>
      <c r="E110" s="327"/>
      <c r="F110" s="82"/>
      <c r="G110" s="35">
        <f>F110*$G$104</f>
        <v>0</v>
      </c>
      <c r="H110" s="47"/>
    </row>
    <row r="111" spans="1:10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49.196017508582834</v>
      </c>
      <c r="H111" s="47"/>
    </row>
    <row r="112" spans="1:10" ht="15.75" thickBot="1" x14ac:dyDescent="0.3">
      <c r="A112" s="343"/>
      <c r="B112" s="344"/>
      <c r="C112" s="344"/>
      <c r="D112" s="344"/>
      <c r="E112" s="344"/>
      <c r="F112" s="344"/>
      <c r="G112" s="345"/>
      <c r="H112" s="56"/>
      <c r="J112" s="553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>
        <f>($G$104+$G$111)/(1-$F$118)*F115</f>
        <v>87.946245749312553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>
        <f>($G$104+$G$111)/(1-$F$118)*F116</f>
        <v>28.582529868526578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>
        <f>($G$104+$G$111)/(1-$F$118)*F117</f>
        <v>131.91936862396881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248.44814424180794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4397.3122874656265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ht="27" customHeight="1" x14ac:dyDescent="0.25">
      <c r="A125" s="443" t="s">
        <v>130</v>
      </c>
      <c r="B125" s="327"/>
      <c r="C125" s="41">
        <v>260</v>
      </c>
      <c r="D125" s="9">
        <v>0.5</v>
      </c>
      <c r="E125" s="42">
        <f>C125*(D125+1)*$G$27/220</f>
        <v>3645.8618181818179</v>
      </c>
      <c r="F125" s="42">
        <f>E125*(1+$F$78)</f>
        <v>6218.9834774042811</v>
      </c>
      <c r="G125" s="43">
        <f>F125/(1-$F$118)*(1+$F$111)</f>
        <v>6670.4942015189527</v>
      </c>
      <c r="H125" s="1"/>
    </row>
    <row r="126" spans="1:8" ht="27.75" customHeight="1" x14ac:dyDescent="0.25">
      <c r="A126" s="310" t="s">
        <v>131</v>
      </c>
      <c r="B126" s="311"/>
      <c r="C126" s="65">
        <v>30</v>
      </c>
      <c r="D126" s="66">
        <v>1</v>
      </c>
      <c r="E126" s="67">
        <f>C126*(D126+1)/220*$G$27</f>
        <v>560.90181818181816</v>
      </c>
      <c r="F126" s="67">
        <f>E126*(1+$F$78)</f>
        <v>956.76668883142781</v>
      </c>
      <c r="G126" s="43">
        <f>F126/(1-$F$118)*(1+$F$111)</f>
        <v>1026.2298771567621</v>
      </c>
      <c r="H126" s="58"/>
    </row>
    <row r="127" spans="1:8" ht="15.75" thickBot="1" x14ac:dyDescent="0.3">
      <c r="A127" s="312" t="s">
        <v>132</v>
      </c>
      <c r="B127" s="313"/>
      <c r="C127" s="44">
        <v>40</v>
      </c>
      <c r="D127" s="87">
        <v>0.39</v>
      </c>
      <c r="E127" s="84">
        <f>C$127*($G$27/220)*(1+D$125)*(1+D$127)</f>
        <v>779.65352727272727</v>
      </c>
      <c r="F127" s="46">
        <f>E127*(1+$F$78)</f>
        <v>1329.9056974756847</v>
      </c>
      <c r="G127" s="43">
        <f>F127/(1-$F$118)*(1+$F$111)</f>
        <v>1426.4595292478994</v>
      </c>
      <c r="H127" s="47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9123.1836079236145</v>
      </c>
      <c r="H128" s="47"/>
    </row>
    <row r="129" spans="1:12" ht="15.75" thickBot="1" x14ac:dyDescent="0.3">
      <c r="A129" s="314"/>
      <c r="B129" s="315"/>
      <c r="C129" s="315"/>
      <c r="D129" s="315"/>
      <c r="E129" s="315"/>
      <c r="F129" s="315"/>
      <c r="G129" s="316"/>
      <c r="H129" s="55"/>
    </row>
    <row r="130" spans="1:12" ht="15.75" thickBot="1" x14ac:dyDescent="0.3">
      <c r="A130" s="317" t="s">
        <v>191</v>
      </c>
      <c r="B130" s="318"/>
      <c r="C130" s="318"/>
      <c r="D130" s="318"/>
      <c r="E130" s="318"/>
      <c r="F130" s="318"/>
      <c r="G130" s="319"/>
      <c r="H130" s="47"/>
    </row>
    <row r="131" spans="1:12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59"/>
    </row>
    <row r="132" spans="1:12" ht="15.75" thickBot="1" x14ac:dyDescent="0.3">
      <c r="A132" s="106">
        <v>2</v>
      </c>
      <c r="B132" s="107" t="str">
        <f>B15</f>
        <v>Servente de Limpeza</v>
      </c>
      <c r="C132" s="107"/>
      <c r="D132" s="108">
        <f>F15</f>
        <v>5</v>
      </c>
      <c r="E132" s="109">
        <f>G120</f>
        <v>4397.3122874656265</v>
      </c>
      <c r="F132" s="110">
        <f>G128/12</f>
        <v>760.26530066030125</v>
      </c>
      <c r="G132" s="111">
        <f>E132*D132+F132</f>
        <v>22746.826737988431</v>
      </c>
      <c r="H132" s="59"/>
    </row>
    <row r="133" spans="1:12" ht="15.75" thickBot="1" x14ac:dyDescent="0.3">
      <c r="A133" s="306" t="s">
        <v>190</v>
      </c>
      <c r="B133" s="307"/>
      <c r="C133" s="307"/>
      <c r="D133" s="307"/>
      <c r="E133" s="307"/>
      <c r="F133" s="307"/>
      <c r="G133" s="102">
        <f>G132*12</f>
        <v>272961.92085586116</v>
      </c>
      <c r="H133" s="1"/>
    </row>
    <row r="134" spans="1:12" ht="14.25" customHeight="1" x14ac:dyDescent="0.25">
      <c r="A134" s="263"/>
      <c r="B134" s="263"/>
      <c r="C134" s="263"/>
      <c r="D134" s="263"/>
      <c r="E134" s="263"/>
      <c r="F134" s="263"/>
      <c r="G134" s="50"/>
      <c r="H134" s="48"/>
    </row>
    <row r="135" spans="1:12" x14ac:dyDescent="0.25">
      <c r="A135" s="260" t="s">
        <v>140</v>
      </c>
      <c r="B135" s="260"/>
      <c r="C135" s="260"/>
      <c r="D135" s="260"/>
      <c r="E135" s="260"/>
      <c r="F135" s="260"/>
      <c r="G135" s="1"/>
      <c r="H135" s="1"/>
    </row>
    <row r="136" spans="1:12" x14ac:dyDescent="0.25">
      <c r="A136" s="261" t="s">
        <v>141</v>
      </c>
      <c r="B136" s="260"/>
      <c r="C136" s="260"/>
      <c r="D136" s="260"/>
      <c r="E136" s="260"/>
      <c r="F136" s="260"/>
      <c r="G136" s="1"/>
      <c r="H136" s="1"/>
      <c r="K136" s="75"/>
      <c r="L136" s="75"/>
    </row>
    <row r="137" spans="1:12" x14ac:dyDescent="0.25">
      <c r="A137" s="261" t="s">
        <v>142</v>
      </c>
      <c r="B137" s="260"/>
      <c r="C137" s="260"/>
      <c r="D137" s="260"/>
      <c r="E137" s="260"/>
      <c r="F137" s="260"/>
      <c r="G137" s="1"/>
      <c r="H137" s="1"/>
      <c r="L137" s="75"/>
    </row>
    <row r="138" spans="1:12" x14ac:dyDescent="0.25">
      <c r="A138" s="261" t="s">
        <v>143</v>
      </c>
      <c r="B138" s="260"/>
      <c r="C138" s="260"/>
      <c r="D138" s="260"/>
      <c r="E138" s="260"/>
      <c r="F138" s="260"/>
      <c r="G138" s="1"/>
      <c r="H138" s="1"/>
    </row>
    <row r="139" spans="1:12" x14ac:dyDescent="0.25">
      <c r="A139" s="261" t="s">
        <v>144</v>
      </c>
      <c r="B139" s="260"/>
      <c r="C139" s="260"/>
      <c r="D139" s="260"/>
      <c r="E139" s="260"/>
      <c r="F139" s="260"/>
      <c r="G139" s="1"/>
      <c r="H139" s="1"/>
    </row>
    <row r="140" spans="1:12" x14ac:dyDescent="0.25">
      <c r="A140" s="261" t="s">
        <v>145</v>
      </c>
      <c r="B140" s="260"/>
      <c r="C140" s="260"/>
      <c r="D140" s="260"/>
      <c r="E140" s="260"/>
      <c r="F140" s="260"/>
      <c r="G140" s="1"/>
      <c r="H140" s="1"/>
    </row>
    <row r="141" spans="1:12" x14ac:dyDescent="0.25">
      <c r="A141" s="261" t="s">
        <v>146</v>
      </c>
      <c r="B141" s="260"/>
      <c r="C141" s="260"/>
      <c r="D141" s="260"/>
      <c r="E141" s="260"/>
      <c r="F141" s="260"/>
      <c r="G141" s="1"/>
      <c r="H141" s="1"/>
    </row>
    <row r="142" spans="1:12" x14ac:dyDescent="0.25">
      <c r="A142" s="260" t="s">
        <v>147</v>
      </c>
      <c r="B142" s="260"/>
      <c r="C142" s="260"/>
      <c r="D142" s="260"/>
      <c r="E142" s="260"/>
      <c r="F142" s="260"/>
      <c r="G142" s="1"/>
      <c r="H142" s="1"/>
    </row>
    <row r="143" spans="1:12" x14ac:dyDescent="0.25">
      <c r="A143" s="260" t="s">
        <v>148</v>
      </c>
      <c r="B143" s="260"/>
      <c r="C143" s="260"/>
      <c r="D143" s="260"/>
      <c r="E143" s="260"/>
      <c r="F143" s="260"/>
      <c r="G143" s="1"/>
      <c r="H143" s="1"/>
    </row>
    <row r="144" spans="1:12" x14ac:dyDescent="0.25">
      <c r="A144" s="260" t="s">
        <v>149</v>
      </c>
      <c r="B144" s="260"/>
      <c r="C144" s="260"/>
      <c r="D144" s="260"/>
      <c r="E144" s="260"/>
      <c r="F144" s="260"/>
      <c r="G144" s="1"/>
      <c r="H144" s="1"/>
    </row>
    <row r="145" spans="1:8" x14ac:dyDescent="0.25">
      <c r="A145" s="262"/>
      <c r="B145" s="262"/>
      <c r="C145" s="262"/>
      <c r="D145" s="262"/>
      <c r="E145" s="262"/>
      <c r="F145" s="262"/>
      <c r="H145" s="55"/>
    </row>
  </sheetData>
  <mergeCells count="149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B23:E23"/>
    <mergeCell ref="B24:F24"/>
    <mergeCell ref="B25:E25"/>
    <mergeCell ref="A26:E26"/>
    <mergeCell ref="A27:F27"/>
    <mergeCell ref="A28:G28"/>
    <mergeCell ref="B19:E19"/>
    <mergeCell ref="F19:G19"/>
    <mergeCell ref="B20:E20"/>
    <mergeCell ref="F20:G20"/>
    <mergeCell ref="A21:G21"/>
    <mergeCell ref="A22:G22"/>
    <mergeCell ref="B35:E35"/>
    <mergeCell ref="B36:E36"/>
    <mergeCell ref="B37:E37"/>
    <mergeCell ref="B38:E38"/>
    <mergeCell ref="B39:E39"/>
    <mergeCell ref="A40:E40"/>
    <mergeCell ref="A29:G29"/>
    <mergeCell ref="A30:G30"/>
    <mergeCell ref="B31:E31"/>
    <mergeCell ref="B32:E32"/>
    <mergeCell ref="B33:E33"/>
    <mergeCell ref="B34:E34"/>
    <mergeCell ref="B47:E47"/>
    <mergeCell ref="B48:E48"/>
    <mergeCell ref="B49:E49"/>
    <mergeCell ref="B50:E50"/>
    <mergeCell ref="B51:E51"/>
    <mergeCell ref="B52:E52"/>
    <mergeCell ref="A41:G41"/>
    <mergeCell ref="B42:E42"/>
    <mergeCell ref="B43:E43"/>
    <mergeCell ref="B44:E44"/>
    <mergeCell ref="B45:E45"/>
    <mergeCell ref="B46:E46"/>
    <mergeCell ref="H57:H58"/>
    <mergeCell ref="B59:E59"/>
    <mergeCell ref="B60:E60"/>
    <mergeCell ref="A61:E61"/>
    <mergeCell ref="A62:G62"/>
    <mergeCell ref="B63:E63"/>
    <mergeCell ref="B53:E53"/>
    <mergeCell ref="A54:E54"/>
    <mergeCell ref="A55:G55"/>
    <mergeCell ref="B56:E56"/>
    <mergeCell ref="B57:E57"/>
    <mergeCell ref="B58:E58"/>
    <mergeCell ref="B69:E69"/>
    <mergeCell ref="A70:E70"/>
    <mergeCell ref="A71:G71"/>
    <mergeCell ref="A72:G72"/>
    <mergeCell ref="B73:E73"/>
    <mergeCell ref="B74:E74"/>
    <mergeCell ref="B64:E64"/>
    <mergeCell ref="B65:E65"/>
    <mergeCell ref="B66:E66"/>
    <mergeCell ref="A67:E67"/>
    <mergeCell ref="B68:E68"/>
    <mergeCell ref="B81:E81"/>
    <mergeCell ref="B82:F82"/>
    <mergeCell ref="B83:E83"/>
    <mergeCell ref="B84:F84"/>
    <mergeCell ref="B85:E85"/>
    <mergeCell ref="B86:F86"/>
    <mergeCell ref="B75:E75"/>
    <mergeCell ref="B76:E76"/>
    <mergeCell ref="B77:E77"/>
    <mergeCell ref="A78:E78"/>
    <mergeCell ref="A79:G79"/>
    <mergeCell ref="A80:G80"/>
    <mergeCell ref="A93:F93"/>
    <mergeCell ref="A94:G94"/>
    <mergeCell ref="A95:G95"/>
    <mergeCell ref="B96:F96"/>
    <mergeCell ref="B97:F97"/>
    <mergeCell ref="B98:F98"/>
    <mergeCell ref="B87:F87"/>
    <mergeCell ref="B88:F88"/>
    <mergeCell ref="B89:F89"/>
    <mergeCell ref="B90:F90"/>
    <mergeCell ref="B91:F91"/>
    <mergeCell ref="B92:F92"/>
    <mergeCell ref="A105:G105"/>
    <mergeCell ref="A106:G106"/>
    <mergeCell ref="B107:E107"/>
    <mergeCell ref="B108:E108"/>
    <mergeCell ref="B109:E109"/>
    <mergeCell ref="B110:E110"/>
    <mergeCell ref="B99:F99"/>
    <mergeCell ref="B100:F100"/>
    <mergeCell ref="B101:F101"/>
    <mergeCell ref="A102:F102"/>
    <mergeCell ref="A103:G103"/>
    <mergeCell ref="A104:F104"/>
    <mergeCell ref="B117:E117"/>
    <mergeCell ref="A118:E118"/>
    <mergeCell ref="A119:G119"/>
    <mergeCell ref="A120:F120"/>
    <mergeCell ref="A121:G121"/>
    <mergeCell ref="A122:G122"/>
    <mergeCell ref="A111:E111"/>
    <mergeCell ref="A112:G112"/>
    <mergeCell ref="A113:G113"/>
    <mergeCell ref="B114:E114"/>
    <mergeCell ref="B115:E115"/>
    <mergeCell ref="B116:E116"/>
    <mergeCell ref="A133:F133"/>
    <mergeCell ref="A125:B125"/>
    <mergeCell ref="A126:B126"/>
    <mergeCell ref="A127:B127"/>
    <mergeCell ref="A128:F128"/>
    <mergeCell ref="A129:G129"/>
    <mergeCell ref="A130:G130"/>
    <mergeCell ref="B131:C131"/>
    <mergeCell ref="A123:B124"/>
    <mergeCell ref="C123:C124"/>
    <mergeCell ref="D123:D124"/>
    <mergeCell ref="E123:E124"/>
    <mergeCell ref="F123:F124"/>
    <mergeCell ref="G123:G124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H146"/>
  <sheetViews>
    <sheetView showGridLines="0" topLeftCell="A100" zoomScale="130" zoomScaleNormal="13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29.710937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59" t="s">
        <v>203</v>
      </c>
      <c r="B2" s="460"/>
      <c r="C2" s="460"/>
      <c r="D2" s="460"/>
      <c r="E2" s="460"/>
      <c r="F2" s="460"/>
      <c r="G2" s="461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67.5" customHeight="1" x14ac:dyDescent="0.25">
      <c r="A9" s="268" t="s">
        <v>10</v>
      </c>
      <c r="B9" s="454" t="s">
        <v>11</v>
      </c>
      <c r="C9" s="455"/>
      <c r="D9" s="455"/>
      <c r="E9" s="456"/>
      <c r="F9" s="457" t="s">
        <v>286</v>
      </c>
      <c r="G9" s="458"/>
      <c r="H9" s="47"/>
    </row>
    <row r="10" spans="1:8" ht="28.5" customHeight="1" x14ac:dyDescent="0.25">
      <c r="A10" s="268" t="s">
        <v>12</v>
      </c>
      <c r="B10" s="462" t="s">
        <v>13</v>
      </c>
      <c r="C10" s="463"/>
      <c r="D10" s="463"/>
      <c r="E10" s="464"/>
      <c r="F10" s="465" t="s">
        <v>280</v>
      </c>
      <c r="G10" s="466"/>
      <c r="H10" s="47"/>
    </row>
    <row r="11" spans="1:8" ht="25.5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265" t="s">
        <v>20</v>
      </c>
      <c r="B15" s="411" t="s">
        <v>150</v>
      </c>
      <c r="C15" s="411"/>
      <c r="D15" s="411"/>
      <c r="E15" s="411"/>
      <c r="F15" s="450">
        <v>1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52">
        <v>2117.46</v>
      </c>
      <c r="G17" s="453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150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v>2274.8200000000002</v>
      </c>
      <c r="H24" s="47"/>
    </row>
    <row r="25" spans="1:8" ht="15" customHeight="1" x14ac:dyDescent="0.25">
      <c r="A25" s="256" t="s">
        <v>8</v>
      </c>
      <c r="B25" s="471" t="s">
        <v>290</v>
      </c>
      <c r="C25" s="471"/>
      <c r="D25" s="471"/>
      <c r="E25" s="471"/>
      <c r="F25" s="257">
        <v>0.3</v>
      </c>
      <c r="G25" s="259">
        <f>G24*F25</f>
        <v>682.44600000000003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2957.2660000000001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591.45320000000004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44.358989999999999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29.572660000000003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5.9145320000000003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73.931650000000005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236.58128000000002</v>
      </c>
      <c r="H37" s="47"/>
    </row>
    <row r="38" spans="1:8" x14ac:dyDescent="0.25">
      <c r="A38" s="13" t="s">
        <v>45</v>
      </c>
      <c r="B38" s="327" t="s">
        <v>182</v>
      </c>
      <c r="C38" s="327"/>
      <c r="D38" s="327"/>
      <c r="E38" s="327"/>
      <c r="F38" s="248">
        <v>5.0000000000000001E-3</v>
      </c>
      <c r="G38" s="10">
        <f t="shared" si="0"/>
        <v>14.786330000000001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17.743596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1014.3422380000001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246.42897578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246.34025780000002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82.146277777777769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57.502394444444448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41.073138888888884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0.61609708333333335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8.2146277777777783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9.8575533333333336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692.17932288555551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237.41750774974562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929.5968306353011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19.715106666666667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2.190348350666667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21.905455017333331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7.5135710709453347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29.419026088278667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12.321941666666667</v>
      </c>
      <c r="H64" s="47"/>
    </row>
    <row r="65" spans="1:8" ht="26.25" customHeight="1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4.9287766666666668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94.632512000000006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111.88323033333334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0.98575533333333332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0.78860426666666672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113.65758993333334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1014.3422380000001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929.5968306353011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29.419026088278667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113.65758993333334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2087.0156846569134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239" t="s">
        <v>30</v>
      </c>
      <c r="H81" s="55"/>
    </row>
    <row r="82" spans="1:8" ht="27.75" customHeight="1" x14ac:dyDescent="0.25">
      <c r="A82" s="24" t="s">
        <v>6</v>
      </c>
      <c r="B82" s="446" t="s">
        <v>90</v>
      </c>
      <c r="C82" s="447"/>
      <c r="D82" s="447"/>
      <c r="E82" s="447"/>
      <c r="F82" s="448"/>
      <c r="G82" s="243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40">
        <f>IF(G24*F83&gt;G82,-G82,-(G24*F83))</f>
        <v>-132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599.28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234">
        <f>-(G84*F85)</f>
        <v>-119.85599999999999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24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24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24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24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244">
        <v>48.43</v>
      </c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242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535.85399999999993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53" t="s">
        <v>103</v>
      </c>
      <c r="C96" s="354"/>
      <c r="D96" s="354"/>
      <c r="E96" s="354"/>
      <c r="F96" s="355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15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15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5595.1356846569133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233" t="s">
        <v>6</v>
      </c>
      <c r="B108" s="470" t="s">
        <v>112</v>
      </c>
      <c r="C108" s="470"/>
      <c r="D108" s="470"/>
      <c r="E108" s="470"/>
      <c r="F108" s="235">
        <v>6.0000000000000001E-3</v>
      </c>
      <c r="G108" s="234">
        <f>F108*$G$104</f>
        <v>33.57081410794148</v>
      </c>
      <c r="H108" s="1"/>
    </row>
    <row r="109" spans="1:8" x14ac:dyDescent="0.25">
      <c r="A109" s="233" t="s">
        <v>8</v>
      </c>
      <c r="B109" s="470" t="s">
        <v>113</v>
      </c>
      <c r="C109" s="470"/>
      <c r="D109" s="470"/>
      <c r="E109" s="470"/>
      <c r="F109" s="235">
        <v>6.0000000000000001E-3</v>
      </c>
      <c r="G109" s="234">
        <f>F109*$G$104</f>
        <v>33.57081410794148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67.14162821588296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247" t="s">
        <v>6</v>
      </c>
      <c r="B115" s="469" t="s">
        <v>118</v>
      </c>
      <c r="C115" s="469"/>
      <c r="D115" s="469"/>
      <c r="E115" s="469"/>
      <c r="F115" s="248">
        <v>0.02</v>
      </c>
      <c r="G115" s="249">
        <f>($G$104+$G$111)/(1-$F$118)*F115</f>
        <v>120.02707605453726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38">
        <v>6.4999999999999997E-3</v>
      </c>
      <c r="G116" s="38">
        <f>($G$104+$G$111)/(1-$F$118)*F116</f>
        <v>39.008799717724607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38">
        <v>0.03</v>
      </c>
      <c r="G117" s="38">
        <f>($G$104+$G$111)/(1-$F$118)*F117</f>
        <v>180.0406140818059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339.07648985406775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6001.3538027268642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129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ht="27" customHeight="1" x14ac:dyDescent="0.25">
      <c r="A125" s="443" t="s">
        <v>130</v>
      </c>
      <c r="B125" s="327"/>
      <c r="C125" s="41">
        <v>44</v>
      </c>
      <c r="D125" s="9">
        <v>0.5</v>
      </c>
      <c r="E125" s="42">
        <f>C125*(D125+1)*$G$27/220</f>
        <v>887.1798</v>
      </c>
      <c r="F125" s="42">
        <f>E125*(1+$F$78)</f>
        <v>1513.2845053970739</v>
      </c>
      <c r="G125" s="43">
        <f>F125/(1-$F$118)*(1+$F$111)</f>
        <v>1623.1520079086793</v>
      </c>
      <c r="H125" s="1"/>
    </row>
    <row r="126" spans="1:8" ht="27" customHeight="1" x14ac:dyDescent="0.25">
      <c r="A126" s="310" t="s">
        <v>131</v>
      </c>
      <c r="B126" s="311"/>
      <c r="C126" s="65">
        <v>6</v>
      </c>
      <c r="D126" s="66">
        <v>1</v>
      </c>
      <c r="E126" s="67">
        <f>C126*(D126+1)/220*$G$27</f>
        <v>161.30541818181817</v>
      </c>
      <c r="F126" s="67">
        <f>E126*(1+$F$78)</f>
        <v>275.14263734492249</v>
      </c>
      <c r="G126" s="43">
        <f>F126/(1-$F$118)*(1+$F$111)</f>
        <v>295.11854689248707</v>
      </c>
      <c r="H126" s="58"/>
    </row>
    <row r="127" spans="1:8" ht="15.75" thickBot="1" x14ac:dyDescent="0.3">
      <c r="A127" s="312" t="s">
        <v>132</v>
      </c>
      <c r="B127" s="313"/>
      <c r="C127" s="44">
        <v>4</v>
      </c>
      <c r="D127" s="45">
        <v>0.39</v>
      </c>
      <c r="E127" s="84">
        <f>C$127*($G$27/220)*(1+D$125)*(1+D$127)</f>
        <v>112.10726563636366</v>
      </c>
      <c r="F127" s="46">
        <f>E127*(1+$F$78)</f>
        <v>191.2241329547212</v>
      </c>
      <c r="G127" s="43">
        <f>F127/(1-$F$118)*(1+$F$111)</f>
        <v>205.10739009027859</v>
      </c>
      <c r="H127" s="47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2123.3779448914447</v>
      </c>
      <c r="H128" s="47"/>
    </row>
    <row r="129" spans="1:8" ht="15.75" thickBot="1" x14ac:dyDescent="0.3">
      <c r="A129" s="314"/>
      <c r="B129" s="315"/>
      <c r="C129" s="315"/>
      <c r="D129" s="315"/>
      <c r="E129" s="315"/>
      <c r="F129" s="315"/>
      <c r="G129" s="316"/>
      <c r="H129" s="55"/>
    </row>
    <row r="130" spans="1:8" ht="15.75" thickBot="1" x14ac:dyDescent="0.3">
      <c r="A130" s="317" t="s">
        <v>191</v>
      </c>
      <c r="B130" s="318"/>
      <c r="C130" s="318"/>
      <c r="D130" s="318"/>
      <c r="E130" s="318"/>
      <c r="F130" s="318"/>
      <c r="G130" s="319"/>
      <c r="H130" s="47"/>
    </row>
    <row r="131" spans="1:8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59"/>
    </row>
    <row r="132" spans="1:8" ht="30" customHeight="1" thickBot="1" x14ac:dyDescent="0.3">
      <c r="A132" s="106">
        <v>4</v>
      </c>
      <c r="B132" s="467" t="str">
        <f>B15</f>
        <v>Auxiliar de Manutenção Predial</v>
      </c>
      <c r="C132" s="468"/>
      <c r="D132" s="108">
        <f>F15</f>
        <v>1</v>
      </c>
      <c r="E132" s="109">
        <f>G120</f>
        <v>6001.3538027268642</v>
      </c>
      <c r="F132" s="109">
        <f>G128/12</f>
        <v>176.94816207428707</v>
      </c>
      <c r="G132" s="111">
        <f>E132*D132+F132</f>
        <v>6178.3019648011514</v>
      </c>
      <c r="H132" s="59"/>
    </row>
    <row r="133" spans="1:8" ht="15.75" thickBot="1" x14ac:dyDescent="0.3">
      <c r="A133" s="306" t="s">
        <v>190</v>
      </c>
      <c r="B133" s="307"/>
      <c r="C133" s="307"/>
      <c r="D133" s="307"/>
      <c r="E133" s="307"/>
      <c r="F133" s="307"/>
      <c r="G133" s="102">
        <f>G132*12</f>
        <v>74139.62357761382</v>
      </c>
      <c r="H133" s="1"/>
    </row>
    <row r="134" spans="1:8" ht="15" customHeight="1" x14ac:dyDescent="0.25">
      <c r="A134" s="49"/>
      <c r="B134" s="49"/>
      <c r="C134" s="49"/>
      <c r="D134" s="49"/>
      <c r="E134" s="49"/>
      <c r="F134" s="49"/>
      <c r="G134" s="50"/>
      <c r="H134" s="48"/>
    </row>
    <row r="135" spans="1:8" x14ac:dyDescent="0.25">
      <c r="A135" s="250" t="s">
        <v>140</v>
      </c>
      <c r="B135" s="250"/>
      <c r="C135" s="250"/>
      <c r="D135" s="250"/>
      <c r="E135" s="250"/>
      <c r="F135" s="250"/>
      <c r="G135" s="1"/>
      <c r="H135" s="1"/>
    </row>
    <row r="136" spans="1:8" x14ac:dyDescent="0.25">
      <c r="A136" s="251" t="s">
        <v>141</v>
      </c>
      <c r="B136" s="250"/>
      <c r="C136" s="250"/>
      <c r="D136" s="250"/>
      <c r="E136" s="250"/>
      <c r="F136" s="250"/>
      <c r="G136" s="1"/>
      <c r="H136" s="1"/>
    </row>
    <row r="137" spans="1:8" x14ac:dyDescent="0.25">
      <c r="A137" s="251" t="s">
        <v>142</v>
      </c>
      <c r="B137" s="250"/>
      <c r="C137" s="250"/>
      <c r="D137" s="250"/>
      <c r="E137" s="250"/>
      <c r="F137" s="250"/>
      <c r="G137" s="1"/>
      <c r="H137" s="1"/>
    </row>
    <row r="138" spans="1:8" x14ac:dyDescent="0.25">
      <c r="A138" s="251" t="s">
        <v>143</v>
      </c>
      <c r="B138" s="250"/>
      <c r="C138" s="250"/>
      <c r="D138" s="250"/>
      <c r="E138" s="250"/>
      <c r="F138" s="250"/>
      <c r="G138" s="1"/>
      <c r="H138" s="1"/>
    </row>
    <row r="139" spans="1:8" x14ac:dyDescent="0.25">
      <c r="A139" s="251" t="s">
        <v>144</v>
      </c>
      <c r="B139" s="250"/>
      <c r="C139" s="250"/>
      <c r="D139" s="250"/>
      <c r="E139" s="250"/>
      <c r="F139" s="250"/>
      <c r="G139" s="1"/>
      <c r="H139" s="1"/>
    </row>
    <row r="140" spans="1:8" x14ac:dyDescent="0.25">
      <c r="A140" s="251" t="s">
        <v>145</v>
      </c>
      <c r="B140" s="250"/>
      <c r="C140" s="250"/>
      <c r="D140" s="250"/>
      <c r="E140" s="250"/>
      <c r="F140" s="250"/>
      <c r="G140" s="1"/>
      <c r="H140" s="1"/>
    </row>
    <row r="141" spans="1:8" x14ac:dyDescent="0.25">
      <c r="A141" s="251" t="s">
        <v>146</v>
      </c>
      <c r="B141" s="250"/>
      <c r="C141" s="250"/>
      <c r="D141" s="250"/>
      <c r="E141" s="250"/>
      <c r="F141" s="250"/>
      <c r="G141" s="1"/>
      <c r="H141" s="1"/>
    </row>
    <row r="142" spans="1:8" x14ac:dyDescent="0.25">
      <c r="A142" s="250" t="s">
        <v>147</v>
      </c>
      <c r="B142" s="250"/>
      <c r="C142" s="250"/>
      <c r="D142" s="250"/>
      <c r="E142" s="250"/>
      <c r="F142" s="250"/>
      <c r="G142" s="1"/>
      <c r="H142" s="1"/>
    </row>
    <row r="143" spans="1:8" x14ac:dyDescent="0.25">
      <c r="A143" s="250" t="s">
        <v>148</v>
      </c>
      <c r="B143" s="250"/>
      <c r="C143" s="250"/>
      <c r="D143" s="250"/>
      <c r="E143" s="250"/>
      <c r="F143" s="250"/>
      <c r="G143" s="1"/>
      <c r="H143" s="1"/>
    </row>
    <row r="144" spans="1:8" x14ac:dyDescent="0.25">
      <c r="A144" s="250" t="s">
        <v>149</v>
      </c>
      <c r="B144" s="250"/>
      <c r="C144" s="250"/>
      <c r="D144" s="250"/>
      <c r="E144" s="250"/>
      <c r="F144" s="250"/>
      <c r="G144" s="1"/>
      <c r="H144" s="1"/>
    </row>
    <row r="145" spans="1:8" x14ac:dyDescent="0.25">
      <c r="A145" s="252"/>
      <c r="B145" s="252"/>
      <c r="C145" s="252"/>
      <c r="D145" s="252"/>
      <c r="E145" s="252"/>
      <c r="F145" s="252"/>
      <c r="H145" s="55"/>
    </row>
    <row r="146" spans="1:8" x14ac:dyDescent="0.25">
      <c r="A146" s="252"/>
      <c r="B146" s="252"/>
      <c r="C146" s="252"/>
      <c r="D146" s="252"/>
      <c r="E146" s="252"/>
      <c r="F146" s="252"/>
    </row>
  </sheetData>
  <mergeCells count="150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B64:E64"/>
    <mergeCell ref="B65:E65"/>
    <mergeCell ref="B66:E66"/>
    <mergeCell ref="A67:E67"/>
    <mergeCell ref="B68:E68"/>
    <mergeCell ref="H57:H58"/>
    <mergeCell ref="B59:E59"/>
    <mergeCell ref="B60:E60"/>
    <mergeCell ref="A61:E61"/>
    <mergeCell ref="A62:G62"/>
    <mergeCell ref="B63:E63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33:F133"/>
    <mergeCell ref="A125:B125"/>
    <mergeCell ref="A126:B126"/>
    <mergeCell ref="A127:B127"/>
    <mergeCell ref="A128:F128"/>
    <mergeCell ref="A129:G129"/>
    <mergeCell ref="A130:G130"/>
    <mergeCell ref="B131:C131"/>
    <mergeCell ref="B132:C132"/>
  </mergeCells>
  <dataValidations disablePrompts="1"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</dataValidations>
  <pageMargins left="0.511811024" right="0.511811024" top="0.78740157499999996" bottom="0.78740157499999996" header="0.31496062000000002" footer="0.31496062000000002"/>
  <pageSetup paperSize="9" scale="90" fitToHeight="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H145"/>
  <sheetViews>
    <sheetView showGridLines="0" topLeftCell="A103" zoomScale="190" zoomScaleNormal="19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31.570312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59" t="s">
        <v>204</v>
      </c>
      <c r="B2" s="460"/>
      <c r="C2" s="460"/>
      <c r="D2" s="460"/>
      <c r="E2" s="460"/>
      <c r="F2" s="460"/>
      <c r="G2" s="461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55.5" customHeight="1" x14ac:dyDescent="0.25">
      <c r="A9" s="267" t="s">
        <v>10</v>
      </c>
      <c r="B9" s="484" t="s">
        <v>11</v>
      </c>
      <c r="C9" s="485"/>
      <c r="D9" s="485"/>
      <c r="E9" s="486"/>
      <c r="F9" s="482" t="s">
        <v>286</v>
      </c>
      <c r="G9" s="483"/>
      <c r="H9" s="47"/>
    </row>
    <row r="10" spans="1:8" ht="27" customHeight="1" x14ac:dyDescent="0.25">
      <c r="A10" s="267" t="s">
        <v>12</v>
      </c>
      <c r="B10" s="489" t="s">
        <v>13</v>
      </c>
      <c r="C10" s="490"/>
      <c r="D10" s="490"/>
      <c r="E10" s="491"/>
      <c r="F10" s="487" t="s">
        <v>280</v>
      </c>
      <c r="G10" s="488"/>
      <c r="H10" s="47"/>
    </row>
    <row r="11" spans="1:8" ht="27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265" t="s">
        <v>20</v>
      </c>
      <c r="B15" s="411" t="s">
        <v>151</v>
      </c>
      <c r="C15" s="411"/>
      <c r="D15" s="411"/>
      <c r="E15" s="411"/>
      <c r="F15" s="450">
        <v>8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52">
        <v>2433.62</v>
      </c>
      <c r="G17" s="453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151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47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f>F17</f>
        <v>2433.62</v>
      </c>
      <c r="H24" s="52"/>
    </row>
    <row r="25" spans="1:8" ht="15" customHeight="1" x14ac:dyDescent="0.25">
      <c r="A25" s="8" t="s">
        <v>8</v>
      </c>
      <c r="B25" s="397" t="s">
        <v>32</v>
      </c>
      <c r="C25" s="397"/>
      <c r="D25" s="397"/>
      <c r="E25" s="397"/>
      <c r="F25" s="9"/>
      <c r="G25" s="10">
        <f>G24*F25</f>
        <v>0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2433.62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486.72399999999999</v>
      </c>
      <c r="H32" s="47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36.504299999999994</v>
      </c>
      <c r="H33" s="53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24.336199999999998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4.8672399999999998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60.840499999999999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194.68959999999998</v>
      </c>
      <c r="H37" s="47"/>
    </row>
    <row r="38" spans="1:8" x14ac:dyDescent="0.25">
      <c r="A38" s="13" t="s">
        <v>45</v>
      </c>
      <c r="B38" s="327" t="s">
        <v>182</v>
      </c>
      <c r="C38" s="327"/>
      <c r="D38" s="327"/>
      <c r="E38" s="327"/>
      <c r="F38" s="248">
        <v>5.0000000000000001E-3</v>
      </c>
      <c r="G38" s="10">
        <f t="shared" si="0"/>
        <v>12.168099999999999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14.60172</v>
      </c>
      <c r="H39" s="47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834.73165999999992</v>
      </c>
      <c r="H40" s="52"/>
    </row>
    <row r="41" spans="1:8" x14ac:dyDescent="0.25">
      <c r="A41" s="385"/>
      <c r="B41" s="386"/>
      <c r="C41" s="386"/>
      <c r="D41" s="386"/>
      <c r="E41" s="386"/>
      <c r="F41" s="386"/>
      <c r="G41" s="387"/>
      <c r="H41" s="51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54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202.79355459999999</v>
      </c>
      <c r="H43" s="47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202.72054599999998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67.600555555555545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47.320388888888886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33.800277777777772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0.50700416666666659</v>
      </c>
      <c r="H48" s="51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6.7600555555555557</v>
      </c>
      <c r="H49" s="47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8.1120666666666654</v>
      </c>
      <c r="H50" s="52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569.61444921111104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195.37775607941114</v>
      </c>
      <c r="H53" s="47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764.99220529052218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51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16.224133333333331</v>
      </c>
      <c r="H57" s="47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1.8025012133333334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18.026634546666664</v>
      </c>
      <c r="H59" s="391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6.1831356495066681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24.209770196173331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10.140083333333333</v>
      </c>
      <c r="H64" s="47"/>
    </row>
    <row r="65" spans="1:8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4.0560333333333336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77.875839999999997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92.071956666666665</v>
      </c>
      <c r="H67" s="47"/>
    </row>
    <row r="68" spans="1:8" x14ac:dyDescent="0.25">
      <c r="A68" s="13" t="s">
        <v>12</v>
      </c>
      <c r="B68" s="327" t="s">
        <v>77</v>
      </c>
      <c r="C68" s="327"/>
      <c r="D68" s="327"/>
      <c r="E68" s="327"/>
      <c r="F68" s="22">
        <f>F37*F64</f>
        <v>3.3333333333333332E-4</v>
      </c>
      <c r="G68" s="10">
        <f>F68*$G$27</f>
        <v>0.81120666666666663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0.64896533333333328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93.532128666666665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834.73165999999992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764.99220529052218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24.209770196173331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93.532128666666665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1717.4657641533622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47"/>
    </row>
    <row r="80" spans="1:8" x14ac:dyDescent="0.25">
      <c r="A80" s="346" t="s">
        <v>88</v>
      </c>
      <c r="B80" s="347"/>
      <c r="C80" s="347"/>
      <c r="D80" s="347"/>
      <c r="E80" s="347"/>
      <c r="F80" s="347"/>
      <c r="G80" s="348"/>
      <c r="H80" s="55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47"/>
    </row>
    <row r="82" spans="1:8" x14ac:dyDescent="0.25">
      <c r="A82" s="13" t="s">
        <v>6</v>
      </c>
      <c r="B82" s="356" t="s">
        <v>90</v>
      </c>
      <c r="C82" s="357"/>
      <c r="D82" s="357"/>
      <c r="E82" s="357"/>
      <c r="F82" s="358"/>
      <c r="G82" s="243">
        <v>132</v>
      </c>
      <c r="H82" s="55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-132</v>
      </c>
      <c r="H83" s="56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599.28</v>
      </c>
      <c r="H84" s="47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-119.85599999999999</v>
      </c>
      <c r="H85" s="56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8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8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47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244">
        <v>48.43</v>
      </c>
      <c r="H91" s="52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535.85399999999993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4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5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4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47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4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46" t="s">
        <v>109</v>
      </c>
      <c r="B104" s="481"/>
      <c r="C104" s="481"/>
      <c r="D104" s="481"/>
      <c r="E104" s="481"/>
      <c r="F104" s="481"/>
      <c r="G104" s="34">
        <f>G27+G78+G93+G102</f>
        <v>4690.9397641533624</v>
      </c>
      <c r="H104" s="1"/>
    </row>
    <row r="105" spans="1:8" ht="15.75" thickBot="1" x14ac:dyDescent="0.3">
      <c r="A105" s="478"/>
      <c r="B105" s="479"/>
      <c r="C105" s="479"/>
      <c r="D105" s="479"/>
      <c r="E105" s="479"/>
      <c r="F105" s="479"/>
      <c r="G105" s="480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28.145638584920174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28.145638584920174</v>
      </c>
      <c r="H109" s="1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56.291277169840349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47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56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>
        <f>($G$104+$G$111)/(1-$F$118)*F115</f>
        <v>100.63022875088929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>
        <f>($G$104+$G$111)/(1-$F$118)*F116</f>
        <v>32.704824344039018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>
        <f>($G$104+$G$111)/(1-$F$118)*F117</f>
        <v>150.94534312633394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284.28039622126221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47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5031.5114375444646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1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55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x14ac:dyDescent="0.25">
      <c r="A125" s="443" t="s">
        <v>130</v>
      </c>
      <c r="B125" s="327"/>
      <c r="C125" s="41">
        <v>832</v>
      </c>
      <c r="D125" s="9">
        <v>0.5</v>
      </c>
      <c r="E125" s="42">
        <f>C125*(D125+1)*$G$27/220</f>
        <v>13805.262545454545</v>
      </c>
      <c r="F125" s="42">
        <f>E125*(1+$F$78)</f>
        <v>23547.977425742709</v>
      </c>
      <c r="G125" s="43">
        <f>F125/(1-$F$118)*(1+$F$111)</f>
        <v>25257.608007261919</v>
      </c>
      <c r="H125" s="1"/>
    </row>
    <row r="126" spans="1:8" ht="27" customHeight="1" x14ac:dyDescent="0.25">
      <c r="A126" s="310" t="s">
        <v>131</v>
      </c>
      <c r="B126" s="311"/>
      <c r="C126" s="41">
        <v>144</v>
      </c>
      <c r="D126" s="9">
        <v>1</v>
      </c>
      <c r="E126" s="42">
        <f>C126*(D126+1)/220*$G$27</f>
        <v>3185.8298181818182</v>
      </c>
      <c r="F126" s="42">
        <f>E126*(1+$F$78)</f>
        <v>5434.148636709856</v>
      </c>
      <c r="G126" s="43">
        <f>F126/(1-$F$118)*(1+$F$111)</f>
        <v>5828.6787709065966</v>
      </c>
      <c r="H126" s="1"/>
    </row>
    <row r="127" spans="1:8" ht="15.75" thickBot="1" x14ac:dyDescent="0.3">
      <c r="A127" s="312" t="s">
        <v>132</v>
      </c>
      <c r="B127" s="313"/>
      <c r="C127" s="44">
        <v>192</v>
      </c>
      <c r="D127" s="45">
        <v>0.39</v>
      </c>
      <c r="E127" s="84">
        <f>C$127*($G$27/220)*(1+D$125)*(1+D$127)</f>
        <v>4428.3034472727277</v>
      </c>
      <c r="F127" s="46">
        <f>E127*(1+$F$78)</f>
        <v>7553.4666050267006</v>
      </c>
      <c r="G127" s="43">
        <f>F127/(1-$F$118)*(1+$F$111)</f>
        <v>8101.8634915601706</v>
      </c>
      <c r="H127" s="58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39188.150269728685</v>
      </c>
      <c r="H128" s="47"/>
    </row>
    <row r="129" spans="1:8" ht="15.75" thickBot="1" x14ac:dyDescent="0.3">
      <c r="A129" s="314"/>
      <c r="B129" s="315"/>
      <c r="C129" s="315"/>
      <c r="D129" s="315"/>
      <c r="E129" s="315"/>
      <c r="F129" s="315"/>
      <c r="G129" s="316"/>
      <c r="H129" s="47"/>
    </row>
    <row r="130" spans="1:8" ht="15.75" thickBot="1" x14ac:dyDescent="0.3">
      <c r="A130" s="475" t="s">
        <v>191</v>
      </c>
      <c r="B130" s="476"/>
      <c r="C130" s="476"/>
      <c r="D130" s="476"/>
      <c r="E130" s="476"/>
      <c r="F130" s="476"/>
      <c r="G130" s="477"/>
      <c r="H130" s="55"/>
    </row>
    <row r="131" spans="1:8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47"/>
    </row>
    <row r="132" spans="1:8" ht="15.75" thickBot="1" x14ac:dyDescent="0.3">
      <c r="A132" s="106">
        <v>5</v>
      </c>
      <c r="B132" s="322" t="str">
        <f>B15</f>
        <v>Recepcionista</v>
      </c>
      <c r="C132" s="323"/>
      <c r="D132" s="108">
        <f>F15</f>
        <v>8</v>
      </c>
      <c r="E132" s="109">
        <f>G120</f>
        <v>5031.5114375444646</v>
      </c>
      <c r="F132" s="110">
        <f>G128/12</f>
        <v>3265.6791891440571</v>
      </c>
      <c r="G132" s="111">
        <f>E132*D132+F132</f>
        <v>43517.770689499775</v>
      </c>
      <c r="H132" s="59"/>
    </row>
    <row r="133" spans="1:8" ht="15.75" thickBot="1" x14ac:dyDescent="0.3">
      <c r="A133" s="472" t="s">
        <v>190</v>
      </c>
      <c r="B133" s="473"/>
      <c r="C133" s="473"/>
      <c r="D133" s="473"/>
      <c r="E133" s="473"/>
      <c r="F133" s="474"/>
      <c r="G133" s="102">
        <f>G132*12</f>
        <v>522213.24827399733</v>
      </c>
      <c r="H133" s="59"/>
    </row>
    <row r="134" spans="1:8" x14ac:dyDescent="0.25">
      <c r="A134" s="49"/>
      <c r="B134" s="49"/>
      <c r="C134" s="49"/>
      <c r="D134" s="49"/>
      <c r="E134" s="49"/>
      <c r="F134" s="49"/>
      <c r="G134" s="50"/>
      <c r="H134" s="48"/>
    </row>
    <row r="135" spans="1:8" x14ac:dyDescent="0.25">
      <c r="A135" s="260" t="s">
        <v>140</v>
      </c>
      <c r="B135" s="260"/>
      <c r="C135" s="260"/>
      <c r="D135" s="260"/>
      <c r="E135" s="260"/>
      <c r="F135" s="1"/>
      <c r="G135" s="1"/>
      <c r="H135" s="48"/>
    </row>
    <row r="136" spans="1:8" x14ac:dyDescent="0.25">
      <c r="A136" s="261" t="s">
        <v>141</v>
      </c>
      <c r="B136" s="260"/>
      <c r="C136" s="260"/>
      <c r="D136" s="260"/>
      <c r="E136" s="260"/>
      <c r="F136" s="1"/>
      <c r="G136" s="1"/>
      <c r="H136" s="1"/>
    </row>
    <row r="137" spans="1:8" x14ac:dyDescent="0.25">
      <c r="A137" s="261" t="s">
        <v>142</v>
      </c>
      <c r="B137" s="260"/>
      <c r="C137" s="260"/>
      <c r="D137" s="260"/>
      <c r="E137" s="260"/>
      <c r="F137" s="1"/>
      <c r="G137" s="1"/>
      <c r="H137" s="1"/>
    </row>
    <row r="138" spans="1:8" x14ac:dyDescent="0.25">
      <c r="A138" s="261" t="s">
        <v>143</v>
      </c>
      <c r="B138" s="260"/>
      <c r="C138" s="260"/>
      <c r="D138" s="260"/>
      <c r="E138" s="260"/>
      <c r="F138" s="1"/>
      <c r="G138" s="1"/>
      <c r="H138" s="1"/>
    </row>
    <row r="139" spans="1:8" x14ac:dyDescent="0.25">
      <c r="A139" s="261" t="s">
        <v>144</v>
      </c>
      <c r="B139" s="260"/>
      <c r="C139" s="260"/>
      <c r="D139" s="260"/>
      <c r="E139" s="260"/>
      <c r="F139" s="1"/>
      <c r="G139" s="1"/>
      <c r="H139" s="1"/>
    </row>
    <row r="140" spans="1:8" x14ac:dyDescent="0.25">
      <c r="A140" s="261" t="s">
        <v>145</v>
      </c>
      <c r="B140" s="260"/>
      <c r="C140" s="260"/>
      <c r="D140" s="260"/>
      <c r="E140" s="260"/>
      <c r="F140" s="1"/>
      <c r="G140" s="1"/>
      <c r="H140" s="1"/>
    </row>
    <row r="141" spans="1:8" x14ac:dyDescent="0.25">
      <c r="A141" s="261" t="s">
        <v>146</v>
      </c>
      <c r="B141" s="260"/>
      <c r="C141" s="260"/>
      <c r="D141" s="260"/>
      <c r="E141" s="260"/>
      <c r="F141" s="1"/>
      <c r="G141" s="1"/>
      <c r="H141" s="1"/>
    </row>
    <row r="142" spans="1:8" x14ac:dyDescent="0.25">
      <c r="A142" s="260" t="s">
        <v>147</v>
      </c>
      <c r="B142" s="260"/>
      <c r="C142" s="260"/>
      <c r="D142" s="260"/>
      <c r="E142" s="260"/>
      <c r="F142" s="1"/>
      <c r="G142" s="1"/>
      <c r="H142" s="1"/>
    </row>
    <row r="143" spans="1:8" x14ac:dyDescent="0.25">
      <c r="A143" s="260" t="s">
        <v>148</v>
      </c>
      <c r="B143" s="260"/>
      <c r="C143" s="260"/>
      <c r="D143" s="260"/>
      <c r="E143" s="260"/>
      <c r="F143" s="1"/>
      <c r="G143" s="1"/>
      <c r="H143" s="1"/>
    </row>
    <row r="144" spans="1:8" x14ac:dyDescent="0.25">
      <c r="A144" s="260" t="s">
        <v>149</v>
      </c>
      <c r="B144" s="260"/>
      <c r="C144" s="260"/>
      <c r="D144" s="260"/>
      <c r="E144" s="260"/>
      <c r="F144" s="1"/>
      <c r="G144" s="1"/>
      <c r="H144" s="1"/>
    </row>
    <row r="145" spans="1:8" x14ac:dyDescent="0.25">
      <c r="A145" s="262"/>
      <c r="B145" s="262"/>
      <c r="C145" s="262"/>
      <c r="D145" s="262"/>
      <c r="E145" s="262"/>
      <c r="H145" s="1"/>
    </row>
  </sheetData>
  <mergeCells count="150">
    <mergeCell ref="A12:G12"/>
    <mergeCell ref="A13:G13"/>
    <mergeCell ref="A6:G6"/>
    <mergeCell ref="B7:E7"/>
    <mergeCell ref="B8:E8"/>
    <mergeCell ref="F9:G9"/>
    <mergeCell ref="B9:E9"/>
    <mergeCell ref="F10:G10"/>
    <mergeCell ref="A1:G1"/>
    <mergeCell ref="A2:G2"/>
    <mergeCell ref="A3:G3"/>
    <mergeCell ref="A4:D4"/>
    <mergeCell ref="F4:G4"/>
    <mergeCell ref="A5:G5"/>
    <mergeCell ref="B10:E10"/>
    <mergeCell ref="B11:E11"/>
    <mergeCell ref="F11:G11"/>
    <mergeCell ref="F7:G7"/>
    <mergeCell ref="F8:G8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B64:E64"/>
    <mergeCell ref="B65:E65"/>
    <mergeCell ref="B66:E66"/>
    <mergeCell ref="A67:E67"/>
    <mergeCell ref="B68:E68"/>
    <mergeCell ref="H58:H59"/>
    <mergeCell ref="B59:E59"/>
    <mergeCell ref="B60:E60"/>
    <mergeCell ref="A61:E61"/>
    <mergeCell ref="A62:G62"/>
    <mergeCell ref="B63:E63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33:F133"/>
    <mergeCell ref="A125:B125"/>
    <mergeCell ref="A126:B126"/>
    <mergeCell ref="A127:B127"/>
    <mergeCell ref="A128:F128"/>
    <mergeCell ref="A129:G129"/>
    <mergeCell ref="A130:G130"/>
    <mergeCell ref="B131:C131"/>
    <mergeCell ref="B132:C132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</dataValidations>
  <pageMargins left="0.511811024" right="0.511811024" top="0.78740157499999996" bottom="0.78740157499999996" header="0.31496062000000002" footer="0.31496062000000002"/>
  <pageSetup paperSize="9" scale="89" fitToHeight="0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H145"/>
  <sheetViews>
    <sheetView showGridLines="0" topLeftCell="A91" zoomScale="160" zoomScaleNormal="16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28.4257812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59" t="s">
        <v>205</v>
      </c>
      <c r="B2" s="460"/>
      <c r="C2" s="460"/>
      <c r="D2" s="460"/>
      <c r="E2" s="460"/>
      <c r="F2" s="460"/>
      <c r="G2" s="461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66.75" customHeight="1" x14ac:dyDescent="0.25">
      <c r="A9" s="267" t="s">
        <v>10</v>
      </c>
      <c r="B9" s="484" t="s">
        <v>11</v>
      </c>
      <c r="C9" s="485"/>
      <c r="D9" s="485"/>
      <c r="E9" s="486"/>
      <c r="F9" s="482" t="s">
        <v>286</v>
      </c>
      <c r="G9" s="483"/>
      <c r="H9" s="47"/>
    </row>
    <row r="10" spans="1:8" ht="33.75" customHeight="1" x14ac:dyDescent="0.25">
      <c r="A10" s="267" t="s">
        <v>12</v>
      </c>
      <c r="B10" s="489" t="s">
        <v>13</v>
      </c>
      <c r="C10" s="490"/>
      <c r="D10" s="490"/>
      <c r="E10" s="491"/>
      <c r="F10" s="487" t="s">
        <v>280</v>
      </c>
      <c r="G10" s="488"/>
      <c r="H10" s="47"/>
    </row>
    <row r="11" spans="1:8" ht="24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265" t="s">
        <v>20</v>
      </c>
      <c r="B15" s="411" t="s">
        <v>152</v>
      </c>
      <c r="C15" s="411"/>
      <c r="D15" s="411"/>
      <c r="E15" s="411"/>
      <c r="F15" s="450">
        <v>4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93">
        <v>2267.85</v>
      </c>
      <c r="G17" s="494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152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f>F17</f>
        <v>2267.85</v>
      </c>
      <c r="H24" s="47"/>
    </row>
    <row r="25" spans="1:8" x14ac:dyDescent="0.25">
      <c r="A25" s="8" t="s">
        <v>8</v>
      </c>
      <c r="B25" s="397" t="s">
        <v>32</v>
      </c>
      <c r="C25" s="397"/>
      <c r="D25" s="397"/>
      <c r="E25" s="397"/>
      <c r="F25" s="9"/>
      <c r="G25" s="10">
        <f>G24*F25</f>
        <v>0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2267.85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453.57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34.017749999999999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22.6785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4.5357000000000003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56.696249999999999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181.428</v>
      </c>
      <c r="H37" s="47"/>
    </row>
    <row r="38" spans="1:8" x14ac:dyDescent="0.25">
      <c r="A38" s="13" t="s">
        <v>45</v>
      </c>
      <c r="B38" s="327" t="s">
        <v>182</v>
      </c>
      <c r="C38" s="327"/>
      <c r="D38" s="327"/>
      <c r="E38" s="327"/>
      <c r="F38" s="248">
        <v>5.0000000000000001E-3</v>
      </c>
      <c r="G38" s="10">
        <f t="shared" si="0"/>
        <v>11.33925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13.607099999999999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777.87254999999982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188.9799405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188.91190499999999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62.99583333333333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44.09708333333333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31.497916666666665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0.47246874999999994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6.2995833333333335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7.559499999999999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530.81423091666659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182.06928120441671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712.8835121210833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15.118999999999998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1.6797209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16.798720899999999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5.7619612687000012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22.560682168700001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9.4493749999999999</v>
      </c>
      <c r="H64" s="47"/>
    </row>
    <row r="65" spans="1:8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3.7797499999999999</v>
      </c>
      <c r="H65" s="47"/>
    </row>
    <row r="66" spans="1:8" ht="27" customHeight="1" x14ac:dyDescent="0.25">
      <c r="A66" s="24" t="s">
        <v>10</v>
      </c>
      <c r="B66" s="492" t="s">
        <v>76</v>
      </c>
      <c r="C66" s="492"/>
      <c r="D66" s="492"/>
      <c r="E66" s="492"/>
      <c r="F66" s="18">
        <f>1*0.4*0.08</f>
        <v>3.2000000000000001E-2</v>
      </c>
      <c r="G66" s="10">
        <f>($G$27)*F66</f>
        <v>72.571200000000005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85.800325000000001</v>
      </c>
      <c r="H67" s="47"/>
    </row>
    <row r="68" spans="1:8" ht="27" customHeight="1" x14ac:dyDescent="0.25">
      <c r="A68" s="13" t="s">
        <v>12</v>
      </c>
      <c r="B68" s="327" t="s">
        <v>77</v>
      </c>
      <c r="C68" s="327"/>
      <c r="D68" s="327"/>
      <c r="E68" s="327"/>
      <c r="F68" s="22">
        <f>F37*F64</f>
        <v>3.3333333333333332E-4</v>
      </c>
      <c r="G68" s="10">
        <f>F68*$G$27</f>
        <v>0.7559499999999999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0.60475999999999996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87.161034999999998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777.87254999999982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712.8835121210833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22.560682168700001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87.161034999999998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1600.4777792897833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x14ac:dyDescent="0.25">
      <c r="A82" s="13" t="s">
        <v>6</v>
      </c>
      <c r="B82" s="356" t="s">
        <v>90</v>
      </c>
      <c r="C82" s="357"/>
      <c r="D82" s="357"/>
      <c r="E82" s="357"/>
      <c r="F82" s="358"/>
      <c r="G82" s="186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-132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187">
        <v>599.28</v>
      </c>
      <c r="H84" s="56"/>
    </row>
    <row r="85" spans="1:8" x14ac:dyDescent="0.25">
      <c r="A85" s="13" t="s">
        <v>93</v>
      </c>
      <c r="B85" s="327" t="s">
        <v>177</v>
      </c>
      <c r="C85" s="327"/>
      <c r="D85" s="327"/>
      <c r="E85" s="327"/>
      <c r="F85" s="77">
        <v>0.2</v>
      </c>
      <c r="G85" s="10">
        <f>-(G84*F85)</f>
        <v>-119.85599999999999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8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8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79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187">
        <v>48.43</v>
      </c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535.85399999999993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188">
        <v>4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4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4408.1817792897837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26.449090675738702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26.449090675738702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12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52.898181351477405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125">
        <v>0.02</v>
      </c>
      <c r="G115" s="38">
        <f>($G$104+$G$111)/(1-$F$118)*F115</f>
        <v>94.564493071356878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125">
        <v>6.4999999999999997E-3</v>
      </c>
      <c r="G116" s="38">
        <f>($G$104+$G$111)/(1-$F$118)*F116</f>
        <v>30.733460248190987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125">
        <v>0.03</v>
      </c>
      <c r="G117" s="38">
        <f>($G$104+$G$111)/(1-$F$118)*F117</f>
        <v>141.84673960703532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267.14469292658316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4728.2246535678441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ht="27.75" customHeight="1" x14ac:dyDescent="0.25">
      <c r="A125" s="443" t="s">
        <v>130</v>
      </c>
      <c r="B125" s="327"/>
      <c r="C125" s="41">
        <v>360</v>
      </c>
      <c r="D125" s="9">
        <v>0.5</v>
      </c>
      <c r="E125" s="42">
        <f>C125*(D125+1)*$G$27/220</f>
        <v>5566.5409090909088</v>
      </c>
      <c r="F125" s="42">
        <f>E125*(1+$F$78)</f>
        <v>9494.9863673476502</v>
      </c>
      <c r="G125" s="43">
        <f>F125/(1-$F$118)*(1+$F$111)</f>
        <v>10184.341498416346</v>
      </c>
      <c r="H125" s="1"/>
    </row>
    <row r="126" spans="1:8" ht="27" customHeight="1" x14ac:dyDescent="0.25">
      <c r="A126" s="310" t="s">
        <v>131</v>
      </c>
      <c r="B126" s="311"/>
      <c r="C126" s="65">
        <v>77</v>
      </c>
      <c r="D126" s="66">
        <v>1</v>
      </c>
      <c r="E126" s="67">
        <f>C126*(D126+1)/220*$G$27</f>
        <v>1587.4949999999999</v>
      </c>
      <c r="F126" s="67">
        <f>E126*(1+$F$78)</f>
        <v>2707.8294455028481</v>
      </c>
      <c r="G126" s="43">
        <f>F126/(1-$F$118)*(1+$F$111)</f>
        <v>2904.4233162150317</v>
      </c>
      <c r="H126" s="58"/>
    </row>
    <row r="127" spans="1:8" ht="15.75" thickBot="1" x14ac:dyDescent="0.3">
      <c r="A127" s="312" t="s">
        <v>132</v>
      </c>
      <c r="B127" s="313"/>
      <c r="C127" s="44">
        <v>77</v>
      </c>
      <c r="D127" s="45">
        <v>0.39</v>
      </c>
      <c r="E127" s="84">
        <f>C$127*($G$27/220)*(1+D$125)*(1+D$127)</f>
        <v>1654.9635375000003</v>
      </c>
      <c r="F127" s="46">
        <f>E127*(1+$F$78)</f>
        <v>2822.9121969367197</v>
      </c>
      <c r="G127" s="43">
        <f>F127/(1-$F$118)*(1+$F$111)</f>
        <v>3027.8613071541713</v>
      </c>
      <c r="H127" s="47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16116.62612178555</v>
      </c>
      <c r="H128" s="47"/>
    </row>
    <row r="129" spans="1:8" ht="15.75" thickBot="1" x14ac:dyDescent="0.3">
      <c r="A129" s="314"/>
      <c r="B129" s="315"/>
      <c r="C129" s="315"/>
      <c r="D129" s="315"/>
      <c r="E129" s="315"/>
      <c r="F129" s="315"/>
      <c r="G129" s="316"/>
      <c r="H129" s="55"/>
    </row>
    <row r="130" spans="1:8" ht="15.75" thickBot="1" x14ac:dyDescent="0.3">
      <c r="A130" s="317" t="s">
        <v>191</v>
      </c>
      <c r="B130" s="318"/>
      <c r="C130" s="318"/>
      <c r="D130" s="318"/>
      <c r="E130" s="318"/>
      <c r="F130" s="318"/>
      <c r="G130" s="319"/>
      <c r="H130" s="47"/>
    </row>
    <row r="131" spans="1:8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59"/>
    </row>
    <row r="132" spans="1:8" ht="15.75" thickBot="1" x14ac:dyDescent="0.3">
      <c r="A132" s="106">
        <v>6</v>
      </c>
      <c r="B132" s="322" t="str">
        <f>B15</f>
        <v>Assistente Administrativo I</v>
      </c>
      <c r="C132" s="323"/>
      <c r="D132" s="108">
        <f>F15</f>
        <v>4</v>
      </c>
      <c r="E132" s="109">
        <f>G120</f>
        <v>4728.2246535678441</v>
      </c>
      <c r="F132" s="110">
        <f>G128/12</f>
        <v>1343.0521768154624</v>
      </c>
      <c r="G132" s="111">
        <f>E132*D132+F132</f>
        <v>20255.950791086838</v>
      </c>
      <c r="H132" s="59"/>
    </row>
    <row r="133" spans="1:8" ht="15.75" thickBot="1" x14ac:dyDescent="0.3">
      <c r="A133" s="306" t="s">
        <v>190</v>
      </c>
      <c r="B133" s="307"/>
      <c r="C133" s="307"/>
      <c r="D133" s="307"/>
      <c r="E133" s="307"/>
      <c r="F133" s="307"/>
      <c r="G133" s="102">
        <f>G132*12</f>
        <v>243071.40949304204</v>
      </c>
      <c r="H133" s="1"/>
    </row>
    <row r="134" spans="1:8" ht="13.5" customHeight="1" x14ac:dyDescent="0.25">
      <c r="A134" s="49"/>
      <c r="B134" s="49"/>
      <c r="C134" s="49"/>
      <c r="D134" s="49"/>
      <c r="E134" s="49"/>
      <c r="F134" s="49"/>
      <c r="G134" s="50"/>
      <c r="H134" s="48"/>
    </row>
    <row r="135" spans="1:8" x14ac:dyDescent="0.25">
      <c r="A135" s="47" t="s">
        <v>140</v>
      </c>
      <c r="B135" s="1"/>
      <c r="C135" s="1"/>
      <c r="D135" s="1"/>
      <c r="E135" s="1"/>
      <c r="F135" s="1"/>
      <c r="G135" s="1"/>
      <c r="H135" s="1"/>
    </row>
    <row r="136" spans="1:8" x14ac:dyDescent="0.25">
      <c r="A136" s="51" t="s">
        <v>141</v>
      </c>
      <c r="B136" s="1"/>
      <c r="C136" s="1"/>
      <c r="D136" s="1"/>
      <c r="E136" s="1"/>
      <c r="F136" s="1"/>
      <c r="G136" s="1"/>
      <c r="H136" s="1"/>
    </row>
    <row r="137" spans="1:8" x14ac:dyDescent="0.25">
      <c r="A137" s="51" t="s">
        <v>142</v>
      </c>
      <c r="B137" s="1"/>
      <c r="C137" s="1"/>
      <c r="D137" s="1"/>
      <c r="E137" s="1"/>
      <c r="F137" s="1"/>
      <c r="G137" s="1"/>
      <c r="H137" s="1"/>
    </row>
    <row r="138" spans="1:8" x14ac:dyDescent="0.25">
      <c r="A138" s="51" t="s">
        <v>143</v>
      </c>
      <c r="B138" s="1"/>
      <c r="C138" s="1"/>
      <c r="D138" s="1"/>
      <c r="E138" s="1"/>
      <c r="F138" s="1"/>
      <c r="G138" s="1"/>
      <c r="H138" s="1"/>
    </row>
    <row r="139" spans="1:8" x14ac:dyDescent="0.25">
      <c r="A139" s="51" t="s">
        <v>144</v>
      </c>
      <c r="B139" s="1"/>
      <c r="C139" s="1"/>
      <c r="D139" s="1"/>
      <c r="E139" s="1"/>
      <c r="F139" s="1"/>
      <c r="G139" s="1"/>
      <c r="H139" s="1"/>
    </row>
    <row r="140" spans="1:8" x14ac:dyDescent="0.25">
      <c r="A140" s="51" t="s">
        <v>145</v>
      </c>
      <c r="B140" s="1"/>
      <c r="C140" s="1"/>
      <c r="D140" s="1"/>
      <c r="E140" s="1"/>
      <c r="F140" s="1"/>
      <c r="G140" s="1"/>
      <c r="H140" s="1"/>
    </row>
    <row r="141" spans="1:8" x14ac:dyDescent="0.25">
      <c r="A141" s="51" t="s">
        <v>146</v>
      </c>
      <c r="B141" s="1"/>
      <c r="C141" s="1"/>
      <c r="D141" s="1"/>
      <c r="E141" s="1"/>
      <c r="F141" s="1"/>
      <c r="G141" s="1"/>
      <c r="H141" s="1"/>
    </row>
    <row r="142" spans="1:8" x14ac:dyDescent="0.25">
      <c r="A142" s="47" t="s">
        <v>147</v>
      </c>
      <c r="B142" s="1"/>
      <c r="C142" s="1"/>
      <c r="D142" s="1"/>
      <c r="E142" s="1"/>
      <c r="F142" s="1"/>
      <c r="G142" s="1"/>
      <c r="H142" s="1"/>
    </row>
    <row r="143" spans="1:8" x14ac:dyDescent="0.25">
      <c r="A143" s="47" t="s">
        <v>148</v>
      </c>
      <c r="B143" s="1"/>
      <c r="C143" s="1"/>
      <c r="D143" s="1"/>
      <c r="E143" s="1"/>
      <c r="F143" s="1"/>
      <c r="G143" s="1"/>
      <c r="H143" s="1"/>
    </row>
    <row r="144" spans="1:8" x14ac:dyDescent="0.25">
      <c r="A144" s="47" t="s">
        <v>149</v>
      </c>
      <c r="B144" s="1"/>
      <c r="C144" s="1"/>
      <c r="D144" s="1"/>
      <c r="E144" s="1"/>
      <c r="F144" s="1"/>
      <c r="G144" s="1"/>
      <c r="H144" s="1"/>
    </row>
    <row r="145" spans="8:8" x14ac:dyDescent="0.25">
      <c r="H145" s="55"/>
    </row>
  </sheetData>
  <mergeCells count="150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B64:E64"/>
    <mergeCell ref="B65:E65"/>
    <mergeCell ref="B66:E66"/>
    <mergeCell ref="A67:E67"/>
    <mergeCell ref="B68:E68"/>
    <mergeCell ref="H57:H58"/>
    <mergeCell ref="B59:E59"/>
    <mergeCell ref="B60:E60"/>
    <mergeCell ref="A61:E61"/>
    <mergeCell ref="A62:G62"/>
    <mergeCell ref="B63:E63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33:F133"/>
    <mergeCell ref="A125:B125"/>
    <mergeCell ref="A126:B126"/>
    <mergeCell ref="A127:B127"/>
    <mergeCell ref="A128:F128"/>
    <mergeCell ref="A129:G129"/>
    <mergeCell ref="A130:G130"/>
    <mergeCell ref="B131:C131"/>
    <mergeCell ref="B132:C132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</dataValidations>
  <pageMargins left="0.511811024" right="0.511811024" top="0.78740157499999996" bottom="0.78740157499999996" header="0.31496062000000002" footer="0.31496062000000002"/>
  <pageSetup paperSize="9" scale="91" fitToHeight="0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H145"/>
  <sheetViews>
    <sheetView showGridLines="0" topLeftCell="A94" zoomScale="160" zoomScaleNormal="160" workbookViewId="0">
      <selection activeCell="F108" sqref="F108:F109"/>
    </sheetView>
  </sheetViews>
  <sheetFormatPr defaultRowHeight="15" x14ac:dyDescent="0.25"/>
  <cols>
    <col min="1" max="1" width="9.28515625" bestFit="1" customWidth="1"/>
    <col min="2" max="2" width="11" customWidth="1"/>
    <col min="3" max="4" width="9.28515625" bestFit="1" customWidth="1"/>
    <col min="5" max="5" width="18.28515625" customWidth="1"/>
    <col min="6" max="6" width="14.85546875" customWidth="1"/>
    <col min="7" max="7" width="32.2851562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459" t="s">
        <v>287</v>
      </c>
      <c r="B2" s="460"/>
      <c r="C2" s="460"/>
      <c r="D2" s="460"/>
      <c r="E2" s="460"/>
      <c r="F2" s="460"/>
      <c r="G2" s="461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57.75" customHeight="1" x14ac:dyDescent="0.25">
      <c r="A9" s="268" t="s">
        <v>10</v>
      </c>
      <c r="B9" s="454" t="s">
        <v>11</v>
      </c>
      <c r="C9" s="455"/>
      <c r="D9" s="455"/>
      <c r="E9" s="456"/>
      <c r="F9" s="457" t="s">
        <v>286</v>
      </c>
      <c r="G9" s="458"/>
      <c r="H9" s="47"/>
    </row>
    <row r="10" spans="1:8" ht="27" customHeight="1" x14ac:dyDescent="0.25">
      <c r="A10" s="268" t="s">
        <v>12</v>
      </c>
      <c r="B10" s="462" t="s">
        <v>13</v>
      </c>
      <c r="C10" s="463"/>
      <c r="D10" s="463"/>
      <c r="E10" s="464"/>
      <c r="F10" s="465" t="s">
        <v>280</v>
      </c>
      <c r="G10" s="466"/>
      <c r="H10" s="47"/>
    </row>
    <row r="11" spans="1:8" ht="24.75" customHeight="1" x14ac:dyDescent="0.25">
      <c r="A11" s="269" t="s">
        <v>14</v>
      </c>
      <c r="B11" s="462" t="s">
        <v>15</v>
      </c>
      <c r="C11" s="463"/>
      <c r="D11" s="463"/>
      <c r="E11" s="464"/>
      <c r="F11" s="500" t="s">
        <v>207</v>
      </c>
      <c r="G11" s="501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4" t="s">
        <v>20</v>
      </c>
      <c r="B15" s="496" t="s">
        <v>195</v>
      </c>
      <c r="C15" s="496"/>
      <c r="D15" s="496"/>
      <c r="E15" s="496"/>
      <c r="F15" s="497">
        <v>1</v>
      </c>
      <c r="G15" s="410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98">
        <v>2267.85</v>
      </c>
      <c r="G17" s="499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ht="27" customHeight="1" x14ac:dyDescent="0.25">
      <c r="A19" s="69" t="s">
        <v>10</v>
      </c>
      <c r="B19" s="495" t="s">
        <v>24</v>
      </c>
      <c r="C19" s="495"/>
      <c r="D19" s="495"/>
      <c r="E19" s="495"/>
      <c r="F19" s="403" t="s">
        <v>153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f>F17</f>
        <v>2267.85</v>
      </c>
      <c r="H24" s="47"/>
    </row>
    <row r="25" spans="1:8" ht="15" customHeight="1" x14ac:dyDescent="0.25">
      <c r="A25" s="256" t="s">
        <v>8</v>
      </c>
      <c r="B25" s="471" t="s">
        <v>173</v>
      </c>
      <c r="C25" s="471"/>
      <c r="D25" s="471"/>
      <c r="E25" s="471"/>
      <c r="F25" s="257">
        <v>0.2</v>
      </c>
      <c r="G25" s="259">
        <f>F18*F25</f>
        <v>282.40000000000003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2550.25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510.05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38.253749999999997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25.502500000000001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5.1005000000000003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63.756250000000001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204.02</v>
      </c>
      <c r="H37" s="47"/>
    </row>
    <row r="38" spans="1:8" x14ac:dyDescent="0.25">
      <c r="A38" s="13" t="s">
        <v>45</v>
      </c>
      <c r="B38" s="327" t="s">
        <v>46</v>
      </c>
      <c r="C38" s="327"/>
      <c r="D38" s="327"/>
      <c r="E38" s="327"/>
      <c r="F38" s="248">
        <v>5.0000000000000001E-3</v>
      </c>
      <c r="G38" s="10">
        <f t="shared" si="0"/>
        <v>12.751250000000001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15.301500000000001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874.73575000000017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212.51233250000001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212.43582499999999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70.840277777777771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49.588194444444447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35.420138888888886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0.53130208333333329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7.084027777777778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8.5008333333333326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596.91293180555556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204.74113560930562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801.65406741486117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17.001666666666665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1.8888851666666668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18.89055183333333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6.4794592788333345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25.370011112166665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10.626041666666666</v>
      </c>
      <c r="H64" s="47"/>
    </row>
    <row r="65" spans="1:8" ht="27" customHeight="1" x14ac:dyDescent="0.25">
      <c r="A65" s="24" t="s">
        <v>8</v>
      </c>
      <c r="B65" s="309" t="s">
        <v>75</v>
      </c>
      <c r="C65" s="309"/>
      <c r="D65" s="309"/>
      <c r="E65" s="309"/>
      <c r="F65" s="64">
        <f>0.02*1/12</f>
        <v>1.6666666666666668E-3</v>
      </c>
      <c r="G65" s="26">
        <f>($G$27)*F65</f>
        <v>4.2504166666666672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81.608000000000004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96.484458333333336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0.8500833333333333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0.68006666666666671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98.014608333333328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874.73575000000017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801.65406741486117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25.370011112166665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98.014608333333328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1799.7744368603612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x14ac:dyDescent="0.25">
      <c r="A82" s="13" t="s">
        <v>6</v>
      </c>
      <c r="B82" s="356" t="s">
        <v>90</v>
      </c>
      <c r="C82" s="357"/>
      <c r="D82" s="357"/>
      <c r="E82" s="357"/>
      <c r="F82" s="358"/>
      <c r="G82" s="243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-132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599.28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-119.85599999999999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8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8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8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244">
        <v>48.43</v>
      </c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535.85399999999993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3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3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4888.8784368603619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29.333270621162171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29.333270621162171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58.666541242324342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>
        <f>($G$104+$G$111)/(1-$F$118)*F115</f>
        <v>104.87641712989267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>
        <f>($G$104+$G$111)/(1-$F$118)*F116</f>
        <v>34.084835567215116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>
        <f>($G$104+$G$111)/(1-$F$118)*F117</f>
        <v>157.31462569483901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296.27587839194678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5243.8208564946326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1"/>
    </row>
    <row r="125" spans="1:8" ht="27" customHeight="1" x14ac:dyDescent="0.25">
      <c r="A125" s="308" t="s">
        <v>130</v>
      </c>
      <c r="B125" s="309"/>
      <c r="C125" s="65">
        <v>90</v>
      </c>
      <c r="D125" s="66">
        <v>0.5</v>
      </c>
      <c r="E125" s="67">
        <f>C125*(D125+1)*$G$27/220</f>
        <v>1564.9261363636363</v>
      </c>
      <c r="F125" s="67">
        <f>E125*(1+$F$78)</f>
        <v>2669.3331771643125</v>
      </c>
      <c r="G125" s="68">
        <f>F125/(1-$F$118)*(1+$F$111)</f>
        <v>2863.1321412721613</v>
      </c>
      <c r="H125" s="1"/>
    </row>
    <row r="126" spans="1:8" ht="27" customHeight="1" x14ac:dyDescent="0.25">
      <c r="A126" s="310" t="s">
        <v>131</v>
      </c>
      <c r="B126" s="311"/>
      <c r="C126" s="65">
        <v>19</v>
      </c>
      <c r="D126" s="66">
        <v>1</v>
      </c>
      <c r="E126" s="67">
        <f>C126*(D126+1)/220*$G$27</f>
        <v>440.49772727272727</v>
      </c>
      <c r="F126" s="67">
        <f>E126*(1+$F$78)</f>
        <v>751.36785727588051</v>
      </c>
      <c r="G126" s="68">
        <f>F126/(1-$F$118)*(1+$F$111)</f>
        <v>805.91867680253426</v>
      </c>
      <c r="H126" s="58"/>
    </row>
    <row r="127" spans="1:8" ht="15.75" thickBot="1" x14ac:dyDescent="0.3">
      <c r="A127" s="312" t="s">
        <v>132</v>
      </c>
      <c r="B127" s="313"/>
      <c r="C127" s="44">
        <v>19</v>
      </c>
      <c r="D127" s="45">
        <v>0.39</v>
      </c>
      <c r="E127" s="84">
        <f>C$127*($G$27/220)*(1+D$125)*(1+D$127)</f>
        <v>459.21888068181818</v>
      </c>
      <c r="F127" s="46">
        <f>E127*(1+$F$78)</f>
        <v>783.30099121010551</v>
      </c>
      <c r="G127" s="68">
        <f>F127/(1-$F$118)*(1+$F$111)</f>
        <v>840.170220566642</v>
      </c>
      <c r="H127" s="47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4509.2210386413371</v>
      </c>
      <c r="H128" s="47"/>
    </row>
    <row r="129" spans="1:8" ht="15.75" thickBot="1" x14ac:dyDescent="0.3">
      <c r="A129" s="314"/>
      <c r="B129" s="315"/>
      <c r="C129" s="315"/>
      <c r="D129" s="315"/>
      <c r="E129" s="315"/>
      <c r="F129" s="315"/>
      <c r="G129" s="316"/>
      <c r="H129" s="55"/>
    </row>
    <row r="130" spans="1:8" ht="15.75" thickBot="1" x14ac:dyDescent="0.3">
      <c r="A130" s="475" t="s">
        <v>191</v>
      </c>
      <c r="B130" s="476"/>
      <c r="C130" s="476"/>
      <c r="D130" s="476"/>
      <c r="E130" s="476"/>
      <c r="F130" s="476"/>
      <c r="G130" s="477"/>
      <c r="H130" s="47"/>
    </row>
    <row r="131" spans="1:8" ht="45" x14ac:dyDescent="0.25">
      <c r="A131" s="103" t="s">
        <v>135</v>
      </c>
      <c r="B131" s="320" t="s">
        <v>136</v>
      </c>
      <c r="C131" s="321"/>
      <c r="D131" s="104" t="s">
        <v>137</v>
      </c>
      <c r="E131" s="104" t="s">
        <v>138</v>
      </c>
      <c r="F131" s="104" t="s">
        <v>184</v>
      </c>
      <c r="G131" s="105" t="s">
        <v>139</v>
      </c>
      <c r="H131" s="59"/>
    </row>
    <row r="132" spans="1:8" ht="27" customHeight="1" thickBot="1" x14ac:dyDescent="0.3">
      <c r="A132" s="106">
        <v>7</v>
      </c>
      <c r="B132" s="467" t="str">
        <f>B15</f>
        <v>Assistente Administrativo - MHMTT</v>
      </c>
      <c r="C132" s="468"/>
      <c r="D132" s="108">
        <f>F15</f>
        <v>1</v>
      </c>
      <c r="E132" s="109">
        <f>G120</f>
        <v>5243.8208564946326</v>
      </c>
      <c r="F132" s="109">
        <f>G128/12</f>
        <v>375.76841988677808</v>
      </c>
      <c r="G132" s="111">
        <f>E132*D132+F132</f>
        <v>5619.5892763814109</v>
      </c>
      <c r="H132" s="59"/>
    </row>
    <row r="133" spans="1:8" ht="15.75" thickBot="1" x14ac:dyDescent="0.3">
      <c r="A133" s="472" t="s">
        <v>190</v>
      </c>
      <c r="B133" s="473"/>
      <c r="C133" s="473"/>
      <c r="D133" s="473"/>
      <c r="E133" s="473"/>
      <c r="F133" s="474"/>
      <c r="G133" s="102">
        <f>G132*12</f>
        <v>67435.071316576927</v>
      </c>
      <c r="H133" s="1"/>
    </row>
    <row r="134" spans="1:8" ht="17.25" customHeight="1" x14ac:dyDescent="0.25">
      <c r="A134" s="49"/>
      <c r="B134" s="49"/>
      <c r="C134" s="49"/>
      <c r="D134" s="49"/>
      <c r="E134" s="49"/>
      <c r="F134" s="49"/>
      <c r="G134" s="50"/>
      <c r="H134" s="48"/>
    </row>
    <row r="135" spans="1:8" x14ac:dyDescent="0.25">
      <c r="A135" s="47" t="s">
        <v>140</v>
      </c>
      <c r="B135" s="1"/>
      <c r="C135" s="1"/>
      <c r="D135" s="1"/>
      <c r="E135" s="1"/>
      <c r="F135" s="1"/>
      <c r="G135" s="1"/>
      <c r="H135" s="1"/>
    </row>
    <row r="136" spans="1:8" x14ac:dyDescent="0.25">
      <c r="A136" s="51" t="s">
        <v>141</v>
      </c>
      <c r="B136" s="1"/>
      <c r="C136" s="1"/>
      <c r="D136" s="1"/>
      <c r="E136" s="1"/>
      <c r="F136" s="1"/>
      <c r="G136" s="1"/>
      <c r="H136" s="1"/>
    </row>
    <row r="137" spans="1:8" x14ac:dyDescent="0.25">
      <c r="A137" s="51" t="s">
        <v>142</v>
      </c>
      <c r="B137" s="1"/>
      <c r="C137" s="1"/>
      <c r="D137" s="1"/>
      <c r="E137" s="1"/>
      <c r="F137" s="1"/>
      <c r="G137" s="1"/>
      <c r="H137" s="1"/>
    </row>
    <row r="138" spans="1:8" x14ac:dyDescent="0.25">
      <c r="A138" s="51" t="s">
        <v>143</v>
      </c>
      <c r="B138" s="1"/>
      <c r="C138" s="1"/>
      <c r="D138" s="1"/>
      <c r="E138" s="1"/>
      <c r="F138" s="1"/>
      <c r="G138" s="1"/>
      <c r="H138" s="1"/>
    </row>
    <row r="139" spans="1:8" x14ac:dyDescent="0.25">
      <c r="A139" s="51" t="s">
        <v>144</v>
      </c>
      <c r="B139" s="1"/>
      <c r="C139" s="1"/>
      <c r="D139" s="1"/>
      <c r="E139" s="1"/>
      <c r="F139" s="1"/>
      <c r="G139" s="1"/>
      <c r="H139" s="1"/>
    </row>
    <row r="140" spans="1:8" x14ac:dyDescent="0.25">
      <c r="A140" s="51" t="s">
        <v>145</v>
      </c>
      <c r="B140" s="1"/>
      <c r="C140" s="1"/>
      <c r="D140" s="1"/>
      <c r="E140" s="1"/>
      <c r="F140" s="1"/>
      <c r="G140" s="1"/>
      <c r="H140" s="1"/>
    </row>
    <row r="141" spans="1:8" x14ac:dyDescent="0.25">
      <c r="A141" s="51" t="s">
        <v>146</v>
      </c>
      <c r="B141" s="1"/>
      <c r="C141" s="1"/>
      <c r="D141" s="1"/>
      <c r="E141" s="1"/>
      <c r="F141" s="1"/>
      <c r="G141" s="1"/>
      <c r="H141" s="1"/>
    </row>
    <row r="142" spans="1:8" x14ac:dyDescent="0.25">
      <c r="A142" s="47" t="s">
        <v>147</v>
      </c>
      <c r="B142" s="1"/>
      <c r="C142" s="1"/>
      <c r="D142" s="1"/>
      <c r="E142" s="1"/>
      <c r="F142" s="1"/>
      <c r="G142" s="1"/>
      <c r="H142" s="1"/>
    </row>
    <row r="143" spans="1:8" x14ac:dyDescent="0.25">
      <c r="A143" s="47" t="s">
        <v>148</v>
      </c>
      <c r="B143" s="1"/>
      <c r="C143" s="1"/>
      <c r="D143" s="1"/>
      <c r="E143" s="1"/>
      <c r="F143" s="1"/>
      <c r="G143" s="1"/>
      <c r="H143" s="1"/>
    </row>
    <row r="144" spans="1:8" x14ac:dyDescent="0.25">
      <c r="A144" s="47" t="s">
        <v>149</v>
      </c>
      <c r="B144" s="1"/>
      <c r="C144" s="1"/>
      <c r="D144" s="1"/>
      <c r="E144" s="1"/>
      <c r="F144" s="1"/>
      <c r="G144" s="1"/>
      <c r="H144" s="1"/>
    </row>
    <row r="145" spans="8:8" x14ac:dyDescent="0.25">
      <c r="H145" s="55"/>
    </row>
  </sheetData>
  <mergeCells count="150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B64:E64"/>
    <mergeCell ref="B65:E65"/>
    <mergeCell ref="B66:E66"/>
    <mergeCell ref="A67:E67"/>
    <mergeCell ref="B68:E68"/>
    <mergeCell ref="H57:H58"/>
    <mergeCell ref="B59:E59"/>
    <mergeCell ref="B60:E60"/>
    <mergeCell ref="A61:E61"/>
    <mergeCell ref="A62:G62"/>
    <mergeCell ref="B63:E63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33:F133"/>
    <mergeCell ref="A125:B125"/>
    <mergeCell ref="A126:B126"/>
    <mergeCell ref="A127:B127"/>
    <mergeCell ref="A128:F128"/>
    <mergeCell ref="A129:G129"/>
    <mergeCell ref="A130:G130"/>
    <mergeCell ref="B131:C131"/>
    <mergeCell ref="B132:C132"/>
  </mergeCells>
  <dataValidations disablePrompts="1" count="3">
    <dataValidation type="decimal" operator="lessThanOrEqual" allowBlank="1" showInputMessage="1" showErrorMessage="1" sqref="F83">
      <formula1>0.06</formula1>
    </dataValidation>
    <dataValidation type="decimal" operator="lessThanOrEqual" allowBlank="1" showInputMessage="1" showErrorMessage="1" sqref="F85">
      <formula1>0.2</formula1>
    </dataValidation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</dataValidations>
  <pageMargins left="0.511811024" right="0.511811024" top="0.78740157499999996" bottom="0.78740157499999996" header="0.31496062000000002" footer="0.31496062000000002"/>
  <pageSetup paperSize="9" scale="88" fitToHeight="0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50"/>
  <sheetViews>
    <sheetView showGridLines="0" topLeftCell="B104" zoomScale="160" zoomScaleNormal="160" workbookViewId="0">
      <selection activeCell="F108" sqref="F108:F109"/>
    </sheetView>
  </sheetViews>
  <sheetFormatPr defaultRowHeight="15" x14ac:dyDescent="0.25"/>
  <cols>
    <col min="1" max="1" width="6.42578125" customWidth="1"/>
    <col min="2" max="2" width="16.42578125" bestFit="1" customWidth="1"/>
    <col min="3" max="3" width="9.28515625" bestFit="1" customWidth="1"/>
    <col min="4" max="4" width="11.140625" customWidth="1"/>
    <col min="5" max="5" width="16" customWidth="1"/>
    <col min="6" max="6" width="15.42578125" customWidth="1"/>
    <col min="7" max="7" width="21.140625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521" t="s">
        <v>206</v>
      </c>
      <c r="B2" s="522"/>
      <c r="C2" s="522"/>
      <c r="D2" s="522"/>
      <c r="E2" s="522"/>
      <c r="F2" s="522"/>
      <c r="G2" s="523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ht="15.75" customHeight="1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82.5" customHeight="1" x14ac:dyDescent="0.25">
      <c r="A9" s="266" t="s">
        <v>10</v>
      </c>
      <c r="B9" s="516" t="s">
        <v>11</v>
      </c>
      <c r="C9" s="517"/>
      <c r="D9" s="517"/>
      <c r="E9" s="518"/>
      <c r="F9" s="519" t="s">
        <v>285</v>
      </c>
      <c r="G9" s="520"/>
      <c r="H9" s="47"/>
    </row>
    <row r="10" spans="1:8" x14ac:dyDescent="0.25">
      <c r="A10" s="264" t="s">
        <v>12</v>
      </c>
      <c r="B10" s="439" t="s">
        <v>13</v>
      </c>
      <c r="C10" s="440"/>
      <c r="D10" s="440"/>
      <c r="E10" s="441"/>
      <c r="F10" s="431" t="s">
        <v>284</v>
      </c>
      <c r="G10" s="432"/>
      <c r="H10" s="47"/>
    </row>
    <row r="11" spans="1:8" ht="21.75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ht="22.5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4" t="s">
        <v>20</v>
      </c>
      <c r="B15" s="411" t="s">
        <v>155</v>
      </c>
      <c r="C15" s="411"/>
      <c r="D15" s="411"/>
      <c r="E15" s="411"/>
      <c r="F15" s="450">
        <v>1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52">
        <v>3562.91</v>
      </c>
      <c r="G17" s="453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403" t="s">
        <v>155</v>
      </c>
      <c r="G19" s="404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/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79">
        <v>3562.91</v>
      </c>
      <c r="H24" s="47"/>
    </row>
    <row r="25" spans="1:8" ht="15" customHeight="1" x14ac:dyDescent="0.25">
      <c r="A25" s="8" t="s">
        <v>8</v>
      </c>
      <c r="B25" s="513" t="s">
        <v>32</v>
      </c>
      <c r="C25" s="514"/>
      <c r="D25" s="514"/>
      <c r="E25" s="515"/>
      <c r="F25" s="9"/>
      <c r="G25" s="10">
        <f>G24*F25</f>
        <v>0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3562.91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712.58199999999999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53.443649999999998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35.629100000000001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7.12582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89.072749999999999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285.03280000000001</v>
      </c>
      <c r="H37" s="47"/>
    </row>
    <row r="38" spans="1:8" x14ac:dyDescent="0.25">
      <c r="A38" s="13" t="s">
        <v>45</v>
      </c>
      <c r="B38" s="327" t="s">
        <v>46</v>
      </c>
      <c r="C38" s="327"/>
      <c r="D38" s="327"/>
      <c r="E38" s="327"/>
      <c r="F38" s="248">
        <v>5.0000000000000001E-3</v>
      </c>
      <c r="G38" s="10">
        <f t="shared" si="0"/>
        <v>17.814550000000001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21.377459999999999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1222.0781300000001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296.89729030000001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296.79040299999997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98.969722222222217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69.27880555555555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49.484861111111108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0.74227291666666662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9.8969722222222227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11.876366666666666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833.93669399444434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286.04028604009449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1119.9769800345389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23.752733333333332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2.6389286733333335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26.391662006666664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9.0523400682866679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35.444002074953332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14.845458333333333</v>
      </c>
      <c r="H64" s="47"/>
    </row>
    <row r="65" spans="1:8" ht="26.25" customHeight="1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5.9381833333333338</v>
      </c>
      <c r="H65" s="47"/>
    </row>
    <row r="66" spans="1:8" ht="27" customHeight="1" x14ac:dyDescent="0.25">
      <c r="A66" s="24" t="s">
        <v>10</v>
      </c>
      <c r="B66" s="311" t="s">
        <v>76</v>
      </c>
      <c r="C66" s="311"/>
      <c r="D66" s="311"/>
      <c r="E66" s="311"/>
      <c r="F66" s="64">
        <f>1*0.4*0.08</f>
        <v>3.2000000000000001E-2</v>
      </c>
      <c r="G66" s="26">
        <f>($G$27)*F66</f>
        <v>114.01312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134.79676166666667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1.1876366666666667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0.95010933333333336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136.93450766666666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1222.0781300000001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1119.9769800345389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35.444002074953332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136.93450766666666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2514.4336197761595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ht="27" customHeight="1" x14ac:dyDescent="0.25">
      <c r="A82" s="24" t="s">
        <v>6</v>
      </c>
      <c r="B82" s="446" t="s">
        <v>90</v>
      </c>
      <c r="C82" s="447"/>
      <c r="D82" s="447"/>
      <c r="E82" s="447"/>
      <c r="F82" s="448"/>
      <c r="G82" s="243">
        <v>132</v>
      </c>
      <c r="H82" s="56"/>
    </row>
    <row r="83" spans="1:8" ht="27" customHeight="1" x14ac:dyDescent="0.25">
      <c r="A83" s="24" t="s">
        <v>91</v>
      </c>
      <c r="B83" s="311" t="s">
        <v>178</v>
      </c>
      <c r="C83" s="311"/>
      <c r="D83" s="311"/>
      <c r="E83" s="311"/>
      <c r="F83" s="76">
        <v>0.06</v>
      </c>
      <c r="G83" s="26">
        <f>IF(G24*F83&gt;G82,-G82,-(G24*F83))</f>
        <v>-132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606.98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-121.39600000000002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8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8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11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10"/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496.584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245">
        <v>11.42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11.42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6585.3476197761593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39.512085718656955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39.512085718656955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SUM(F108:F110)</f>
        <v>1.2E-2</v>
      </c>
      <c r="G111" s="12">
        <f>SUM(G108:G110)</f>
        <v>79.02417143731391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>
        <f>($G$104+$G$111)/(1-$F$118)*F115</f>
        <v>141.26914236806516</v>
      </c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>
        <f>($G$104+$G$111)/(1-$F$118)*F116</f>
        <v>45.912471269621172</v>
      </c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>
        <f>($G$104+$G$111)/(1-$F$118)*F117</f>
        <v>211.90371355209771</v>
      </c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399.08532718978404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7063.4571184032575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</row>
    <row r="125" spans="1:8" ht="27.75" customHeight="1" x14ac:dyDescent="0.25">
      <c r="A125" s="308" t="s">
        <v>130</v>
      </c>
      <c r="B125" s="309"/>
      <c r="C125" s="65">
        <v>130</v>
      </c>
      <c r="D125" s="66">
        <v>0.6</v>
      </c>
      <c r="E125" s="67">
        <f>C125*(D125+1)*$G$27/200</f>
        <v>3705.4264000000003</v>
      </c>
      <c r="F125" s="67">
        <f>E125*(1+$F$78)</f>
        <v>6320.4373645672058</v>
      </c>
      <c r="G125" s="68">
        <f>F125/(1-$F$118)*(1+$F$111)</f>
        <v>6779.313845195561</v>
      </c>
      <c r="H125" s="60"/>
    </row>
    <row r="126" spans="1:8" ht="27" customHeight="1" x14ac:dyDescent="0.25">
      <c r="A126" s="310" t="s">
        <v>131</v>
      </c>
      <c r="B126" s="311"/>
      <c r="C126" s="65">
        <v>39</v>
      </c>
      <c r="D126" s="66">
        <v>1</v>
      </c>
      <c r="E126" s="67">
        <f>C126*(D126+1)/200*$G$27</f>
        <v>1389.5348999999999</v>
      </c>
      <c r="F126" s="67">
        <f>E126*(1+$F$78)</f>
        <v>2370.1640117127017</v>
      </c>
      <c r="G126" s="68">
        <f>F126/(1-$F$118)*(1+$F$111)</f>
        <v>2542.2426919483351</v>
      </c>
      <c r="H126" s="60"/>
    </row>
    <row r="127" spans="1:8" ht="15.75" thickBot="1" x14ac:dyDescent="0.3">
      <c r="A127" s="312" t="s">
        <v>132</v>
      </c>
      <c r="B127" s="313"/>
      <c r="C127" s="44">
        <v>50</v>
      </c>
      <c r="D127" s="45">
        <v>0.2</v>
      </c>
      <c r="E127" s="46">
        <f>C127/(52.5/60)*(G$27/200)*(1+D125)*(1+D127)</f>
        <v>1954.5106285714287</v>
      </c>
      <c r="F127" s="46">
        <f>E127*(1+$F$78)</f>
        <v>3333.8570714200646</v>
      </c>
      <c r="G127" s="68">
        <f>F127/(1-$F$118)*(1+$F$111)</f>
        <v>3575.9018084548015</v>
      </c>
      <c r="H127" s="61"/>
    </row>
    <row r="128" spans="1:8" ht="14.25" customHeight="1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12897.458345598698</v>
      </c>
      <c r="H128" s="47"/>
    </row>
    <row r="129" spans="1:8" ht="14.25" customHeight="1" thickBot="1" x14ac:dyDescent="0.3">
      <c r="A129" s="350"/>
      <c r="B129" s="351"/>
      <c r="C129" s="351"/>
      <c r="D129" s="351"/>
      <c r="E129" s="351"/>
      <c r="F129" s="351"/>
      <c r="G129" s="352"/>
      <c r="H129" s="47"/>
    </row>
    <row r="130" spans="1:8" x14ac:dyDescent="0.25">
      <c r="A130" s="339" t="s">
        <v>156</v>
      </c>
      <c r="B130" s="340"/>
      <c r="C130" s="340"/>
      <c r="D130" s="340"/>
      <c r="E130" s="340"/>
      <c r="F130" s="340"/>
      <c r="G130" s="341"/>
      <c r="H130" s="47"/>
    </row>
    <row r="131" spans="1:8" ht="27" customHeight="1" x14ac:dyDescent="0.25">
      <c r="A131" s="324" t="s">
        <v>157</v>
      </c>
      <c r="B131" s="325"/>
      <c r="C131" s="325" t="s">
        <v>188</v>
      </c>
      <c r="D131" s="325"/>
      <c r="E131" s="325" t="s">
        <v>186</v>
      </c>
      <c r="F131" s="325"/>
      <c r="G131" s="88" t="s">
        <v>187</v>
      </c>
    </row>
    <row r="132" spans="1:8" ht="24.75" customHeight="1" thickBot="1" x14ac:dyDescent="0.3">
      <c r="A132" s="508" t="s">
        <v>183</v>
      </c>
      <c r="B132" s="509"/>
      <c r="C132" s="511">
        <v>15708.75</v>
      </c>
      <c r="D132" s="511"/>
      <c r="E132" s="512">
        <f>C132*(1+F111)</f>
        <v>15897.255000000001</v>
      </c>
      <c r="F132" s="512"/>
      <c r="G132" s="67">
        <f>E132/(1-$F$118)*(1+$F$111)</f>
        <v>17051.427726550082</v>
      </c>
      <c r="H132" s="60"/>
    </row>
    <row r="133" spans="1:8" ht="15.75" thickBot="1" x14ac:dyDescent="0.3">
      <c r="A133" s="444" t="s">
        <v>158</v>
      </c>
      <c r="B133" s="445"/>
      <c r="C133" s="510"/>
      <c r="D133" s="510"/>
      <c r="E133" s="510"/>
      <c r="F133" s="510"/>
      <c r="G133" s="100">
        <f>G132</f>
        <v>17051.427726550082</v>
      </c>
      <c r="H133" s="47"/>
    </row>
    <row r="134" spans="1:8" ht="15.75" thickBot="1" x14ac:dyDescent="0.3">
      <c r="A134" s="502"/>
      <c r="B134" s="503"/>
      <c r="C134" s="503"/>
      <c r="D134" s="503"/>
      <c r="E134" s="503"/>
      <c r="F134" s="503"/>
      <c r="G134" s="504"/>
      <c r="H134" s="55"/>
    </row>
    <row r="135" spans="1:8" x14ac:dyDescent="0.25">
      <c r="A135" s="505" t="s">
        <v>191</v>
      </c>
      <c r="B135" s="506"/>
      <c r="C135" s="506"/>
      <c r="D135" s="506"/>
      <c r="E135" s="506"/>
      <c r="F135" s="506"/>
      <c r="G135" s="507"/>
      <c r="H135" s="47"/>
    </row>
    <row r="136" spans="1:8" ht="59.25" customHeight="1" thickBot="1" x14ac:dyDescent="0.3">
      <c r="A136" s="95" t="s">
        <v>135</v>
      </c>
      <c r="B136" s="96" t="s">
        <v>136</v>
      </c>
      <c r="C136" s="97" t="s">
        <v>137</v>
      </c>
      <c r="D136" s="97" t="s">
        <v>138</v>
      </c>
      <c r="E136" s="97" t="s">
        <v>184</v>
      </c>
      <c r="F136" s="97" t="s">
        <v>185</v>
      </c>
      <c r="G136" s="98" t="s">
        <v>192</v>
      </c>
      <c r="H136" s="59"/>
    </row>
    <row r="137" spans="1:8" ht="30" customHeight="1" thickBot="1" x14ac:dyDescent="0.3">
      <c r="A137" s="90">
        <v>8</v>
      </c>
      <c r="B137" s="91" t="str">
        <f>B15</f>
        <v>Motorista Executivo I</v>
      </c>
      <c r="C137" s="92">
        <f>F15</f>
        <v>1</v>
      </c>
      <c r="D137" s="93">
        <f>G120</f>
        <v>7063.4571184032575</v>
      </c>
      <c r="E137" s="93">
        <f>G128/12</f>
        <v>1074.7881954665581</v>
      </c>
      <c r="F137" s="93">
        <f>G133/12</f>
        <v>1420.9523105458402</v>
      </c>
      <c r="G137" s="94">
        <f>C137*D137+E137+F137</f>
        <v>9559.1976244156558</v>
      </c>
      <c r="H137" s="59"/>
    </row>
    <row r="138" spans="1:8" ht="15.75" thickBot="1" x14ac:dyDescent="0.3">
      <c r="A138" s="306" t="s">
        <v>190</v>
      </c>
      <c r="B138" s="307"/>
      <c r="C138" s="307"/>
      <c r="D138" s="307"/>
      <c r="E138" s="307"/>
      <c r="F138" s="307"/>
      <c r="G138" s="86">
        <f>G137*12</f>
        <v>114710.37149298788</v>
      </c>
      <c r="H138" s="1"/>
    </row>
    <row r="139" spans="1:8" ht="15.75" customHeight="1" x14ac:dyDescent="0.25">
      <c r="A139" s="49"/>
      <c r="B139" s="49"/>
      <c r="C139" s="49"/>
      <c r="D139" s="49"/>
      <c r="E139" s="49"/>
      <c r="F139" s="49"/>
      <c r="G139" s="50"/>
      <c r="H139" s="48"/>
    </row>
    <row r="140" spans="1:8" x14ac:dyDescent="0.25">
      <c r="A140" s="47" t="s">
        <v>140</v>
      </c>
      <c r="B140" s="1"/>
      <c r="C140" s="1"/>
      <c r="D140" s="1"/>
      <c r="E140" s="1"/>
      <c r="F140" s="1"/>
      <c r="G140" s="1"/>
      <c r="H140" s="1"/>
    </row>
    <row r="141" spans="1:8" x14ac:dyDescent="0.25">
      <c r="A141" s="51" t="s">
        <v>141</v>
      </c>
      <c r="B141" s="1"/>
      <c r="C141" s="1"/>
      <c r="D141" s="1"/>
      <c r="E141" s="1"/>
      <c r="F141" s="1"/>
      <c r="G141" s="1"/>
      <c r="H141" s="1"/>
    </row>
    <row r="142" spans="1:8" x14ac:dyDescent="0.25">
      <c r="A142" s="51" t="s">
        <v>142</v>
      </c>
      <c r="B142" s="1"/>
      <c r="C142" s="1"/>
      <c r="D142" s="1"/>
      <c r="E142" s="1"/>
      <c r="F142" s="1"/>
      <c r="G142" s="1"/>
      <c r="H142" s="1"/>
    </row>
    <row r="143" spans="1:8" x14ac:dyDescent="0.25">
      <c r="A143" s="51" t="s">
        <v>143</v>
      </c>
      <c r="B143" s="1"/>
      <c r="C143" s="1"/>
      <c r="D143" s="1"/>
      <c r="E143" s="1"/>
      <c r="F143" s="1"/>
      <c r="G143" s="1"/>
      <c r="H143" s="1"/>
    </row>
    <row r="144" spans="1:8" x14ac:dyDescent="0.25">
      <c r="A144" s="51" t="s">
        <v>144</v>
      </c>
      <c r="B144" s="1"/>
      <c r="C144" s="1"/>
      <c r="D144" s="1"/>
      <c r="E144" s="1"/>
      <c r="F144" s="1"/>
      <c r="G144" s="1"/>
      <c r="H144" s="1"/>
    </row>
    <row r="145" spans="1:8" x14ac:dyDescent="0.25">
      <c r="A145" s="51" t="s">
        <v>145</v>
      </c>
      <c r="B145" s="1"/>
      <c r="C145" s="1"/>
      <c r="D145" s="1"/>
      <c r="E145" s="1"/>
      <c r="F145" s="1"/>
      <c r="G145" s="1"/>
      <c r="H145" s="1"/>
    </row>
    <row r="146" spans="1:8" x14ac:dyDescent="0.25">
      <c r="A146" s="51" t="s">
        <v>146</v>
      </c>
      <c r="B146" s="1"/>
      <c r="C146" s="1"/>
      <c r="D146" s="1"/>
      <c r="E146" s="1"/>
      <c r="F146" s="1"/>
      <c r="G146" s="1"/>
      <c r="H146" s="1"/>
    </row>
    <row r="147" spans="1:8" x14ac:dyDescent="0.25">
      <c r="A147" s="47" t="s">
        <v>147</v>
      </c>
      <c r="B147" s="1"/>
      <c r="C147" s="1"/>
      <c r="D147" s="1"/>
      <c r="E147" s="1"/>
      <c r="F147" s="1"/>
      <c r="G147" s="1"/>
      <c r="H147" s="1"/>
    </row>
    <row r="148" spans="1:8" x14ac:dyDescent="0.25">
      <c r="A148" s="47" t="s">
        <v>148</v>
      </c>
      <c r="B148" s="1"/>
      <c r="C148" s="1"/>
      <c r="D148" s="1"/>
      <c r="E148" s="1"/>
      <c r="F148" s="1"/>
      <c r="G148" s="1"/>
      <c r="H148" s="1"/>
    </row>
    <row r="149" spans="1:8" x14ac:dyDescent="0.25">
      <c r="A149" s="47" t="s">
        <v>149</v>
      </c>
      <c r="B149" s="1"/>
      <c r="C149" s="1"/>
      <c r="D149" s="1"/>
      <c r="E149" s="1"/>
      <c r="F149" s="1"/>
      <c r="G149" s="1"/>
      <c r="H149" s="1"/>
    </row>
    <row r="150" spans="1:8" x14ac:dyDescent="0.25">
      <c r="H150" s="55"/>
    </row>
  </sheetData>
  <mergeCells count="157"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B64:E64"/>
    <mergeCell ref="B65:E65"/>
    <mergeCell ref="B66:E66"/>
    <mergeCell ref="A67:E67"/>
    <mergeCell ref="B68:E68"/>
    <mergeCell ref="H57:H58"/>
    <mergeCell ref="B59:E59"/>
    <mergeCell ref="B60:E60"/>
    <mergeCell ref="A61:E61"/>
    <mergeCell ref="A62:G62"/>
    <mergeCell ref="B63:E63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38:F138"/>
    <mergeCell ref="A125:B125"/>
    <mergeCell ref="A126:B126"/>
    <mergeCell ref="A127:B127"/>
    <mergeCell ref="A128:F128"/>
    <mergeCell ref="A134:G134"/>
    <mergeCell ref="A135:G135"/>
    <mergeCell ref="A132:B132"/>
    <mergeCell ref="A133:F133"/>
    <mergeCell ref="A130:G130"/>
    <mergeCell ref="A131:B131"/>
    <mergeCell ref="A129:G129"/>
    <mergeCell ref="C131:D131"/>
    <mergeCell ref="C132:D132"/>
    <mergeCell ref="E131:F131"/>
    <mergeCell ref="E132:F132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</dataValidations>
  <pageMargins left="0.511811024" right="0.511811024" top="0.78740157499999996" bottom="0.78740157499999996" header="0.31496062000000002" footer="0.31496062000000002"/>
  <pageSetup paperSize="9" scale="96" fitToHeight="0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150"/>
  <sheetViews>
    <sheetView showGridLines="0" topLeftCell="A103" zoomScale="145" zoomScaleNormal="145" workbookViewId="0">
      <selection activeCell="F108" sqref="F108:F109"/>
    </sheetView>
  </sheetViews>
  <sheetFormatPr defaultRowHeight="15" x14ac:dyDescent="0.25"/>
  <cols>
    <col min="1" max="1" width="9.28515625" customWidth="1"/>
    <col min="2" max="2" width="11" customWidth="1"/>
    <col min="3" max="3" width="9.28515625" customWidth="1"/>
    <col min="4" max="4" width="10.42578125" bestFit="1" customWidth="1"/>
    <col min="5" max="5" width="18.28515625" customWidth="1"/>
    <col min="6" max="6" width="14.85546875" customWidth="1"/>
    <col min="7" max="7" width="24.5703125" customWidth="1"/>
    <col min="13" max="13" width="12.140625" bestFit="1" customWidth="1"/>
  </cols>
  <sheetData>
    <row r="1" spans="1:8" ht="30.75" customHeight="1" thickBot="1" x14ac:dyDescent="0.3">
      <c r="A1" s="435" t="s">
        <v>0</v>
      </c>
      <c r="B1" s="435"/>
      <c r="C1" s="435"/>
      <c r="D1" s="435"/>
      <c r="E1" s="435"/>
      <c r="F1" s="435"/>
      <c r="G1" s="435"/>
      <c r="H1" s="1"/>
    </row>
    <row r="2" spans="1:8" x14ac:dyDescent="0.25">
      <c r="A2" s="521" t="s">
        <v>289</v>
      </c>
      <c r="B2" s="522"/>
      <c r="C2" s="522"/>
      <c r="D2" s="522"/>
      <c r="E2" s="522"/>
      <c r="F2" s="522"/>
      <c r="G2" s="523"/>
      <c r="H2" s="1"/>
    </row>
    <row r="3" spans="1:8" x14ac:dyDescent="0.25">
      <c r="A3" s="275" t="s">
        <v>1</v>
      </c>
      <c r="B3" s="276"/>
      <c r="C3" s="276"/>
      <c r="D3" s="276"/>
      <c r="E3" s="276"/>
      <c r="F3" s="276"/>
      <c r="G3" s="277"/>
      <c r="H3" s="1"/>
    </row>
    <row r="4" spans="1:8" x14ac:dyDescent="0.25">
      <c r="A4" s="270" t="s">
        <v>2</v>
      </c>
      <c r="B4" s="271"/>
      <c r="C4" s="271"/>
      <c r="D4" s="272"/>
      <c r="E4" s="78" t="s">
        <v>208</v>
      </c>
      <c r="F4" s="273" t="s">
        <v>4</v>
      </c>
      <c r="G4" s="274"/>
      <c r="H4" s="1"/>
    </row>
    <row r="5" spans="1:8" ht="15.75" thickBot="1" x14ac:dyDescent="0.3">
      <c r="A5" s="350"/>
      <c r="B5" s="351"/>
      <c r="C5" s="351"/>
      <c r="D5" s="351"/>
      <c r="E5" s="351"/>
      <c r="F5" s="351"/>
      <c r="G5" s="352"/>
      <c r="H5" s="1"/>
    </row>
    <row r="6" spans="1:8" x14ac:dyDescent="0.25">
      <c r="A6" s="346" t="s">
        <v>5</v>
      </c>
      <c r="B6" s="347"/>
      <c r="C6" s="347"/>
      <c r="D6" s="347"/>
      <c r="E6" s="347"/>
      <c r="F6" s="347"/>
      <c r="G6" s="348"/>
      <c r="H6" s="47"/>
    </row>
    <row r="7" spans="1:8" x14ac:dyDescent="0.25">
      <c r="A7" s="2" t="s">
        <v>6</v>
      </c>
      <c r="B7" s="425" t="s">
        <v>7</v>
      </c>
      <c r="C7" s="426"/>
      <c r="D7" s="426"/>
      <c r="E7" s="427"/>
      <c r="F7" s="409">
        <v>45520</v>
      </c>
      <c r="G7" s="410"/>
      <c r="H7" s="47"/>
    </row>
    <row r="8" spans="1:8" x14ac:dyDescent="0.25">
      <c r="A8" s="2" t="s">
        <v>8</v>
      </c>
      <c r="B8" s="425" t="s">
        <v>9</v>
      </c>
      <c r="C8" s="426"/>
      <c r="D8" s="426"/>
      <c r="E8" s="427"/>
      <c r="F8" s="409" t="s">
        <v>291</v>
      </c>
      <c r="G8" s="410"/>
      <c r="H8" s="47"/>
    </row>
    <row r="9" spans="1:8" ht="73.5" customHeight="1" x14ac:dyDescent="0.25">
      <c r="A9" s="268" t="s">
        <v>10</v>
      </c>
      <c r="B9" s="454" t="s">
        <v>11</v>
      </c>
      <c r="C9" s="455"/>
      <c r="D9" s="455"/>
      <c r="E9" s="456"/>
      <c r="F9" s="524" t="s">
        <v>285</v>
      </c>
      <c r="G9" s="525"/>
      <c r="H9" s="47"/>
    </row>
    <row r="10" spans="1:8" ht="26.25" customHeight="1" x14ac:dyDescent="0.25">
      <c r="A10" s="268" t="s">
        <v>12</v>
      </c>
      <c r="B10" s="462" t="s">
        <v>13</v>
      </c>
      <c r="C10" s="463"/>
      <c r="D10" s="463"/>
      <c r="E10" s="464"/>
      <c r="F10" s="457" t="s">
        <v>284</v>
      </c>
      <c r="G10" s="458"/>
      <c r="H10" s="47"/>
    </row>
    <row r="11" spans="1:8" ht="21.75" customHeight="1" x14ac:dyDescent="0.25">
      <c r="A11" s="2" t="s">
        <v>14</v>
      </c>
      <c r="B11" s="425" t="s">
        <v>15</v>
      </c>
      <c r="C11" s="426"/>
      <c r="D11" s="426"/>
      <c r="E11" s="427"/>
      <c r="F11" s="433" t="s">
        <v>207</v>
      </c>
      <c r="G11" s="434"/>
      <c r="H11" s="47"/>
    </row>
    <row r="12" spans="1:8" ht="15.75" thickBot="1" x14ac:dyDescent="0.3">
      <c r="A12" s="419"/>
      <c r="B12" s="420"/>
      <c r="C12" s="420"/>
      <c r="D12" s="420"/>
      <c r="E12" s="420"/>
      <c r="F12" s="420"/>
      <c r="G12" s="421"/>
      <c r="H12" s="47"/>
    </row>
    <row r="13" spans="1:8" x14ac:dyDescent="0.25">
      <c r="A13" s="422" t="s">
        <v>16</v>
      </c>
      <c r="B13" s="423"/>
      <c r="C13" s="423"/>
      <c r="D13" s="423"/>
      <c r="E13" s="423"/>
      <c r="F13" s="423"/>
      <c r="G13" s="424"/>
      <c r="H13" s="47"/>
    </row>
    <row r="14" spans="1:8" x14ac:dyDescent="0.25">
      <c r="A14" s="3" t="s">
        <v>17</v>
      </c>
      <c r="B14" s="408" t="s">
        <v>18</v>
      </c>
      <c r="C14" s="408"/>
      <c r="D14" s="408"/>
      <c r="E14" s="408"/>
      <c r="F14" s="409" t="s">
        <v>19</v>
      </c>
      <c r="G14" s="410"/>
      <c r="H14" s="47"/>
    </row>
    <row r="15" spans="1:8" x14ac:dyDescent="0.25">
      <c r="A15" s="265" t="s">
        <v>20</v>
      </c>
      <c r="B15" s="411" t="s">
        <v>197</v>
      </c>
      <c r="C15" s="411"/>
      <c r="D15" s="411"/>
      <c r="E15" s="411"/>
      <c r="F15" s="450">
        <v>1</v>
      </c>
      <c r="G15" s="451"/>
      <c r="H15" s="47"/>
    </row>
    <row r="16" spans="1:8" x14ac:dyDescent="0.25">
      <c r="A16" s="388" t="s">
        <v>22</v>
      </c>
      <c r="B16" s="389"/>
      <c r="C16" s="389"/>
      <c r="D16" s="389"/>
      <c r="E16" s="389"/>
      <c r="F16" s="389"/>
      <c r="G16" s="390"/>
      <c r="H16" s="47"/>
    </row>
    <row r="17" spans="1:8" x14ac:dyDescent="0.25">
      <c r="A17" s="4" t="s">
        <v>6</v>
      </c>
      <c r="B17" s="402" t="s">
        <v>23</v>
      </c>
      <c r="C17" s="402"/>
      <c r="D17" s="402"/>
      <c r="E17" s="414"/>
      <c r="F17" s="493">
        <v>3562.91</v>
      </c>
      <c r="G17" s="494"/>
      <c r="H17" s="47"/>
    </row>
    <row r="18" spans="1:8" x14ac:dyDescent="0.25">
      <c r="A18" s="4" t="s">
        <v>8</v>
      </c>
      <c r="B18" s="402" t="s">
        <v>172</v>
      </c>
      <c r="C18" s="402"/>
      <c r="D18" s="402"/>
      <c r="E18" s="402"/>
      <c r="F18" s="417">
        <v>1412</v>
      </c>
      <c r="G18" s="418"/>
      <c r="H18" s="47"/>
    </row>
    <row r="19" spans="1:8" x14ac:dyDescent="0.25">
      <c r="A19" s="4" t="s">
        <v>10</v>
      </c>
      <c r="B19" s="402" t="s">
        <v>24</v>
      </c>
      <c r="C19" s="402"/>
      <c r="D19" s="402"/>
      <c r="E19" s="402"/>
      <c r="F19" s="526" t="s">
        <v>155</v>
      </c>
      <c r="G19" s="527"/>
      <c r="H19" s="47"/>
    </row>
    <row r="20" spans="1:8" x14ac:dyDescent="0.25">
      <c r="A20" s="4" t="s">
        <v>12</v>
      </c>
      <c r="B20" s="402" t="s">
        <v>25</v>
      </c>
      <c r="C20" s="402"/>
      <c r="D20" s="402"/>
      <c r="E20" s="402"/>
      <c r="F20" s="403" t="s">
        <v>26</v>
      </c>
      <c r="G20" s="404"/>
      <c r="H20" s="47"/>
    </row>
    <row r="21" spans="1:8" ht="15.75" thickBot="1" x14ac:dyDescent="0.3">
      <c r="A21" s="405"/>
      <c r="B21" s="406"/>
      <c r="C21" s="406"/>
      <c r="D21" s="406"/>
      <c r="E21" s="406"/>
      <c r="F21" s="406"/>
      <c r="G21" s="407"/>
      <c r="H21" s="47"/>
    </row>
    <row r="22" spans="1:8" x14ac:dyDescent="0.25">
      <c r="A22" s="346" t="s">
        <v>27</v>
      </c>
      <c r="B22" s="347"/>
      <c r="C22" s="347"/>
      <c r="D22" s="347"/>
      <c r="E22" s="347"/>
      <c r="F22" s="347"/>
      <c r="G22" s="348"/>
      <c r="H22" s="47"/>
    </row>
    <row r="23" spans="1:8" x14ac:dyDescent="0.25">
      <c r="A23" s="5">
        <v>1</v>
      </c>
      <c r="B23" s="349" t="s">
        <v>28</v>
      </c>
      <c r="C23" s="349"/>
      <c r="D23" s="349"/>
      <c r="E23" s="349"/>
      <c r="F23" s="6" t="s">
        <v>29</v>
      </c>
      <c r="G23" s="7" t="s">
        <v>30</v>
      </c>
      <c r="H23" s="52"/>
    </row>
    <row r="24" spans="1:8" x14ac:dyDescent="0.25">
      <c r="A24" s="8" t="s">
        <v>6</v>
      </c>
      <c r="B24" s="394" t="s">
        <v>31</v>
      </c>
      <c r="C24" s="395"/>
      <c r="D24" s="395"/>
      <c r="E24" s="395"/>
      <c r="F24" s="396"/>
      <c r="G24" s="245">
        <v>3562.91</v>
      </c>
      <c r="H24" s="47"/>
    </row>
    <row r="25" spans="1:8" x14ac:dyDescent="0.25">
      <c r="A25" s="256" t="s">
        <v>8</v>
      </c>
      <c r="B25" s="471" t="s">
        <v>174</v>
      </c>
      <c r="C25" s="471"/>
      <c r="D25" s="471"/>
      <c r="E25" s="471"/>
      <c r="F25" s="257">
        <v>0.3</v>
      </c>
      <c r="G25" s="10">
        <f>G24*F25</f>
        <v>1068.8729999999998</v>
      </c>
      <c r="H25" s="47"/>
    </row>
    <row r="26" spans="1:8" x14ac:dyDescent="0.25">
      <c r="A26" s="398" t="s">
        <v>33</v>
      </c>
      <c r="B26" s="395"/>
      <c r="C26" s="395"/>
      <c r="D26" s="395"/>
      <c r="E26" s="396"/>
      <c r="F26" s="11"/>
      <c r="G26" s="10"/>
      <c r="H26" s="47"/>
    </row>
    <row r="27" spans="1:8" x14ac:dyDescent="0.25">
      <c r="A27" s="399" t="s">
        <v>34</v>
      </c>
      <c r="B27" s="400"/>
      <c r="C27" s="400"/>
      <c r="D27" s="400"/>
      <c r="E27" s="400"/>
      <c r="F27" s="401"/>
      <c r="G27" s="12">
        <f>SUM(G24:G26)</f>
        <v>4631.7829999999994</v>
      </c>
      <c r="H27" s="47"/>
    </row>
    <row r="28" spans="1:8" ht="15.75" thickBot="1" x14ac:dyDescent="0.3">
      <c r="A28" s="314"/>
      <c r="B28" s="315"/>
      <c r="C28" s="315"/>
      <c r="D28" s="315"/>
      <c r="E28" s="315"/>
      <c r="F28" s="315"/>
      <c r="G28" s="316"/>
      <c r="H28" s="47"/>
    </row>
    <row r="29" spans="1:8" x14ac:dyDescent="0.25">
      <c r="A29" s="346" t="s">
        <v>35</v>
      </c>
      <c r="B29" s="347"/>
      <c r="C29" s="347"/>
      <c r="D29" s="347"/>
      <c r="E29" s="347"/>
      <c r="F29" s="347"/>
      <c r="G29" s="348"/>
      <c r="H29" s="47"/>
    </row>
    <row r="30" spans="1:8" x14ac:dyDescent="0.25">
      <c r="A30" s="385"/>
      <c r="B30" s="386"/>
      <c r="C30" s="386"/>
      <c r="D30" s="386"/>
      <c r="E30" s="386"/>
      <c r="F30" s="386"/>
      <c r="G30" s="387"/>
      <c r="H30" s="47"/>
    </row>
    <row r="31" spans="1:8" x14ac:dyDescent="0.25">
      <c r="A31" s="5" t="s">
        <v>36</v>
      </c>
      <c r="B31" s="349" t="s">
        <v>37</v>
      </c>
      <c r="C31" s="349"/>
      <c r="D31" s="349"/>
      <c r="E31" s="349"/>
      <c r="F31" s="6" t="s">
        <v>29</v>
      </c>
      <c r="G31" s="7" t="s">
        <v>30</v>
      </c>
      <c r="H31" s="47"/>
    </row>
    <row r="32" spans="1:8" x14ac:dyDescent="0.25">
      <c r="A32" s="13" t="s">
        <v>6</v>
      </c>
      <c r="B32" s="327" t="s">
        <v>38</v>
      </c>
      <c r="C32" s="327"/>
      <c r="D32" s="327"/>
      <c r="E32" s="327"/>
      <c r="F32" s="253">
        <v>0.2</v>
      </c>
      <c r="G32" s="10">
        <f t="shared" ref="G32:G39" si="0">$G$27*F32</f>
        <v>926.35659999999996</v>
      </c>
      <c r="H32" s="53"/>
    </row>
    <row r="33" spans="1:8" x14ac:dyDescent="0.25">
      <c r="A33" s="13" t="s">
        <v>8</v>
      </c>
      <c r="B33" s="327" t="s">
        <v>39</v>
      </c>
      <c r="C33" s="327"/>
      <c r="D33" s="327"/>
      <c r="E33" s="327"/>
      <c r="F33" s="253">
        <v>1.4999999999999999E-2</v>
      </c>
      <c r="G33" s="10">
        <f t="shared" si="0"/>
        <v>69.476744999999994</v>
      </c>
      <c r="H33" s="47"/>
    </row>
    <row r="34" spans="1:8" x14ac:dyDescent="0.25">
      <c r="A34" s="13" t="s">
        <v>10</v>
      </c>
      <c r="B34" s="327" t="s">
        <v>40</v>
      </c>
      <c r="C34" s="327"/>
      <c r="D34" s="327"/>
      <c r="E34" s="327"/>
      <c r="F34" s="253">
        <v>0.01</v>
      </c>
      <c r="G34" s="10">
        <f t="shared" si="0"/>
        <v>46.317829999999994</v>
      </c>
      <c r="H34" s="47"/>
    </row>
    <row r="35" spans="1:8" x14ac:dyDescent="0.25">
      <c r="A35" s="13" t="s">
        <v>12</v>
      </c>
      <c r="B35" s="327" t="s">
        <v>41</v>
      </c>
      <c r="C35" s="327"/>
      <c r="D35" s="327"/>
      <c r="E35" s="327"/>
      <c r="F35" s="253">
        <v>2E-3</v>
      </c>
      <c r="G35" s="10">
        <f t="shared" si="0"/>
        <v>9.2635659999999991</v>
      </c>
      <c r="H35" s="47"/>
    </row>
    <row r="36" spans="1:8" x14ac:dyDescent="0.25">
      <c r="A36" s="13" t="s">
        <v>14</v>
      </c>
      <c r="B36" s="327" t="s">
        <v>42</v>
      </c>
      <c r="C36" s="327"/>
      <c r="D36" s="327"/>
      <c r="E36" s="327"/>
      <c r="F36" s="253">
        <v>2.5000000000000001E-2</v>
      </c>
      <c r="G36" s="10">
        <f t="shared" si="0"/>
        <v>115.79457499999999</v>
      </c>
      <c r="H36" s="47"/>
    </row>
    <row r="37" spans="1:8" x14ac:dyDescent="0.25">
      <c r="A37" s="13" t="s">
        <v>43</v>
      </c>
      <c r="B37" s="327" t="s">
        <v>44</v>
      </c>
      <c r="C37" s="327"/>
      <c r="D37" s="327"/>
      <c r="E37" s="327"/>
      <c r="F37" s="253">
        <v>0.08</v>
      </c>
      <c r="G37" s="10">
        <f t="shared" si="0"/>
        <v>370.54263999999995</v>
      </c>
      <c r="H37" s="47"/>
    </row>
    <row r="38" spans="1:8" x14ac:dyDescent="0.25">
      <c r="A38" s="13" t="s">
        <v>45</v>
      </c>
      <c r="B38" s="327" t="s">
        <v>46</v>
      </c>
      <c r="C38" s="327"/>
      <c r="D38" s="327"/>
      <c r="E38" s="327"/>
      <c r="F38" s="248">
        <v>5.0000000000000001E-3</v>
      </c>
      <c r="G38" s="10">
        <f t="shared" si="0"/>
        <v>23.158914999999997</v>
      </c>
      <c r="H38" s="47"/>
    </row>
    <row r="39" spans="1:8" x14ac:dyDescent="0.25">
      <c r="A39" s="13" t="s">
        <v>47</v>
      </c>
      <c r="B39" s="327" t="s">
        <v>48</v>
      </c>
      <c r="C39" s="327"/>
      <c r="D39" s="327"/>
      <c r="E39" s="327"/>
      <c r="F39" s="253">
        <v>6.0000000000000001E-3</v>
      </c>
      <c r="G39" s="10">
        <f t="shared" si="0"/>
        <v>27.790697999999999</v>
      </c>
      <c r="H39" s="52"/>
    </row>
    <row r="40" spans="1:8" x14ac:dyDescent="0.25">
      <c r="A40" s="392" t="s">
        <v>49</v>
      </c>
      <c r="B40" s="393"/>
      <c r="C40" s="393"/>
      <c r="D40" s="393"/>
      <c r="E40" s="393"/>
      <c r="F40" s="16">
        <f>SUM(F32:F39)</f>
        <v>0.34300000000000008</v>
      </c>
      <c r="G40" s="12">
        <f>SUM(G32:G39)</f>
        <v>1588.7015689999998</v>
      </c>
      <c r="H40" s="51"/>
    </row>
    <row r="41" spans="1:8" x14ac:dyDescent="0.25">
      <c r="A41" s="385"/>
      <c r="B41" s="386"/>
      <c r="C41" s="386"/>
      <c r="D41" s="386"/>
      <c r="E41" s="386"/>
      <c r="F41" s="386"/>
      <c r="G41" s="387"/>
      <c r="H41" s="54"/>
    </row>
    <row r="42" spans="1:8" x14ac:dyDescent="0.25">
      <c r="A42" s="5" t="s">
        <v>50</v>
      </c>
      <c r="B42" s="349" t="s">
        <v>51</v>
      </c>
      <c r="C42" s="349"/>
      <c r="D42" s="349"/>
      <c r="E42" s="349"/>
      <c r="F42" s="6" t="s">
        <v>29</v>
      </c>
      <c r="G42" s="7" t="s">
        <v>30</v>
      </c>
      <c r="H42" s="47"/>
    </row>
    <row r="43" spans="1:8" x14ac:dyDescent="0.25">
      <c r="A43" s="13" t="s">
        <v>6</v>
      </c>
      <c r="B43" s="327" t="s">
        <v>52</v>
      </c>
      <c r="C43" s="327"/>
      <c r="D43" s="327"/>
      <c r="E43" s="327"/>
      <c r="F43" s="14">
        <v>8.3330000000000001E-2</v>
      </c>
      <c r="G43" s="10">
        <f>SUM($G$27*F43)</f>
        <v>385.96647738999997</v>
      </c>
      <c r="H43" s="51"/>
    </row>
    <row r="44" spans="1:8" x14ac:dyDescent="0.25">
      <c r="A44" s="13" t="s">
        <v>8</v>
      </c>
      <c r="B44" s="327" t="s">
        <v>53</v>
      </c>
      <c r="C44" s="327"/>
      <c r="D44" s="327"/>
      <c r="E44" s="327"/>
      <c r="F44" s="14">
        <v>8.3299999999999999E-2</v>
      </c>
      <c r="G44" s="17">
        <f>G27*F44</f>
        <v>385.82752389999996</v>
      </c>
      <c r="H44" s="51"/>
    </row>
    <row r="45" spans="1:8" x14ac:dyDescent="0.25">
      <c r="A45" s="13" t="s">
        <v>10</v>
      </c>
      <c r="B45" s="327" t="s">
        <v>54</v>
      </c>
      <c r="C45" s="327"/>
      <c r="D45" s="327"/>
      <c r="E45" s="327"/>
      <c r="F45" s="14">
        <f>1/3/12</f>
        <v>2.7777777777777776E-2</v>
      </c>
      <c r="G45" s="10">
        <f>SUM($G$27*F45)</f>
        <v>128.66063888888885</v>
      </c>
      <c r="H45" s="51"/>
    </row>
    <row r="46" spans="1:8" x14ac:dyDescent="0.25">
      <c r="A46" s="13" t="s">
        <v>12</v>
      </c>
      <c r="B46" s="327" t="s">
        <v>55</v>
      </c>
      <c r="C46" s="327"/>
      <c r="D46" s="327"/>
      <c r="E46" s="327"/>
      <c r="F46" s="18">
        <f>7/30/12</f>
        <v>1.9444444444444445E-2</v>
      </c>
      <c r="G46" s="10">
        <f>(G27)*F46</f>
        <v>90.062447222222218</v>
      </c>
      <c r="H46" s="51"/>
    </row>
    <row r="47" spans="1:8" x14ac:dyDescent="0.25">
      <c r="A47" s="13" t="s">
        <v>14</v>
      </c>
      <c r="B47" s="327" t="s">
        <v>56</v>
      </c>
      <c r="C47" s="327"/>
      <c r="D47" s="327"/>
      <c r="E47" s="327"/>
      <c r="F47" s="14">
        <f>5/30/12</f>
        <v>1.3888888888888888E-2</v>
      </c>
      <c r="G47" s="17">
        <f>G27*F47</f>
        <v>64.330319444444427</v>
      </c>
      <c r="H47" s="51"/>
    </row>
    <row r="48" spans="1:8" x14ac:dyDescent="0.25">
      <c r="A48" s="13" t="s">
        <v>43</v>
      </c>
      <c r="B48" s="327" t="s">
        <v>57</v>
      </c>
      <c r="C48" s="327"/>
      <c r="D48" s="327"/>
      <c r="E48" s="327"/>
      <c r="F48" s="14">
        <f>5/30/12*0.015</f>
        <v>2.0833333333333332E-4</v>
      </c>
      <c r="G48" s="17">
        <f>G27*F48</f>
        <v>0.96495479166666653</v>
      </c>
      <c r="H48" s="47"/>
    </row>
    <row r="49" spans="1:8" x14ac:dyDescent="0.25">
      <c r="A49" s="13" t="s">
        <v>45</v>
      </c>
      <c r="B49" s="327" t="s">
        <v>58</v>
      </c>
      <c r="C49" s="327"/>
      <c r="D49" s="327"/>
      <c r="E49" s="327"/>
      <c r="F49" s="14">
        <f>1/30/12</f>
        <v>2.7777777777777779E-3</v>
      </c>
      <c r="G49" s="17">
        <f>G27*F49</f>
        <v>12.866063888888888</v>
      </c>
      <c r="H49" s="52"/>
    </row>
    <row r="50" spans="1:8" x14ac:dyDescent="0.25">
      <c r="A50" s="13" t="s">
        <v>47</v>
      </c>
      <c r="B50" s="327" t="s">
        <v>59</v>
      </c>
      <c r="C50" s="327"/>
      <c r="D50" s="327"/>
      <c r="E50" s="327"/>
      <c r="F50" s="14">
        <f>15/30/12*0.08</f>
        <v>3.3333333333333331E-3</v>
      </c>
      <c r="G50" s="17">
        <f>G27*F50</f>
        <v>15.439276666666665</v>
      </c>
      <c r="H50" s="47"/>
    </row>
    <row r="51" spans="1:8" x14ac:dyDescent="0.25">
      <c r="A51" s="13" t="s">
        <v>60</v>
      </c>
      <c r="B51" s="327" t="s">
        <v>61</v>
      </c>
      <c r="C51" s="327"/>
      <c r="D51" s="327"/>
      <c r="E51" s="327"/>
      <c r="F51" s="14"/>
      <c r="G51" s="17">
        <f>G27*F51</f>
        <v>0</v>
      </c>
      <c r="H51" s="47"/>
    </row>
    <row r="52" spans="1:8" x14ac:dyDescent="0.25">
      <c r="A52" s="13"/>
      <c r="B52" s="384" t="s">
        <v>62</v>
      </c>
      <c r="C52" s="384"/>
      <c r="D52" s="384"/>
      <c r="E52" s="384"/>
      <c r="F52" s="19">
        <f>SUM(F43:F51)</f>
        <v>0.23406055555555555</v>
      </c>
      <c r="G52" s="20">
        <f>SUM($G$27*F52)</f>
        <v>1084.1177021927776</v>
      </c>
      <c r="H52" s="47"/>
    </row>
    <row r="53" spans="1:8" x14ac:dyDescent="0.25">
      <c r="A53" s="2" t="s">
        <v>63</v>
      </c>
      <c r="B53" s="327" t="s">
        <v>64</v>
      </c>
      <c r="C53" s="327"/>
      <c r="D53" s="327"/>
      <c r="E53" s="327"/>
      <c r="F53" s="14">
        <f>F40*F52</f>
        <v>8.0282770555555577E-2</v>
      </c>
      <c r="G53" s="10">
        <f>F53*G27</f>
        <v>371.85237185212281</v>
      </c>
      <c r="H53" s="51"/>
    </row>
    <row r="54" spans="1:8" x14ac:dyDescent="0.25">
      <c r="A54" s="383" t="s">
        <v>65</v>
      </c>
      <c r="B54" s="384"/>
      <c r="C54" s="384"/>
      <c r="D54" s="384"/>
      <c r="E54" s="384"/>
      <c r="F54" s="21">
        <f>SUM(F52:F53)</f>
        <v>0.31434332611111115</v>
      </c>
      <c r="G54" s="12">
        <f>G52+G53</f>
        <v>1455.9700740449005</v>
      </c>
      <c r="H54" s="51"/>
    </row>
    <row r="55" spans="1:8" x14ac:dyDescent="0.25">
      <c r="A55" s="385"/>
      <c r="B55" s="386"/>
      <c r="C55" s="386"/>
      <c r="D55" s="386"/>
      <c r="E55" s="386"/>
      <c r="F55" s="386"/>
      <c r="G55" s="387"/>
      <c r="H55" s="51"/>
    </row>
    <row r="56" spans="1:8" x14ac:dyDescent="0.25">
      <c r="A56" s="5" t="s">
        <v>66</v>
      </c>
      <c r="B56" s="349" t="s">
        <v>67</v>
      </c>
      <c r="C56" s="349"/>
      <c r="D56" s="349"/>
      <c r="E56" s="349"/>
      <c r="F56" s="6" t="s">
        <v>29</v>
      </c>
      <c r="G56" s="7" t="s">
        <v>30</v>
      </c>
      <c r="H56" s="47"/>
    </row>
    <row r="57" spans="1:8" x14ac:dyDescent="0.25">
      <c r="A57" s="13" t="s">
        <v>6</v>
      </c>
      <c r="B57" s="327" t="s">
        <v>68</v>
      </c>
      <c r="C57" s="327"/>
      <c r="D57" s="327"/>
      <c r="E57" s="327"/>
      <c r="F57" s="14">
        <f>4/12*0.02</f>
        <v>6.6666666666666662E-3</v>
      </c>
      <c r="G57" s="17">
        <f>G27*F57</f>
        <v>30.878553333333329</v>
      </c>
      <c r="H57" s="391"/>
    </row>
    <row r="58" spans="1:8" x14ac:dyDescent="0.25">
      <c r="A58" s="13" t="s">
        <v>8</v>
      </c>
      <c r="B58" s="327" t="s">
        <v>69</v>
      </c>
      <c r="C58" s="327"/>
      <c r="D58" s="327"/>
      <c r="E58" s="327"/>
      <c r="F58" s="14">
        <f>0.1111*0.02*4/12</f>
        <v>7.4066666666666671E-4</v>
      </c>
      <c r="G58" s="17">
        <f>G27*F58</f>
        <v>3.4306072753333332</v>
      </c>
      <c r="H58" s="391"/>
    </row>
    <row r="59" spans="1:8" x14ac:dyDescent="0.25">
      <c r="A59" s="13"/>
      <c r="B59" s="384" t="s">
        <v>62</v>
      </c>
      <c r="C59" s="384"/>
      <c r="D59" s="384"/>
      <c r="E59" s="384"/>
      <c r="F59" s="19">
        <f>SUM(F57:F58)</f>
        <v>7.4073333333333326E-3</v>
      </c>
      <c r="G59" s="20">
        <f>SUM($G$27*F59)</f>
        <v>34.309160608666659</v>
      </c>
      <c r="H59" s="47"/>
    </row>
    <row r="60" spans="1:8" x14ac:dyDescent="0.25">
      <c r="A60" s="13" t="s">
        <v>10</v>
      </c>
      <c r="B60" s="327" t="s">
        <v>70</v>
      </c>
      <c r="C60" s="327"/>
      <c r="D60" s="327"/>
      <c r="E60" s="327"/>
      <c r="F60" s="22">
        <f>F59*F40</f>
        <v>2.5407153333333338E-3</v>
      </c>
      <c r="G60" s="10">
        <f>F60*G27</f>
        <v>11.768042088772667</v>
      </c>
      <c r="H60" s="47"/>
    </row>
    <row r="61" spans="1:8" x14ac:dyDescent="0.25">
      <c r="A61" s="383" t="s">
        <v>71</v>
      </c>
      <c r="B61" s="384"/>
      <c r="C61" s="384"/>
      <c r="D61" s="384"/>
      <c r="E61" s="384"/>
      <c r="F61" s="21">
        <f>SUM(F59:F60)</f>
        <v>9.9480486666666673E-3</v>
      </c>
      <c r="G61" s="12">
        <f>SUM(G59:G60)</f>
        <v>46.077202697439326</v>
      </c>
      <c r="H61" s="47"/>
    </row>
    <row r="62" spans="1:8" x14ac:dyDescent="0.25">
      <c r="A62" s="385"/>
      <c r="B62" s="386"/>
      <c r="C62" s="386"/>
      <c r="D62" s="386"/>
      <c r="E62" s="386"/>
      <c r="F62" s="386"/>
      <c r="G62" s="387"/>
      <c r="H62" s="47"/>
    </row>
    <row r="63" spans="1:8" x14ac:dyDescent="0.25">
      <c r="A63" s="5" t="s">
        <v>72</v>
      </c>
      <c r="B63" s="349" t="s">
        <v>73</v>
      </c>
      <c r="C63" s="349"/>
      <c r="D63" s="349"/>
      <c r="E63" s="349"/>
      <c r="F63" s="6" t="s">
        <v>29</v>
      </c>
      <c r="G63" s="7" t="s">
        <v>30</v>
      </c>
      <c r="H63" s="47"/>
    </row>
    <row r="64" spans="1:8" x14ac:dyDescent="0.25">
      <c r="A64" s="13" t="s">
        <v>6</v>
      </c>
      <c r="B64" s="327" t="s">
        <v>74</v>
      </c>
      <c r="C64" s="327"/>
      <c r="D64" s="327"/>
      <c r="E64" s="327"/>
      <c r="F64" s="18">
        <f>0.05*1/12</f>
        <v>4.1666666666666666E-3</v>
      </c>
      <c r="G64" s="10">
        <f>($G$27)*F64</f>
        <v>19.299095833333332</v>
      </c>
      <c r="H64" s="47"/>
    </row>
    <row r="65" spans="1:8" ht="27" customHeight="1" x14ac:dyDescent="0.25">
      <c r="A65" s="13" t="s">
        <v>8</v>
      </c>
      <c r="B65" s="327" t="s">
        <v>75</v>
      </c>
      <c r="C65" s="327"/>
      <c r="D65" s="327"/>
      <c r="E65" s="327"/>
      <c r="F65" s="18">
        <f>0.02*1/12</f>
        <v>1.6666666666666668E-3</v>
      </c>
      <c r="G65" s="10">
        <f>($G$27)*F65</f>
        <v>7.7196383333333332</v>
      </c>
      <c r="H65" s="47"/>
    </row>
    <row r="66" spans="1:8" ht="27" customHeight="1" x14ac:dyDescent="0.25">
      <c r="A66" s="24" t="s">
        <v>10</v>
      </c>
      <c r="B66" s="492" t="s">
        <v>76</v>
      </c>
      <c r="C66" s="492"/>
      <c r="D66" s="492"/>
      <c r="E66" s="492"/>
      <c r="F66" s="18">
        <f>1*0.4*0.08</f>
        <v>3.2000000000000001E-2</v>
      </c>
      <c r="G66" s="10">
        <f>($G$27)*F66</f>
        <v>148.21705599999999</v>
      </c>
      <c r="H66" s="47"/>
    </row>
    <row r="67" spans="1:8" x14ac:dyDescent="0.25">
      <c r="A67" s="383" t="s">
        <v>62</v>
      </c>
      <c r="B67" s="384"/>
      <c r="C67" s="384"/>
      <c r="D67" s="384"/>
      <c r="E67" s="384"/>
      <c r="F67" s="23">
        <f>SUM(F64:F66)</f>
        <v>3.7833333333333337E-2</v>
      </c>
      <c r="G67" s="20">
        <f>SUM(G64:G66)</f>
        <v>175.23579016666665</v>
      </c>
      <c r="H67" s="47"/>
    </row>
    <row r="68" spans="1:8" ht="27" customHeight="1" x14ac:dyDescent="0.25">
      <c r="A68" s="24" t="s">
        <v>12</v>
      </c>
      <c r="B68" s="309" t="s">
        <v>77</v>
      </c>
      <c r="C68" s="309"/>
      <c r="D68" s="309"/>
      <c r="E68" s="309"/>
      <c r="F68" s="25">
        <f>F37*F64</f>
        <v>3.3333333333333332E-4</v>
      </c>
      <c r="G68" s="26">
        <f>F68*$G$27</f>
        <v>1.5439276666666664</v>
      </c>
      <c r="H68" s="47"/>
    </row>
    <row r="69" spans="1:8" ht="27" customHeight="1" x14ac:dyDescent="0.25">
      <c r="A69" s="24" t="s">
        <v>14</v>
      </c>
      <c r="B69" s="380" t="s">
        <v>78</v>
      </c>
      <c r="C69" s="381"/>
      <c r="D69" s="381"/>
      <c r="E69" s="382"/>
      <c r="F69" s="25">
        <f>F37*F50</f>
        <v>2.6666666666666668E-4</v>
      </c>
      <c r="G69" s="26">
        <f>F69*$G$27</f>
        <v>1.2351421333333332</v>
      </c>
      <c r="H69" s="47"/>
    </row>
    <row r="70" spans="1:8" x14ac:dyDescent="0.25">
      <c r="A70" s="383" t="s">
        <v>79</v>
      </c>
      <c r="B70" s="384"/>
      <c r="C70" s="384"/>
      <c r="D70" s="384"/>
      <c r="E70" s="384"/>
      <c r="F70" s="21">
        <f>SUM(F67:F69)</f>
        <v>3.8433333333333333E-2</v>
      </c>
      <c r="G70" s="12">
        <f>SUM(G67:G69)</f>
        <v>178.01485996666665</v>
      </c>
      <c r="H70" s="47"/>
    </row>
    <row r="71" spans="1:8" x14ac:dyDescent="0.25">
      <c r="A71" s="385"/>
      <c r="B71" s="386"/>
      <c r="C71" s="386"/>
      <c r="D71" s="386"/>
      <c r="E71" s="386"/>
      <c r="F71" s="386"/>
      <c r="G71" s="387"/>
      <c r="H71" s="47"/>
    </row>
    <row r="72" spans="1:8" x14ac:dyDescent="0.25">
      <c r="A72" s="388" t="s">
        <v>80</v>
      </c>
      <c r="B72" s="389"/>
      <c r="C72" s="389"/>
      <c r="D72" s="389"/>
      <c r="E72" s="389"/>
      <c r="F72" s="389"/>
      <c r="G72" s="390"/>
      <c r="H72" s="47"/>
    </row>
    <row r="73" spans="1:8" x14ac:dyDescent="0.25">
      <c r="A73" s="5">
        <v>2</v>
      </c>
      <c r="B73" s="349" t="s">
        <v>81</v>
      </c>
      <c r="C73" s="349"/>
      <c r="D73" s="349"/>
      <c r="E73" s="349"/>
      <c r="F73" s="27" t="s">
        <v>29</v>
      </c>
      <c r="G73" s="28" t="s">
        <v>30</v>
      </c>
      <c r="H73" s="47"/>
    </row>
    <row r="74" spans="1:8" x14ac:dyDescent="0.25">
      <c r="A74" s="29" t="s">
        <v>82</v>
      </c>
      <c r="B74" s="377" t="s">
        <v>37</v>
      </c>
      <c r="C74" s="378"/>
      <c r="D74" s="378"/>
      <c r="E74" s="378"/>
      <c r="F74" s="30">
        <f>F40</f>
        <v>0.34300000000000008</v>
      </c>
      <c r="G74" s="31">
        <f>G40</f>
        <v>1588.7015689999998</v>
      </c>
      <c r="H74" s="47"/>
    </row>
    <row r="75" spans="1:8" x14ac:dyDescent="0.25">
      <c r="A75" s="29" t="s">
        <v>83</v>
      </c>
      <c r="B75" s="377" t="s">
        <v>51</v>
      </c>
      <c r="C75" s="378"/>
      <c r="D75" s="378"/>
      <c r="E75" s="378"/>
      <c r="F75" s="30">
        <f>F54</f>
        <v>0.31434332611111115</v>
      </c>
      <c r="G75" s="31">
        <f>G54</f>
        <v>1455.9700740449005</v>
      </c>
      <c r="H75" s="47"/>
    </row>
    <row r="76" spans="1:8" x14ac:dyDescent="0.25">
      <c r="A76" s="29" t="s">
        <v>84</v>
      </c>
      <c r="B76" s="377" t="s">
        <v>85</v>
      </c>
      <c r="C76" s="378"/>
      <c r="D76" s="378"/>
      <c r="E76" s="378"/>
      <c r="F76" s="30">
        <f>F61</f>
        <v>9.9480486666666673E-3</v>
      </c>
      <c r="G76" s="31">
        <f>G61</f>
        <v>46.077202697439326</v>
      </c>
      <c r="H76" s="47"/>
    </row>
    <row r="77" spans="1:8" x14ac:dyDescent="0.25">
      <c r="A77" s="29" t="s">
        <v>86</v>
      </c>
      <c r="B77" s="377" t="s">
        <v>73</v>
      </c>
      <c r="C77" s="378"/>
      <c r="D77" s="378"/>
      <c r="E77" s="378"/>
      <c r="F77" s="30">
        <f>F70</f>
        <v>3.8433333333333333E-2</v>
      </c>
      <c r="G77" s="31">
        <f>G70</f>
        <v>178.01485996666665</v>
      </c>
      <c r="H77" s="47"/>
    </row>
    <row r="78" spans="1:8" x14ac:dyDescent="0.25">
      <c r="A78" s="328" t="s">
        <v>87</v>
      </c>
      <c r="B78" s="342"/>
      <c r="C78" s="342"/>
      <c r="D78" s="342"/>
      <c r="E78" s="379"/>
      <c r="F78" s="21">
        <f>SUM(F74:F77)</f>
        <v>0.70572470811111121</v>
      </c>
      <c r="G78" s="32">
        <f>SUM(G74:G77)</f>
        <v>3268.7637057090064</v>
      </c>
      <c r="H78" s="47"/>
    </row>
    <row r="79" spans="1:8" ht="15.75" thickBot="1" x14ac:dyDescent="0.3">
      <c r="A79" s="343"/>
      <c r="B79" s="344"/>
      <c r="C79" s="344"/>
      <c r="D79" s="344"/>
      <c r="E79" s="344"/>
      <c r="F79" s="344"/>
      <c r="G79" s="345"/>
      <c r="H79" s="55"/>
    </row>
    <row r="80" spans="1:8" ht="27" customHeight="1" x14ac:dyDescent="0.25">
      <c r="A80" s="346" t="s">
        <v>88</v>
      </c>
      <c r="B80" s="347"/>
      <c r="C80" s="347"/>
      <c r="D80" s="347"/>
      <c r="E80" s="347"/>
      <c r="F80" s="347"/>
      <c r="G80" s="348"/>
      <c r="H80" s="47"/>
    </row>
    <row r="81" spans="1:8" ht="27" customHeight="1" x14ac:dyDescent="0.25">
      <c r="A81" s="62">
        <v>3</v>
      </c>
      <c r="B81" s="373" t="s">
        <v>89</v>
      </c>
      <c r="C81" s="373"/>
      <c r="D81" s="373"/>
      <c r="E81" s="373"/>
      <c r="F81" s="37" t="s">
        <v>29</v>
      </c>
      <c r="G81" s="63" t="s">
        <v>30</v>
      </c>
      <c r="H81" s="55"/>
    </row>
    <row r="82" spans="1:8" ht="27" customHeight="1" x14ac:dyDescent="0.25">
      <c r="A82" s="24" t="s">
        <v>6</v>
      </c>
      <c r="B82" s="446" t="s">
        <v>90</v>
      </c>
      <c r="C82" s="447"/>
      <c r="D82" s="447"/>
      <c r="E82" s="447"/>
      <c r="F82" s="448"/>
      <c r="G82" s="243">
        <v>132</v>
      </c>
      <c r="H82" s="56"/>
    </row>
    <row r="83" spans="1:8" ht="27" customHeight="1" x14ac:dyDescent="0.25">
      <c r="A83" s="24" t="s">
        <v>91</v>
      </c>
      <c r="B83" s="311" t="s">
        <v>175</v>
      </c>
      <c r="C83" s="311"/>
      <c r="D83" s="311"/>
      <c r="E83" s="311"/>
      <c r="F83" s="76">
        <v>0.06</v>
      </c>
      <c r="G83" s="26">
        <f>IF(G24*F83&gt;G82,-G82,-(G24*F83))</f>
        <v>-132</v>
      </c>
      <c r="H83" s="47"/>
    </row>
    <row r="84" spans="1:8" x14ac:dyDescent="0.25">
      <c r="A84" s="13" t="s">
        <v>8</v>
      </c>
      <c r="B84" s="356" t="s">
        <v>92</v>
      </c>
      <c r="C84" s="357"/>
      <c r="D84" s="357"/>
      <c r="E84" s="357"/>
      <c r="F84" s="358"/>
      <c r="G84" s="244">
        <v>606.98</v>
      </c>
      <c r="H84" s="56"/>
    </row>
    <row r="85" spans="1:8" x14ac:dyDescent="0.25">
      <c r="A85" s="13" t="s">
        <v>93</v>
      </c>
      <c r="B85" s="327" t="s">
        <v>176</v>
      </c>
      <c r="C85" s="327"/>
      <c r="D85" s="327"/>
      <c r="E85" s="327"/>
      <c r="F85" s="77">
        <v>0.2</v>
      </c>
      <c r="G85" s="10">
        <f>-(G84*F85)</f>
        <v>-121.39600000000002</v>
      </c>
      <c r="H85" s="47"/>
    </row>
    <row r="86" spans="1:8" x14ac:dyDescent="0.25">
      <c r="A86" s="13" t="s">
        <v>10</v>
      </c>
      <c r="B86" s="356" t="s">
        <v>94</v>
      </c>
      <c r="C86" s="357"/>
      <c r="D86" s="357"/>
      <c r="E86" s="357"/>
      <c r="F86" s="358"/>
      <c r="G86" s="81"/>
      <c r="H86" s="47"/>
    </row>
    <row r="87" spans="1:8" x14ac:dyDescent="0.25">
      <c r="A87" s="13" t="s">
        <v>12</v>
      </c>
      <c r="B87" s="356" t="s">
        <v>95</v>
      </c>
      <c r="C87" s="357"/>
      <c r="D87" s="357"/>
      <c r="E87" s="357"/>
      <c r="F87" s="358"/>
      <c r="G87" s="81"/>
      <c r="H87" s="47"/>
    </row>
    <row r="88" spans="1:8" x14ac:dyDescent="0.25">
      <c r="A88" s="13" t="s">
        <v>14</v>
      </c>
      <c r="B88" s="356" t="s">
        <v>96</v>
      </c>
      <c r="C88" s="357"/>
      <c r="D88" s="357"/>
      <c r="E88" s="357"/>
      <c r="F88" s="358"/>
      <c r="G88" s="245">
        <v>11</v>
      </c>
      <c r="H88" s="47"/>
    </row>
    <row r="89" spans="1:8" x14ac:dyDescent="0.25">
      <c r="A89" s="13" t="s">
        <v>43</v>
      </c>
      <c r="B89" s="356" t="s">
        <v>97</v>
      </c>
      <c r="C89" s="357"/>
      <c r="D89" s="357"/>
      <c r="E89" s="357"/>
      <c r="F89" s="358"/>
      <c r="G89" s="81"/>
      <c r="H89" s="47"/>
    </row>
    <row r="90" spans="1:8" x14ac:dyDescent="0.25">
      <c r="A90" s="13" t="s">
        <v>45</v>
      </c>
      <c r="B90" s="356" t="s">
        <v>98</v>
      </c>
      <c r="C90" s="357"/>
      <c r="D90" s="357"/>
      <c r="E90" s="357"/>
      <c r="F90" s="358"/>
      <c r="G90" s="81"/>
      <c r="H90" s="52"/>
    </row>
    <row r="91" spans="1:8" x14ac:dyDescent="0.25">
      <c r="A91" s="13" t="s">
        <v>47</v>
      </c>
      <c r="B91" s="356" t="s">
        <v>99</v>
      </c>
      <c r="C91" s="357"/>
      <c r="D91" s="357"/>
      <c r="E91" s="357"/>
      <c r="F91" s="358"/>
      <c r="G91" s="10"/>
      <c r="H91" s="47"/>
    </row>
    <row r="92" spans="1:8" x14ac:dyDescent="0.25">
      <c r="A92" s="13" t="s">
        <v>100</v>
      </c>
      <c r="B92" s="356" t="s">
        <v>61</v>
      </c>
      <c r="C92" s="357"/>
      <c r="D92" s="357"/>
      <c r="E92" s="357"/>
      <c r="F92" s="358"/>
      <c r="G92" s="79"/>
      <c r="H92" s="47"/>
    </row>
    <row r="93" spans="1:8" x14ac:dyDescent="0.25">
      <c r="A93" s="365" t="s">
        <v>101</v>
      </c>
      <c r="B93" s="366"/>
      <c r="C93" s="366"/>
      <c r="D93" s="366"/>
      <c r="E93" s="366"/>
      <c r="F93" s="367"/>
      <c r="G93" s="33">
        <f>SUM(G82:G92)</f>
        <v>496.584</v>
      </c>
      <c r="H93" s="47"/>
    </row>
    <row r="94" spans="1:8" ht="15.75" thickBot="1" x14ac:dyDescent="0.3">
      <c r="A94" s="368"/>
      <c r="B94" s="369"/>
      <c r="C94" s="369"/>
      <c r="D94" s="369"/>
      <c r="E94" s="369"/>
      <c r="F94" s="369"/>
      <c r="G94" s="370"/>
      <c r="H94" s="57"/>
    </row>
    <row r="95" spans="1:8" x14ac:dyDescent="0.25">
      <c r="A95" s="346" t="s">
        <v>102</v>
      </c>
      <c r="B95" s="347"/>
      <c r="C95" s="347"/>
      <c r="D95" s="347"/>
      <c r="E95" s="347"/>
      <c r="F95" s="347"/>
      <c r="G95" s="348"/>
      <c r="H95" s="57"/>
    </row>
    <row r="96" spans="1:8" x14ac:dyDescent="0.25">
      <c r="A96" s="5">
        <v>4</v>
      </c>
      <c r="B96" s="371" t="s">
        <v>103</v>
      </c>
      <c r="C96" s="344"/>
      <c r="D96" s="344"/>
      <c r="E96" s="344"/>
      <c r="F96" s="372"/>
      <c r="G96" s="7" t="s">
        <v>30</v>
      </c>
      <c r="H96" s="47"/>
    </row>
    <row r="97" spans="1:8" x14ac:dyDescent="0.25">
      <c r="A97" s="13" t="s">
        <v>6</v>
      </c>
      <c r="B97" s="356" t="s">
        <v>104</v>
      </c>
      <c r="C97" s="357"/>
      <c r="D97" s="357"/>
      <c r="E97" s="357"/>
      <c r="F97" s="358"/>
      <c r="G97" s="188">
        <v>11.42</v>
      </c>
      <c r="H97" s="47"/>
    </row>
    <row r="98" spans="1:8" x14ac:dyDescent="0.25">
      <c r="A98" s="13" t="s">
        <v>8</v>
      </c>
      <c r="B98" s="356" t="s">
        <v>105</v>
      </c>
      <c r="C98" s="357"/>
      <c r="D98" s="357"/>
      <c r="E98" s="357"/>
      <c r="F98" s="358"/>
      <c r="G98" s="79"/>
      <c r="H98" s="47"/>
    </row>
    <row r="99" spans="1:8" x14ac:dyDescent="0.25">
      <c r="A99" s="13" t="s">
        <v>10</v>
      </c>
      <c r="B99" s="356" t="s">
        <v>106</v>
      </c>
      <c r="C99" s="357"/>
      <c r="D99" s="357"/>
      <c r="E99" s="357"/>
      <c r="F99" s="358"/>
      <c r="G99" s="79"/>
      <c r="H99" s="47"/>
    </row>
    <row r="100" spans="1:8" x14ac:dyDescent="0.25">
      <c r="A100" s="13" t="s">
        <v>12</v>
      </c>
      <c r="B100" s="356" t="s">
        <v>107</v>
      </c>
      <c r="C100" s="357"/>
      <c r="D100" s="357"/>
      <c r="E100" s="357"/>
      <c r="F100" s="358"/>
      <c r="G100" s="79"/>
      <c r="H100" s="47"/>
    </row>
    <row r="101" spans="1:8" x14ac:dyDescent="0.25">
      <c r="A101" s="13" t="s">
        <v>45</v>
      </c>
      <c r="B101" s="356" t="s">
        <v>61</v>
      </c>
      <c r="C101" s="357"/>
      <c r="D101" s="357"/>
      <c r="E101" s="357"/>
      <c r="F101" s="358"/>
      <c r="G101" s="79"/>
      <c r="H101" s="1"/>
    </row>
    <row r="102" spans="1:8" x14ac:dyDescent="0.25">
      <c r="A102" s="328" t="s">
        <v>108</v>
      </c>
      <c r="B102" s="342"/>
      <c r="C102" s="342"/>
      <c r="D102" s="342"/>
      <c r="E102" s="342"/>
      <c r="F102" s="359"/>
      <c r="G102" s="12">
        <f>SUM(G97:G101)</f>
        <v>11.42</v>
      </c>
      <c r="H102" s="1"/>
    </row>
    <row r="103" spans="1:8" ht="15.75" thickBot="1" x14ac:dyDescent="0.3">
      <c r="A103" s="360"/>
      <c r="B103" s="361"/>
      <c r="C103" s="361"/>
      <c r="D103" s="361"/>
      <c r="E103" s="361"/>
      <c r="F103" s="361"/>
      <c r="G103" s="362"/>
      <c r="H103" s="1"/>
    </row>
    <row r="104" spans="1:8" ht="15.75" thickBot="1" x14ac:dyDescent="0.3">
      <c r="A104" s="363" t="s">
        <v>109</v>
      </c>
      <c r="B104" s="364"/>
      <c r="C104" s="364"/>
      <c r="D104" s="364"/>
      <c r="E104" s="364"/>
      <c r="F104" s="364"/>
      <c r="G104" s="83">
        <f>G27+G78+G93+G102</f>
        <v>8408.5507057090072</v>
      </c>
      <c r="H104" s="1"/>
    </row>
    <row r="105" spans="1:8" ht="15.75" thickBot="1" x14ac:dyDescent="0.3">
      <c r="A105" s="350"/>
      <c r="B105" s="351"/>
      <c r="C105" s="351"/>
      <c r="D105" s="351"/>
      <c r="E105" s="351"/>
      <c r="F105" s="351"/>
      <c r="G105" s="352"/>
      <c r="H105" s="1"/>
    </row>
    <row r="106" spans="1:8" x14ac:dyDescent="0.25">
      <c r="A106" s="346" t="s">
        <v>110</v>
      </c>
      <c r="B106" s="347"/>
      <c r="C106" s="347"/>
      <c r="D106" s="347"/>
      <c r="E106" s="347"/>
      <c r="F106" s="347"/>
      <c r="G106" s="348"/>
      <c r="H106" s="1"/>
    </row>
    <row r="107" spans="1:8" x14ac:dyDescent="0.25">
      <c r="A107" s="5">
        <v>5</v>
      </c>
      <c r="B107" s="353" t="s">
        <v>111</v>
      </c>
      <c r="C107" s="354"/>
      <c r="D107" s="354"/>
      <c r="E107" s="355"/>
      <c r="F107" s="6" t="s">
        <v>29</v>
      </c>
      <c r="G107" s="7" t="s">
        <v>30</v>
      </c>
      <c r="H107" s="1"/>
    </row>
    <row r="108" spans="1:8" x14ac:dyDescent="0.25">
      <c r="A108" s="13" t="s">
        <v>6</v>
      </c>
      <c r="B108" s="327" t="s">
        <v>112</v>
      </c>
      <c r="C108" s="327"/>
      <c r="D108" s="327"/>
      <c r="E108" s="327"/>
      <c r="F108" s="235">
        <v>6.0000000000000001E-3</v>
      </c>
      <c r="G108" s="35">
        <f>F108*$G$104</f>
        <v>50.451304234254046</v>
      </c>
      <c r="H108" s="1"/>
    </row>
    <row r="109" spans="1:8" x14ac:dyDescent="0.25">
      <c r="A109" s="13" t="s">
        <v>8</v>
      </c>
      <c r="B109" s="327" t="s">
        <v>113</v>
      </c>
      <c r="C109" s="327"/>
      <c r="D109" s="327"/>
      <c r="E109" s="327"/>
      <c r="F109" s="235">
        <v>6.0000000000000001E-3</v>
      </c>
      <c r="G109" s="35">
        <f>F109*$G$104</f>
        <v>50.451304234254046</v>
      </c>
      <c r="H109" s="47"/>
    </row>
    <row r="110" spans="1:8" x14ac:dyDescent="0.25">
      <c r="A110" s="13" t="s">
        <v>10</v>
      </c>
      <c r="B110" s="327" t="s">
        <v>114</v>
      </c>
      <c r="C110" s="327"/>
      <c r="D110" s="327"/>
      <c r="E110" s="327"/>
      <c r="F110" s="246"/>
      <c r="G110" s="35">
        <f>F110*$G$104</f>
        <v>0</v>
      </c>
      <c r="H110" s="47"/>
    </row>
    <row r="111" spans="1:8" x14ac:dyDescent="0.25">
      <c r="A111" s="328" t="s">
        <v>115</v>
      </c>
      <c r="B111" s="342"/>
      <c r="C111" s="342"/>
      <c r="D111" s="342"/>
      <c r="E111" s="342"/>
      <c r="F111" s="36">
        <f>F108+F109+F110</f>
        <v>1.2E-2</v>
      </c>
      <c r="G111" s="12">
        <f>SUM(G108:G110)</f>
        <v>100.90260846850809</v>
      </c>
      <c r="H111" s="47"/>
    </row>
    <row r="112" spans="1:8" ht="15.75" thickBot="1" x14ac:dyDescent="0.3">
      <c r="A112" s="343"/>
      <c r="B112" s="344"/>
      <c r="C112" s="344"/>
      <c r="D112" s="344"/>
      <c r="E112" s="344"/>
      <c r="F112" s="344"/>
      <c r="G112" s="345"/>
      <c r="H112" s="56"/>
    </row>
    <row r="113" spans="1:8" x14ac:dyDescent="0.25">
      <c r="A113" s="346" t="s">
        <v>116</v>
      </c>
      <c r="B113" s="347"/>
      <c r="C113" s="347"/>
      <c r="D113" s="347"/>
      <c r="E113" s="347"/>
      <c r="F113" s="347"/>
      <c r="G113" s="348"/>
      <c r="H113" s="47"/>
    </row>
    <row r="114" spans="1:8" x14ac:dyDescent="0.25">
      <c r="A114" s="5">
        <v>6</v>
      </c>
      <c r="B114" s="349" t="s">
        <v>117</v>
      </c>
      <c r="C114" s="349"/>
      <c r="D114" s="349"/>
      <c r="E114" s="349"/>
      <c r="F114" s="37" t="s">
        <v>29</v>
      </c>
      <c r="G114" s="7" t="s">
        <v>30</v>
      </c>
      <c r="H114" s="47"/>
    </row>
    <row r="115" spans="1:8" x14ac:dyDescent="0.25">
      <c r="A115" s="13" t="s">
        <v>6</v>
      </c>
      <c r="B115" s="327" t="s">
        <v>118</v>
      </c>
      <c r="C115" s="327"/>
      <c r="D115" s="327"/>
      <c r="E115" s="327"/>
      <c r="F115" s="248">
        <v>0.02</v>
      </c>
      <c r="G115" s="38"/>
      <c r="H115" s="47"/>
    </row>
    <row r="116" spans="1:8" x14ac:dyDescent="0.25">
      <c r="A116" s="13" t="s">
        <v>8</v>
      </c>
      <c r="B116" s="327" t="s">
        <v>119</v>
      </c>
      <c r="C116" s="327"/>
      <c r="D116" s="327"/>
      <c r="E116" s="327"/>
      <c r="F116" s="248">
        <v>6.4999999999999997E-3</v>
      </c>
      <c r="G116" s="38"/>
      <c r="H116" s="47"/>
    </row>
    <row r="117" spans="1:8" x14ac:dyDescent="0.25">
      <c r="A117" s="13" t="s">
        <v>10</v>
      </c>
      <c r="B117" s="327" t="s">
        <v>120</v>
      </c>
      <c r="C117" s="327"/>
      <c r="D117" s="327"/>
      <c r="E117" s="327"/>
      <c r="F117" s="248">
        <v>0.03</v>
      </c>
      <c r="G117" s="38"/>
      <c r="H117" s="47"/>
    </row>
    <row r="118" spans="1:8" x14ac:dyDescent="0.25">
      <c r="A118" s="328" t="s">
        <v>121</v>
      </c>
      <c r="B118" s="329"/>
      <c r="C118" s="329"/>
      <c r="D118" s="329"/>
      <c r="E118" s="330"/>
      <c r="F118" s="16">
        <f>SUM(F115:F117)</f>
        <v>5.6499999999999995E-2</v>
      </c>
      <c r="G118" s="39">
        <f>SUM(G115:G117)</f>
        <v>0</v>
      </c>
      <c r="H118" s="47"/>
    </row>
    <row r="119" spans="1:8" ht="15.75" thickBot="1" x14ac:dyDescent="0.3">
      <c r="A119" s="331"/>
      <c r="B119" s="332"/>
      <c r="C119" s="332"/>
      <c r="D119" s="332"/>
      <c r="E119" s="332"/>
      <c r="F119" s="332"/>
      <c r="G119" s="333"/>
      <c r="H119" s="1"/>
    </row>
    <row r="120" spans="1:8" ht="15.75" thickBot="1" x14ac:dyDescent="0.3">
      <c r="A120" s="334" t="s">
        <v>122</v>
      </c>
      <c r="B120" s="335"/>
      <c r="C120" s="335"/>
      <c r="D120" s="335"/>
      <c r="E120" s="335"/>
      <c r="F120" s="335"/>
      <c r="G120" s="40">
        <f>G118+G111+G104</f>
        <v>8509.4533141775155</v>
      </c>
      <c r="H120" s="1"/>
    </row>
    <row r="121" spans="1:8" ht="15.75" thickBot="1" x14ac:dyDescent="0.3">
      <c r="A121" s="336"/>
      <c r="B121" s="337"/>
      <c r="C121" s="337"/>
      <c r="D121" s="337"/>
      <c r="E121" s="337"/>
      <c r="F121" s="337"/>
      <c r="G121" s="338"/>
      <c r="H121" s="1"/>
    </row>
    <row r="122" spans="1:8" x14ac:dyDescent="0.25">
      <c r="A122" s="339" t="s">
        <v>123</v>
      </c>
      <c r="B122" s="340"/>
      <c r="C122" s="340"/>
      <c r="D122" s="340"/>
      <c r="E122" s="340"/>
      <c r="F122" s="340"/>
      <c r="G122" s="341"/>
      <c r="H122" s="55"/>
    </row>
    <row r="123" spans="1:8" ht="15" customHeight="1" x14ac:dyDescent="0.25">
      <c r="A123" s="324" t="s">
        <v>124</v>
      </c>
      <c r="B123" s="325"/>
      <c r="C123" s="325" t="s">
        <v>125</v>
      </c>
      <c r="D123" s="325" t="s">
        <v>126</v>
      </c>
      <c r="E123" s="325" t="s">
        <v>127</v>
      </c>
      <c r="F123" s="325" t="s">
        <v>128</v>
      </c>
      <c r="G123" s="326" t="s">
        <v>181</v>
      </c>
      <c r="H123" s="1"/>
    </row>
    <row r="124" spans="1:8" x14ac:dyDescent="0.25">
      <c r="A124" s="324"/>
      <c r="B124" s="325"/>
      <c r="C124" s="325"/>
      <c r="D124" s="325"/>
      <c r="E124" s="325"/>
      <c r="F124" s="325"/>
      <c r="G124" s="326"/>
      <c r="H124" s="60"/>
    </row>
    <row r="125" spans="1:8" ht="27" customHeight="1" x14ac:dyDescent="0.25">
      <c r="A125" s="308" t="s">
        <v>130</v>
      </c>
      <c r="B125" s="309"/>
      <c r="C125" s="65">
        <v>130</v>
      </c>
      <c r="D125" s="66">
        <v>0.6</v>
      </c>
      <c r="E125" s="67">
        <f>C125*(D125+1)*$G$27/200</f>
        <v>4817.0543199999993</v>
      </c>
      <c r="F125" s="67">
        <f>E125*(1+$F$78)</f>
        <v>8216.5685739373657</v>
      </c>
      <c r="G125" s="68">
        <f>F125/(1-$F$118)*(1+$F$111)</f>
        <v>8813.1079987542289</v>
      </c>
      <c r="H125" s="60"/>
    </row>
    <row r="126" spans="1:8" ht="27" customHeight="1" x14ac:dyDescent="0.25">
      <c r="A126" s="310" t="s">
        <v>131</v>
      </c>
      <c r="B126" s="311"/>
      <c r="C126" s="65">
        <v>39</v>
      </c>
      <c r="D126" s="66">
        <v>1</v>
      </c>
      <c r="E126" s="67">
        <f>C126*(D126+1)/200*$G$27</f>
        <v>1806.39537</v>
      </c>
      <c r="F126" s="67">
        <f>E126*(1+$F$78)</f>
        <v>3081.2132152265126</v>
      </c>
      <c r="G126" s="68">
        <f>F126/(1-$F$118)*(1+$F$111)</f>
        <v>3304.9154995328358</v>
      </c>
      <c r="H126" s="61"/>
    </row>
    <row r="127" spans="1:8" ht="15.75" thickBot="1" x14ac:dyDescent="0.3">
      <c r="A127" s="312" t="s">
        <v>132</v>
      </c>
      <c r="B127" s="313"/>
      <c r="C127" s="44">
        <v>50</v>
      </c>
      <c r="D127" s="45">
        <v>0.2</v>
      </c>
      <c r="E127" s="46">
        <f>C127/(52.5/60)*(G$27/200)*(1+D125)*(1+D127)</f>
        <v>2540.8638171428565</v>
      </c>
      <c r="F127" s="46">
        <f>E127*(1+$F$78)</f>
        <v>4334.0141928460826</v>
      </c>
      <c r="G127" s="68">
        <f>F127/(1-$F$118)*(1+$F$111)</f>
        <v>4648.6723509912408</v>
      </c>
      <c r="H127" s="47"/>
    </row>
    <row r="128" spans="1:8" ht="15.75" thickBot="1" x14ac:dyDescent="0.3">
      <c r="A128" s="444" t="s">
        <v>133</v>
      </c>
      <c r="B128" s="445"/>
      <c r="C128" s="445"/>
      <c r="D128" s="445"/>
      <c r="E128" s="445"/>
      <c r="F128" s="445"/>
      <c r="G128" s="85">
        <f>SUM(G125:G127)</f>
        <v>16766.695849278305</v>
      </c>
      <c r="H128" s="47"/>
    </row>
    <row r="129" spans="1:13" ht="15.75" thickBot="1" x14ac:dyDescent="0.3">
      <c r="A129" s="350"/>
      <c r="B129" s="351"/>
      <c r="C129" s="351"/>
      <c r="D129" s="351"/>
      <c r="E129" s="351"/>
      <c r="F129" s="351"/>
      <c r="G129" s="352"/>
      <c r="H129" s="47"/>
    </row>
    <row r="130" spans="1:13" x14ac:dyDescent="0.25">
      <c r="A130" s="339" t="s">
        <v>189</v>
      </c>
      <c r="B130" s="340"/>
      <c r="C130" s="340"/>
      <c r="D130" s="340"/>
      <c r="E130" s="340"/>
      <c r="F130" s="340"/>
      <c r="G130" s="341"/>
      <c r="H130" s="47"/>
    </row>
    <row r="131" spans="1:13" ht="22.5" x14ac:dyDescent="0.25">
      <c r="A131" s="324" t="s">
        <v>157</v>
      </c>
      <c r="B131" s="325"/>
      <c r="C131" s="529" t="s">
        <v>198</v>
      </c>
      <c r="D131" s="530"/>
      <c r="E131" s="529" t="s">
        <v>199</v>
      </c>
      <c r="F131" s="530"/>
      <c r="G131" s="89" t="s">
        <v>181</v>
      </c>
      <c r="H131" s="60"/>
    </row>
    <row r="132" spans="1:13" ht="29.25" customHeight="1" thickBot="1" x14ac:dyDescent="0.3">
      <c r="A132" s="528" t="s">
        <v>183</v>
      </c>
      <c r="B132" s="382"/>
      <c r="C132" s="531">
        <v>15708.75</v>
      </c>
      <c r="D132" s="532"/>
      <c r="E132" s="531">
        <f>C132*(1+F111)</f>
        <v>15897.255000000001</v>
      </c>
      <c r="F132" s="532"/>
      <c r="G132" s="68">
        <f>E132/(1-$F$118)*(1+$F$111)</f>
        <v>17051.427726550082</v>
      </c>
      <c r="H132" s="60"/>
    </row>
    <row r="133" spans="1:13" ht="15.75" thickBot="1" x14ac:dyDescent="0.3">
      <c r="A133" s="444" t="s">
        <v>158</v>
      </c>
      <c r="B133" s="445"/>
      <c r="C133" s="445"/>
      <c r="D133" s="445"/>
      <c r="E133" s="445"/>
      <c r="F133" s="445"/>
      <c r="G133" s="85">
        <f>G132</f>
        <v>17051.427726550082</v>
      </c>
      <c r="H133" s="47"/>
    </row>
    <row r="134" spans="1:13" ht="15.75" thickBot="1" x14ac:dyDescent="0.3">
      <c r="A134" s="502"/>
      <c r="B134" s="503"/>
      <c r="C134" s="503"/>
      <c r="D134" s="503"/>
      <c r="E134" s="503"/>
      <c r="F134" s="503"/>
      <c r="G134" s="504"/>
      <c r="H134" s="47"/>
    </row>
    <row r="135" spans="1:13" x14ac:dyDescent="0.25">
      <c r="A135" s="505" t="s">
        <v>134</v>
      </c>
      <c r="B135" s="506"/>
      <c r="C135" s="506"/>
      <c r="D135" s="506"/>
      <c r="E135" s="506"/>
      <c r="F135" s="506"/>
      <c r="G135" s="507"/>
      <c r="H135" s="55"/>
    </row>
    <row r="136" spans="1:13" ht="57" thickBot="1" x14ac:dyDescent="0.3">
      <c r="A136" s="95" t="s">
        <v>135</v>
      </c>
      <c r="B136" s="96" t="s">
        <v>136</v>
      </c>
      <c r="C136" s="97" t="s">
        <v>137</v>
      </c>
      <c r="D136" s="97" t="s">
        <v>138</v>
      </c>
      <c r="E136" s="97" t="s">
        <v>184</v>
      </c>
      <c r="F136" s="97" t="s">
        <v>185</v>
      </c>
      <c r="G136" s="98" t="s">
        <v>192</v>
      </c>
      <c r="H136" s="47"/>
    </row>
    <row r="137" spans="1:13" ht="30" customHeight="1" thickBot="1" x14ac:dyDescent="0.3">
      <c r="A137" s="90">
        <v>9</v>
      </c>
      <c r="B137" s="99" t="str">
        <f>B15</f>
        <v>Motorista Executivo II</v>
      </c>
      <c r="C137" s="92">
        <f>F15</f>
        <v>1</v>
      </c>
      <c r="D137" s="93">
        <f>G120</f>
        <v>8509.4533141775155</v>
      </c>
      <c r="E137" s="93">
        <f>G128/12</f>
        <v>1397.2246541065253</v>
      </c>
      <c r="F137" s="93">
        <f>G133/12</f>
        <v>1420.9523105458402</v>
      </c>
      <c r="G137" s="94">
        <f>C137*D137+E137+F137</f>
        <v>11327.630278829882</v>
      </c>
      <c r="H137" s="59"/>
    </row>
    <row r="138" spans="1:13" ht="15.75" thickBot="1" x14ac:dyDescent="0.3">
      <c r="A138" s="306" t="s">
        <v>190</v>
      </c>
      <c r="B138" s="307"/>
      <c r="C138" s="307"/>
      <c r="D138" s="307"/>
      <c r="E138" s="307"/>
      <c r="F138" s="307"/>
      <c r="G138" s="86">
        <f>G137*12</f>
        <v>135931.5633459586</v>
      </c>
      <c r="H138" s="59"/>
    </row>
    <row r="139" spans="1:13" ht="15.75" customHeight="1" x14ac:dyDescent="0.25">
      <c r="A139" s="49"/>
      <c r="B139" s="49"/>
      <c r="C139" s="49"/>
      <c r="D139" s="49"/>
      <c r="E139" s="49"/>
      <c r="F139" s="49"/>
      <c r="G139" s="50"/>
      <c r="H139" s="48"/>
      <c r="M139" s="75"/>
    </row>
    <row r="140" spans="1:13" x14ac:dyDescent="0.25">
      <c r="A140" s="47" t="s">
        <v>140</v>
      </c>
      <c r="B140" s="1"/>
      <c r="C140" s="1"/>
      <c r="D140" s="1"/>
      <c r="E140" s="1"/>
      <c r="F140" s="1"/>
      <c r="G140" s="1"/>
      <c r="H140" s="1"/>
    </row>
    <row r="141" spans="1:13" x14ac:dyDescent="0.25">
      <c r="A141" s="51" t="s">
        <v>141</v>
      </c>
      <c r="B141" s="1"/>
      <c r="C141" s="1"/>
      <c r="D141" s="1"/>
      <c r="E141" s="1"/>
      <c r="F141" s="1"/>
      <c r="G141" s="1"/>
      <c r="H141" s="1"/>
    </row>
    <row r="142" spans="1:13" x14ac:dyDescent="0.25">
      <c r="A142" s="51" t="s">
        <v>142</v>
      </c>
      <c r="B142" s="1"/>
      <c r="C142" s="1"/>
      <c r="D142" s="1"/>
      <c r="E142" s="1"/>
      <c r="F142" s="1"/>
      <c r="G142" s="1"/>
      <c r="H142" s="1"/>
    </row>
    <row r="143" spans="1:13" x14ac:dyDescent="0.25">
      <c r="A143" s="51" t="s">
        <v>143</v>
      </c>
      <c r="B143" s="1"/>
      <c r="C143" s="1"/>
      <c r="D143" s="1"/>
      <c r="E143" s="1"/>
      <c r="F143" s="1"/>
      <c r="G143" s="1"/>
      <c r="H143" s="1"/>
    </row>
    <row r="144" spans="1:13" x14ac:dyDescent="0.25">
      <c r="A144" s="51" t="s">
        <v>144</v>
      </c>
      <c r="B144" s="1"/>
      <c r="C144" s="1"/>
      <c r="D144" s="1"/>
      <c r="E144" s="1"/>
      <c r="F144" s="1"/>
      <c r="G144" s="1"/>
      <c r="H144" s="1"/>
    </row>
    <row r="145" spans="1:8" x14ac:dyDescent="0.25">
      <c r="A145" s="51" t="s">
        <v>145</v>
      </c>
      <c r="B145" s="1"/>
      <c r="C145" s="1"/>
      <c r="D145" s="1"/>
      <c r="E145" s="1"/>
      <c r="F145" s="1"/>
      <c r="G145" s="1"/>
      <c r="H145" s="1"/>
    </row>
    <row r="146" spans="1:8" x14ac:dyDescent="0.25">
      <c r="A146" s="51" t="s">
        <v>146</v>
      </c>
      <c r="B146" s="1"/>
      <c r="C146" s="1"/>
      <c r="D146" s="1"/>
      <c r="E146" s="1"/>
      <c r="F146" s="1"/>
      <c r="G146" s="1"/>
      <c r="H146" s="1"/>
    </row>
    <row r="147" spans="1:8" x14ac:dyDescent="0.25">
      <c r="A147" s="47" t="s">
        <v>147</v>
      </c>
      <c r="B147" s="1"/>
      <c r="C147" s="1"/>
      <c r="D147" s="1"/>
      <c r="E147" s="1"/>
      <c r="F147" s="1"/>
      <c r="G147" s="1"/>
      <c r="H147" s="1"/>
    </row>
    <row r="148" spans="1:8" x14ac:dyDescent="0.25">
      <c r="A148" s="47" t="s">
        <v>148</v>
      </c>
      <c r="B148" s="1"/>
      <c r="C148" s="1"/>
      <c r="D148" s="1"/>
      <c r="E148" s="1"/>
      <c r="F148" s="1"/>
      <c r="G148" s="1"/>
      <c r="H148" s="1"/>
    </row>
    <row r="149" spans="1:8" x14ac:dyDescent="0.25">
      <c r="A149" s="47" t="s">
        <v>149</v>
      </c>
      <c r="B149" s="1"/>
      <c r="C149" s="1"/>
      <c r="D149" s="1"/>
      <c r="E149" s="1"/>
      <c r="F149" s="1"/>
      <c r="G149" s="1"/>
      <c r="H149" s="1"/>
    </row>
    <row r="150" spans="1:8" x14ac:dyDescent="0.25">
      <c r="H150" s="55"/>
    </row>
  </sheetData>
  <mergeCells count="157">
    <mergeCell ref="A134:G134"/>
    <mergeCell ref="A138:F138"/>
    <mergeCell ref="A132:B132"/>
    <mergeCell ref="A135:G135"/>
    <mergeCell ref="A131:B131"/>
    <mergeCell ref="A125:B125"/>
    <mergeCell ref="A126:B126"/>
    <mergeCell ref="A127:B127"/>
    <mergeCell ref="A128:F128"/>
    <mergeCell ref="A129:G129"/>
    <mergeCell ref="A130:G130"/>
    <mergeCell ref="C131:D131"/>
    <mergeCell ref="A133:F133"/>
    <mergeCell ref="C132:D132"/>
    <mergeCell ref="E131:F131"/>
    <mergeCell ref="E132:F132"/>
    <mergeCell ref="A123:B124"/>
    <mergeCell ref="C123:C124"/>
    <mergeCell ref="D123:D124"/>
    <mergeCell ref="E123:E124"/>
    <mergeCell ref="F123:F124"/>
    <mergeCell ref="G123:G124"/>
    <mergeCell ref="B117:E117"/>
    <mergeCell ref="A118:E118"/>
    <mergeCell ref="A119:G119"/>
    <mergeCell ref="A120:F120"/>
    <mergeCell ref="A121:G121"/>
    <mergeCell ref="A122:G122"/>
    <mergeCell ref="A111:E111"/>
    <mergeCell ref="A112:G112"/>
    <mergeCell ref="A113:G113"/>
    <mergeCell ref="B114:E114"/>
    <mergeCell ref="B115:E115"/>
    <mergeCell ref="B116:E116"/>
    <mergeCell ref="A105:G105"/>
    <mergeCell ref="A106:G106"/>
    <mergeCell ref="B107:E107"/>
    <mergeCell ref="B108:E108"/>
    <mergeCell ref="B109:E109"/>
    <mergeCell ref="B110:E110"/>
    <mergeCell ref="B99:F99"/>
    <mergeCell ref="B100:F100"/>
    <mergeCell ref="B101:F101"/>
    <mergeCell ref="A102:F102"/>
    <mergeCell ref="A103:G103"/>
    <mergeCell ref="A104:F104"/>
    <mergeCell ref="A93:F93"/>
    <mergeCell ref="A94:G94"/>
    <mergeCell ref="A95:G95"/>
    <mergeCell ref="B96:F96"/>
    <mergeCell ref="B97:F97"/>
    <mergeCell ref="B98:F98"/>
    <mergeCell ref="B87:F87"/>
    <mergeCell ref="B88:F88"/>
    <mergeCell ref="B89:F89"/>
    <mergeCell ref="B90:F90"/>
    <mergeCell ref="B91:F91"/>
    <mergeCell ref="B92:F92"/>
    <mergeCell ref="B81:E81"/>
    <mergeCell ref="B82:F82"/>
    <mergeCell ref="B83:E83"/>
    <mergeCell ref="B84:F84"/>
    <mergeCell ref="B85:E85"/>
    <mergeCell ref="B86:F86"/>
    <mergeCell ref="B75:E75"/>
    <mergeCell ref="B76:E76"/>
    <mergeCell ref="B77:E77"/>
    <mergeCell ref="A78:E78"/>
    <mergeCell ref="A79:G79"/>
    <mergeCell ref="A80:G80"/>
    <mergeCell ref="B69:E69"/>
    <mergeCell ref="A70:E70"/>
    <mergeCell ref="A71:G71"/>
    <mergeCell ref="A72:G72"/>
    <mergeCell ref="B73:E73"/>
    <mergeCell ref="B74:E74"/>
    <mergeCell ref="B64:E64"/>
    <mergeCell ref="B65:E65"/>
    <mergeCell ref="B66:E66"/>
    <mergeCell ref="A67:E67"/>
    <mergeCell ref="B68:E68"/>
    <mergeCell ref="H57:H58"/>
    <mergeCell ref="B59:E59"/>
    <mergeCell ref="B60:E60"/>
    <mergeCell ref="A61:E61"/>
    <mergeCell ref="A62:G62"/>
    <mergeCell ref="B63:E63"/>
    <mergeCell ref="B53:E53"/>
    <mergeCell ref="A54:E54"/>
    <mergeCell ref="A55:G55"/>
    <mergeCell ref="B56:E56"/>
    <mergeCell ref="B57:E57"/>
    <mergeCell ref="B58:E58"/>
    <mergeCell ref="B47:E47"/>
    <mergeCell ref="B48:E48"/>
    <mergeCell ref="B49:E49"/>
    <mergeCell ref="B50:E50"/>
    <mergeCell ref="B51:E51"/>
    <mergeCell ref="B52:E52"/>
    <mergeCell ref="A41:G41"/>
    <mergeCell ref="B42:E42"/>
    <mergeCell ref="B43:E43"/>
    <mergeCell ref="B44:E44"/>
    <mergeCell ref="B45:E45"/>
    <mergeCell ref="B46:E46"/>
    <mergeCell ref="B35:E35"/>
    <mergeCell ref="B36:E36"/>
    <mergeCell ref="B37:E37"/>
    <mergeCell ref="B38:E38"/>
    <mergeCell ref="B39:E39"/>
    <mergeCell ref="A40:E40"/>
    <mergeCell ref="A29:G29"/>
    <mergeCell ref="A30:G30"/>
    <mergeCell ref="B31:E31"/>
    <mergeCell ref="B32:E32"/>
    <mergeCell ref="B33:E33"/>
    <mergeCell ref="B34:E34"/>
    <mergeCell ref="B23:E23"/>
    <mergeCell ref="B24:F24"/>
    <mergeCell ref="B25:E25"/>
    <mergeCell ref="A26:E26"/>
    <mergeCell ref="A27:F27"/>
    <mergeCell ref="A28:G28"/>
    <mergeCell ref="B19:E19"/>
    <mergeCell ref="F19:G19"/>
    <mergeCell ref="B20:E20"/>
    <mergeCell ref="F20:G20"/>
    <mergeCell ref="A21:G21"/>
    <mergeCell ref="A22:G22"/>
    <mergeCell ref="B14:E14"/>
    <mergeCell ref="F14:G14"/>
    <mergeCell ref="B15:E15"/>
    <mergeCell ref="F15:G15"/>
    <mergeCell ref="A16:G16"/>
    <mergeCell ref="B17:E17"/>
    <mergeCell ref="F17:G17"/>
    <mergeCell ref="B18:E18"/>
    <mergeCell ref="F18:G18"/>
    <mergeCell ref="A12:G12"/>
    <mergeCell ref="A13:G13"/>
    <mergeCell ref="A6:G6"/>
    <mergeCell ref="B7:E7"/>
    <mergeCell ref="F7:G7"/>
    <mergeCell ref="B8:E8"/>
    <mergeCell ref="F8:G8"/>
    <mergeCell ref="B9:E9"/>
    <mergeCell ref="F9:G9"/>
    <mergeCell ref="A1:G1"/>
    <mergeCell ref="A2:G2"/>
    <mergeCell ref="A3:G3"/>
    <mergeCell ref="A4:D4"/>
    <mergeCell ref="F4:G4"/>
    <mergeCell ref="A5:G5"/>
    <mergeCell ref="B10:E10"/>
    <mergeCell ref="F10:G10"/>
    <mergeCell ref="B11:E11"/>
    <mergeCell ref="F11:G11"/>
  </mergeCells>
  <dataValidations count="3">
    <dataValidation type="decimal" operator="greaterThanOrEqual" allowBlank="1" showInputMessage="1" showErrorMessage="1" error="O preenchimento deverá respeitar o piso salarial da categoria estabelecido pela Convenção Coletiva." sqref="G24">
      <formula1>F17</formula1>
    </dataValidation>
    <dataValidation type="decimal" operator="lessThanOrEqual" allowBlank="1" showInputMessage="1" showErrorMessage="1" error="O limite máximo para desconto é de 20% do valor do auxílio alimentação." sqref="F85">
      <formula1>0.2</formula1>
    </dataValidation>
    <dataValidation type="decimal" operator="lessThanOrEqual" allowBlank="1" showInputMessage="1" showErrorMessage="1" error="O limite máximo para desconto é de 6% do valor do salário base." sqref="F83">
      <formula1>0.06</formula1>
    </dataValidation>
  </dataValidations>
  <pageMargins left="0.511811024" right="0.511811024" top="0.78740157499999996" bottom="0.78740157499999996" header="0.31496062000000002" footer="0.31496062000000002"/>
  <pageSetup paperSize="9" scale="94" fitToHeight="0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M40"/>
  <sheetViews>
    <sheetView zoomScale="80" zoomScaleNormal="80" workbookViewId="0">
      <selection activeCell="K17" sqref="K17"/>
    </sheetView>
  </sheetViews>
  <sheetFormatPr defaultRowHeight="15" x14ac:dyDescent="0.25"/>
  <cols>
    <col min="4" max="4" width="24.28515625" bestFit="1" customWidth="1"/>
    <col min="5" max="5" width="31.85546875" customWidth="1"/>
    <col min="6" max="6" width="67.28515625" bestFit="1" customWidth="1"/>
    <col min="7" max="7" width="18.85546875" customWidth="1"/>
    <col min="8" max="8" width="18.5703125" customWidth="1"/>
  </cols>
  <sheetData>
    <row r="1" spans="1:12" ht="50.25" customHeight="1" x14ac:dyDescent="0.25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ht="15.75" thickBot="1" x14ac:dyDescent="0.3"/>
    <row r="3" spans="1:12" ht="61.5" customHeight="1" x14ac:dyDescent="0.25">
      <c r="C3" s="539"/>
      <c r="D3" s="189" t="s">
        <v>278</v>
      </c>
      <c r="E3" s="190" t="s">
        <v>274</v>
      </c>
      <c r="F3" s="190" t="s">
        <v>275</v>
      </c>
      <c r="G3" s="191" t="s">
        <v>276</v>
      </c>
      <c r="H3" s="192" t="s">
        <v>277</v>
      </c>
    </row>
    <row r="4" spans="1:12" ht="15.75" thickBot="1" x14ac:dyDescent="0.3">
      <c r="C4" s="540"/>
    </row>
    <row r="5" spans="1:12" ht="57" customHeight="1" thickBot="1" x14ac:dyDescent="0.3">
      <c r="C5" s="540"/>
      <c r="D5" s="170" t="s">
        <v>235</v>
      </c>
      <c r="E5" s="132" t="s">
        <v>236</v>
      </c>
      <c r="F5" s="133" t="s">
        <v>237</v>
      </c>
      <c r="G5" s="134">
        <v>35</v>
      </c>
      <c r="H5" s="172">
        <f>G5/12</f>
        <v>2.9166666666666665</v>
      </c>
      <c r="I5" s="199"/>
      <c r="J5" s="200">
        <f>H5*5</f>
        <v>14.583333333333332</v>
      </c>
    </row>
    <row r="6" spans="1:12" ht="29.25" customHeight="1" thickBot="1" x14ac:dyDescent="0.3">
      <c r="C6" s="540"/>
      <c r="F6" s="127"/>
    </row>
    <row r="7" spans="1:12" ht="72.75" customHeight="1" thickBot="1" x14ac:dyDescent="0.3">
      <c r="C7" s="540"/>
      <c r="D7" s="171" t="s">
        <v>151</v>
      </c>
      <c r="E7" s="167" t="s">
        <v>236</v>
      </c>
      <c r="F7" s="168" t="s">
        <v>237</v>
      </c>
      <c r="G7" s="169">
        <v>35</v>
      </c>
      <c r="H7" s="173">
        <f>G7/12</f>
        <v>2.9166666666666665</v>
      </c>
      <c r="I7" s="199"/>
      <c r="J7" s="200">
        <f>H7*5</f>
        <v>14.583333333333332</v>
      </c>
    </row>
    <row r="8" spans="1:12" ht="27" customHeight="1" thickBot="1" x14ac:dyDescent="0.3">
      <c r="C8" s="540"/>
      <c r="D8" s="128"/>
      <c r="E8" s="128"/>
      <c r="F8" s="130"/>
    </row>
    <row r="9" spans="1:12" x14ac:dyDescent="0.25">
      <c r="C9" s="540"/>
      <c r="D9" s="542" t="s">
        <v>238</v>
      </c>
      <c r="E9" s="135" t="s">
        <v>239</v>
      </c>
      <c r="F9" s="136" t="s">
        <v>269</v>
      </c>
      <c r="G9" s="137">
        <v>30</v>
      </c>
      <c r="H9" s="174">
        <f>G9/12</f>
        <v>2.5</v>
      </c>
      <c r="I9" s="533">
        <f>H9+H10+H11+H12+H13</f>
        <v>11.416666666666666</v>
      </c>
    </row>
    <row r="10" spans="1:12" x14ac:dyDescent="0.25">
      <c r="C10" s="540"/>
      <c r="D10" s="543"/>
      <c r="E10" s="138" t="s">
        <v>239</v>
      </c>
      <c r="F10" s="139" t="s">
        <v>270</v>
      </c>
      <c r="G10" s="140">
        <v>30</v>
      </c>
      <c r="H10" s="193">
        <f>G10/12</f>
        <v>2.5</v>
      </c>
      <c r="I10" s="534"/>
    </row>
    <row r="11" spans="1:12" x14ac:dyDescent="0.25">
      <c r="C11" s="540"/>
      <c r="D11" s="543"/>
      <c r="E11" s="138" t="s">
        <v>239</v>
      </c>
      <c r="F11" s="139" t="s">
        <v>271</v>
      </c>
      <c r="G11" s="140">
        <v>35</v>
      </c>
      <c r="H11" s="193">
        <f>G11/12</f>
        <v>2.9166666666666665</v>
      </c>
      <c r="I11" s="534"/>
      <c r="J11" s="199"/>
    </row>
    <row r="12" spans="1:12" x14ac:dyDescent="0.25">
      <c r="C12" s="540"/>
      <c r="D12" s="543"/>
      <c r="E12" s="138" t="s">
        <v>239</v>
      </c>
      <c r="F12" s="139" t="s">
        <v>272</v>
      </c>
      <c r="G12" s="140">
        <v>10</v>
      </c>
      <c r="H12" s="193">
        <f>G12/12</f>
        <v>0.83333333333333337</v>
      </c>
      <c r="I12" s="534"/>
    </row>
    <row r="13" spans="1:12" ht="15.75" thickBot="1" x14ac:dyDescent="0.3">
      <c r="C13" s="540"/>
      <c r="D13" s="544"/>
      <c r="E13" s="141" t="s">
        <v>240</v>
      </c>
      <c r="F13" s="142" t="s">
        <v>273</v>
      </c>
      <c r="G13" s="143">
        <v>32</v>
      </c>
      <c r="H13" s="175">
        <f>G13/12</f>
        <v>2.6666666666666665</v>
      </c>
      <c r="I13" s="535"/>
    </row>
    <row r="14" spans="1:12" ht="15.75" thickBot="1" x14ac:dyDescent="0.3">
      <c r="C14" s="540"/>
      <c r="D14" s="129"/>
    </row>
    <row r="15" spans="1:12" x14ac:dyDescent="0.25">
      <c r="C15" s="540"/>
      <c r="D15" s="550" t="s">
        <v>21</v>
      </c>
      <c r="E15" s="161" t="s">
        <v>241</v>
      </c>
      <c r="F15" s="162" t="s">
        <v>242</v>
      </c>
      <c r="G15" s="156">
        <v>32</v>
      </c>
      <c r="H15" s="176">
        <f>G15/12</f>
        <v>2.6666666666666665</v>
      </c>
      <c r="I15" s="196">
        <f>H15+H16+H17+H18+H19</f>
        <v>13.166666666666668</v>
      </c>
      <c r="J15" s="200">
        <f>I15*5</f>
        <v>65.833333333333343</v>
      </c>
    </row>
    <row r="16" spans="1:12" x14ac:dyDescent="0.25">
      <c r="C16" s="540"/>
      <c r="D16" s="551"/>
      <c r="E16" s="163" t="s">
        <v>243</v>
      </c>
      <c r="F16" s="164" t="s">
        <v>244</v>
      </c>
      <c r="G16" s="157">
        <v>28</v>
      </c>
      <c r="H16" s="177">
        <f>G16/12</f>
        <v>2.3333333333333335</v>
      </c>
      <c r="I16" s="197"/>
    </row>
    <row r="17" spans="3:13" x14ac:dyDescent="0.25">
      <c r="C17" s="540"/>
      <c r="D17" s="551"/>
      <c r="E17" s="163" t="s">
        <v>243</v>
      </c>
      <c r="F17" s="164" t="s">
        <v>245</v>
      </c>
      <c r="G17" s="157">
        <v>28</v>
      </c>
      <c r="H17" s="177">
        <f>G17/12</f>
        <v>2.3333333333333335</v>
      </c>
      <c r="I17" s="197"/>
      <c r="J17" s="199"/>
    </row>
    <row r="18" spans="3:13" x14ac:dyDescent="0.25">
      <c r="C18" s="540"/>
      <c r="D18" s="551"/>
      <c r="E18" s="163" t="s">
        <v>246</v>
      </c>
      <c r="F18" s="164" t="s">
        <v>247</v>
      </c>
      <c r="G18" s="157">
        <v>40</v>
      </c>
      <c r="H18" s="177">
        <f>G18/12</f>
        <v>3.3333333333333335</v>
      </c>
      <c r="I18" s="197"/>
    </row>
    <row r="19" spans="3:13" ht="15.75" thickBot="1" x14ac:dyDescent="0.3">
      <c r="C19" s="540"/>
      <c r="D19" s="552"/>
      <c r="E19" s="165" t="s">
        <v>239</v>
      </c>
      <c r="F19" s="166" t="s">
        <v>248</v>
      </c>
      <c r="G19" s="160">
        <v>30</v>
      </c>
      <c r="H19" s="178">
        <f>G19/12</f>
        <v>2.5</v>
      </c>
      <c r="I19" s="198"/>
    </row>
    <row r="20" spans="3:13" ht="15.75" thickBot="1" x14ac:dyDescent="0.3">
      <c r="C20" s="540"/>
    </row>
    <row r="21" spans="3:13" ht="30" x14ac:dyDescent="0.25">
      <c r="C21" s="540"/>
      <c r="D21" s="542" t="s">
        <v>154</v>
      </c>
      <c r="E21" s="144" t="s">
        <v>249</v>
      </c>
      <c r="F21" s="145" t="s">
        <v>250</v>
      </c>
      <c r="G21" s="137">
        <v>45</v>
      </c>
      <c r="H21" s="174">
        <f t="shared" ref="H21:H27" si="0">G21/12</f>
        <v>3.75</v>
      </c>
      <c r="I21" s="196">
        <f>H21+H22+H23+H24+H25+H26+H27</f>
        <v>20.416666666666664</v>
      </c>
    </row>
    <row r="22" spans="3:13" ht="30" x14ac:dyDescent="0.25">
      <c r="C22" s="540"/>
      <c r="D22" s="543"/>
      <c r="E22" s="146" t="s">
        <v>249</v>
      </c>
      <c r="F22" s="139" t="s">
        <v>251</v>
      </c>
      <c r="G22" s="140">
        <v>40</v>
      </c>
      <c r="H22" s="193">
        <f t="shared" si="0"/>
        <v>3.3333333333333335</v>
      </c>
      <c r="I22" s="197"/>
    </row>
    <row r="23" spans="3:13" ht="30" x14ac:dyDescent="0.25">
      <c r="C23" s="540"/>
      <c r="D23" s="543"/>
      <c r="E23" s="138" t="s">
        <v>252</v>
      </c>
      <c r="F23" s="147" t="s">
        <v>253</v>
      </c>
      <c r="G23" s="140">
        <v>50</v>
      </c>
      <c r="H23" s="193">
        <f t="shared" si="0"/>
        <v>4.166666666666667</v>
      </c>
      <c r="I23" s="197"/>
      <c r="J23" s="199"/>
      <c r="K23" s="201">
        <f>I21*2</f>
        <v>40.833333333333329</v>
      </c>
    </row>
    <row r="24" spans="3:13" ht="30" x14ac:dyDescent="0.25">
      <c r="C24" s="540"/>
      <c r="D24" s="543"/>
      <c r="E24" s="146" t="s">
        <v>254</v>
      </c>
      <c r="F24" s="139" t="s">
        <v>255</v>
      </c>
      <c r="G24" s="140">
        <v>5</v>
      </c>
      <c r="H24" s="193">
        <f t="shared" si="0"/>
        <v>0.41666666666666669</v>
      </c>
      <c r="I24" s="197"/>
    </row>
    <row r="25" spans="3:13" ht="30" x14ac:dyDescent="0.25">
      <c r="C25" s="540"/>
      <c r="D25" s="543"/>
      <c r="E25" s="146" t="s">
        <v>256</v>
      </c>
      <c r="F25" s="147" t="s">
        <v>257</v>
      </c>
      <c r="G25" s="140">
        <v>30</v>
      </c>
      <c r="H25" s="193">
        <f t="shared" si="0"/>
        <v>2.5</v>
      </c>
      <c r="I25" s="197"/>
    </row>
    <row r="26" spans="3:13" ht="30" x14ac:dyDescent="0.25">
      <c r="C26" s="540"/>
      <c r="D26" s="543"/>
      <c r="E26" s="146" t="s">
        <v>256</v>
      </c>
      <c r="F26" s="139" t="s">
        <v>258</v>
      </c>
      <c r="G26" s="140">
        <v>15</v>
      </c>
      <c r="H26" s="193">
        <f t="shared" si="0"/>
        <v>1.25</v>
      </c>
      <c r="I26" s="197"/>
      <c r="M26">
        <f>J5+I36</f>
        <v>16.416666666666664</v>
      </c>
    </row>
    <row r="27" spans="3:13" ht="30.75" thickBot="1" x14ac:dyDescent="0.3">
      <c r="C27" s="540"/>
      <c r="D27" s="544"/>
      <c r="E27" s="148" t="s">
        <v>249</v>
      </c>
      <c r="F27" s="149" t="s">
        <v>259</v>
      </c>
      <c r="G27" s="143">
        <v>60</v>
      </c>
      <c r="H27" s="175">
        <f t="shared" si="0"/>
        <v>5</v>
      </c>
      <c r="I27" s="198"/>
    </row>
    <row r="28" spans="3:13" x14ac:dyDescent="0.25">
      <c r="C28" s="540"/>
    </row>
    <row r="29" spans="3:13" ht="15.75" thickBot="1" x14ac:dyDescent="0.3">
      <c r="C29" s="540"/>
    </row>
    <row r="30" spans="3:13" x14ac:dyDescent="0.25">
      <c r="C30" s="540"/>
      <c r="D30" s="545" t="s">
        <v>260</v>
      </c>
      <c r="E30" s="154" t="s">
        <v>241</v>
      </c>
      <c r="F30" s="155" t="s">
        <v>242</v>
      </c>
      <c r="G30" s="156">
        <v>30</v>
      </c>
      <c r="H30" s="176">
        <f>G30/12</f>
        <v>2.5</v>
      </c>
      <c r="I30" s="536">
        <f>H30+H31+H32+H33</f>
        <v>15</v>
      </c>
    </row>
    <row r="31" spans="3:13" ht="45" x14ac:dyDescent="0.25">
      <c r="C31" s="540"/>
      <c r="D31" s="546"/>
      <c r="E31" s="194" t="s">
        <v>243</v>
      </c>
      <c r="F31" s="195" t="s">
        <v>261</v>
      </c>
      <c r="G31" s="157">
        <v>50</v>
      </c>
      <c r="H31" s="177">
        <f>G31/12</f>
        <v>4.166666666666667</v>
      </c>
      <c r="I31" s="537"/>
      <c r="J31" s="199"/>
    </row>
    <row r="32" spans="3:13" ht="45" x14ac:dyDescent="0.25">
      <c r="C32" s="540"/>
      <c r="D32" s="546"/>
      <c r="E32" s="194" t="s">
        <v>243</v>
      </c>
      <c r="F32" s="195" t="s">
        <v>262</v>
      </c>
      <c r="G32" s="157">
        <v>50</v>
      </c>
      <c r="H32" s="177">
        <f>G32/12</f>
        <v>4.166666666666667</v>
      </c>
      <c r="I32" s="537"/>
    </row>
    <row r="33" spans="3:11" ht="15.75" thickBot="1" x14ac:dyDescent="0.3">
      <c r="C33" s="540"/>
      <c r="D33" s="547"/>
      <c r="E33" s="158" t="s">
        <v>246</v>
      </c>
      <c r="F33" s="159" t="s">
        <v>263</v>
      </c>
      <c r="G33" s="160">
        <v>50</v>
      </c>
      <c r="H33" s="178">
        <f>G33/12</f>
        <v>4.166666666666667</v>
      </c>
      <c r="I33" s="538"/>
    </row>
    <row r="34" spans="3:11" x14ac:dyDescent="0.25">
      <c r="C34" s="540"/>
    </row>
    <row r="35" spans="3:11" ht="15.75" thickBot="1" x14ac:dyDescent="0.3">
      <c r="C35" s="540"/>
    </row>
    <row r="36" spans="3:11" ht="45" x14ac:dyDescent="0.25">
      <c r="C36" s="540"/>
      <c r="D36" s="548" t="s">
        <v>264</v>
      </c>
      <c r="E36" s="150" t="s">
        <v>265</v>
      </c>
      <c r="F36" s="151" t="s">
        <v>266</v>
      </c>
      <c r="G36" s="137">
        <v>20</v>
      </c>
      <c r="H36" s="179">
        <f>G36/12</f>
        <v>1.6666666666666667</v>
      </c>
      <c r="I36" s="533">
        <f>H36+H37</f>
        <v>1.8333333333333335</v>
      </c>
    </row>
    <row r="37" spans="3:11" ht="45.75" thickBot="1" x14ac:dyDescent="0.3">
      <c r="C37" s="540"/>
      <c r="D37" s="549"/>
      <c r="E37" s="152" t="s">
        <v>268</v>
      </c>
      <c r="F37" s="153" t="s">
        <v>267</v>
      </c>
      <c r="G37" s="143">
        <v>2</v>
      </c>
      <c r="H37" s="180">
        <f>G37/12</f>
        <v>0.16666666666666666</v>
      </c>
      <c r="I37" s="535"/>
      <c r="K37">
        <f>I36/23</f>
        <v>7.9710144927536239E-2</v>
      </c>
    </row>
    <row r="38" spans="3:11" ht="15.75" thickBot="1" x14ac:dyDescent="0.3">
      <c r="C38" s="541"/>
      <c r="D38" s="181"/>
      <c r="E38" s="182"/>
      <c r="F38" s="182"/>
      <c r="G38" s="182"/>
      <c r="H38" s="183"/>
    </row>
    <row r="40" spans="3:11" x14ac:dyDescent="0.25">
      <c r="K40">
        <v>0.08</v>
      </c>
    </row>
  </sheetData>
  <mergeCells count="9">
    <mergeCell ref="I9:I13"/>
    <mergeCell ref="I30:I33"/>
    <mergeCell ref="I36:I37"/>
    <mergeCell ref="C3:C38"/>
    <mergeCell ref="D9:D13"/>
    <mergeCell ref="D30:D33"/>
    <mergeCell ref="D36:D37"/>
    <mergeCell ref="D21:D27"/>
    <mergeCell ref="D15:D19"/>
  </mergeCells>
  <pageMargins left="0.25" right="0.25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10</vt:i4>
      </vt:variant>
    </vt:vector>
  </HeadingPairs>
  <TitlesOfParts>
    <vt:vector size="21" baseType="lpstr">
      <vt:lpstr>Anexo II - Modelo de proposta</vt:lpstr>
      <vt:lpstr>RESUMO</vt:lpstr>
      <vt:lpstr>I-Copeiragem</vt:lpstr>
      <vt:lpstr>II-Servente de Limpeza</vt:lpstr>
      <vt:lpstr>III-Aux. de Manutenção Predial</vt:lpstr>
      <vt:lpstr>IV-Recepcionista</vt:lpstr>
      <vt:lpstr>V-Assistente Administrativo </vt:lpstr>
      <vt:lpstr>VI-Assistente Adm. MHMTT</vt:lpstr>
      <vt:lpstr>VII-Motorista I</vt:lpstr>
      <vt:lpstr>VIII-Motorista II</vt:lpstr>
      <vt:lpstr>UNIFORMES.EPIS</vt:lpstr>
      <vt:lpstr>'Anexo II - Modelo de proposta'!Area_de_impressao</vt:lpstr>
      <vt:lpstr>'I-Copeiragem'!Area_de_impressao</vt:lpstr>
      <vt:lpstr>'III-Aux. de Manutenção Predial'!Area_de_impressao</vt:lpstr>
      <vt:lpstr>'II-Servente de Limpeza'!Area_de_impressao</vt:lpstr>
      <vt:lpstr>'IV-Recepcionista'!Area_de_impressao</vt:lpstr>
      <vt:lpstr>UNIFORMES.EPIS!Area_de_impressao</vt:lpstr>
      <vt:lpstr>'V-Assistente Administrativo '!Area_de_impressao</vt:lpstr>
      <vt:lpstr>'VI-Assistente Adm. MHMTT'!Area_de_impressao</vt:lpstr>
      <vt:lpstr>'VIII-Motorista II'!Area_de_impressao</vt:lpstr>
      <vt:lpstr>'VII-Motorista I'!Area_de_impressao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compras03</dc:creator>
  <cp:lastModifiedBy>user-4787</cp:lastModifiedBy>
  <cp:lastPrinted>2024-08-19T15:16:40Z</cp:lastPrinted>
  <dcterms:created xsi:type="dcterms:W3CDTF">2022-07-27T16:01:59Z</dcterms:created>
  <dcterms:modified xsi:type="dcterms:W3CDTF">2024-08-19T20:43:50Z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2024-08-15T15:12:24Z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f5704d32-5aba-421c-8138-317ca76be947</vt:lpwstr>
  </property>
  <property fmtid="{D5CDD505-2E9C-101B-9397-08002B2CF9AE}" pid="7" name="MSIP_Label_defa4170-0d19-0005-0004-bc88714345d2_ActionId">
    <vt:lpwstr>0efbd614-9b3c-4d57-9294-67cabe15f082</vt:lpwstr>
  </property>
  <property fmtid="{D5CDD505-2E9C-101B-9397-08002B2CF9AE}" pid="8" name="MSIP_Label_defa4170-0d19-0005-0004-bc88714345d2_ContentBits">
    <vt:lpwstr>0</vt:lpwstr>
  </property>
</Properties>
</file>