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codeName="EstaPasta_de_trabalho" defaultThemeVersion="124226"/>
  <mc:AlternateContent xmlns:mc="http://schemas.openxmlformats.org/markup-compatibility/2006">
    <mc:Choice Requires="x15">
      <x15ac:absPath xmlns:x15ac="http://schemas.microsoft.com/office/spreadsheetml/2010/11/ac" url="https://saaeunaimggovbr-my.sharepoint.com/personal/julio_oliveira_saaeunai_mg_gov_br/Documents/Documentos/Licitações/Ano 2025/Galpão de frente o Saae/Anexos do Galpão/"/>
    </mc:Choice>
  </mc:AlternateContent>
  <xr:revisionPtr revIDLastSave="2039" documentId="11_9386385835C74BFE84F47D7AC20097FFBF5621A8" xr6:coauthVersionLast="47" xr6:coauthVersionMax="47" xr10:uidLastSave="{AAC3B0C4-55FD-4D41-A4A5-2FB86E39F804}"/>
  <bookViews>
    <workbookView xWindow="2850" yWindow="810" windowWidth="18435" windowHeight="14670" tabRatio="638" activeTab="3" xr2:uid="{00000000-000D-0000-FFFF-FFFF00000000}"/>
  </bookViews>
  <sheets>
    <sheet name="PLANILHA de preço (2)" sheetId="15" r:id="rId1"/>
    <sheet name="PLANILHA de preço" sheetId="14" r:id="rId2"/>
    <sheet name="Cronograma_ff" sheetId="7" r:id="rId3"/>
    <sheet name="DBI" sheetId="10" r:id="rId4"/>
  </sheets>
  <definedNames>
    <definedName name="_xlnm.Print_Area" localSheetId="2">Cronograma_ff!$A$1:$N$23</definedName>
    <definedName name="_xlnm.Print_Area" localSheetId="3">DBI!$A$1:$L$21</definedName>
    <definedName name="_xlnm.Print_Area" localSheetId="1">'PLANILHA de preço'!$A$1:$I$63</definedName>
    <definedName name="_xlnm.Print_Area" localSheetId="0">'PLANILHA de preço (2)'!$A$1:$I$67</definedName>
    <definedName name="margem" localSheetId="2">Cronograma_ff!#REF!</definedName>
    <definedName name="margem" localSheetId="3">#REF!</definedName>
    <definedName name="margem" localSheetId="1">'PLANILHA de preço'!#REF!</definedName>
    <definedName name="margem" localSheetId="0">'PLANILHA de preço (2)'!#REF!</definedName>
    <definedName name="margem">#REF!</definedName>
    <definedName name="_xlnm.Print_Titles" localSheetId="2">Cronograma_ff!$2:$2</definedName>
    <definedName name="_xlnm.Print_Titles" localSheetId="1">'PLANILHA de preço'!$1:$3</definedName>
    <definedName name="_xlnm.Print_Titles" localSheetId="0">'PLANILHA de preço (2)'!$1:$3</definedName>
    <definedName name="TOTAL">Cronograma_ff!#REF!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3" i="14" l="1"/>
  <c r="E35" i="14"/>
  <c r="E39" i="14"/>
  <c r="M9" i="7" l="1"/>
  <c r="M10" i="7"/>
  <c r="M11" i="7"/>
  <c r="M12" i="7"/>
  <c r="M13" i="7"/>
  <c r="M14" i="7"/>
  <c r="M15" i="7"/>
  <c r="B15" i="7"/>
  <c r="B14" i="7"/>
  <c r="B13" i="7"/>
  <c r="B12" i="7"/>
  <c r="B11" i="7"/>
  <c r="B10" i="7"/>
  <c r="B9" i="7"/>
  <c r="B8" i="7"/>
  <c r="F35" i="14"/>
  <c r="E56" i="14"/>
  <c r="I55" i="14"/>
  <c r="I45" i="14"/>
  <c r="I29" i="14"/>
  <c r="I30" i="14"/>
  <c r="I28" i="14"/>
  <c r="E54" i="14"/>
  <c r="E55" i="14" s="1"/>
  <c r="E36" i="14"/>
  <c r="I50" i="14"/>
  <c r="I48" i="14"/>
  <c r="E47" i="14"/>
  <c r="E48" i="14" s="1"/>
  <c r="E24" i="14"/>
  <c r="E25" i="14"/>
  <c r="E26" i="14"/>
  <c r="E21" i="14"/>
  <c r="E22" i="14" s="1"/>
  <c r="F72" i="14"/>
  <c r="E67" i="14"/>
  <c r="G73" i="14"/>
  <c r="H73" i="14" s="1"/>
  <c r="H74" i="14" s="1"/>
  <c r="I68" i="14"/>
  <c r="C74" i="14"/>
  <c r="E73" i="14"/>
  <c r="E74" i="14" s="1"/>
  <c r="D90" i="14" l="1"/>
  <c r="D98" i="14"/>
  <c r="D95" i="14"/>
  <c r="E38" i="14"/>
  <c r="I71" i="14"/>
  <c r="E57" i="14"/>
  <c r="E33" i="14"/>
  <c r="H99" i="15"/>
  <c r="G98" i="15"/>
  <c r="H98" i="15" s="1"/>
  <c r="G95" i="15"/>
  <c r="H95" i="15" s="1"/>
  <c r="J89" i="15"/>
  <c r="F89" i="15"/>
  <c r="J88" i="15" s="1"/>
  <c r="F88" i="15"/>
  <c r="G96" i="15" s="1"/>
  <c r="H96" i="15" s="1"/>
  <c r="G87" i="15"/>
  <c r="F87" i="15"/>
  <c r="J86" i="15" s="1"/>
  <c r="F86" i="15"/>
  <c r="J85" i="15" s="1"/>
  <c r="F85" i="15"/>
  <c r="J84" i="15" s="1"/>
  <c r="G84" i="15"/>
  <c r="F84" i="15"/>
  <c r="J83" i="15" s="1"/>
  <c r="G83" i="15"/>
  <c r="F81" i="15"/>
  <c r="G85" i="15" s="1"/>
  <c r="H85" i="15" s="1"/>
  <c r="I85" i="15" s="1"/>
  <c r="E81" i="15"/>
  <c r="D81" i="15"/>
  <c r="G86" i="15" s="1"/>
  <c r="C81" i="15"/>
  <c r="G80" i="15"/>
  <c r="C76" i="15"/>
  <c r="C75" i="15"/>
  <c r="C74" i="15"/>
  <c r="C73" i="15"/>
  <c r="F72" i="15"/>
  <c r="B70" i="15"/>
  <c r="E59" i="15"/>
  <c r="E61" i="15" s="1"/>
  <c r="E55" i="15"/>
  <c r="E57" i="15" s="1"/>
  <c r="E51" i="15"/>
  <c r="E50" i="15"/>
  <c r="E49" i="15"/>
  <c r="E47" i="15" s="1"/>
  <c r="I48" i="15"/>
  <c r="I46" i="15"/>
  <c r="E46" i="15"/>
  <c r="E40" i="15"/>
  <c r="E39" i="15"/>
  <c r="E41" i="15" s="1"/>
  <c r="E42" i="15" s="1"/>
  <c r="E43" i="15" s="1"/>
  <c r="E44" i="15" s="1"/>
  <c r="E37" i="15"/>
  <c r="E35" i="15"/>
  <c r="E34" i="15"/>
  <c r="E30" i="15"/>
  <c r="E29" i="15"/>
  <c r="E31" i="15" s="1"/>
  <c r="E32" i="15" s="1"/>
  <c r="E25" i="15"/>
  <c r="E24" i="15"/>
  <c r="E22" i="15"/>
  <c r="H22" i="15" s="1"/>
  <c r="H21" i="15"/>
  <c r="E21" i="15"/>
  <c r="H20" i="15"/>
  <c r="H19" i="15"/>
  <c r="E18" i="15"/>
  <c r="H18" i="15" s="1"/>
  <c r="H17" i="15"/>
  <c r="E16" i="15"/>
  <c r="H16" i="15" s="1"/>
  <c r="E32" i="14"/>
  <c r="D102" i="14" l="1"/>
  <c r="G92" i="15"/>
  <c r="H92" i="15" s="1"/>
  <c r="H84" i="15"/>
  <c r="I84" i="15" s="1"/>
  <c r="G93" i="15"/>
  <c r="H93" i="15" s="1"/>
  <c r="H86" i="15"/>
  <c r="I86" i="15" s="1"/>
  <c r="J87" i="15"/>
  <c r="E48" i="15"/>
  <c r="E26" i="15"/>
  <c r="E27" i="15" s="1"/>
  <c r="E60" i="15"/>
  <c r="H15" i="15"/>
  <c r="E63" i="15"/>
  <c r="G94" i="15"/>
  <c r="H94" i="15" s="1"/>
  <c r="G97" i="15"/>
  <c r="H97" i="15" s="1"/>
  <c r="E56" i="15"/>
  <c r="H83" i="15"/>
  <c r="I83" i="15" s="1"/>
  <c r="G88" i="15"/>
  <c r="H88" i="15"/>
  <c r="I88" i="15" s="1"/>
  <c r="H87" i="15"/>
  <c r="I87" i="15" s="1"/>
  <c r="E17" i="14"/>
  <c r="E16" i="14"/>
  <c r="I89" i="15" l="1"/>
  <c r="E18" i="14"/>
  <c r="E19" i="14" s="1"/>
  <c r="E27" i="14"/>
  <c r="E43" i="14"/>
  <c r="E44" i="14" s="1"/>
  <c r="E34" i="14"/>
  <c r="E45" i="14" l="1"/>
  <c r="E50" i="14"/>
  <c r="E28" i="14"/>
  <c r="E29" i="14" s="1"/>
  <c r="E30" i="14" s="1"/>
  <c r="H95" i="14" l="1"/>
  <c r="G94" i="14"/>
  <c r="H94" i="14" s="1"/>
  <c r="J85" i="14"/>
  <c r="F81" i="14"/>
  <c r="G89" i="14" s="1"/>
  <c r="H89" i="14" s="1"/>
  <c r="F82" i="14"/>
  <c r="G90" i="14" s="1"/>
  <c r="H90" i="14" s="1"/>
  <c r="F83" i="14"/>
  <c r="G91" i="14" s="1"/>
  <c r="H91" i="14" s="1"/>
  <c r="F84" i="14"/>
  <c r="F85" i="14"/>
  <c r="J84" i="14" s="1"/>
  <c r="F80" i="14"/>
  <c r="G88" i="14" s="1"/>
  <c r="H88" i="14" s="1"/>
  <c r="G76" i="14"/>
  <c r="F77" i="14"/>
  <c r="G81" i="14" s="1"/>
  <c r="E77" i="14"/>
  <c r="D77" i="14"/>
  <c r="G80" i="14" s="1"/>
  <c r="C77" i="14"/>
  <c r="G83" i="14" l="1"/>
  <c r="H83" i="14" s="1"/>
  <c r="I83" i="14" s="1"/>
  <c r="G93" i="14"/>
  <c r="H93" i="14" s="1"/>
  <c r="G82" i="14"/>
  <c r="H82" i="14" s="1"/>
  <c r="I82" i="14" s="1"/>
  <c r="G92" i="14"/>
  <c r="H92" i="14" s="1"/>
  <c r="G79" i="14"/>
  <c r="H79" i="14" s="1"/>
  <c r="I79" i="14" s="1"/>
  <c r="J83" i="14"/>
  <c r="G84" i="14"/>
  <c r="H84" i="14" s="1"/>
  <c r="I84" i="14" s="1"/>
  <c r="H81" i="14"/>
  <c r="I81" i="14" s="1"/>
  <c r="H80" i="14"/>
  <c r="I80" i="14" s="1"/>
  <c r="J82" i="14"/>
  <c r="J81" i="14"/>
  <c r="J79" i="14"/>
  <c r="J80" i="14"/>
  <c r="C70" i="14"/>
  <c r="C69" i="14"/>
  <c r="C71" i="14"/>
  <c r="C72" i="14"/>
  <c r="I85" i="14" l="1"/>
  <c r="H9" i="10" l="1"/>
  <c r="B66" i="14" l="1"/>
  <c r="F9" i="10" l="1"/>
  <c r="D9" i="10"/>
  <c r="M8" i="7"/>
  <c r="J4" i="7" l="1"/>
  <c r="J4" i="10" l="1"/>
  <c r="M3" i="7" l="1"/>
  <c r="B4" i="7" l="1"/>
  <c r="B3" i="7"/>
  <c r="H13" i="10" l="1"/>
  <c r="K6" i="10" s="1"/>
  <c r="H6" i="14" l="1"/>
  <c r="G37" i="14" s="1"/>
  <c r="H37" i="14" s="1"/>
  <c r="H6" i="15"/>
  <c r="N3" i="7"/>
  <c r="B3" i="10"/>
  <c r="B4" i="10"/>
  <c r="G55" i="14" l="1"/>
  <c r="H55" i="14" s="1"/>
  <c r="G54" i="14"/>
  <c r="H54" i="14" s="1"/>
  <c r="G45" i="14"/>
  <c r="H45" i="14" s="1"/>
  <c r="G38" i="14"/>
  <c r="H38" i="14" s="1"/>
  <c r="G30" i="14"/>
  <c r="H30" i="14" s="1"/>
  <c r="G24" i="14"/>
  <c r="H24" i="14" s="1"/>
  <c r="G17" i="14"/>
  <c r="H17" i="14" s="1"/>
  <c r="G10" i="14"/>
  <c r="H10" i="14" s="1"/>
  <c r="G53" i="14"/>
  <c r="H53" i="14" s="1"/>
  <c r="G44" i="14"/>
  <c r="H44" i="14" s="1"/>
  <c r="G36" i="14"/>
  <c r="H36" i="14" s="1"/>
  <c r="G29" i="14"/>
  <c r="H29" i="14" s="1"/>
  <c r="G23" i="14"/>
  <c r="H23" i="14" s="1"/>
  <c r="G16" i="14"/>
  <c r="H16" i="14" s="1"/>
  <c r="G52" i="14"/>
  <c r="H52" i="14" s="1"/>
  <c r="G43" i="14"/>
  <c r="H43" i="14" s="1"/>
  <c r="G28" i="14"/>
  <c r="H28" i="14" s="1"/>
  <c r="G22" i="14"/>
  <c r="H22" i="14" s="1"/>
  <c r="G14" i="14"/>
  <c r="H14" i="14" s="1"/>
  <c r="G57" i="14"/>
  <c r="H57" i="14" s="1"/>
  <c r="G50" i="14"/>
  <c r="H50" i="14" s="1"/>
  <c r="H49" i="14" s="1"/>
  <c r="G41" i="14"/>
  <c r="H41" i="14" s="1"/>
  <c r="G34" i="14"/>
  <c r="H34" i="14" s="1"/>
  <c r="G27" i="14"/>
  <c r="H27" i="14" s="1"/>
  <c r="G21" i="14"/>
  <c r="H21" i="14" s="1"/>
  <c r="G13" i="14"/>
  <c r="H13" i="14" s="1"/>
  <c r="G56" i="14"/>
  <c r="H56" i="14" s="1"/>
  <c r="G48" i="14"/>
  <c r="H48" i="14" s="1"/>
  <c r="G40" i="14"/>
  <c r="H40" i="14" s="1"/>
  <c r="G33" i="14"/>
  <c r="H33" i="14" s="1"/>
  <c r="G26" i="14"/>
  <c r="H26" i="14" s="1"/>
  <c r="G19" i="14"/>
  <c r="H19" i="14" s="1"/>
  <c r="G12" i="14"/>
  <c r="H12" i="14" s="1"/>
  <c r="G47" i="14"/>
  <c r="H47" i="14" s="1"/>
  <c r="H46" i="14" s="1"/>
  <c r="C13" i="7" s="1"/>
  <c r="G39" i="14"/>
  <c r="H39" i="14" s="1"/>
  <c r="G32" i="14"/>
  <c r="H32" i="14" s="1"/>
  <c r="G25" i="14"/>
  <c r="H25" i="14" s="1"/>
  <c r="G18" i="14"/>
  <c r="H18" i="14" s="1"/>
  <c r="G11" i="14"/>
  <c r="H11" i="14" s="1"/>
  <c r="G35" i="14"/>
  <c r="H35" i="14" s="1"/>
  <c r="G52" i="15"/>
  <c r="H52" i="15" s="1"/>
  <c r="G26" i="15"/>
  <c r="H26" i="15" s="1"/>
  <c r="I26" i="15" s="1"/>
  <c r="G56" i="15"/>
  <c r="H56" i="15" s="1"/>
  <c r="G36" i="15"/>
  <c r="H36" i="15" s="1"/>
  <c r="G50" i="15"/>
  <c r="H50" i="15" s="1"/>
  <c r="G53" i="15"/>
  <c r="H53" i="15" s="1"/>
  <c r="G10" i="15"/>
  <c r="H10" i="15" s="1"/>
  <c r="G41" i="15"/>
  <c r="H41" i="15" s="1"/>
  <c r="G12" i="15"/>
  <c r="H12" i="15" s="1"/>
  <c r="G32" i="15"/>
  <c r="H32" i="15" s="1"/>
  <c r="G11" i="15"/>
  <c r="H11" i="15" s="1"/>
  <c r="G60" i="15"/>
  <c r="H60" i="15" s="1"/>
  <c r="G13" i="15"/>
  <c r="H13" i="15" s="1"/>
  <c r="G43" i="15"/>
  <c r="H43" i="15" s="1"/>
  <c r="G46" i="15"/>
  <c r="H46" i="15" s="1"/>
  <c r="G40" i="15"/>
  <c r="H40" i="15" s="1"/>
  <c r="G51" i="15"/>
  <c r="H51" i="15" s="1"/>
  <c r="G61" i="15"/>
  <c r="H61" i="15" s="1"/>
  <c r="G31" i="15"/>
  <c r="H31" i="15" s="1"/>
  <c r="G55" i="15"/>
  <c r="H55" i="15" s="1"/>
  <c r="G35" i="15"/>
  <c r="H35" i="15" s="1"/>
  <c r="G63" i="15"/>
  <c r="H63" i="15" s="1"/>
  <c r="H62" i="15" s="1"/>
  <c r="G24" i="15"/>
  <c r="H24" i="15" s="1"/>
  <c r="G49" i="15"/>
  <c r="H49" i="15" s="1"/>
  <c r="G30" i="15"/>
  <c r="H30" i="15" s="1"/>
  <c r="G27" i="15"/>
  <c r="H27" i="15" s="1"/>
  <c r="I27" i="15" s="1"/>
  <c r="G37" i="15"/>
  <c r="H37" i="15" s="1"/>
  <c r="G29" i="15"/>
  <c r="H29" i="15" s="1"/>
  <c r="G48" i="15"/>
  <c r="H48" i="15" s="1"/>
  <c r="G47" i="15"/>
  <c r="H47" i="15" s="1"/>
  <c r="G42" i="15"/>
  <c r="H42" i="15" s="1"/>
  <c r="G34" i="15"/>
  <c r="H34" i="15" s="1"/>
  <c r="H33" i="15" s="1"/>
  <c r="G59" i="15"/>
  <c r="H59" i="15" s="1"/>
  <c r="G14" i="15"/>
  <c r="H14" i="15" s="1"/>
  <c r="G57" i="15"/>
  <c r="H57" i="15" s="1"/>
  <c r="G44" i="15"/>
  <c r="H44" i="15" s="1"/>
  <c r="G25" i="15"/>
  <c r="H25" i="15" s="1"/>
  <c r="I25" i="15" s="1"/>
  <c r="G39" i="15"/>
  <c r="H39" i="15" s="1"/>
  <c r="H9" i="14" l="1"/>
  <c r="H31" i="14"/>
  <c r="C11" i="7" s="1"/>
  <c r="J11" i="7" s="1"/>
  <c r="H42" i="14"/>
  <c r="H15" i="14"/>
  <c r="C9" i="7" s="1"/>
  <c r="H9" i="7" s="1"/>
  <c r="H51" i="14"/>
  <c r="C15" i="7" s="1"/>
  <c r="L15" i="7" s="1"/>
  <c r="H20" i="14"/>
  <c r="C8" i="7"/>
  <c r="J8" i="7" s="1"/>
  <c r="H45" i="15"/>
  <c r="I24" i="15"/>
  <c r="H23" i="15"/>
  <c r="H58" i="15"/>
  <c r="H54" i="15"/>
  <c r="H38" i="15"/>
  <c r="H28" i="15"/>
  <c r="H9" i="15"/>
  <c r="F13" i="7"/>
  <c r="H13" i="7"/>
  <c r="J13" i="7"/>
  <c r="L13" i="7"/>
  <c r="L9" i="7"/>
  <c r="H11" i="7" l="1"/>
  <c r="L11" i="7"/>
  <c r="F11" i="7"/>
  <c r="J9" i="7"/>
  <c r="J15" i="7"/>
  <c r="F9" i="7"/>
  <c r="N9" i="7" s="1"/>
  <c r="F15" i="7"/>
  <c r="H15" i="7"/>
  <c r="F8" i="7"/>
  <c r="H58" i="14"/>
  <c r="H8" i="7"/>
  <c r="L8" i="7"/>
  <c r="H8" i="15"/>
  <c r="N13" i="7"/>
  <c r="N11" i="7" l="1"/>
  <c r="N8" i="7"/>
  <c r="N15" i="7"/>
  <c r="C10" i="7"/>
  <c r="C14" i="7"/>
  <c r="F14" i="7" l="1"/>
  <c r="H14" i="7"/>
  <c r="J14" i="7"/>
  <c r="L14" i="7"/>
  <c r="H10" i="7"/>
  <c r="L10" i="7"/>
  <c r="J10" i="7"/>
  <c r="F10" i="7"/>
  <c r="N10" i="7" l="1"/>
  <c r="N14" i="7"/>
  <c r="C12" i="7" l="1"/>
  <c r="H12" i="7" l="1"/>
  <c r="H16" i="7" s="1"/>
  <c r="F12" i="7"/>
  <c r="J12" i="7"/>
  <c r="J16" i="7" s="1"/>
  <c r="L12" i="7"/>
  <c r="L16" i="7" s="1"/>
  <c r="C17" i="7"/>
  <c r="D12" i="7" s="1"/>
  <c r="C16" i="7"/>
  <c r="H8" i="14"/>
  <c r="K16" i="7" l="1"/>
  <c r="I16" i="7"/>
  <c r="G16" i="7"/>
  <c r="N12" i="7"/>
  <c r="N16" i="7" s="1"/>
  <c r="F16" i="7"/>
  <c r="D11" i="7"/>
  <c r="D9" i="7"/>
  <c r="D13" i="7"/>
  <c r="D15" i="7"/>
  <c r="D8" i="7"/>
  <c r="D14" i="7"/>
  <c r="D10" i="7"/>
  <c r="E16" i="7" l="1"/>
  <c r="M16" i="7" s="1"/>
  <c r="F17" i="7"/>
  <c r="H17" i="7" s="1"/>
  <c r="J17" i="7" s="1"/>
  <c r="L17" i="7" s="1"/>
  <c r="E17" i="7" l="1"/>
  <c r="G17" i="7" s="1"/>
  <c r="I17" i="7" s="1"/>
  <c r="K17" i="7" s="1"/>
</calcChain>
</file>

<file path=xl/sharedStrings.xml><?xml version="1.0" encoding="utf-8"?>
<sst xmlns="http://schemas.openxmlformats.org/spreadsheetml/2006/main" count="553" uniqueCount="292">
  <si>
    <t>ITEM</t>
  </si>
  <si>
    <t>UNID</t>
  </si>
  <si>
    <t>1.1</t>
  </si>
  <si>
    <t>DESCRIÇÃO DOS SERVIÇOS</t>
  </si>
  <si>
    <t>QTDE</t>
  </si>
  <si>
    <t>T.COM BDI R$</t>
  </si>
  <si>
    <t>fisico</t>
  </si>
  <si>
    <t>financeiro</t>
  </si>
  <si>
    <t>30 dias</t>
  </si>
  <si>
    <t>60 dias</t>
  </si>
  <si>
    <t>90 dias</t>
  </si>
  <si>
    <t>TOTAL</t>
  </si>
  <si>
    <t>TOTAL SIMPLES</t>
  </si>
  <si>
    <t>TOTAL ACUMULADO</t>
  </si>
  <si>
    <t>CRONOGRAMA FISICO/FINANCEIRO</t>
  </si>
  <si>
    <t>M²</t>
  </si>
  <si>
    <t>1.</t>
  </si>
  <si>
    <t>2.</t>
  </si>
  <si>
    <t>3.</t>
  </si>
  <si>
    <t>M³</t>
  </si>
  <si>
    <t>OBRA:</t>
  </si>
  <si>
    <t>LOCAL:</t>
  </si>
  <si>
    <t>Código</t>
  </si>
  <si>
    <t xml:space="preserve"> UNIT.</t>
  </si>
  <si>
    <t>UNIT. + BDI</t>
  </si>
  <si>
    <t>%</t>
  </si>
  <si>
    <t>1.3</t>
  </si>
  <si>
    <t>4.</t>
  </si>
  <si>
    <t>ED-16355</t>
  </si>
  <si>
    <t>MÊS</t>
  </si>
  <si>
    <t>LOCAÇÃO DE CONTAINER COM ISOLAMENTO TÉRMICO, TIPO 8, PARA VESTIÁRIO DE OBRA COM OITO (8) BANCOS E CINCO( 5) ARMÁRIOS, COM MEDIDAS REFERENCIAIS DE (6) METROS COMPRIMENTO,( 2,3)METROS LARGURA E (2,5) METROS ALTURA ÚTIL INTERNA, INCLUSIVE LIGAÇÕES ELÉTRICAS INTERNAS, EXCLUSIVE MOBILIZAÇÃO/DESMOBILIZAÇÃO E LIGAÇÕES PROVISÓRIAS EXTERNAS</t>
  </si>
  <si>
    <t>LIMPEZA FINAL PARA ENTREGA DA OBRA</t>
  </si>
  <si>
    <t>DATA:</t>
  </si>
  <si>
    <t>PLANILHA DE COMPOSIÇÃO DE BDI - SERVIÇOS</t>
  </si>
  <si>
    <t>Regime de execução das obras: EMPREITADA GLOBAL  POR PREÇO UNITARIO</t>
  </si>
  <si>
    <t>BDI:</t>
  </si>
  <si>
    <t xml:space="preserve">Risco (R) </t>
  </si>
  <si>
    <t xml:space="preserve">De </t>
  </si>
  <si>
    <t>até</t>
  </si>
  <si>
    <t>Risco:</t>
  </si>
  <si>
    <t>BDI=((1+(Ac+S+G+R))×(1+DF)×(1+L))/(1-(I+INSS))</t>
  </si>
  <si>
    <t>Despesas financeiras (DF)</t>
  </si>
  <si>
    <t>Despesas financeiras:</t>
  </si>
  <si>
    <t>Administração Central (Ac)</t>
  </si>
  <si>
    <t>Administração central:</t>
  </si>
  <si>
    <t xml:space="preserve"> Observações:</t>
  </si>
  <si>
    <t>Garantias</t>
  </si>
  <si>
    <t>Lucro (L)</t>
  </si>
  <si>
    <t>Lucro:</t>
  </si>
  <si>
    <t>i) Composição do BDI, intervalos admissíveis e fórmula de cálculo nos termos do Acórdão 2622/13 do TCU.</t>
  </si>
  <si>
    <t>Tributos(I)</t>
  </si>
  <si>
    <t>Tributos:</t>
  </si>
  <si>
    <t>PIS</t>
  </si>
  <si>
    <t>COFINS</t>
  </si>
  <si>
    <t xml:space="preserve">ii) Tributos adotados =   PIS + CONFINS+ ISS </t>
  </si>
  <si>
    <t>ISS</t>
  </si>
  <si>
    <t>INSS (CPRB)</t>
  </si>
  <si>
    <t>INSS  (CPRB)</t>
  </si>
  <si>
    <t>ED-50266</t>
  </si>
  <si>
    <t>Total</t>
  </si>
  <si>
    <t>Seguros   (S)+Garantias   (G)</t>
  </si>
  <si>
    <t>M</t>
  </si>
  <si>
    <t xml:space="preserve">ED-21776 </t>
  </si>
  <si>
    <t>ENCARREGADO GERAL DE OBRAS COM ENCARGOS COMPLEMENTARES</t>
  </si>
  <si>
    <t xml:space="preserve">MÊS </t>
  </si>
  <si>
    <t>Composição do BDI</t>
  </si>
  <si>
    <t>TOTAL GERAL  :</t>
  </si>
  <si>
    <t>LIMPEZA</t>
  </si>
  <si>
    <t>MURO DA ETE</t>
  </si>
  <si>
    <t>Referencia:</t>
  </si>
  <si>
    <t>RECURSO:</t>
  </si>
  <si>
    <t>Proprio</t>
  </si>
  <si>
    <t>SERVIÇO PRELIMINAR / ADMINISTRAÇÃO</t>
  </si>
  <si>
    <t>–––––––––––––––––-----–––––––</t>
  </si>
  <si>
    <t>Júlio da Costa Oliveira, Mat. 363</t>
  </si>
  <si>
    <r>
      <t>Engº. Civil C</t>
    </r>
    <r>
      <rPr>
        <sz val="12"/>
        <color rgb="FF000000"/>
        <rFont val="Arial"/>
        <family val="2"/>
      </rPr>
      <t>rea-MG:176499/D</t>
    </r>
  </si>
  <si>
    <t>Seguros (S)+Garantias(G)+ Risco(R)</t>
  </si>
  <si>
    <t>3.1</t>
  </si>
  <si>
    <t>3.2</t>
  </si>
  <si>
    <t>______________________________</t>
  </si>
  <si>
    <t xml:space="preserve">OBRA:                                                                                                                                        </t>
  </si>
  <si>
    <t xml:space="preserve">LOCAL:                                                                                                                                </t>
  </si>
  <si>
    <t>MEMORIA DE CALCULO</t>
  </si>
  <si>
    <t>Projeto</t>
  </si>
  <si>
    <t>5.2</t>
  </si>
  <si>
    <t>5.1</t>
  </si>
  <si>
    <t>Percentual %</t>
  </si>
  <si>
    <t>5.3</t>
  </si>
  <si>
    <t>Minima 2 horas diárias</t>
  </si>
  <si>
    <t>15*15</t>
  </si>
  <si>
    <t>UN</t>
  </si>
  <si>
    <t>ED-50274</t>
  </si>
  <si>
    <t>2.1</t>
  </si>
  <si>
    <t>2.2</t>
  </si>
  <si>
    <t>2.3</t>
  </si>
  <si>
    <t>2.4</t>
  </si>
  <si>
    <t>2.5</t>
  </si>
  <si>
    <t>2.6</t>
  </si>
  <si>
    <t>PLANILHA DE REFERÊNCIA (anexo do relatório de pesquisa de preços)</t>
  </si>
  <si>
    <t xml:space="preserve"> LOCAÇÃO TOPOGRÁFICA PARA ATÉ VINTE (20) PONTOS REFERENCIAIS, INCLUSIVE ESTACA (PIQUETE) DE MARCAÇÃO</t>
  </si>
  <si>
    <t>12.5</t>
  </si>
  <si>
    <t>10.0</t>
  </si>
  <si>
    <t>8.0</t>
  </si>
  <si>
    <t>6.3</t>
  </si>
  <si>
    <t>5.0</t>
  </si>
  <si>
    <t>MURO DE FECHAMENTO - FRENTE E FUNDO E LATERAIS- L=66,00M - H=3,15M</t>
  </si>
  <si>
    <t>ESTACA BROCA DE CONCRETO, DIÂMETRO DE 30CM, ESCAVAÇÃO MANUAL COM TRADO CONCHA, INTEIRAMENTE ARMADA. AF_05/2020_PA</t>
  </si>
  <si>
    <t>m</t>
  </si>
  <si>
    <t>m³</t>
  </si>
  <si>
    <t>kg</t>
  </si>
  <si>
    <t>m²</t>
  </si>
  <si>
    <t>PAREDES</t>
  </si>
  <si>
    <t>ALVENARIA DE VEDAÇÃO DE BLOCOS CERÂMICOS FURADOS NA VERTICAL DE 14X19X39 CM (ESPESSURA 14 CM) E ARGAMASSA DE ASSENTAMENTO COM PREPARO EM BETONEIRA. AF_12/2021</t>
  </si>
  <si>
    <t>1.4</t>
  </si>
  <si>
    <t>IMPERMEABILIZAÇÃO DE SUPERFÍCIE COM EMULSÃO ASFÁLTICA, 2 DEMÃOS. AF_09/2023</t>
  </si>
  <si>
    <t>1.5</t>
  </si>
  <si>
    <t>CHAPISCO APLICADO EM ALVENARIAS E ESTRUTURAS DE CONCRETO INTERNAS, COM COLHER DE PEDREIRO. ARGAMASSA TRAÇO 1:3 COM PREPARO EM BETONEIRA 400L. AF_10/2022</t>
  </si>
  <si>
    <t>EMBOÇO OU MASSA ÚNICA EM ARGAMASSA TRAÇO 1:2:8, PREPARO MECÂNICA COM BETONEIRA 400 L, APLICADA MANUALMENTE EM PANOS DE FACHADA SEM PRESENÇA DE VÃOS, ESPESSURA DE 25 MM, ACESSO POR ANDAIME. AF_08/2022</t>
  </si>
  <si>
    <t>COBERTURA</t>
  </si>
  <si>
    <t>FUNDO SELADOR ACRÍLICO, APLICAÇÃO MANUAL EM PAREDE, UMA DEMÃO. AF_04/2023</t>
  </si>
  <si>
    <t>PINTURA LÁTEX ACRÍLICA STANDARD, APLICAÇÃO MANUAL EM PAREDES, DUAS DEMÃOS. AF_04/2023</t>
  </si>
  <si>
    <t>Portão</t>
  </si>
  <si>
    <t>PINTURA COM TINTA ALQUÍDICA DE FUNDO (TIPO ZARCÃO) PULVERIZADA SOBRE PERFIL METÁLICO EXECUTADO EM FÁBRICA (POR DEMÃO). AF_01/2020_PE</t>
  </si>
  <si>
    <t>PINTURA COM TINTA ALQUÍDICA DE ACABAMENTO (ESMALTE SINTÉTICO FOSCO) APLICADA A ROLO OU PINCEL SOBRE SUPERFÍCIES METÁLICAS (EXCETO PERFIL) EXECUTADO EM OBRA (02 DEMÃOS). AF_01/2020</t>
  </si>
  <si>
    <t>PISO EM CONCRETO ARMADO</t>
  </si>
  <si>
    <t>1.2</t>
  </si>
  <si>
    <t>TELHAMENTO COM TELHA DE AÇO/ALUMÍNIO E = 0,5 MM, COM ATÉ 2 ÁGUAS pré-pintada, INCLUSO IÇAMENTO. AF_06/2016</t>
  </si>
  <si>
    <t>TELHAMENTO COM TELHA DE AÇO/ALUMÍNIO E = 0,5 MM, COM ATÉ 2 ÁGUAS pré-pintada, INCLUSO IÇAMENTO. AF_06/2016 - FECHAMENTOS LATERAIS</t>
  </si>
  <si>
    <t>TELHAMENTO COM TELHA ONDULADA DE FIBRA DE VIDRO E = 0,6 MM, PARA TELHADO COM INCLINAÇÃO MAIOR QUE 10°, COM ATÉ 2 ÁGUAS, INCLUSO IÇAMENTO. AF_06/2016</t>
  </si>
  <si>
    <t>Tubo de queda - Água pluvial DN=150 mm</t>
  </si>
  <si>
    <t>Joelho PVC 90° d=150 mm - tubulação pluvial</t>
  </si>
  <si>
    <t>Unidade</t>
  </si>
  <si>
    <t xml:space="preserve">ED-28427 </t>
  </si>
  <si>
    <t>FORNECIMENTO E COLOCAÇÃO DE PLACA DE OBRA EM CHAPA GALVANIZADA #26, ESP. 0,45MM, DIMENSÃO (3X1,5) M, PLOTADA COM ADESIVO VINÍLICO, AFIXADA COM REBITES 4, 8X40MM, EM ESTRUTURA METÁLICA DE METALON 20X20MM, ESP. 1, 25MM, INCLUSIVE SUPORTE EM EUCALIPTO AUTOCLAVADO PINTADO COM TINTA PVA DUAS (2) DEMÃOS</t>
  </si>
  <si>
    <t>Und.</t>
  </si>
  <si>
    <t>ED-50137</t>
  </si>
  <si>
    <t>ESCAVAÇÃO MECANIZADA DE VALA COM PROF. ATÉ 1,5 M (MÉDIA MONTANTE E JUSANTE /UMA COMPOSIÇÃO POR TRECHO), RETROESCAV. (0,26 M3), LARG. MENOR QUE 0,8 M,EM SOLO DE 1A CATEGORIA, EM LOCAIS COM ALTO NÍVEL DE INTERFERÊNCIA. AF_02/2021</t>
  </si>
  <si>
    <t>101616</t>
  </si>
  <si>
    <t>PREPARO DE FUNDO DE VALA COM LARGURA MENOR QUE 1,5 M (ACERTO DO SOLO NATURAL). AF_08/2020</t>
  </si>
  <si>
    <t>TUBO DE CONCRETO PARA REDES COLETORAS DE ÁGUAS PLUVIAIS, DIÂMETRO DE 400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</si>
  <si>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</si>
  <si>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93382</t>
  </si>
  <si>
    <t xml:space="preserve">REATERRO MANUAL DE VALAS COM COMPACTAÇÃO MECANIZADA A 95% PROCTOR NORMAL AF_04/2016 </t>
  </si>
  <si>
    <t>4.2</t>
  </si>
  <si>
    <t>CAIXA PARA BOCA DE LOBO DUPLA RETANGULAR, EM ALVENARIA COM BLOCOS DE CONCRETO, DIMENSÕES INTERNAS: 0,6X2,2X1,2 M. AF_12/2020</t>
  </si>
  <si>
    <t>UND.</t>
  </si>
  <si>
    <t>35*0,8*0,6</t>
  </si>
  <si>
    <t>35*0,8*0,15</t>
  </si>
  <si>
    <t>0,5*0,5*4*14</t>
  </si>
  <si>
    <t>(31,22+31,22+10+6)*3</t>
  </si>
  <si>
    <t>((I32*0,2*0,2*3,14)+(0,5*0,5*0,5*14)+((31,2+31,22+10+6)*0,3*0,15))</t>
  </si>
  <si>
    <t>ED-50985</t>
  </si>
  <si>
    <t>PORTÃO EM PERFIL E CHAPA METÁLICA COLOCADO COM CADEADO</t>
  </si>
  <si>
    <t>4,5*4,5</t>
  </si>
  <si>
    <t>4,5*4,6*2</t>
  </si>
  <si>
    <t>4,5*4,7*2</t>
  </si>
  <si>
    <t>(31,22+31,22+10+6)*0,5</t>
  </si>
  <si>
    <t>(31,22+31,22+10+6)*3*2</t>
  </si>
  <si>
    <t>(31,22+31,22+10+6)*1,5</t>
  </si>
  <si>
    <t>5*1,1*2</t>
  </si>
  <si>
    <t>31,2+31,22</t>
  </si>
  <si>
    <r>
      <t xml:space="preserve">CALHA EM CHAPA DE AÇO GALVANIZADO NÚMERO 24, DESENVOLVIMENTO </t>
    </r>
    <r>
      <rPr>
        <sz val="11"/>
        <color rgb="FFFF0000"/>
        <rFont val="Arial"/>
        <family val="2"/>
      </rPr>
      <t>DE 50 C</t>
    </r>
    <r>
      <rPr>
        <sz val="11"/>
        <color theme="1"/>
        <rFont val="Arial"/>
        <family val="2"/>
      </rPr>
      <t>M, INCLUSO TRANSPORTE VERTICAL. AF_06/2016</t>
    </r>
  </si>
  <si>
    <t>2*9</t>
  </si>
  <si>
    <t>2*2</t>
  </si>
  <si>
    <t>(31,22*10)+(5*3,5)</t>
  </si>
  <si>
    <t>RETIRADA DE TELA</t>
  </si>
  <si>
    <t>CARGA, MANOBRA E DESCARGA DE ENTULHO EM CAMINHÃO BASCULANTE 6 M³ - CARGA COM ESCAVADEIRA HIDRÁULICA  (CAÇAMBA DE 0,80 M³ / 111 HP) E DESCARGA LIVRE (UNIDADE: M3). AF_07/2020</t>
  </si>
  <si>
    <t>3.3</t>
  </si>
  <si>
    <t>TRANSPORTE COM CAMINHÃO BASCULANTE DE 10 M³, EM VIA URBANA PAVIMENTADA, DMT ATÉ 30 KM (UNIDADE: M3XKM). AF_07/2020</t>
  </si>
  <si>
    <t>M3XKM</t>
  </si>
  <si>
    <t xml:space="preserve">ED-48436 </t>
  </si>
  <si>
    <t>DEMOLIÇÃO MANUAL DE ALVENARIA DE TIJOLO CERÂMICO MACIÇO, INCLUSIVE AFASTAMENTO E EMPILHAMENTO, EXCLUSIVE TRANSPORTE E RETIRADA DO MATERIAL DEMOLIDO</t>
  </si>
  <si>
    <t>DEMOLIÇÃO MECANIZADA DE CONCRETO ARMADO, COM EQUIPAMENTO ELÉTRICO, INCLUSIVE AFASTAMENTO E EMPILHAMENTO, EXCLUSIVE TRANSPORTE E RETIRADA DO MATERIAL DEMOLIDO</t>
  </si>
  <si>
    <t>ED-48443</t>
  </si>
  <si>
    <t xml:space="preserve">ED-48439 </t>
  </si>
  <si>
    <t>ED-48444</t>
  </si>
  <si>
    <t>DEMOLIÇÃO MECANIZADA DE CONCRETO, SEM ARMAÇÃO, COM EQUIPAMENTO PNEUMÁTICO, INCLUSIVE AFASTAMENTO E EMPILHAMENTO, EXCLUSIVE TRANSPORTE E RETIRADA DO MATERIAL DEMOLIDO</t>
  </si>
  <si>
    <t>REMOÇÃO MANUAL DE CERCA, COM REAPROVEITAMENTO, INCLUSIVE AFASTAMENTO E EMPILHAMENTO, EXCLUSIVE TRANSPORTE E RETIRADA DO MATERIAL REMOVIDO NÃO REAPROVEITÁVEL</t>
  </si>
  <si>
    <t>3.4</t>
  </si>
  <si>
    <t>4.1</t>
  </si>
  <si>
    <t>9.1</t>
  </si>
  <si>
    <t>4.3</t>
  </si>
  <si>
    <t>4.4</t>
  </si>
  <si>
    <t>5.</t>
  </si>
  <si>
    <t>5.4</t>
  </si>
  <si>
    <t>6.</t>
  </si>
  <si>
    <t>6.1</t>
  </si>
  <si>
    <t>6.2</t>
  </si>
  <si>
    <t>6.4</t>
  </si>
  <si>
    <t>6.5</t>
  </si>
  <si>
    <t>6.6</t>
  </si>
  <si>
    <t>7.</t>
  </si>
  <si>
    <t>7.1</t>
  </si>
  <si>
    <t>7.2</t>
  </si>
  <si>
    <t>7.4</t>
  </si>
  <si>
    <t>7.5</t>
  </si>
  <si>
    <t>7.6</t>
  </si>
  <si>
    <t>7.7</t>
  </si>
  <si>
    <t>7.8</t>
  </si>
  <si>
    <t>8.</t>
  </si>
  <si>
    <t>8.1</t>
  </si>
  <si>
    <t>8.2</t>
  </si>
  <si>
    <t>8.3</t>
  </si>
  <si>
    <t>9.</t>
  </si>
  <si>
    <t>9.3</t>
  </si>
  <si>
    <t>10.</t>
  </si>
  <si>
    <t>10.1</t>
  </si>
  <si>
    <t>DEMOLIÇÃO DE RESERVATÓRIO</t>
  </si>
  <si>
    <t>Unid.</t>
  </si>
  <si>
    <t>REDE DE DRENAGEM</t>
  </si>
  <si>
    <t>2.4a</t>
  </si>
  <si>
    <t>FUNDAÇÕES</t>
  </si>
  <si>
    <t>EXECUÇÃO DE PASSEIO (CALÇADA) OU PISO DE CONCRETO COM CONCRETO MOLDADO IN LOCO, FEITO EM OBRA, ACABAMENTO CONVENCIONAL, ESPESSURA 8 CM, ARMADO. AF_08/2022</t>
  </si>
  <si>
    <t xml:space="preserve"> CONCRETAGEM DE BLOCO DE COROAMENTO OU VIGA BALDRAME, FCK 30 MPA, COM USO DE JERICA - LANÇAMENTO, ADENSAMENTO E ACABAMENTO. AF_01/2024</t>
  </si>
  <si>
    <t xml:space="preserve">ED-48298 </t>
  </si>
  <si>
    <t>CORTE, DOBRA E MONTAGEM DE AÇO CA-50/60, INCLUSIVE ESPAÇADOR</t>
  </si>
  <si>
    <t>FABRICAÇÃO DE FÔRMA PARA PILARES E ESTRUTURAS SIMILARES, EM CHAPA DE MADEIRA COMPENSADA RESINADA, E = 17 MM. AF_09/2020</t>
  </si>
  <si>
    <t>7.3</t>
  </si>
  <si>
    <t>ED-20577</t>
  </si>
  <si>
    <t xml:space="preserve"> TRAMA DE AÇO COMPOSTA POR TERÇAS PARA TELHADOS DE ATÉ 2 ÁGUAS PARA TELHA ONDULADA DE FIBROCIMENTO, METÁLICA, PLÁSTICA OU TERMOACÚSTICA, INCLUSO TRANSPORTE VERTICAL. AF_07/2019</t>
  </si>
  <si>
    <t>CONSTRUÇÃO DE BASE E SUB-BASE PARA PAVIMENTAÇÃO DE SOLO ESTABILIZADO GRANULOMETRICAMENTE SEM MISTURA DE SOLOS - EXCLUSIVE SOLO, ESCAVAÇÃO, CARGA E TRANSPORTE. AF_09/2024</t>
  </si>
  <si>
    <t>9.2</t>
  </si>
  <si>
    <t>Construção de galpão com muro, piso e cobertura metalica para deposito de materiais.</t>
  </si>
  <si>
    <t xml:space="preserve">Sede Saae, Unaí-MG </t>
  </si>
  <si>
    <t>Seinfa 06/2025 - Sinap 09/2025</t>
  </si>
  <si>
    <r>
      <t>LOCAL:</t>
    </r>
    <r>
      <rPr>
        <sz val="11"/>
        <rFont val="Arial"/>
        <family val="2"/>
      </rPr>
      <t xml:space="preserve">                                                                                                                                </t>
    </r>
  </si>
  <si>
    <t xml:space="preserve"> 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</si>
  <si>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MOBILIZAÇÃO E DESMOBILIZAÇÃO DE CONTAINER, INCLUSIVE CARGA, DESCARGA E TRANSPORTE EM CAMINHÃO CARROCERIA COM GUINDAUTO (MUNCK), EXCLUSIVE LOCAÇÃO DO CONTAINER</t>
  </si>
  <si>
    <t>EXECUÇÃO DE PISO INDUSTRIAL DE CONCRETO ARMADO, FCK = 20 MPA, ESPESSURA DE 12,0 CM. AF_04/2022</t>
  </si>
  <si>
    <t>EXECUÇÃO DE PRATELEIRA</t>
  </si>
  <si>
    <t>BDI 1:</t>
  </si>
  <si>
    <t>H</t>
  </si>
  <si>
    <t xml:space="preserve">MORO-1679 </t>
  </si>
  <si>
    <t>MORO-1668</t>
  </si>
  <si>
    <t xml:space="preserve"> Ajudante</t>
  </si>
  <si>
    <t xml:space="preserve">
Soldador</t>
  </si>
  <si>
    <t>TELHAMENTO COM TELHA DE AÇO/ALUMÍNIO E = 0,5 MM, COM ATÉ 2 ÁGUAS pré-pintada, INCLUSO IÇAMENTO. AF_06/2016 - (FECHAMENTOS LATERAIS)</t>
  </si>
  <si>
    <t>ED-20487</t>
  </si>
  <si>
    <t>ED-20499</t>
  </si>
  <si>
    <t>(15*6*5,35)+(12*6*3,75)+(((12*10)+(3*12)+(9*5))*3,37)</t>
  </si>
  <si>
    <t>31,2+31,22+8</t>
  </si>
  <si>
    <t>CALHA EM CHAPA DE AÇO GALVANIZADO NÚMERO 24, DESENVOLVIMENTO DE 50 CM, INCLUSO TRANSPORTE VERTICAL. AF_06/2016</t>
  </si>
  <si>
    <t>CONCRETAGEM DE BLOCO DE COROAMENTO OU VIGA BALDRAME, FCK 30 MPA, COM USO DE JERICA - LANÇAMENTO, ADENSAMENTO E ACABAMENTO. AF_01/2024</t>
  </si>
  <si>
    <t>TRAMA DE AÇO COMPOSTA POR TERÇAS PARA TELHADOS DE ATÉ 2 ÁGUAS PARA TELHA ONDULADA DE FIBROCIMENTO, METÁLICA, PLÁSTICA OU TERMOACÚSTICA, INCLUSO TRANSPORTE VERTICAL. AF_07/2019</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</si>
  <si>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</si>
  <si>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31,22*10</t>
  </si>
  <si>
    <t>3.5</t>
  </si>
  <si>
    <t>3.6</t>
  </si>
  <si>
    <t>3.7</t>
  </si>
  <si>
    <t>3.8</t>
  </si>
  <si>
    <t>3.9</t>
  </si>
  <si>
    <t>3.10</t>
  </si>
  <si>
    <t>4.5</t>
  </si>
  <si>
    <t>4.6</t>
  </si>
  <si>
    <t>4.7</t>
  </si>
  <si>
    <t>4.8</t>
  </si>
  <si>
    <t>8.4</t>
  </si>
  <si>
    <t>8.5</t>
  </si>
  <si>
    <t>KG</t>
  </si>
  <si>
    <t>((31*9,8)+(4*3,5))</t>
  </si>
  <si>
    <t>LOCAÇÃO TOPOGRÁFICA PARA ATÉ VINTE (20) PONTOS REFERENCIAIS, INCLUSIVE ESTACA (PIQUETE) DE MARCAÇÃO</t>
  </si>
  <si>
    <t>(4,8*4,8*3,14*11,7)-(4,4*4,4*3,14*11,7)</t>
  </si>
  <si>
    <t>(0,4*0,4*6*11,7)+(4,8*4,8*3,14*3*0,2)+(4,5*3,5*0,15)</t>
  </si>
  <si>
    <t>(4,8*4,8*3,14*11,7)-(4,4*4,4*3,14*11,7)+(0,4*0,4*6*11,7)+(4,8*4,8*3,14*3*0,2)+(4,5*3,5*0,15)</t>
  </si>
  <si>
    <t>((4,8*4,8*3,14*11,7)-(4,4*4,4*3,14*11,7)+(0,4*0,4*6*11,7)+(4,8*4,8*3,14*3*0,2)+(4,5*3,5*0,15))*11</t>
  </si>
  <si>
    <t>25*1,8</t>
  </si>
  <si>
    <t>FUNDAÇÕES E FECHAMENTO DE ALVENARIA</t>
  </si>
  <si>
    <t>8.6</t>
  </si>
  <si>
    <t>Minima 4 horas diárias</t>
  </si>
  <si>
    <t>((25*1,8*0,2*0,2*3,14)+(0,5*0,5*0,5*25)+((31,2+31,22+31,3122+10+10+10+6)*0,3*0,15))+(11*3,2*0,3*0,15)</t>
  </si>
  <si>
    <t>((0,5*0,5*4*25)+((31,22+10+10)*0,6))+((31,22+31,22+10+6)*0,6)+(11*3,2*0,6)</t>
  </si>
  <si>
    <t>(31,22*10)-(5*1,1*2)</t>
  </si>
  <si>
    <t>24*2</t>
  </si>
  <si>
    <t>8*0,35*0,35</t>
  </si>
  <si>
    <t>((31,22+10+6)*3) + (31,22*0,4)</t>
  </si>
  <si>
    <t>120 dias</t>
  </si>
  <si>
    <t>Seinfa 07/2025 - Sinap 09/2025</t>
  </si>
  <si>
    <t>––––––––––––––––––––––––</t>
  </si>
  <si>
    <r>
      <t>Engº. Civil C</t>
    </r>
    <r>
      <rPr>
        <sz val="11"/>
        <color rgb="FF000000"/>
        <rFont val="Arial"/>
        <family val="2"/>
      </rPr>
      <t>rea-MG:176499/D</t>
    </r>
  </si>
  <si>
    <t>4.9</t>
  </si>
  <si>
    <t>RUFO EM CHAPA DE AÇO GALVANIZADO NÚMERO 24, CORTE DE 25 CM, INCLUSO TRANSPORTE VERTICAL. AF_07/2019</t>
  </si>
  <si>
    <t>(31,22+10+10+ 31,22)</t>
  </si>
  <si>
    <t>((31,22+31,22+10+10)*2,5)+(17*4)</t>
  </si>
  <si>
    <t>Demolição de reservatório e construção de galpão com muro, piso e cobertura metálica para deposito de materiais</t>
  </si>
  <si>
    <t>FÔRMAS DE TÁBUAS DE PINUS - UTILIZAÇÃO DE 2 VEZES - CONFECÇÃO, INSTALAÇÃO E RETIRADA</t>
  </si>
  <si>
    <t>CHAPA GROSSA (MATERIAL: AÇO PATINÁVEL|ESPESSURA: 5/8" OU 16,00MM|MASSA: 125,60KG/M2) - FORNECIMENTO, EXCLUSIVE SERVIÇO DE MONTAGEM/INSTALAÇÃO</t>
  </si>
  <si>
    <t>PERFIL "UDC" DOBRADO DE CHAPA ( MATERIAL: AÇO PATINÁVEL |DIMENSÕES:100X50MM|ES PESSURA: 2,65MM|MASSA LINEAR: 3, 93KG/M) - FORNECIMENTO, EXCLUSIVE SERVIÇO DE MONTAGEM/INSTALAÇÃO</t>
  </si>
  <si>
    <t xml:space="preserve">5.3 </t>
  </si>
  <si>
    <t xml:space="preserve">RO-5959  </t>
  </si>
  <si>
    <t>4.10</t>
  </si>
  <si>
    <t>CUMEEIRA PARA TELHA DE FIBROCIMENTO ESTRUTURAL E = 6 MM, INCLUSO ACESSÓRIOS DE FIXAÇÃO E IÇAMENTO. AF_07/2019</t>
  </si>
  <si>
    <t xml:space="preserve">Rua Júlia Lara, em freta a Sede Saae, Unaí-MG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</si>
</sst>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R$&quot;\ * #,##0.00_-;\-&quot;R$&quot;\ * #,##0.00_-;_-&quot;R$&quot;\ * &quot;-&quot;??_-;_-@_-"/>
    <numFmt numFmtId="43" formatCode="_-* #,##0.00_-;\-* #,##0.00_-;_-* &quot;-&quot;??_-;_-@_-"/>
    <numFmt numFmtId="164" formatCode="_(* #,##0.00_);_(* \(#,##0.00\);_(* &quot;-&quot;??_);_(@_)"/>
    <numFmt numFmtId="165" formatCode="#,##0.0000"/>
    <numFmt numFmtId="166" formatCode="&quot;R$&quot;\ #,##0.00"/>
  </numFmts>
  <fonts count="3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name val="Arial"/>
      <family val="2"/>
    </font>
    <font>
      <sz val="11"/>
      <name val="Arial"/>
      <family val="2"/>
    </font>
    <font>
      <sz val="14"/>
      <name val="Arial"/>
      <family val="2"/>
    </font>
    <font>
      <sz val="11"/>
      <color theme="1"/>
      <name val="Arial"/>
      <family val="2"/>
    </font>
    <font>
      <b/>
      <sz val="11"/>
      <color theme="1"/>
      <name val="Arial"/>
      <family val="2"/>
    </font>
    <font>
      <b/>
      <sz val="20"/>
      <name val="Arial"/>
      <family val="2"/>
    </font>
    <font>
      <b/>
      <sz val="26"/>
      <name val="Arial"/>
      <family val="2"/>
    </font>
    <font>
      <sz val="12"/>
      <color rgb="FF000000"/>
      <name val="Arial"/>
      <family val="2"/>
    </font>
    <font>
      <sz val="12"/>
      <name val="Arial"/>
      <family val="2"/>
    </font>
    <font>
      <b/>
      <sz val="11"/>
      <color theme="1"/>
      <name val="Arial"/>
      <family val="2"/>
    </font>
    <font>
      <sz val="11"/>
      <color theme="1"/>
      <name val="Arial"/>
      <family val="2"/>
    </font>
    <font>
      <sz val="8"/>
      <name val="Arial"/>
      <family val="2"/>
    </font>
    <font>
      <sz val="11"/>
      <color rgb="FFFF0000"/>
      <name val="Arial"/>
      <family val="2"/>
    </font>
    <font>
      <sz val="11"/>
      <color rgb="FF000000"/>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0.14996795556505021"/>
        <bgColor indexed="64"/>
      </patternFill>
    </fill>
  </fills>
  <borders count="6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s>
  <cellStyleXfs count="54">
    <xf numFmtId="0" fontId="0" fillId="0" borderId="0"/>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8" fillId="12"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9" fillId="4" borderId="0" applyNumberFormat="0" applyBorder="0" applyAlignment="0" applyProtection="0"/>
    <xf numFmtId="0" fontId="10" fillId="16" borderId="1" applyNumberFormat="0" applyAlignment="0" applyProtection="0"/>
    <xf numFmtId="0" fontId="11" fillId="17" borderId="2" applyNumberFormat="0" applyAlignment="0" applyProtection="0"/>
    <xf numFmtId="0" fontId="12" fillId="0" borderId="3" applyNumberFormat="0" applyFill="0" applyAlignment="0" applyProtection="0"/>
    <xf numFmtId="0" fontId="8" fillId="18" borderId="0" applyNumberFormat="0" applyBorder="0" applyAlignment="0" applyProtection="0"/>
    <xf numFmtId="0" fontId="8" fillId="19" borderId="0" applyNumberFormat="0" applyBorder="0" applyAlignment="0" applyProtection="0"/>
    <xf numFmtId="0" fontId="8" fillId="20"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21" borderId="0" applyNumberFormat="0" applyBorder="0" applyAlignment="0" applyProtection="0"/>
    <xf numFmtId="0" fontId="13" fillId="7" borderId="1" applyNumberFormat="0" applyAlignment="0" applyProtection="0"/>
    <xf numFmtId="0" fontId="14" fillId="3" borderId="0" applyNumberFormat="0" applyBorder="0" applyAlignment="0" applyProtection="0"/>
    <xf numFmtId="0" fontId="15" fillId="22" borderId="0" applyNumberFormat="0" applyBorder="0" applyAlignment="0" applyProtection="0"/>
    <xf numFmtId="0" fontId="4" fillId="23" borderId="4" applyNumberFormat="0" applyFont="0" applyAlignment="0" applyProtection="0"/>
    <xf numFmtId="9" fontId="5" fillId="0" borderId="0" applyFont="0" applyFill="0" applyBorder="0" applyAlignment="0" applyProtection="0"/>
    <xf numFmtId="0" fontId="16" fillId="16" borderId="5" applyNumberFormat="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20" fillId="0" borderId="6" applyNumberFormat="0" applyFill="0" applyAlignment="0" applyProtection="0"/>
    <xf numFmtId="0" fontId="21" fillId="0" borderId="7" applyNumberFormat="0" applyFill="0" applyAlignment="0" applyProtection="0"/>
    <xf numFmtId="0" fontId="22" fillId="0" borderId="8" applyNumberFormat="0" applyFill="0" applyAlignment="0" applyProtection="0"/>
    <xf numFmtId="0" fontId="22" fillId="0" borderId="0" applyNumberFormat="0" applyFill="0" applyBorder="0" applyAlignment="0" applyProtection="0"/>
    <xf numFmtId="0" fontId="23" fillId="0" borderId="9" applyNumberFormat="0" applyFill="0" applyAlignment="0" applyProtection="0"/>
    <xf numFmtId="164" fontId="5" fillId="0" borderId="0" applyFont="0" applyFill="0" applyBorder="0" applyAlignment="0" applyProtection="0"/>
    <xf numFmtId="0" fontId="4" fillId="0" borderId="0"/>
    <xf numFmtId="164" fontId="4" fillId="0" borderId="0" applyFont="0" applyFill="0" applyBorder="0" applyAlignment="0" applyProtection="0"/>
    <xf numFmtId="0" fontId="4" fillId="0" borderId="0"/>
    <xf numFmtId="9"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0" fontId="3" fillId="0" borderId="0"/>
    <xf numFmtId="0" fontId="2" fillId="0" borderId="0"/>
    <xf numFmtId="0" fontId="1" fillId="0" borderId="0"/>
  </cellStyleXfs>
  <cellXfs count="304">
    <xf numFmtId="0" fontId="0" fillId="0" borderId="0" xfId="0"/>
    <xf numFmtId="0" fontId="0" fillId="0" borderId="0" xfId="0" applyAlignment="1">
      <alignment horizontal="center"/>
    </xf>
    <xf numFmtId="164" fontId="0" fillId="0" borderId="0" xfId="43" applyFont="1"/>
    <xf numFmtId="0" fontId="0" fillId="0" borderId="0" xfId="0" applyAlignment="1">
      <alignment vertical="top" wrapText="1"/>
    </xf>
    <xf numFmtId="9" fontId="0" fillId="0" borderId="0" xfId="33" applyFont="1"/>
    <xf numFmtId="0" fontId="0" fillId="0" borderId="0" xfId="0" applyAlignment="1">
      <alignment horizontal="center" vertical="center"/>
    </xf>
    <xf numFmtId="0" fontId="0" fillId="0" borderId="0" xfId="0" applyAlignment="1">
      <alignment vertical="top"/>
    </xf>
    <xf numFmtId="0" fontId="25" fillId="0" borderId="10" xfId="0" applyFont="1" applyBorder="1" applyAlignment="1">
      <alignment vertical="center" wrapText="1"/>
    </xf>
    <xf numFmtId="0" fontId="4" fillId="0" borderId="0" xfId="44"/>
    <xf numFmtId="0" fontId="25" fillId="0" borderId="11" xfId="46" applyFont="1" applyBorder="1" applyAlignment="1">
      <alignment horizontal="left" vertical="center"/>
    </xf>
    <xf numFmtId="10" fontId="25" fillId="0" borderId="25" xfId="46" applyNumberFormat="1" applyFont="1" applyBorder="1" applyAlignment="1">
      <alignment vertical="center"/>
    </xf>
    <xf numFmtId="10" fontId="25" fillId="0" borderId="20" xfId="46" applyNumberFormat="1" applyFont="1" applyBorder="1" applyAlignment="1">
      <alignment vertical="center"/>
    </xf>
    <xf numFmtId="0" fontId="25" fillId="0" borderId="20" xfId="46" applyFont="1" applyBorder="1" applyAlignment="1">
      <alignment horizontal="center" vertical="center"/>
    </xf>
    <xf numFmtId="0" fontId="25" fillId="0" borderId="25" xfId="46" applyFont="1" applyBorder="1" applyAlignment="1">
      <alignment vertical="center"/>
    </xf>
    <xf numFmtId="2" fontId="25" fillId="0" borderId="12" xfId="46" applyNumberFormat="1" applyFont="1" applyBorder="1" applyAlignment="1">
      <alignment horizontal="right" vertical="center"/>
    </xf>
    <xf numFmtId="10" fontId="25" fillId="0" borderId="14" xfId="47" applyNumberFormat="1" applyFont="1" applyFill="1" applyBorder="1" applyAlignment="1" applyProtection="1">
      <alignment vertical="center"/>
      <protection locked="0"/>
    </xf>
    <xf numFmtId="0" fontId="25" fillId="0" borderId="10" xfId="46" applyFont="1" applyBorder="1" applyAlignment="1">
      <alignment horizontal="left" vertical="center"/>
    </xf>
    <xf numFmtId="10" fontId="25" fillId="0" borderId="12" xfId="46" applyNumberFormat="1" applyFont="1" applyBorder="1" applyAlignment="1">
      <alignment vertical="center"/>
    </xf>
    <xf numFmtId="10" fontId="25" fillId="0" borderId="13" xfId="46" applyNumberFormat="1" applyFont="1" applyBorder="1" applyAlignment="1">
      <alignment vertical="center"/>
    </xf>
    <xf numFmtId="0" fontId="25" fillId="0" borderId="13" xfId="46" applyFont="1" applyBorder="1" applyAlignment="1">
      <alignment horizontal="center" vertical="center"/>
    </xf>
    <xf numFmtId="0" fontId="25" fillId="0" borderId="12" xfId="46" applyFont="1" applyBorder="1" applyAlignment="1">
      <alignment vertical="center"/>
    </xf>
    <xf numFmtId="10" fontId="25" fillId="0" borderId="37" xfId="47" applyNumberFormat="1" applyFont="1" applyFill="1" applyBorder="1" applyAlignment="1" applyProtection="1">
      <alignment vertical="center"/>
      <protection locked="0"/>
    </xf>
    <xf numFmtId="2" fontId="24" fillId="0" borderId="12" xfId="47" applyNumberFormat="1" applyFont="1" applyFill="1" applyBorder="1" applyAlignment="1" applyProtection="1">
      <alignment horizontal="right" vertical="center"/>
      <protection locked="0"/>
    </xf>
    <xf numFmtId="10" fontId="24" fillId="0" borderId="37" xfId="47" applyNumberFormat="1" applyFont="1" applyFill="1" applyBorder="1" applyAlignment="1" applyProtection="1">
      <alignment vertical="center"/>
      <protection locked="0"/>
    </xf>
    <xf numFmtId="0" fontId="25" fillId="0" borderId="22" xfId="46" applyFont="1" applyBorder="1" applyAlignment="1">
      <alignment horizontal="left" vertical="center"/>
    </xf>
    <xf numFmtId="10" fontId="25" fillId="0" borderId="22" xfId="46" applyNumberFormat="1" applyFont="1" applyBorder="1" applyAlignment="1">
      <alignment vertical="center"/>
    </xf>
    <xf numFmtId="10" fontId="25" fillId="0" borderId="41" xfId="46" applyNumberFormat="1" applyFont="1" applyBorder="1" applyAlignment="1">
      <alignment vertical="center"/>
    </xf>
    <xf numFmtId="0" fontId="25" fillId="0" borderId="41" xfId="46" applyFont="1" applyBorder="1" applyAlignment="1">
      <alignment horizontal="center" vertical="center"/>
    </xf>
    <xf numFmtId="2" fontId="25" fillId="0" borderId="22" xfId="46" applyNumberFormat="1" applyFont="1" applyBorder="1" applyAlignment="1">
      <alignment horizontal="right" vertical="center"/>
    </xf>
    <xf numFmtId="0" fontId="26" fillId="0" borderId="0" xfId="46" applyFont="1" applyAlignment="1">
      <alignment horizontal="left" vertical="center"/>
    </xf>
    <xf numFmtId="0" fontId="25" fillId="24" borderId="10" xfId="0" applyFont="1" applyFill="1" applyBorder="1" applyAlignment="1">
      <alignment vertical="center" wrapText="1"/>
    </xf>
    <xf numFmtId="0" fontId="25" fillId="0" borderId="0" xfId="46" applyFont="1" applyAlignment="1">
      <alignment horizontal="center" vertical="center" wrapText="1"/>
    </xf>
    <xf numFmtId="0" fontId="24" fillId="0" borderId="0" xfId="46" applyFont="1" applyAlignment="1">
      <alignment horizontal="center" vertical="center"/>
    </xf>
    <xf numFmtId="0" fontId="25" fillId="0" borderId="0" xfId="46" applyFont="1" applyAlignment="1">
      <alignment horizontal="left" vertical="center"/>
    </xf>
    <xf numFmtId="10" fontId="25" fillId="0" borderId="0" xfId="46" applyNumberFormat="1" applyFont="1" applyAlignment="1">
      <alignment vertical="center"/>
    </xf>
    <xf numFmtId="0" fontId="25" fillId="0" borderId="0" xfId="46" applyFont="1" applyAlignment="1">
      <alignment horizontal="center" vertical="center"/>
    </xf>
    <xf numFmtId="2" fontId="25" fillId="0" borderId="0" xfId="46" applyNumberFormat="1" applyFont="1" applyAlignment="1">
      <alignment horizontal="right" vertical="center"/>
    </xf>
    <xf numFmtId="10" fontId="25" fillId="0" borderId="0" xfId="47" applyNumberFormat="1" applyFont="1" applyFill="1" applyBorder="1" applyAlignment="1" applyProtection="1">
      <alignment vertical="center"/>
      <protection locked="0"/>
    </xf>
    <xf numFmtId="10" fontId="25" fillId="0" borderId="23" xfId="47" applyNumberFormat="1" applyFont="1" applyFill="1" applyBorder="1" applyAlignment="1" applyProtection="1">
      <alignment vertical="center"/>
      <protection locked="0"/>
    </xf>
    <xf numFmtId="0" fontId="24" fillId="0" borderId="31" xfId="0" applyFont="1" applyBorder="1" applyAlignment="1">
      <alignment horizontal="left" vertical="center" wrapText="1"/>
    </xf>
    <xf numFmtId="14" fontId="25" fillId="0" borderId="0" xfId="0" applyNumberFormat="1" applyFont="1" applyAlignment="1">
      <alignment vertical="center" wrapText="1"/>
    </xf>
    <xf numFmtId="0" fontId="24" fillId="26" borderId="19" xfId="0" applyFont="1" applyFill="1" applyBorder="1" applyAlignment="1">
      <alignment horizontal="right" vertical="center"/>
    </xf>
    <xf numFmtId="0" fontId="27" fillId="24" borderId="10" xfId="0" applyFont="1" applyFill="1" applyBorder="1" applyAlignment="1">
      <alignment vertical="center" wrapText="1"/>
    </xf>
    <xf numFmtId="0" fontId="25" fillId="26" borderId="40" xfId="0" applyFont="1" applyFill="1" applyBorder="1" applyAlignment="1">
      <alignment vertical="center" wrapText="1"/>
    </xf>
    <xf numFmtId="43" fontId="0" fillId="0" borderId="0" xfId="0" applyNumberFormat="1" applyAlignment="1">
      <alignment vertical="center"/>
    </xf>
    <xf numFmtId="0" fontId="4" fillId="0" borderId="0" xfId="0" applyFont="1"/>
    <xf numFmtId="0" fontId="25" fillId="24" borderId="39" xfId="0" applyFont="1" applyFill="1" applyBorder="1" applyAlignment="1">
      <alignment horizontal="center" vertical="center" wrapText="1"/>
    </xf>
    <xf numFmtId="9" fontId="25" fillId="0" borderId="10" xfId="47" applyFont="1" applyBorder="1" applyAlignment="1">
      <alignment horizontal="center" vertical="center"/>
    </xf>
    <xf numFmtId="164" fontId="25" fillId="0" borderId="10" xfId="45" applyFont="1" applyBorder="1" applyAlignment="1">
      <alignment horizontal="center" vertical="center"/>
    </xf>
    <xf numFmtId="164" fontId="25" fillId="0" borderId="36" xfId="45" applyFont="1" applyBorder="1" applyAlignment="1">
      <alignment horizontal="center" vertical="center"/>
    </xf>
    <xf numFmtId="164" fontId="25" fillId="24" borderId="10" xfId="45" applyFont="1" applyFill="1" applyBorder="1" applyAlignment="1">
      <alignment horizontal="center" vertical="center" wrapText="1"/>
    </xf>
    <xf numFmtId="9" fontId="25" fillId="0" borderId="10" xfId="47" applyFont="1" applyBorder="1" applyAlignment="1">
      <alignment vertical="center"/>
    </xf>
    <xf numFmtId="164" fontId="25" fillId="0" borderId="10" xfId="45" applyFont="1" applyBorder="1" applyAlignment="1">
      <alignment vertical="center"/>
    </xf>
    <xf numFmtId="164" fontId="24" fillId="26" borderId="19" xfId="45" applyFont="1" applyFill="1" applyBorder="1" applyAlignment="1">
      <alignment vertical="center"/>
    </xf>
    <xf numFmtId="164" fontId="25" fillId="26" borderId="19" xfId="45" applyFont="1" applyFill="1" applyBorder="1" applyAlignment="1">
      <alignment vertical="center"/>
    </xf>
    <xf numFmtId="164" fontId="0" fillId="0" borderId="0" xfId="45" applyFont="1"/>
    <xf numFmtId="9" fontId="0" fillId="0" borderId="0" xfId="47" applyFont="1"/>
    <xf numFmtId="9" fontId="25" fillId="0" borderId="0" xfId="47" applyFont="1" applyAlignment="1">
      <alignment horizontal="right"/>
    </xf>
    <xf numFmtId="0" fontId="25" fillId="25" borderId="39" xfId="0" applyFont="1" applyFill="1" applyBorder="1" applyAlignment="1">
      <alignment vertical="center" wrapText="1"/>
    </xf>
    <xf numFmtId="0" fontId="24" fillId="25" borderId="10" xfId="0" applyFont="1" applyFill="1" applyBorder="1" applyAlignment="1">
      <alignment horizontal="right" vertical="center"/>
    </xf>
    <xf numFmtId="164" fontId="25" fillId="25" borderId="10" xfId="45" applyFont="1" applyFill="1" applyBorder="1" applyAlignment="1">
      <alignment vertical="center"/>
    </xf>
    <xf numFmtId="0" fontId="25" fillId="0" borderId="0" xfId="0" applyFont="1" applyAlignment="1">
      <alignment horizontal="left"/>
    </xf>
    <xf numFmtId="164" fontId="24" fillId="27" borderId="11" xfId="45" applyFont="1" applyFill="1" applyBorder="1" applyAlignment="1">
      <alignment horizontal="center" vertical="center"/>
    </xf>
    <xf numFmtId="9" fontId="25" fillId="27" borderId="10" xfId="47" applyFont="1" applyFill="1" applyBorder="1" applyAlignment="1">
      <alignment horizontal="center" vertical="center"/>
    </xf>
    <xf numFmtId="164" fontId="25" fillId="27" borderId="10" xfId="45" applyFont="1" applyFill="1" applyBorder="1" applyAlignment="1">
      <alignment horizontal="center" vertical="center"/>
    </xf>
    <xf numFmtId="164" fontId="25" fillId="27" borderId="36" xfId="45" applyFont="1" applyFill="1" applyBorder="1" applyAlignment="1">
      <alignment horizontal="center" vertical="center"/>
    </xf>
    <xf numFmtId="9" fontId="25" fillId="0" borderId="10" xfId="45" applyNumberFormat="1" applyFont="1" applyBorder="1" applyAlignment="1">
      <alignment vertical="center"/>
    </xf>
    <xf numFmtId="9" fontId="25" fillId="25" borderId="10" xfId="47" applyFont="1" applyFill="1" applyBorder="1" applyAlignment="1">
      <alignment vertical="center"/>
    </xf>
    <xf numFmtId="9" fontId="25" fillId="26" borderId="19" xfId="47" applyFont="1" applyFill="1" applyBorder="1" applyAlignment="1">
      <alignment vertical="center"/>
    </xf>
    <xf numFmtId="10" fontId="25" fillId="0" borderId="30" xfId="47" applyNumberFormat="1" applyFont="1" applyBorder="1" applyAlignment="1">
      <alignment horizontal="left"/>
    </xf>
    <xf numFmtId="14" fontId="24" fillId="0" borderId="0" xfId="0" applyNumberFormat="1" applyFont="1" applyAlignment="1">
      <alignment wrapText="1"/>
    </xf>
    <xf numFmtId="164" fontId="32" fillId="0" borderId="0" xfId="45" applyFont="1"/>
    <xf numFmtId="9" fontId="32" fillId="0" borderId="0" xfId="47" applyFont="1"/>
    <xf numFmtId="164" fontId="32" fillId="0" borderId="0" xfId="43" applyFont="1"/>
    <xf numFmtId="0" fontId="32" fillId="0" borderId="0" xfId="0" applyFont="1" applyAlignment="1">
      <alignment horizontal="center" vertical="center"/>
    </xf>
    <xf numFmtId="9" fontId="32" fillId="0" borderId="0" xfId="33" applyFont="1"/>
    <xf numFmtId="0" fontId="32" fillId="0" borderId="0" xfId="46" applyFont="1" applyAlignment="1">
      <alignment horizontal="left" vertical="center"/>
    </xf>
    <xf numFmtId="0" fontId="32" fillId="0" borderId="0" xfId="44" applyFont="1"/>
    <xf numFmtId="0" fontId="24" fillId="0" borderId="24" xfId="46" applyFont="1" applyBorder="1" applyAlignment="1">
      <alignment horizontal="center" vertical="center"/>
    </xf>
    <xf numFmtId="0" fontId="25" fillId="0" borderId="43" xfId="0" applyFont="1" applyBorder="1" applyAlignment="1">
      <alignment vertical="center" wrapText="1"/>
    </xf>
    <xf numFmtId="10" fontId="24" fillId="0" borderId="13" xfId="46" applyNumberFormat="1" applyFont="1" applyBorder="1" applyAlignment="1">
      <alignment vertical="center"/>
    </xf>
    <xf numFmtId="0" fontId="24" fillId="0" borderId="13" xfId="46" applyFont="1" applyBorder="1" applyAlignment="1">
      <alignment horizontal="center" vertical="center"/>
    </xf>
    <xf numFmtId="0" fontId="24" fillId="0" borderId="12" xfId="46" applyFont="1" applyBorder="1" applyAlignment="1">
      <alignment vertical="center"/>
    </xf>
    <xf numFmtId="2" fontId="24" fillId="0" borderId="12" xfId="46" applyNumberFormat="1" applyFont="1" applyBorder="1" applyAlignment="1">
      <alignment horizontal="right" vertical="center"/>
    </xf>
    <xf numFmtId="0" fontId="24" fillId="0" borderId="10" xfId="46" applyFont="1" applyBorder="1" applyAlignment="1">
      <alignment horizontal="left" vertical="center" wrapText="1"/>
    </xf>
    <xf numFmtId="0" fontId="4" fillId="0" borderId="33" xfId="44" applyBorder="1"/>
    <xf numFmtId="4" fontId="25" fillId="24" borderId="56" xfId="45" applyNumberFormat="1" applyFont="1" applyFill="1" applyBorder="1" applyAlignment="1">
      <alignment horizontal="center"/>
    </xf>
    <xf numFmtId="0" fontId="25" fillId="24" borderId="10" xfId="0" applyFont="1" applyFill="1" applyBorder="1" applyAlignment="1">
      <alignment horizontal="left" vertical="center" wrapText="1"/>
    </xf>
    <xf numFmtId="164" fontId="25" fillId="24" borderId="10" xfId="45" applyFont="1" applyFill="1" applyBorder="1" applyAlignment="1">
      <alignment horizontal="center"/>
    </xf>
    <xf numFmtId="4" fontId="25" fillId="24" borderId="10" xfId="0" applyNumberFormat="1" applyFont="1" applyFill="1" applyBorder="1" applyAlignment="1">
      <alignment horizontal="right"/>
    </xf>
    <xf numFmtId="4" fontId="25" fillId="24" borderId="10" xfId="45" applyNumberFormat="1" applyFont="1" applyFill="1" applyBorder="1" applyAlignment="1">
      <alignment horizontal="right" wrapText="1"/>
    </xf>
    <xf numFmtId="0" fontId="25" fillId="25" borderId="10" xfId="0" applyFont="1" applyFill="1" applyBorder="1" applyAlignment="1">
      <alignment horizontal="center"/>
    </xf>
    <xf numFmtId="4" fontId="25" fillId="25" borderId="10" xfId="45" applyNumberFormat="1" applyFont="1" applyFill="1" applyBorder="1" applyAlignment="1">
      <alignment horizontal="right"/>
    </xf>
    <xf numFmtId="4" fontId="24" fillId="25" borderId="56" xfId="45" applyNumberFormat="1" applyFont="1" applyFill="1" applyBorder="1" applyAlignment="1">
      <alignment horizontal="center"/>
    </xf>
    <xf numFmtId="4" fontId="25" fillId="24" borderId="10" xfId="0" applyNumberFormat="1" applyFont="1" applyFill="1" applyBorder="1" applyAlignment="1">
      <alignment horizontal="right" wrapText="1"/>
    </xf>
    <xf numFmtId="0" fontId="25" fillId="24" borderId="10" xfId="0" applyFont="1" applyFill="1" applyBorder="1" applyAlignment="1">
      <alignment horizontal="center"/>
    </xf>
    <xf numFmtId="0" fontId="25" fillId="0" borderId="10" xfId="0" applyFont="1" applyBorder="1" applyAlignment="1">
      <alignment horizontal="center"/>
    </xf>
    <xf numFmtId="0" fontId="24" fillId="25" borderId="10" xfId="0" applyFont="1" applyFill="1" applyBorder="1" applyAlignment="1">
      <alignment vertical="center" wrapText="1"/>
    </xf>
    <xf numFmtId="4" fontId="25" fillId="25" borderId="10" xfId="0" applyNumberFormat="1" applyFont="1" applyFill="1" applyBorder="1" applyAlignment="1">
      <alignment horizontal="right" wrapText="1"/>
    </xf>
    <xf numFmtId="4" fontId="25" fillId="24" borderId="57" xfId="45" applyNumberFormat="1" applyFont="1" applyFill="1" applyBorder="1" applyAlignment="1">
      <alignment horizontal="center"/>
    </xf>
    <xf numFmtId="4" fontId="25" fillId="24" borderId="56" xfId="0" applyNumberFormat="1" applyFont="1" applyFill="1" applyBorder="1" applyAlignment="1">
      <alignment horizontal="center"/>
    </xf>
    <xf numFmtId="4" fontId="25" fillId="24" borderId="10" xfId="45" applyNumberFormat="1" applyFont="1" applyFill="1" applyBorder="1" applyAlignment="1"/>
    <xf numFmtId="4" fontId="25" fillId="24" borderId="10" xfId="45" applyNumberFormat="1" applyFont="1" applyFill="1" applyBorder="1" applyAlignment="1">
      <alignment horizontal="right"/>
    </xf>
    <xf numFmtId="10" fontId="25" fillId="24" borderId="10" xfId="33" applyNumberFormat="1" applyFont="1" applyFill="1" applyBorder="1" applyAlignment="1">
      <alignment horizontal="center" vertical="center" wrapText="1"/>
    </xf>
    <xf numFmtId="0" fontId="32" fillId="0" borderId="0" xfId="0" applyFont="1" applyAlignment="1">
      <alignment horizontal="center"/>
    </xf>
    <xf numFmtId="2" fontId="25" fillId="0" borderId="25" xfId="46" applyNumberFormat="1" applyFont="1" applyBorder="1" applyAlignment="1">
      <alignment horizontal="right" vertical="center"/>
    </xf>
    <xf numFmtId="0" fontId="25" fillId="0" borderId="32" xfId="46" applyFont="1" applyBorder="1" applyAlignment="1">
      <alignment horizontal="center" vertical="center" wrapText="1"/>
    </xf>
    <xf numFmtId="0" fontId="25" fillId="0" borderId="33" xfId="46" applyFont="1" applyBorder="1" applyAlignment="1">
      <alignment horizontal="center" vertical="center" wrapText="1"/>
    </xf>
    <xf numFmtId="0" fontId="24" fillId="0" borderId="54" xfId="46" applyFont="1" applyBorder="1" applyAlignment="1">
      <alignment horizontal="center" vertical="center"/>
    </xf>
    <xf numFmtId="0" fontId="24" fillId="0" borderId="39" xfId="46" applyFont="1" applyBorder="1" applyAlignment="1">
      <alignment horizontal="center" vertical="center"/>
    </xf>
    <xf numFmtId="0" fontId="24" fillId="0" borderId="40" xfId="46" applyFont="1" applyBorder="1" applyAlignment="1">
      <alignment horizontal="center" vertical="center"/>
    </xf>
    <xf numFmtId="0" fontId="25" fillId="0" borderId="19" xfId="46" applyFont="1" applyBorder="1" applyAlignment="1">
      <alignment horizontal="left" vertical="center"/>
    </xf>
    <xf numFmtId="164" fontId="0" fillId="0" borderId="0" xfId="43" applyFont="1" applyAlignment="1">
      <alignment horizontal="center"/>
    </xf>
    <xf numFmtId="0" fontId="25" fillId="24" borderId="10" xfId="0" applyFont="1" applyFill="1" applyBorder="1" applyAlignment="1">
      <alignment horizontal="center" wrapText="1"/>
    </xf>
    <xf numFmtId="49" fontId="24" fillId="25" borderId="10" xfId="0" applyNumberFormat="1" applyFont="1" applyFill="1" applyBorder="1" applyAlignment="1">
      <alignment horizontal="center"/>
    </xf>
    <xf numFmtId="0" fontId="4" fillId="0" borderId="0" xfId="0" applyFont="1" applyAlignment="1">
      <alignment horizontal="center" wrapText="1"/>
    </xf>
    <xf numFmtId="0" fontId="25" fillId="24" borderId="39" xfId="0" applyFont="1" applyFill="1" applyBorder="1" applyAlignment="1">
      <alignment horizontal="center"/>
    </xf>
    <xf numFmtId="0" fontId="24" fillId="25" borderId="39" xfId="0" applyFont="1" applyFill="1" applyBorder="1" applyAlignment="1">
      <alignment horizontal="center"/>
    </xf>
    <xf numFmtId="0" fontId="25" fillId="0" borderId="0" xfId="0" applyFont="1" applyAlignment="1">
      <alignment horizontal="center"/>
    </xf>
    <xf numFmtId="4" fontId="6" fillId="0" borderId="0" xfId="43" applyNumberFormat="1" applyFont="1" applyAlignment="1">
      <alignment horizontal="right"/>
    </xf>
    <xf numFmtId="4" fontId="0" fillId="0" borderId="0" xfId="0" applyNumberFormat="1"/>
    <xf numFmtId="0" fontId="28" fillId="0" borderId="15" xfId="44" applyFont="1" applyBorder="1" applyAlignment="1">
      <alignment horizontal="center" vertical="center" wrapText="1"/>
    </xf>
    <xf numFmtId="0" fontId="28" fillId="0" borderId="31" xfId="44" applyFont="1" applyBorder="1" applyAlignment="1">
      <alignment horizontal="center" vertical="center" wrapText="1"/>
    </xf>
    <xf numFmtId="0" fontId="33" fillId="0" borderId="10" xfId="0" applyFont="1" applyBorder="1" applyAlignment="1">
      <alignment horizontal="center" vertical="center"/>
    </xf>
    <xf numFmtId="2" fontId="34" fillId="0" borderId="10" xfId="0" applyNumberFormat="1" applyFont="1" applyBorder="1"/>
    <xf numFmtId="0" fontId="34" fillId="0" borderId="10" xfId="0" applyFont="1" applyBorder="1"/>
    <xf numFmtId="4" fontId="25" fillId="0" borderId="0" xfId="0" applyNumberFormat="1" applyFont="1" applyAlignment="1">
      <alignment horizontal="left" vertical="center" wrapText="1"/>
    </xf>
    <xf numFmtId="0" fontId="27" fillId="24" borderId="39" xfId="0" applyFont="1" applyFill="1" applyBorder="1" applyAlignment="1">
      <alignment horizontal="center" vertical="center"/>
    </xf>
    <xf numFmtId="0" fontId="27" fillId="0" borderId="10" xfId="0" applyFont="1" applyBorder="1" applyAlignment="1">
      <alignment horizontal="center" vertical="center"/>
    </xf>
    <xf numFmtId="0" fontId="27" fillId="24" borderId="10" xfId="0" applyFont="1" applyFill="1" applyBorder="1" applyAlignment="1">
      <alignment horizontal="left" vertical="center" wrapText="1"/>
    </xf>
    <xf numFmtId="0" fontId="27" fillId="24" borderId="10" xfId="0" applyFont="1" applyFill="1" applyBorder="1" applyAlignment="1">
      <alignment horizontal="center" vertical="center"/>
    </xf>
    <xf numFmtId="0" fontId="27" fillId="0" borderId="10" xfId="0" applyFont="1" applyBorder="1" applyAlignment="1">
      <alignment horizontal="left" vertical="center" wrapText="1"/>
    </xf>
    <xf numFmtId="4" fontId="25" fillId="24" borderId="59" xfId="45" applyNumberFormat="1" applyFont="1" applyFill="1" applyBorder="1" applyAlignment="1">
      <alignment horizontal="center"/>
    </xf>
    <xf numFmtId="0" fontId="25" fillId="24" borderId="10" xfId="0" applyFont="1" applyFill="1" applyBorder="1" applyAlignment="1">
      <alignment horizontal="center" vertical="center" wrapText="1"/>
    </xf>
    <xf numFmtId="49" fontId="25" fillId="24" borderId="10" xfId="0" applyNumberFormat="1" applyFont="1" applyFill="1" applyBorder="1" applyAlignment="1">
      <alignment horizontal="center"/>
    </xf>
    <xf numFmtId="0" fontId="24" fillId="25" borderId="39" xfId="0" applyFont="1" applyFill="1" applyBorder="1" applyAlignment="1">
      <alignment horizontal="center" vertical="center"/>
    </xf>
    <xf numFmtId="0" fontId="25" fillId="25" borderId="10" xfId="0" applyFont="1" applyFill="1" applyBorder="1" applyAlignment="1">
      <alignment horizontal="center" vertical="center"/>
    </xf>
    <xf numFmtId="0" fontId="25" fillId="24" borderId="39" xfId="0" applyFont="1" applyFill="1" applyBorder="1" applyAlignment="1">
      <alignment horizontal="center" vertical="center"/>
    </xf>
    <xf numFmtId="49" fontId="25" fillId="24" borderId="10" xfId="0" applyNumberFormat="1" applyFont="1" applyFill="1" applyBorder="1" applyAlignment="1">
      <alignment horizontal="center" vertical="center" wrapText="1"/>
    </xf>
    <xf numFmtId="0" fontId="25" fillId="24" borderId="10" xfId="0" applyFont="1" applyFill="1" applyBorder="1" applyAlignment="1">
      <alignment horizontal="center" vertical="center"/>
    </xf>
    <xf numFmtId="10" fontId="24" fillId="25" borderId="58" xfId="47" applyNumberFormat="1" applyFont="1" applyFill="1" applyBorder="1" applyAlignment="1" applyProtection="1">
      <alignment vertical="center" wrapText="1"/>
    </xf>
    <xf numFmtId="4" fontId="24" fillId="25" borderId="36" xfId="45" applyNumberFormat="1" applyFont="1" applyFill="1" applyBorder="1" applyAlignment="1">
      <alignment horizontal="right"/>
    </xf>
    <xf numFmtId="4" fontId="25" fillId="24" borderId="36" xfId="45" applyNumberFormat="1" applyFont="1" applyFill="1" applyBorder="1" applyAlignment="1">
      <alignment horizontal="right"/>
    </xf>
    <xf numFmtId="4" fontId="24" fillId="24" borderId="36" xfId="45" applyNumberFormat="1" applyFont="1" applyFill="1" applyBorder="1" applyAlignment="1">
      <alignment horizontal="right"/>
    </xf>
    <xf numFmtId="4" fontId="24" fillId="25" borderId="62" xfId="45" applyNumberFormat="1" applyFont="1" applyFill="1" applyBorder="1" applyAlignment="1">
      <alignment horizontal="right"/>
    </xf>
    <xf numFmtId="4" fontId="24" fillId="24" borderId="56" xfId="45" applyNumberFormat="1" applyFont="1" applyFill="1" applyBorder="1" applyAlignment="1">
      <alignment horizontal="center"/>
    </xf>
    <xf numFmtId="2" fontId="27" fillId="24" borderId="56" xfId="0" applyNumberFormat="1" applyFont="1" applyFill="1" applyBorder="1" applyAlignment="1">
      <alignment horizontal="center" vertical="center"/>
    </xf>
    <xf numFmtId="0" fontId="34" fillId="0" borderId="10" xfId="0" applyFont="1" applyBorder="1" applyAlignment="1">
      <alignment horizontal="right"/>
    </xf>
    <xf numFmtId="164" fontId="25" fillId="24" borderId="10" xfId="43" applyFont="1" applyFill="1" applyBorder="1" applyAlignment="1">
      <alignment horizontal="right"/>
    </xf>
    <xf numFmtId="0" fontId="36" fillId="24" borderId="10" xfId="0" applyFont="1" applyFill="1" applyBorder="1" applyAlignment="1">
      <alignment vertical="center" wrapText="1"/>
    </xf>
    <xf numFmtId="4" fontId="25" fillId="0" borderId="0" xfId="0" applyNumberFormat="1" applyFont="1" applyAlignment="1">
      <alignment horizontal="right" wrapText="1"/>
    </xf>
    <xf numFmtId="0" fontId="33" fillId="0" borderId="10" xfId="0" applyFont="1" applyBorder="1" applyAlignment="1">
      <alignment horizontal="right"/>
    </xf>
    <xf numFmtId="4" fontId="25" fillId="24" borderId="10" xfId="0" applyNumberFormat="1" applyFont="1" applyFill="1" applyBorder="1"/>
    <xf numFmtId="4" fontId="25" fillId="25" borderId="10" xfId="45" applyNumberFormat="1" applyFont="1" applyFill="1" applyBorder="1" applyAlignment="1"/>
    <xf numFmtId="4" fontId="25" fillId="24" borderId="10" xfId="45" applyNumberFormat="1" applyFont="1" applyFill="1" applyBorder="1" applyAlignment="1">
      <alignment wrapText="1"/>
    </xf>
    <xf numFmtId="2" fontId="27" fillId="24" borderId="10" xfId="0" applyNumberFormat="1" applyFont="1" applyFill="1" applyBorder="1"/>
    <xf numFmtId="4" fontId="25" fillId="25" borderId="10" xfId="0" applyNumberFormat="1" applyFont="1" applyFill="1" applyBorder="1" applyAlignment="1">
      <alignment wrapText="1"/>
    </xf>
    <xf numFmtId="4" fontId="25" fillId="0" borderId="0" xfId="0" applyNumberFormat="1" applyFont="1" applyAlignment="1">
      <alignment wrapText="1"/>
    </xf>
    <xf numFmtId="4" fontId="0" fillId="0" borderId="0" xfId="43" applyNumberFormat="1" applyFont="1" applyAlignment="1"/>
    <xf numFmtId="0" fontId="33" fillId="0" borderId="10" xfId="0" applyFont="1" applyBorder="1"/>
    <xf numFmtId="166" fontId="27" fillId="24" borderId="10" xfId="0" applyNumberFormat="1" applyFont="1" applyFill="1" applyBorder="1" applyAlignment="1">
      <alignment horizontal="center"/>
    </xf>
    <xf numFmtId="4" fontId="25" fillId="0" borderId="0" xfId="0" applyNumberFormat="1" applyFont="1" applyAlignment="1">
      <alignment horizontal="left" wrapText="1"/>
    </xf>
    <xf numFmtId="0" fontId="33" fillId="0" borderId="10" xfId="0" applyFont="1" applyBorder="1" applyAlignment="1">
      <alignment horizontal="center"/>
    </xf>
    <xf numFmtId="0" fontId="24" fillId="24" borderId="0" xfId="0" applyFont="1" applyFill="1" applyAlignment="1">
      <alignment horizontal="right" wrapText="1"/>
    </xf>
    <xf numFmtId="0" fontId="25" fillId="24" borderId="0" xfId="0" applyFont="1" applyFill="1" applyAlignment="1">
      <alignment horizontal="left" wrapText="1"/>
    </xf>
    <xf numFmtId="14" fontId="25" fillId="24" borderId="0" xfId="45" applyNumberFormat="1" applyFont="1" applyFill="1" applyBorder="1" applyAlignment="1" applyProtection="1">
      <alignment horizontal="left"/>
    </xf>
    <xf numFmtId="0" fontId="25" fillId="24" borderId="0" xfId="0" applyFont="1" applyFill="1" applyAlignment="1">
      <alignment horizontal="left" vertical="top" wrapText="1"/>
    </xf>
    <xf numFmtId="0" fontId="24" fillId="24" borderId="0" xfId="0" applyFont="1" applyFill="1" applyAlignment="1">
      <alignment horizontal="left"/>
    </xf>
    <xf numFmtId="0" fontId="24" fillId="24" borderId="0" xfId="0" applyFont="1" applyFill="1"/>
    <xf numFmtId="165" fontId="24" fillId="24" borderId="0" xfId="0" applyNumberFormat="1" applyFont="1" applyFill="1" applyAlignment="1">
      <alignment horizontal="right"/>
    </xf>
    <xf numFmtId="165" fontId="24" fillId="24" borderId="0" xfId="0" applyNumberFormat="1" applyFont="1" applyFill="1" applyAlignment="1">
      <alignment horizontal="left"/>
    </xf>
    <xf numFmtId="0" fontId="25" fillId="0" borderId="43" xfId="0" applyFont="1" applyBorder="1" applyAlignment="1">
      <alignment horizontal="left" vertical="top"/>
    </xf>
    <xf numFmtId="4" fontId="24" fillId="25" borderId="16" xfId="45" applyNumberFormat="1" applyFont="1" applyFill="1" applyBorder="1" applyAlignment="1" applyProtection="1">
      <alignment horizontal="right"/>
    </xf>
    <xf numFmtId="10" fontId="24" fillId="25" borderId="17" xfId="33" applyNumberFormat="1" applyFont="1" applyFill="1" applyBorder="1" applyAlignment="1" applyProtection="1">
      <alignment horizontal="left"/>
    </xf>
    <xf numFmtId="0" fontId="25" fillId="25" borderId="10" xfId="0" applyFont="1" applyFill="1" applyBorder="1" applyAlignment="1">
      <alignment horizontal="center" wrapText="1"/>
    </xf>
    <xf numFmtId="0" fontId="24" fillId="25" borderId="10" xfId="0" applyFont="1" applyFill="1" applyBorder="1" applyAlignment="1">
      <alignment horizontal="center" vertical="center" wrapText="1"/>
    </xf>
    <xf numFmtId="0" fontId="24" fillId="25" borderId="10" xfId="0" applyFont="1" applyFill="1" applyBorder="1" applyAlignment="1">
      <alignment horizontal="center"/>
    </xf>
    <xf numFmtId="4" fontId="24" fillId="25" borderId="10" xfId="45" applyNumberFormat="1" applyFont="1" applyFill="1" applyBorder="1" applyAlignment="1"/>
    <xf numFmtId="4" fontId="24" fillId="25" borderId="10" xfId="45" applyNumberFormat="1" applyFont="1" applyFill="1" applyBorder="1" applyAlignment="1">
      <alignment horizontal="right"/>
    </xf>
    <xf numFmtId="4" fontId="24" fillId="25" borderId="10" xfId="45" applyNumberFormat="1" applyFont="1" applyFill="1" applyBorder="1" applyAlignment="1">
      <alignment horizontal="center"/>
    </xf>
    <xf numFmtId="4" fontId="24" fillId="25" borderId="36" xfId="45" applyNumberFormat="1" applyFont="1" applyFill="1" applyBorder="1" applyAlignment="1">
      <alignment horizontal="center"/>
    </xf>
    <xf numFmtId="0" fontId="28" fillId="28" borderId="10" xfId="0" applyFont="1" applyFill="1" applyBorder="1" applyAlignment="1">
      <alignment vertical="center" wrapText="1"/>
    </xf>
    <xf numFmtId="164" fontId="28" fillId="28" borderId="36" xfId="45" applyFont="1" applyFill="1" applyBorder="1" applyAlignment="1">
      <alignment horizontal="center" vertical="center"/>
    </xf>
    <xf numFmtId="0" fontId="24" fillId="25" borderId="10" xfId="0" applyFont="1" applyFill="1" applyBorder="1" applyAlignment="1">
      <alignment horizontal="left" vertical="center" wrapText="1"/>
    </xf>
    <xf numFmtId="164" fontId="27" fillId="24" borderId="10" xfId="45" applyFont="1" applyFill="1" applyBorder="1" applyAlignment="1">
      <alignment horizontal="right"/>
    </xf>
    <xf numFmtId="0" fontId="28" fillId="24" borderId="39" xfId="0" applyFont="1" applyFill="1" applyBorder="1" applyAlignment="1">
      <alignment horizontal="center" vertical="center"/>
    </xf>
    <xf numFmtId="0" fontId="28" fillId="24" borderId="10" xfId="0" applyFont="1" applyFill="1" applyBorder="1" applyAlignment="1">
      <alignment horizontal="center" vertical="center"/>
    </xf>
    <xf numFmtId="0" fontId="28" fillId="24" borderId="10" xfId="0" applyFont="1" applyFill="1" applyBorder="1" applyAlignment="1">
      <alignment horizontal="left" vertical="center" wrapText="1"/>
    </xf>
    <xf numFmtId="166" fontId="28" fillId="24" borderId="10" xfId="0" applyNumberFormat="1" applyFont="1" applyFill="1" applyBorder="1" applyAlignment="1">
      <alignment horizontal="center"/>
    </xf>
    <xf numFmtId="2" fontId="28" fillId="24" borderId="10" xfId="0" applyNumberFormat="1" applyFont="1" applyFill="1" applyBorder="1"/>
    <xf numFmtId="0" fontId="27" fillId="24" borderId="10" xfId="0" applyFont="1" applyFill="1" applyBorder="1" applyAlignment="1">
      <alignment horizontal="center" vertical="center" wrapText="1"/>
    </xf>
    <xf numFmtId="2" fontId="27" fillId="24" borderId="10" xfId="0" applyNumberFormat="1" applyFont="1" applyFill="1" applyBorder="1" applyAlignment="1">
      <alignment horizontal="right"/>
    </xf>
    <xf numFmtId="164" fontId="27" fillId="24" borderId="10" xfId="45" applyFont="1" applyFill="1" applyBorder="1" applyAlignment="1">
      <alignment horizontal="center"/>
    </xf>
    <xf numFmtId="164" fontId="27" fillId="24" borderId="36" xfId="45" applyFont="1" applyFill="1" applyBorder="1" applyAlignment="1">
      <alignment horizontal="center"/>
    </xf>
    <xf numFmtId="164" fontId="27" fillId="24" borderId="10" xfId="45" applyFont="1" applyFill="1" applyBorder="1" applyAlignment="1"/>
    <xf numFmtId="0" fontId="28" fillId="28" borderId="39" xfId="0" applyFont="1" applyFill="1" applyBorder="1" applyAlignment="1">
      <alignment horizontal="center" vertical="center"/>
    </xf>
    <xf numFmtId="0" fontId="28" fillId="28" borderId="10" xfId="0" applyFont="1" applyFill="1" applyBorder="1" applyAlignment="1">
      <alignment horizontal="center" vertical="center"/>
    </xf>
    <xf numFmtId="0" fontId="28" fillId="28" borderId="10" xfId="0" applyFont="1" applyFill="1" applyBorder="1" applyAlignment="1">
      <alignment horizontal="left" vertical="center" wrapText="1"/>
    </xf>
    <xf numFmtId="166" fontId="28" fillId="28" borderId="10" xfId="0" applyNumberFormat="1" applyFont="1" applyFill="1" applyBorder="1" applyAlignment="1">
      <alignment horizontal="center"/>
    </xf>
    <xf numFmtId="2" fontId="28" fillId="28" borderId="10" xfId="0" applyNumberFormat="1" applyFont="1" applyFill="1" applyBorder="1"/>
    <xf numFmtId="2" fontId="27" fillId="24" borderId="56" xfId="0" applyNumberFormat="1" applyFont="1" applyFill="1" applyBorder="1" applyAlignment="1">
      <alignment horizontal="center" vertical="center" wrapText="1"/>
    </xf>
    <xf numFmtId="2" fontId="27" fillId="24" borderId="56" xfId="0" applyNumberFormat="1" applyFont="1" applyFill="1" applyBorder="1" applyAlignment="1">
      <alignment horizontal="center"/>
    </xf>
    <xf numFmtId="43" fontId="28" fillId="28" borderId="10" xfId="0" applyNumberFormat="1" applyFont="1" applyFill="1" applyBorder="1" applyAlignment="1">
      <alignment horizontal="center"/>
    </xf>
    <xf numFmtId="2" fontId="28" fillId="28" borderId="10" xfId="0" applyNumberFormat="1" applyFont="1" applyFill="1" applyBorder="1" applyAlignment="1">
      <alignment horizontal="right"/>
    </xf>
    <xf numFmtId="2" fontId="28" fillId="28" borderId="10" xfId="0" applyNumberFormat="1" applyFont="1" applyFill="1" applyBorder="1" applyAlignment="1">
      <alignment vertical="center"/>
    </xf>
    <xf numFmtId="2" fontId="28" fillId="28" borderId="56" xfId="0" applyNumberFormat="1" applyFont="1" applyFill="1" applyBorder="1" applyAlignment="1">
      <alignment vertical="center"/>
    </xf>
    <xf numFmtId="0" fontId="27" fillId="24" borderId="10" xfId="0" applyFont="1" applyFill="1" applyBorder="1" applyAlignment="1">
      <alignment horizontal="center"/>
    </xf>
    <xf numFmtId="2" fontId="27" fillId="24" borderId="59" xfId="0" applyNumberFormat="1" applyFont="1" applyFill="1" applyBorder="1"/>
    <xf numFmtId="0" fontId="28" fillId="28" borderId="10" xfId="0" applyFont="1" applyFill="1" applyBorder="1" applyAlignment="1">
      <alignment horizontal="center"/>
    </xf>
    <xf numFmtId="164" fontId="28" fillId="28" borderId="10" xfId="45" applyFont="1" applyFill="1" applyBorder="1" applyAlignment="1">
      <alignment horizontal="right"/>
    </xf>
    <xf numFmtId="0" fontId="25" fillId="25" borderId="16" xfId="0" applyFont="1" applyFill="1" applyBorder="1" applyAlignment="1">
      <alignment horizontal="left" wrapText="1"/>
    </xf>
    <xf numFmtId="4" fontId="25" fillId="24" borderId="14" xfId="45" applyNumberFormat="1" applyFont="1" applyFill="1" applyBorder="1" applyAlignment="1">
      <alignment horizontal="right"/>
    </xf>
    <xf numFmtId="0" fontId="4" fillId="0" borderId="10" xfId="0" applyFont="1" applyBorder="1" applyAlignment="1">
      <alignment wrapText="1"/>
    </xf>
    <xf numFmtId="164" fontId="27" fillId="24" borderId="14" xfId="45" applyFont="1" applyFill="1" applyBorder="1" applyAlignment="1">
      <alignment horizontal="right"/>
    </xf>
    <xf numFmtId="2" fontId="27" fillId="24" borderId="10" xfId="0" applyNumberFormat="1" applyFont="1" applyFill="1" applyBorder="1" applyAlignment="1">
      <alignment horizontal="center"/>
    </xf>
    <xf numFmtId="2" fontId="27" fillId="24" borderId="56" xfId="0" applyNumberFormat="1" applyFont="1" applyFill="1" applyBorder="1" applyAlignment="1">
      <alignment horizontal="center" wrapText="1"/>
    </xf>
    <xf numFmtId="4" fontId="4" fillId="0" borderId="0" xfId="43" applyNumberFormat="1" applyFont="1" applyAlignment="1"/>
    <xf numFmtId="0" fontId="24" fillId="25" borderId="10" xfId="0" applyFont="1" applyFill="1" applyBorder="1" applyAlignment="1">
      <alignment horizontal="center" wrapText="1"/>
    </xf>
    <xf numFmtId="0" fontId="28" fillId="28" borderId="10" xfId="0" applyFont="1" applyFill="1" applyBorder="1" applyAlignment="1">
      <alignment wrapText="1"/>
    </xf>
    <xf numFmtId="0" fontId="24" fillId="25" borderId="10" xfId="0" applyFont="1" applyFill="1" applyBorder="1" applyAlignment="1">
      <alignment horizontal="left" wrapText="1"/>
    </xf>
    <xf numFmtId="0" fontId="25" fillId="24" borderId="10" xfId="0" applyFont="1" applyFill="1" applyBorder="1" applyAlignment="1">
      <alignment horizontal="left" wrapText="1"/>
    </xf>
    <xf numFmtId="0" fontId="25" fillId="24" borderId="10" xfId="0" applyFont="1" applyFill="1" applyBorder="1" applyAlignment="1">
      <alignment wrapText="1"/>
    </xf>
    <xf numFmtId="0" fontId="27" fillId="24" borderId="10" xfId="0" applyFont="1" applyFill="1" applyBorder="1" applyAlignment="1">
      <alignment horizontal="left" wrapText="1"/>
    </xf>
    <xf numFmtId="0" fontId="27" fillId="24" borderId="10" xfId="0" applyFont="1" applyFill="1" applyBorder="1" applyAlignment="1">
      <alignment wrapText="1"/>
    </xf>
    <xf numFmtId="0" fontId="28" fillId="28" borderId="10" xfId="0" applyFont="1" applyFill="1" applyBorder="1" applyAlignment="1">
      <alignment horizontal="left" wrapText="1"/>
    </xf>
    <xf numFmtId="0" fontId="27" fillId="0" borderId="10" xfId="0" applyFont="1" applyBorder="1" applyAlignment="1">
      <alignment horizontal="left" wrapText="1"/>
    </xf>
    <xf numFmtId="0" fontId="24" fillId="25" borderId="10" xfId="0" applyFont="1" applyFill="1" applyBorder="1" applyAlignment="1">
      <alignment wrapText="1"/>
    </xf>
    <xf numFmtId="0" fontId="25" fillId="0" borderId="43" xfId="0" applyFont="1" applyBorder="1" applyAlignment="1">
      <alignment horizontal="center"/>
    </xf>
    <xf numFmtId="2" fontId="27" fillId="24" borderId="59" xfId="0" applyNumberFormat="1" applyFont="1" applyFill="1" applyBorder="1" applyAlignment="1">
      <alignment horizontal="center"/>
    </xf>
    <xf numFmtId="2" fontId="27" fillId="24" borderId="59" xfId="0" applyNumberFormat="1" applyFont="1" applyFill="1" applyBorder="1" applyAlignment="1">
      <alignment horizontal="center" wrapText="1"/>
    </xf>
    <xf numFmtId="0" fontId="25" fillId="0" borderId="63" xfId="0" applyFont="1" applyBorder="1" applyAlignment="1">
      <alignment horizontal="center"/>
    </xf>
    <xf numFmtId="0" fontId="4" fillId="0" borderId="0" xfId="0" applyFont="1" applyAlignment="1">
      <alignment horizontal="center"/>
    </xf>
    <xf numFmtId="0" fontId="28" fillId="25" borderId="39" xfId="0" applyFont="1" applyFill="1" applyBorder="1" applyAlignment="1">
      <alignment horizontal="center" vertical="center"/>
    </xf>
    <xf numFmtId="0" fontId="28" fillId="25" borderId="10" xfId="0" applyFont="1" applyFill="1" applyBorder="1" applyAlignment="1">
      <alignment horizontal="center" vertical="center"/>
    </xf>
    <xf numFmtId="0" fontId="28" fillId="25" borderId="10" xfId="0" applyFont="1" applyFill="1" applyBorder="1" applyAlignment="1">
      <alignment horizontal="left" wrapText="1"/>
    </xf>
    <xf numFmtId="166" fontId="28" fillId="25" borderId="10" xfId="0" applyNumberFormat="1" applyFont="1" applyFill="1" applyBorder="1" applyAlignment="1">
      <alignment horizontal="center"/>
    </xf>
    <xf numFmtId="2" fontId="28" fillId="25" borderId="10" xfId="0" applyNumberFormat="1" applyFont="1" applyFill="1" applyBorder="1"/>
    <xf numFmtId="4" fontId="25" fillId="25" borderId="56" xfId="0" applyNumberFormat="1" applyFont="1" applyFill="1" applyBorder="1" applyAlignment="1">
      <alignment horizontal="center"/>
    </xf>
    <xf numFmtId="164" fontId="27" fillId="24" borderId="36" xfId="45" applyFont="1" applyFill="1" applyBorder="1" applyAlignment="1">
      <alignment horizontal="center" wrapText="1"/>
    </xf>
    <xf numFmtId="2" fontId="27" fillId="24" borderId="10" xfId="0" applyNumberFormat="1" applyFont="1" applyFill="1" applyBorder="1" applyAlignment="1">
      <alignment horizontal="right" wrapText="1"/>
    </xf>
    <xf numFmtId="2" fontId="27" fillId="24" borderId="10" xfId="0" applyNumberFormat="1" applyFont="1" applyFill="1" applyBorder="1" applyAlignment="1">
      <alignment horizontal="center" wrapText="1"/>
    </xf>
    <xf numFmtId="0" fontId="25" fillId="0" borderId="0" xfId="0" applyFont="1" applyAlignment="1">
      <alignment horizontal="center" vertical="center"/>
    </xf>
    <xf numFmtId="9" fontId="4" fillId="0" borderId="0" xfId="33" applyFont="1" applyAlignment="1">
      <alignment horizontal="center" vertical="center"/>
    </xf>
    <xf numFmtId="164" fontId="25" fillId="0" borderId="0" xfId="43" applyFont="1" applyAlignment="1">
      <alignment horizontal="center" vertical="center"/>
    </xf>
    <xf numFmtId="166" fontId="27" fillId="24" borderId="12" xfId="0" applyNumberFormat="1" applyFont="1" applyFill="1" applyBorder="1" applyAlignment="1">
      <alignment horizontal="center"/>
    </xf>
    <xf numFmtId="0" fontId="0" fillId="0" borderId="0" xfId="0" applyAlignment="1">
      <alignment horizontal="center" vertical="center"/>
    </xf>
    <xf numFmtId="0" fontId="30" fillId="0" borderId="0" xfId="0" applyFont="1" applyAlignment="1">
      <alignment horizontal="center" vertical="center" wrapText="1"/>
    </xf>
    <xf numFmtId="0" fontId="25" fillId="24" borderId="0" xfId="0" applyFont="1" applyFill="1" applyAlignment="1">
      <alignment horizontal="left" vertical="center" wrapText="1"/>
    </xf>
    <xf numFmtId="0" fontId="25" fillId="24" borderId="0" xfId="0" applyFont="1" applyFill="1" applyAlignment="1">
      <alignment horizontal="left" wrapText="1"/>
    </xf>
    <xf numFmtId="0" fontId="24" fillId="25" borderId="18" xfId="0" applyFont="1" applyFill="1" applyBorder="1" applyAlignment="1">
      <alignment horizontal="left" vertical="top" wrapText="1"/>
    </xf>
    <xf numFmtId="0" fontId="24" fillId="25" borderId="16" xfId="0" applyFont="1" applyFill="1" applyBorder="1" applyAlignment="1">
      <alignment horizontal="left" vertical="top" wrapText="1"/>
    </xf>
    <xf numFmtId="0" fontId="24" fillId="25" borderId="16" xfId="0" applyFont="1" applyFill="1" applyBorder="1" applyAlignment="1">
      <alignment horizontal="center" vertical="center"/>
    </xf>
    <xf numFmtId="10" fontId="24" fillId="25" borderId="61" xfId="47" applyNumberFormat="1" applyFont="1" applyFill="1" applyBorder="1" applyAlignment="1" applyProtection="1">
      <alignment horizontal="center" vertical="center" wrapText="1"/>
    </xf>
    <xf numFmtId="10" fontId="24" fillId="25" borderId="60" xfId="47" applyNumberFormat="1" applyFont="1" applyFill="1" applyBorder="1" applyAlignment="1" applyProtection="1">
      <alignment horizontal="center" vertical="center" wrapText="1"/>
    </xf>
    <xf numFmtId="10" fontId="24" fillId="25" borderId="59" xfId="47" applyNumberFormat="1" applyFont="1" applyFill="1" applyBorder="1" applyAlignment="1" applyProtection="1">
      <alignment horizontal="center" vertical="center" wrapText="1"/>
    </xf>
    <xf numFmtId="164" fontId="24" fillId="25" borderId="40" xfId="45" applyFont="1" applyFill="1" applyBorder="1" applyAlignment="1">
      <alignment horizontal="right" vertical="center"/>
    </xf>
    <xf numFmtId="164" fontId="24" fillId="25" borderId="19" xfId="45" applyFont="1" applyFill="1" applyBorder="1" applyAlignment="1">
      <alignment horizontal="right" vertical="center"/>
    </xf>
    <xf numFmtId="0" fontId="30" fillId="0" borderId="26" xfId="0" applyFont="1" applyBorder="1" applyAlignment="1">
      <alignment horizontal="center" vertical="center" wrapText="1"/>
    </xf>
    <xf numFmtId="0" fontId="30" fillId="0" borderId="27" xfId="0" applyFont="1" applyBorder="1" applyAlignment="1">
      <alignment horizontal="center" vertical="center" wrapText="1"/>
    </xf>
    <xf numFmtId="0" fontId="30" fillId="0" borderId="28" xfId="0" applyFont="1" applyBorder="1" applyAlignment="1">
      <alignment horizontal="center" vertical="center" wrapText="1"/>
    </xf>
    <xf numFmtId="0" fontId="24" fillId="0" borderId="53" xfId="0" applyFont="1" applyBorder="1" applyAlignment="1">
      <alignment horizontal="center" vertical="center"/>
    </xf>
    <xf numFmtId="0" fontId="24" fillId="0" borderId="54" xfId="0" applyFont="1" applyBorder="1" applyAlignment="1">
      <alignment horizontal="center" vertical="center"/>
    </xf>
    <xf numFmtId="0" fontId="24" fillId="0" borderId="52" xfId="0" applyFont="1" applyBorder="1" applyAlignment="1">
      <alignment horizontal="center" vertical="center" wrapText="1"/>
    </xf>
    <xf numFmtId="0" fontId="24" fillId="0" borderId="11" xfId="0" applyFont="1" applyBorder="1" applyAlignment="1">
      <alignment horizontal="center" vertical="center" wrapText="1"/>
    </xf>
    <xf numFmtId="164" fontId="24" fillId="0" borderId="52" xfId="45" applyFont="1" applyBorder="1" applyAlignment="1">
      <alignment horizontal="center" vertical="center" wrapText="1"/>
    </xf>
    <xf numFmtId="164" fontId="24" fillId="0" borderId="11" xfId="45" applyFont="1" applyBorder="1" applyAlignment="1">
      <alignment horizontal="center" vertical="center" wrapText="1"/>
    </xf>
    <xf numFmtId="0" fontId="25" fillId="0" borderId="45" xfId="0" applyFont="1" applyBorder="1" applyAlignment="1">
      <alignment horizontal="center" vertical="center"/>
    </xf>
    <xf numFmtId="0" fontId="25" fillId="0" borderId="51" xfId="0" applyFont="1" applyBorder="1" applyAlignment="1">
      <alignment horizontal="center" vertical="center"/>
    </xf>
    <xf numFmtId="0" fontId="24" fillId="0" borderId="43" xfId="0" applyFont="1" applyBorder="1" applyAlignment="1">
      <alignment horizontal="right" vertical="center" wrapText="1"/>
    </xf>
    <xf numFmtId="0" fontId="24" fillId="27" borderId="55" xfId="0" applyFont="1" applyFill="1" applyBorder="1" applyAlignment="1">
      <alignment horizontal="center" vertical="center"/>
    </xf>
    <xf numFmtId="0" fontId="24" fillId="27" borderId="14" xfId="0" applyFont="1" applyFill="1" applyBorder="1" applyAlignment="1">
      <alignment horizontal="center" vertical="center"/>
    </xf>
    <xf numFmtId="9" fontId="24" fillId="26" borderId="47" xfId="47" applyFont="1" applyFill="1" applyBorder="1" applyAlignment="1">
      <alignment horizontal="center" vertical="center"/>
    </xf>
    <xf numFmtId="9" fontId="24" fillId="26" borderId="49" xfId="47" applyFont="1" applyFill="1" applyBorder="1" applyAlignment="1">
      <alignment horizontal="center" vertical="center"/>
    </xf>
    <xf numFmtId="164" fontId="24" fillId="26" borderId="48" xfId="45" applyFont="1" applyFill="1" applyBorder="1" applyAlignment="1">
      <alignment horizontal="center" vertical="center"/>
    </xf>
    <xf numFmtId="164" fontId="24" fillId="26" borderId="50" xfId="45" applyFont="1" applyFill="1" applyBorder="1" applyAlignment="1">
      <alignment horizontal="center" vertical="center"/>
    </xf>
    <xf numFmtId="0" fontId="25" fillId="0" borderId="29" xfId="0" applyFont="1" applyBorder="1" applyAlignment="1">
      <alignment horizontal="left" vertical="center" wrapText="1"/>
    </xf>
    <xf numFmtId="0" fontId="25" fillId="0" borderId="46" xfId="0" applyFont="1" applyBorder="1" applyAlignment="1">
      <alignment horizontal="center" vertical="center"/>
    </xf>
    <xf numFmtId="14" fontId="25" fillId="0" borderId="43" xfId="0" applyNumberFormat="1" applyFont="1" applyBorder="1" applyAlignment="1">
      <alignment horizontal="left" vertical="center" wrapText="1"/>
    </xf>
    <xf numFmtId="14" fontId="25" fillId="0" borderId="44" xfId="0" applyNumberFormat="1" applyFont="1" applyBorder="1" applyAlignment="1">
      <alignment horizontal="left" vertical="center" wrapText="1"/>
    </xf>
    <xf numFmtId="0" fontId="25" fillId="0" borderId="32" xfId="46" applyFont="1" applyBorder="1" applyAlignment="1">
      <alignment horizontal="center" vertical="center" wrapText="1"/>
    </xf>
    <xf numFmtId="0" fontId="25" fillId="0" borderId="0" xfId="46" applyFont="1" applyAlignment="1">
      <alignment horizontal="center" vertical="center" wrapText="1"/>
    </xf>
    <xf numFmtId="0" fontId="25" fillId="0" borderId="33" xfId="46" applyFont="1" applyBorder="1" applyAlignment="1">
      <alignment horizontal="center" vertical="center" wrapText="1"/>
    </xf>
    <xf numFmtId="0" fontId="25" fillId="0" borderId="42" xfId="46" applyFont="1" applyBorder="1" applyAlignment="1">
      <alignment horizontal="center" vertical="center" wrapText="1"/>
    </xf>
    <xf numFmtId="0" fontId="25" fillId="0" borderId="43" xfId="46" applyFont="1" applyBorder="1" applyAlignment="1">
      <alignment horizontal="center" vertical="center" wrapText="1"/>
    </xf>
    <xf numFmtId="0" fontId="25" fillId="0" borderId="44" xfId="46" applyFont="1" applyBorder="1" applyAlignment="1">
      <alignment horizontal="center" vertical="center" wrapText="1"/>
    </xf>
    <xf numFmtId="0" fontId="24" fillId="0" borderId="34" xfId="46" applyFont="1" applyBorder="1" applyAlignment="1">
      <alignment horizontal="left" vertical="center"/>
    </xf>
    <xf numFmtId="0" fontId="24" fillId="0" borderId="20" xfId="46" applyFont="1" applyBorder="1" applyAlignment="1">
      <alignment horizontal="left" vertical="center"/>
    </xf>
    <xf numFmtId="0" fontId="24" fillId="0" borderId="35" xfId="46" applyFont="1" applyBorder="1" applyAlignment="1">
      <alignment horizontal="left" vertical="center"/>
    </xf>
    <xf numFmtId="0" fontId="29" fillId="0" borderId="26" xfId="46" applyFont="1" applyBorder="1" applyAlignment="1">
      <alignment horizontal="center" vertical="center"/>
    </xf>
    <xf numFmtId="0" fontId="29" fillId="0" borderId="27" xfId="46" applyFont="1" applyBorder="1" applyAlignment="1">
      <alignment horizontal="center" vertical="center"/>
    </xf>
    <xf numFmtId="0" fontId="29" fillId="0" borderId="28" xfId="46" applyFont="1" applyBorder="1" applyAlignment="1">
      <alignment horizontal="center" vertical="center"/>
    </xf>
    <xf numFmtId="0" fontId="27" fillId="0" borderId="29" xfId="44" applyFont="1" applyBorder="1" applyAlignment="1">
      <alignment horizontal="left" vertical="center" wrapText="1"/>
    </xf>
    <xf numFmtId="0" fontId="27" fillId="0" borderId="30" xfId="44" applyFont="1" applyBorder="1" applyAlignment="1">
      <alignment horizontal="left" vertical="center" wrapText="1"/>
    </xf>
    <xf numFmtId="0" fontId="27" fillId="0" borderId="0" xfId="44" applyFont="1" applyAlignment="1">
      <alignment horizontal="left" vertical="center" wrapText="1"/>
    </xf>
    <xf numFmtId="0" fontId="28" fillId="0" borderId="0" xfId="44" applyFont="1" applyAlignment="1">
      <alignment horizontal="center" vertical="center" wrapText="1"/>
    </xf>
    <xf numFmtId="14" fontId="27" fillId="0" borderId="0" xfId="44" applyNumberFormat="1" applyFont="1" applyAlignment="1">
      <alignment horizontal="left" vertical="center" wrapText="1"/>
    </xf>
    <xf numFmtId="14" fontId="27" fillId="0" borderId="33" xfId="44" applyNumberFormat="1" applyFont="1" applyBorder="1" applyAlignment="1">
      <alignment horizontal="left" vertical="center" wrapText="1"/>
    </xf>
    <xf numFmtId="10" fontId="24" fillId="0" borderId="10" xfId="47" applyNumberFormat="1" applyFont="1" applyFill="1" applyBorder="1" applyAlignment="1" applyProtection="1">
      <alignment horizontal="center" vertical="center"/>
    </xf>
    <xf numFmtId="10" fontId="24" fillId="0" borderId="36" xfId="47" applyNumberFormat="1" applyFont="1" applyFill="1" applyBorder="1" applyAlignment="1" applyProtection="1">
      <alignment horizontal="center" vertical="center"/>
    </xf>
    <xf numFmtId="0" fontId="24" fillId="0" borderId="39" xfId="46" applyFont="1" applyBorder="1" applyAlignment="1">
      <alignment horizontal="center" vertical="center"/>
    </xf>
    <xf numFmtId="0" fontId="24" fillId="0" borderId="10" xfId="46" applyFont="1" applyBorder="1" applyAlignment="1">
      <alignment horizontal="center" vertical="center"/>
    </xf>
    <xf numFmtId="9" fontId="25" fillId="0" borderId="24" xfId="47" applyFont="1" applyFill="1" applyBorder="1" applyAlignment="1" applyProtection="1">
      <alignment horizontal="center" vertical="center" wrapText="1"/>
    </xf>
    <xf numFmtId="9" fontId="25" fillId="0" borderId="21" xfId="47" applyFont="1" applyFill="1" applyBorder="1" applyAlignment="1" applyProtection="1">
      <alignment horizontal="center" vertical="center" wrapText="1"/>
    </xf>
    <xf numFmtId="9" fontId="25" fillId="0" borderId="38" xfId="47" applyFont="1" applyFill="1" applyBorder="1" applyAlignment="1" applyProtection="1">
      <alignment horizontal="center" vertical="center" wrapText="1"/>
    </xf>
  </cellXfs>
  <cellStyles count="54">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Moeda 2" xfId="50" xr:uid="{00000000-0005-0000-0000-00001E000000}"/>
    <cellStyle name="Neutro" xfId="31" builtinId="28" customBuiltin="1"/>
    <cellStyle name="Normal" xfId="0" builtinId="0"/>
    <cellStyle name="Normal 2" xfId="44" xr:uid="{00000000-0005-0000-0000-000021000000}"/>
    <cellStyle name="Normal 2 2" xfId="52" xr:uid="{00000000-0005-0000-0000-000022000000}"/>
    <cellStyle name="Normal 2 3" xfId="53" xr:uid="{00000000-0005-0000-0000-000023000000}"/>
    <cellStyle name="Normal 3" xfId="46" xr:uid="{00000000-0005-0000-0000-000024000000}"/>
    <cellStyle name="Normal 4" xfId="51" xr:uid="{00000000-0005-0000-0000-000025000000}"/>
    <cellStyle name="Nota" xfId="32" builtinId="10" customBuiltin="1"/>
    <cellStyle name="Porcentagem" xfId="33" builtinId="5"/>
    <cellStyle name="Porcentagem 2" xfId="47" xr:uid="{00000000-0005-0000-0000-000028000000}"/>
    <cellStyle name="Ruim" xfId="30" builtinId="27" customBuiltin="1"/>
    <cellStyle name="Saída" xfId="34" builtinId="21" customBuiltin="1"/>
    <cellStyle name="Texto de Aviso" xfId="35" builtinId="11" customBuiltin="1"/>
    <cellStyle name="Texto Explicativo" xfId="36" builtinId="53" customBuiltin="1"/>
    <cellStyle name="Título" xfId="37" builtinId="15" customBuiltin="1"/>
    <cellStyle name="Título 1" xfId="38" builtinId="16" customBuiltin="1"/>
    <cellStyle name="Título 2" xfId="39" builtinId="17" customBuiltin="1"/>
    <cellStyle name="Título 3" xfId="40" builtinId="18" customBuiltin="1"/>
    <cellStyle name="Título 4" xfId="41" builtinId="19" customBuiltin="1"/>
    <cellStyle name="Total" xfId="42" builtinId="25" customBuiltin="1"/>
    <cellStyle name="Vírgula" xfId="43" builtinId="3"/>
    <cellStyle name="Vírgula 2" xfId="45" xr:uid="{00000000-0005-0000-0000-000033000000}"/>
    <cellStyle name="Vírgula 2 2" xfId="49" xr:uid="{00000000-0005-0000-0000-000034000000}"/>
    <cellStyle name="Vírgula 3" xfId="48" xr:uid="{00000000-0005-0000-0000-000035000000}"/>
  </cellStyles>
  <dxfs count="6">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68036</xdr:colOff>
      <xdr:row>0</xdr:row>
      <xdr:rowOff>0</xdr:rowOff>
    </xdr:from>
    <xdr:to>
      <xdr:col>8</xdr:col>
      <xdr:colOff>2026227</xdr:colOff>
      <xdr:row>1</xdr:row>
      <xdr:rowOff>6883</xdr:rowOff>
    </xdr:to>
    <xdr:sp macro="" textlink="">
      <xdr:nvSpPr>
        <xdr:cNvPr id="2" name="Rectangle 2">
          <a:extLst>
            <a:ext uri="{FF2B5EF4-FFF2-40B4-BE49-F238E27FC236}">
              <a16:creationId xmlns:a16="http://schemas.microsoft.com/office/drawing/2014/main" id="{F0F27663-4152-41A9-9591-0B6ED18B630C}"/>
            </a:ext>
          </a:extLst>
        </xdr:cNvPr>
        <xdr:cNvSpPr>
          <a:spLocks noChangeArrowheads="1"/>
        </xdr:cNvSpPr>
      </xdr:nvSpPr>
      <xdr:spPr bwMode="auto">
        <a:xfrm>
          <a:off x="68036" y="0"/>
          <a:ext cx="12007066" cy="664108"/>
        </a:xfrm>
        <a:prstGeom prst="rect">
          <a:avLst/>
        </a:prstGeom>
        <a:noFill/>
        <a:ln w="0">
          <a:noFill/>
          <a:miter lim="800000"/>
          <a:headEnd/>
          <a:tailEnd/>
        </a:ln>
        <a:effectLst/>
      </xdr:spPr>
      <xdr:txBody>
        <a:bodyPr vertOverflow="clip" wrap="square" lIns="0" tIns="0" rIns="0" bIns="0" anchor="t" upright="1"/>
        <a:lstStyle/>
        <a:p>
          <a:pPr marL="0" marR="0" indent="0" algn="ctr" defTabSz="914400" rtl="0" eaLnBrk="1" fontAlgn="auto" latinLnBrk="0" hangingPunct="1">
            <a:lnSpc>
              <a:spcPct val="100000"/>
            </a:lnSpc>
            <a:spcBef>
              <a:spcPts val="0"/>
            </a:spcBef>
            <a:spcAft>
              <a:spcPts val="0"/>
            </a:spcAft>
            <a:buClrTx/>
            <a:buSzTx/>
            <a:buFontTx/>
            <a:buNone/>
            <a:tabLst/>
            <a:defRPr sz="1000"/>
          </a:pPr>
          <a:r>
            <a:rPr lang="pt-BR" sz="3200" b="0" i="0" strike="noStrike">
              <a:solidFill>
                <a:srgbClr val="00B050"/>
              </a:solidFill>
              <a:latin typeface="Arial"/>
              <a:cs typeface="Arial"/>
            </a:rPr>
            <a:t>SAAE (</a:t>
          </a:r>
          <a:r>
            <a:rPr lang="pt-BR" sz="2800" b="1">
              <a:solidFill>
                <a:srgbClr val="00B050"/>
              </a:solidFill>
              <a:effectLst/>
              <a:latin typeface="Arial" panose="020B0604020202020204" pitchFamily="34" charset="0"/>
              <a:ea typeface="+mn-ea"/>
              <a:cs typeface="Arial" panose="020B0604020202020204" pitchFamily="34" charset="0"/>
            </a:rPr>
            <a:t>SERVIÇO MUNICIPAL DE SANEAMENTO BÁSICO</a:t>
          </a:r>
          <a:r>
            <a:rPr lang="pt-BR" sz="3200" b="0" i="0" strike="noStrike">
              <a:solidFill>
                <a:srgbClr val="00B050"/>
              </a:solidFill>
              <a:latin typeface="Arial"/>
              <a:cs typeface="Arial"/>
            </a:rPr>
            <a:t>)</a:t>
          </a:r>
        </a:p>
        <a:p>
          <a:pPr algn="ctr" rtl="0">
            <a:defRPr sz="1000"/>
          </a:pPr>
          <a:r>
            <a:rPr lang="pt-BR" sz="1200" b="0" i="0" strike="noStrike">
              <a:solidFill>
                <a:srgbClr val="00B050"/>
              </a:solidFill>
              <a:latin typeface="Arial"/>
              <a:cs typeface="Arial"/>
            </a:rPr>
            <a:t>Unaí</a:t>
          </a:r>
          <a:r>
            <a:rPr lang="pt-BR" sz="1200" b="0" i="0" strike="noStrike" baseline="0">
              <a:solidFill>
                <a:srgbClr val="00B050"/>
              </a:solidFill>
              <a:latin typeface="Arial"/>
              <a:cs typeface="Arial"/>
            </a:rPr>
            <a:t> Minas Gerais</a:t>
          </a:r>
        </a:p>
        <a:p>
          <a:pPr algn="ctr" rtl="0">
            <a:defRPr sz="1000"/>
          </a:pPr>
          <a:r>
            <a:rPr lang="pt-BR" sz="1200" b="0" i="0" strike="noStrike">
              <a:solidFill>
                <a:srgbClr val="008000"/>
              </a:solidFill>
              <a:latin typeface="Arial"/>
              <a:cs typeface="Arial"/>
            </a:rPr>
            <a:t> </a:t>
          </a:r>
          <a:endParaRPr lang="pt-BR" sz="1200" b="0" i="0" strike="noStrike">
            <a:solidFill>
              <a:srgbClr val="000000"/>
            </a:solidFill>
            <a:latin typeface="Arial"/>
            <a:cs typeface="Arial"/>
          </a:endParaRPr>
        </a:p>
        <a:p>
          <a:pPr algn="ctr" rtl="0">
            <a:defRPr sz="1000"/>
          </a:pPr>
          <a:r>
            <a:rPr lang="pt-BR" sz="1200" b="0" i="0" strike="noStrike">
              <a:solidFill>
                <a:srgbClr val="000000"/>
              </a:solidFill>
              <a:latin typeface="Arial"/>
              <a:cs typeface="Arial"/>
            </a:rPr>
            <a: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68036</xdr:colOff>
      <xdr:row>0</xdr:row>
      <xdr:rowOff>0</xdr:rowOff>
    </xdr:from>
    <xdr:to>
      <xdr:col>8</xdr:col>
      <xdr:colOff>2026227</xdr:colOff>
      <xdr:row>1</xdr:row>
      <xdr:rowOff>6883</xdr:rowOff>
    </xdr:to>
    <xdr:sp macro="" textlink="">
      <xdr:nvSpPr>
        <xdr:cNvPr id="2" name="Rectangle 2">
          <a:extLst>
            <a:ext uri="{FF2B5EF4-FFF2-40B4-BE49-F238E27FC236}">
              <a16:creationId xmlns:a16="http://schemas.microsoft.com/office/drawing/2014/main" id="{00000000-0008-0000-0000-000002000000}"/>
            </a:ext>
          </a:extLst>
        </xdr:cNvPr>
        <xdr:cNvSpPr>
          <a:spLocks noChangeArrowheads="1"/>
        </xdr:cNvSpPr>
      </xdr:nvSpPr>
      <xdr:spPr bwMode="auto">
        <a:xfrm>
          <a:off x="68036" y="0"/>
          <a:ext cx="12591555" cy="664974"/>
        </a:xfrm>
        <a:prstGeom prst="rect">
          <a:avLst/>
        </a:prstGeom>
        <a:noFill/>
        <a:ln w="0">
          <a:noFill/>
          <a:miter lim="800000"/>
          <a:headEnd/>
          <a:tailEnd/>
        </a:ln>
        <a:effectLst/>
      </xdr:spPr>
      <xdr:txBody>
        <a:bodyPr vertOverflow="clip" wrap="square" lIns="0" tIns="0" rIns="0" bIns="0" anchor="t" upright="1"/>
        <a:lstStyle/>
        <a:p>
          <a:pPr marL="0" marR="0" indent="0" algn="ctr" defTabSz="914400" rtl="0" eaLnBrk="1" fontAlgn="auto" latinLnBrk="0" hangingPunct="1">
            <a:lnSpc>
              <a:spcPct val="100000"/>
            </a:lnSpc>
            <a:spcBef>
              <a:spcPts val="0"/>
            </a:spcBef>
            <a:spcAft>
              <a:spcPts val="0"/>
            </a:spcAft>
            <a:buClrTx/>
            <a:buSzTx/>
            <a:buFontTx/>
            <a:buNone/>
            <a:tabLst/>
            <a:defRPr sz="1000"/>
          </a:pPr>
          <a:r>
            <a:rPr lang="pt-BR" sz="3200" b="0" i="0" strike="noStrike">
              <a:solidFill>
                <a:srgbClr val="00B050"/>
              </a:solidFill>
              <a:latin typeface="Arial"/>
              <a:cs typeface="Arial"/>
            </a:rPr>
            <a:t>SAAE (</a:t>
          </a:r>
          <a:r>
            <a:rPr lang="pt-BR" sz="2800" b="1">
              <a:solidFill>
                <a:srgbClr val="00B050"/>
              </a:solidFill>
              <a:effectLst/>
              <a:latin typeface="Arial" panose="020B0604020202020204" pitchFamily="34" charset="0"/>
              <a:ea typeface="+mn-ea"/>
              <a:cs typeface="Arial" panose="020B0604020202020204" pitchFamily="34" charset="0"/>
            </a:rPr>
            <a:t>SERVIÇO MUNICIPAL DE SANEAMENTO BÁSICO</a:t>
          </a:r>
          <a:r>
            <a:rPr lang="pt-BR" sz="3200" b="0" i="0" strike="noStrike">
              <a:solidFill>
                <a:srgbClr val="00B050"/>
              </a:solidFill>
              <a:latin typeface="Arial"/>
              <a:cs typeface="Arial"/>
            </a:rPr>
            <a:t>)</a:t>
          </a:r>
        </a:p>
        <a:p>
          <a:pPr algn="ctr" rtl="0">
            <a:defRPr sz="1000"/>
          </a:pPr>
          <a:r>
            <a:rPr lang="pt-BR" sz="1200" b="0" i="0" strike="noStrike">
              <a:solidFill>
                <a:srgbClr val="00B050"/>
              </a:solidFill>
              <a:latin typeface="Arial"/>
              <a:cs typeface="Arial"/>
            </a:rPr>
            <a:t>Unaí</a:t>
          </a:r>
          <a:r>
            <a:rPr lang="pt-BR" sz="1200" b="0" i="0" strike="noStrike" baseline="0">
              <a:solidFill>
                <a:srgbClr val="00B050"/>
              </a:solidFill>
              <a:latin typeface="Arial"/>
              <a:cs typeface="Arial"/>
            </a:rPr>
            <a:t> Minas Gerais</a:t>
          </a:r>
        </a:p>
        <a:p>
          <a:pPr algn="ctr" rtl="0">
            <a:defRPr sz="1000"/>
          </a:pPr>
          <a:r>
            <a:rPr lang="pt-BR" sz="1200" b="0" i="0" strike="noStrike">
              <a:solidFill>
                <a:srgbClr val="008000"/>
              </a:solidFill>
              <a:latin typeface="Arial"/>
              <a:cs typeface="Arial"/>
            </a:rPr>
            <a:t> </a:t>
          </a:r>
          <a:endParaRPr lang="pt-BR" sz="1200" b="0" i="0" strike="noStrike">
            <a:solidFill>
              <a:srgbClr val="000000"/>
            </a:solidFill>
            <a:latin typeface="Arial"/>
            <a:cs typeface="Arial"/>
          </a:endParaRPr>
        </a:p>
        <a:p>
          <a:pPr algn="ctr" rtl="0">
            <a:defRPr sz="1000"/>
          </a:pPr>
          <a:r>
            <a:rPr lang="pt-BR" sz="1200" b="0" i="0" strike="noStrike">
              <a:solidFill>
                <a:srgbClr val="000000"/>
              </a:solidFill>
              <a:latin typeface="Arial"/>
              <a:cs typeface="Arial"/>
            </a:rPr>
            <a:t>'</a:t>
          </a:r>
        </a:p>
      </xdr:txBody>
    </xdr:sp>
    <xdr:clientData/>
  </xdr:twoCellAnchor>
  <xdr:twoCellAnchor editAs="oneCell">
    <xdr:from>
      <xdr:col>11</xdr:col>
      <xdr:colOff>601807</xdr:colOff>
      <xdr:row>47</xdr:row>
      <xdr:rowOff>0</xdr:rowOff>
    </xdr:from>
    <xdr:to>
      <xdr:col>25</xdr:col>
      <xdr:colOff>14721</xdr:colOff>
      <xdr:row>69</xdr:row>
      <xdr:rowOff>50530</xdr:rowOff>
    </xdr:to>
    <xdr:pic>
      <xdr:nvPicPr>
        <xdr:cNvPr id="3" name="Imagem 2" descr="JAKFER - FERRO E AÇO PARA SERRALHERIA E INDÚSTRIAS">
          <a:extLst>
            <a:ext uri="{FF2B5EF4-FFF2-40B4-BE49-F238E27FC236}">
              <a16:creationId xmlns:a16="http://schemas.microsoft.com/office/drawing/2014/main" id="{9B173F8A-1EC6-F8D3-7B90-F1382DA1EF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48534" y="31499607"/>
          <a:ext cx="7916141" cy="8505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13607</xdr:rowOff>
    </xdr:from>
    <xdr:to>
      <xdr:col>13</xdr:col>
      <xdr:colOff>1074964</xdr:colOff>
      <xdr:row>0</xdr:row>
      <xdr:rowOff>789214</xdr:rowOff>
    </xdr:to>
    <xdr:sp macro="" textlink="">
      <xdr:nvSpPr>
        <xdr:cNvPr id="2" name="Rectangle 2">
          <a:extLst>
            <a:ext uri="{FF2B5EF4-FFF2-40B4-BE49-F238E27FC236}">
              <a16:creationId xmlns:a16="http://schemas.microsoft.com/office/drawing/2014/main" id="{00000000-0008-0000-0100-000002000000}"/>
            </a:ext>
          </a:extLst>
        </xdr:cNvPr>
        <xdr:cNvSpPr>
          <a:spLocks noChangeArrowheads="1"/>
        </xdr:cNvSpPr>
      </xdr:nvSpPr>
      <xdr:spPr bwMode="auto">
        <a:xfrm>
          <a:off x="0" y="13607"/>
          <a:ext cx="11919857" cy="775607"/>
        </a:xfrm>
        <a:prstGeom prst="rect">
          <a:avLst/>
        </a:prstGeom>
        <a:noFill/>
        <a:ln w="0">
          <a:noFill/>
          <a:miter lim="800000"/>
          <a:headEnd/>
          <a:tailEnd/>
        </a:ln>
        <a:effectLst/>
      </xdr:spPr>
      <xdr:txBody>
        <a:bodyPr vertOverflow="clip" wrap="square" lIns="0" tIns="0" rIns="0" bIns="0" anchor="t" upright="1"/>
        <a:lstStyle/>
        <a:p>
          <a:pPr marL="0" marR="0" indent="0" algn="ctr" defTabSz="914400" rtl="0" eaLnBrk="1" fontAlgn="auto" latinLnBrk="0" hangingPunct="1">
            <a:lnSpc>
              <a:spcPct val="100000"/>
            </a:lnSpc>
            <a:spcBef>
              <a:spcPts val="0"/>
            </a:spcBef>
            <a:spcAft>
              <a:spcPts val="0"/>
            </a:spcAft>
            <a:buClrTx/>
            <a:buSzTx/>
            <a:buFontTx/>
            <a:buNone/>
            <a:tabLst/>
            <a:defRPr sz="1000"/>
          </a:pPr>
          <a:r>
            <a:rPr lang="pt-BR" sz="3200" b="0" i="0" strike="noStrike">
              <a:solidFill>
                <a:srgbClr val="00B050"/>
              </a:solidFill>
              <a:latin typeface="Arial"/>
              <a:cs typeface="Arial"/>
            </a:rPr>
            <a:t>SAAE (</a:t>
          </a:r>
          <a:r>
            <a:rPr lang="pt-BR" sz="2800" b="1">
              <a:solidFill>
                <a:srgbClr val="00B050"/>
              </a:solidFill>
              <a:effectLst/>
              <a:latin typeface="Arial" panose="020B0604020202020204" pitchFamily="34" charset="0"/>
              <a:ea typeface="+mn-ea"/>
              <a:cs typeface="Arial" panose="020B0604020202020204" pitchFamily="34" charset="0"/>
            </a:rPr>
            <a:t>SERVIÇO MUNICIPAL DE SANEAMENTO BÁSICO</a:t>
          </a:r>
          <a:r>
            <a:rPr lang="pt-BR" sz="3200" b="0" i="0" strike="noStrike">
              <a:solidFill>
                <a:srgbClr val="00B050"/>
              </a:solidFill>
              <a:latin typeface="Arial"/>
              <a:cs typeface="Arial"/>
            </a:rPr>
            <a:t>)</a:t>
          </a:r>
        </a:p>
        <a:p>
          <a:pPr algn="ctr" rtl="0">
            <a:defRPr sz="1000"/>
          </a:pPr>
          <a:r>
            <a:rPr lang="pt-BR" sz="1200" b="0" i="0" strike="noStrike">
              <a:solidFill>
                <a:srgbClr val="00B050"/>
              </a:solidFill>
              <a:latin typeface="Arial"/>
              <a:cs typeface="Arial"/>
            </a:rPr>
            <a:t>Unaí</a:t>
          </a:r>
          <a:r>
            <a:rPr lang="pt-BR" sz="1200" b="0" i="0" strike="noStrike" baseline="0">
              <a:solidFill>
                <a:srgbClr val="00B050"/>
              </a:solidFill>
              <a:latin typeface="Arial"/>
              <a:cs typeface="Arial"/>
            </a:rPr>
            <a:t> Minas Gerais</a:t>
          </a:r>
        </a:p>
        <a:p>
          <a:pPr algn="ctr" rtl="0">
            <a:defRPr sz="1000"/>
          </a:pPr>
          <a:r>
            <a:rPr lang="pt-BR" sz="1200" b="0" i="0" strike="noStrike">
              <a:solidFill>
                <a:srgbClr val="008000"/>
              </a:solidFill>
              <a:latin typeface="Arial"/>
              <a:cs typeface="Arial"/>
            </a:rPr>
            <a:t> </a:t>
          </a:r>
          <a:endParaRPr lang="pt-BR" sz="1200" b="0" i="0" strike="noStrike">
            <a:solidFill>
              <a:srgbClr val="000000"/>
            </a:solidFill>
            <a:latin typeface="Arial"/>
            <a:cs typeface="Arial"/>
          </a:endParaRPr>
        </a:p>
        <a:p>
          <a:pPr algn="ctr" rtl="0">
            <a:defRPr sz="1000"/>
          </a:pPr>
          <a:r>
            <a:rPr lang="pt-BR" sz="1200" b="0" i="0" strike="noStrike">
              <a:solidFill>
                <a:srgbClr val="000000"/>
              </a:solidFill>
              <a:latin typeface="Arial"/>
              <a:cs typeface="Arial"/>
            </a:rPr>
            <a:t>'</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89647</xdr:rowOff>
    </xdr:from>
    <xdr:to>
      <xdr:col>11</xdr:col>
      <xdr:colOff>1199029</xdr:colOff>
      <xdr:row>1</xdr:row>
      <xdr:rowOff>0</xdr:rowOff>
    </xdr:to>
    <xdr:sp macro="" textlink="">
      <xdr:nvSpPr>
        <xdr:cNvPr id="2" name="Rectangle 2">
          <a:extLst>
            <a:ext uri="{FF2B5EF4-FFF2-40B4-BE49-F238E27FC236}">
              <a16:creationId xmlns:a16="http://schemas.microsoft.com/office/drawing/2014/main" id="{00000000-0008-0000-0200-000002000000}"/>
            </a:ext>
          </a:extLst>
        </xdr:cNvPr>
        <xdr:cNvSpPr>
          <a:spLocks noChangeArrowheads="1"/>
        </xdr:cNvSpPr>
      </xdr:nvSpPr>
      <xdr:spPr bwMode="auto">
        <a:xfrm>
          <a:off x="0" y="89647"/>
          <a:ext cx="8404411" cy="784412"/>
        </a:xfrm>
        <a:prstGeom prst="rect">
          <a:avLst/>
        </a:prstGeom>
        <a:noFill/>
        <a:ln w="0">
          <a:noFill/>
          <a:miter lim="800000"/>
          <a:headEnd/>
          <a:tailEnd/>
        </a:ln>
        <a:effectLst/>
      </xdr:spPr>
      <xdr:txBody>
        <a:bodyPr vertOverflow="clip" wrap="square" lIns="0" tIns="0" rIns="0" bIns="0" anchor="b" upright="1"/>
        <a:lstStyle/>
        <a:p>
          <a:pPr marL="0" marR="0" indent="0" algn="ctr" defTabSz="914400" rtl="0" eaLnBrk="1" fontAlgn="auto" latinLnBrk="0" hangingPunct="1">
            <a:lnSpc>
              <a:spcPct val="100000"/>
            </a:lnSpc>
            <a:spcBef>
              <a:spcPts val="0"/>
            </a:spcBef>
            <a:spcAft>
              <a:spcPts val="0"/>
            </a:spcAft>
            <a:buClrTx/>
            <a:buSzTx/>
            <a:buFontTx/>
            <a:buNone/>
            <a:tabLst/>
            <a:defRPr sz="1000"/>
          </a:pPr>
          <a:r>
            <a:rPr lang="pt-BR" sz="2400" b="0" i="0" strike="noStrike">
              <a:solidFill>
                <a:srgbClr val="00B050"/>
              </a:solidFill>
              <a:latin typeface="Arial"/>
              <a:cs typeface="Arial"/>
            </a:rPr>
            <a:t>SAAE (</a:t>
          </a:r>
          <a:r>
            <a:rPr lang="pt-BR" sz="2400" b="1">
              <a:solidFill>
                <a:srgbClr val="00B050"/>
              </a:solidFill>
              <a:effectLst/>
              <a:latin typeface="Arial" panose="020B0604020202020204" pitchFamily="34" charset="0"/>
              <a:ea typeface="+mn-ea"/>
              <a:cs typeface="Arial" panose="020B0604020202020204" pitchFamily="34" charset="0"/>
            </a:rPr>
            <a:t>SERVIÇO MUNICIPAL DE SANEAMENTO BÁSICO</a:t>
          </a:r>
          <a:r>
            <a:rPr lang="pt-BR" sz="2400" b="0" i="0" strike="noStrike">
              <a:solidFill>
                <a:srgbClr val="00B050"/>
              </a:solidFill>
              <a:latin typeface="Arial"/>
              <a:cs typeface="Arial"/>
            </a:rPr>
            <a:t>)</a:t>
          </a:r>
        </a:p>
        <a:p>
          <a:pPr algn="ctr" rtl="0">
            <a:defRPr sz="1000"/>
          </a:pPr>
          <a:r>
            <a:rPr lang="pt-BR" sz="1200" b="0" i="0" strike="noStrike">
              <a:solidFill>
                <a:srgbClr val="00B050"/>
              </a:solidFill>
              <a:latin typeface="Arial"/>
              <a:cs typeface="Arial"/>
            </a:rPr>
            <a:t>Unaí</a:t>
          </a:r>
          <a:r>
            <a:rPr lang="pt-BR" sz="1200" b="0" i="0" strike="noStrike" baseline="0">
              <a:solidFill>
                <a:srgbClr val="00B050"/>
              </a:solidFill>
              <a:latin typeface="Arial"/>
              <a:cs typeface="Arial"/>
            </a:rPr>
            <a:t> Minas Gerais</a:t>
          </a:r>
        </a:p>
        <a:p>
          <a:pPr algn="ctr" rtl="0">
            <a:defRPr sz="1000"/>
          </a:pPr>
          <a:r>
            <a:rPr lang="pt-BR" sz="1200" b="0" i="0" strike="noStrike">
              <a:solidFill>
                <a:srgbClr val="008000"/>
              </a:solidFill>
              <a:latin typeface="Arial"/>
              <a:cs typeface="Arial"/>
            </a:rPr>
            <a:t> </a:t>
          </a:r>
          <a:endParaRPr lang="pt-BR" sz="1200" b="0" i="0" strike="noStrike">
            <a:solidFill>
              <a:srgbClr val="000000"/>
            </a:solidFill>
            <a:latin typeface="Arial"/>
            <a:cs typeface="Arial"/>
          </a:endParaRPr>
        </a:p>
        <a:p>
          <a:pPr algn="ctr" rtl="0">
            <a:defRPr sz="1000"/>
          </a:pPr>
          <a:endParaRPr lang="pt-BR" sz="1200" b="0" i="0" strike="noStrike">
            <a:solidFill>
              <a:srgbClr val="000000"/>
            </a:solidFill>
            <a:latin typeface="Arial"/>
            <a:cs typeface="Arial"/>
          </a:endParaRPr>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BEDDA9-52A3-41C3-89E3-03DFD3F42440}">
  <dimension ref="A1:J99"/>
  <sheetViews>
    <sheetView view="pageBreakPreview" zoomScale="85" zoomScaleNormal="115" zoomScaleSheetLayoutView="85" zoomScalePageLayoutView="85" workbookViewId="0">
      <pane ySplit="2" topLeftCell="A3" activePane="bottomLeft" state="frozen"/>
      <selection pane="bottomLeft" activeCell="A64" sqref="A64:XFD73"/>
    </sheetView>
  </sheetViews>
  <sheetFormatPr defaultRowHeight="12.75" x14ac:dyDescent="0.2"/>
  <cols>
    <col min="1" max="1" width="10" style="1" customWidth="1"/>
    <col min="2" max="2" width="13.28515625" style="115" customWidth="1"/>
    <col min="3" max="3" width="70" style="5" customWidth="1"/>
    <col min="4" max="4" width="8.7109375" style="112" customWidth="1"/>
    <col min="5" max="5" width="12.5703125" style="158" customWidth="1"/>
    <col min="6" max="6" width="11.85546875" style="119" customWidth="1"/>
    <col min="7" max="7" width="12.42578125" style="120" customWidth="1"/>
    <col min="8" max="8" width="20.42578125" style="120" customWidth="1"/>
    <col min="9" max="9" width="21.85546875" customWidth="1"/>
    <col min="10" max="10" width="11.28515625" customWidth="1"/>
    <col min="12" max="12" width="9.42578125" bestFit="1" customWidth="1"/>
  </cols>
  <sheetData>
    <row r="1" spans="1:10" ht="51.75" customHeight="1" x14ac:dyDescent="0.2">
      <c r="A1" s="245"/>
      <c r="B1" s="245"/>
      <c r="C1" s="245"/>
      <c r="D1" s="245"/>
      <c r="E1" s="245"/>
      <c r="F1" s="245"/>
      <c r="G1" s="245"/>
      <c r="H1" s="245"/>
      <c r="I1" s="245"/>
    </row>
    <row r="2" spans="1:10" ht="33" customHeight="1" x14ac:dyDescent="0.2">
      <c r="A2" s="246" t="s">
        <v>98</v>
      </c>
      <c r="B2" s="246"/>
      <c r="C2" s="246"/>
      <c r="D2" s="246"/>
      <c r="E2" s="246"/>
      <c r="F2" s="246"/>
      <c r="G2" s="246"/>
      <c r="H2" s="246"/>
      <c r="I2" s="246"/>
    </row>
    <row r="3" spans="1:10" s="6" customFormat="1" ht="17.25" customHeight="1" x14ac:dyDescent="0.25">
      <c r="A3" s="163" t="s">
        <v>20</v>
      </c>
      <c r="B3" s="247" t="s">
        <v>222</v>
      </c>
      <c r="C3" s="247"/>
      <c r="D3" s="247"/>
      <c r="E3" s="247"/>
      <c r="F3" s="247"/>
      <c r="G3" s="247"/>
      <c r="H3" s="247"/>
      <c r="I3" s="247"/>
    </row>
    <row r="4" spans="1:10" s="6" customFormat="1" ht="17.25" customHeight="1" x14ac:dyDescent="0.25">
      <c r="A4" s="163" t="s">
        <v>225</v>
      </c>
      <c r="B4" s="248" t="s">
        <v>223</v>
      </c>
      <c r="C4" s="248"/>
      <c r="D4" s="248"/>
      <c r="E4" s="248"/>
      <c r="F4" s="248"/>
      <c r="G4" s="248"/>
      <c r="H4" s="248"/>
      <c r="I4" s="248"/>
    </row>
    <row r="5" spans="1:10" s="6" customFormat="1" ht="17.25" customHeight="1" thickBot="1" x14ac:dyDescent="0.3">
      <c r="A5" s="163" t="s">
        <v>32</v>
      </c>
      <c r="B5" s="165">
        <v>45971</v>
      </c>
      <c r="C5" s="166"/>
      <c r="D5" s="167"/>
      <c r="E5" s="168"/>
      <c r="F5" s="169"/>
      <c r="G5" s="170"/>
      <c r="H5" s="170"/>
      <c r="I5" s="171"/>
    </row>
    <row r="6" spans="1:10" s="6" customFormat="1" ht="21.75" customHeight="1" x14ac:dyDescent="0.25">
      <c r="A6" s="249" t="s">
        <v>69</v>
      </c>
      <c r="B6" s="250"/>
      <c r="C6" s="210" t="s">
        <v>224</v>
      </c>
      <c r="D6" s="251" t="s">
        <v>70</v>
      </c>
      <c r="E6" s="251"/>
      <c r="F6" s="172" t="s">
        <v>71</v>
      </c>
      <c r="G6" s="172" t="s">
        <v>230</v>
      </c>
      <c r="H6" s="173">
        <f>DBI!K6</f>
        <v>0.29649999999999999</v>
      </c>
      <c r="I6" s="252" t="s">
        <v>82</v>
      </c>
    </row>
    <row r="7" spans="1:10" ht="23.25" customHeight="1" x14ac:dyDescent="0.25">
      <c r="A7" s="117" t="s">
        <v>0</v>
      </c>
      <c r="B7" s="174" t="s">
        <v>22</v>
      </c>
      <c r="C7" s="175" t="s">
        <v>3</v>
      </c>
      <c r="D7" s="176" t="s">
        <v>1</v>
      </c>
      <c r="E7" s="177" t="s">
        <v>4</v>
      </c>
      <c r="F7" s="178" t="s">
        <v>23</v>
      </c>
      <c r="G7" s="179" t="s">
        <v>24</v>
      </c>
      <c r="H7" s="180" t="s">
        <v>11</v>
      </c>
      <c r="I7" s="253"/>
    </row>
    <row r="8" spans="1:10" ht="30" x14ac:dyDescent="0.25">
      <c r="A8" s="117"/>
      <c r="B8" s="174"/>
      <c r="C8" s="181" t="s">
        <v>105</v>
      </c>
      <c r="D8" s="176"/>
      <c r="E8" s="177"/>
      <c r="F8" s="178"/>
      <c r="G8" s="179"/>
      <c r="H8" s="182">
        <f>H9+H15+H23+H28+H33+H38+H45+H54+H58+H62</f>
        <v>537972.02</v>
      </c>
      <c r="I8" s="254"/>
    </row>
    <row r="9" spans="1:10" ht="24.75" customHeight="1" thickBot="1" x14ac:dyDescent="0.3">
      <c r="A9" s="117" t="s">
        <v>16</v>
      </c>
      <c r="B9" s="91"/>
      <c r="C9" s="183" t="s">
        <v>72</v>
      </c>
      <c r="D9" s="176"/>
      <c r="E9" s="177"/>
      <c r="F9" s="178"/>
      <c r="G9" s="178"/>
      <c r="H9" s="141">
        <f>SUM(H10:H14)</f>
        <v>23036.45</v>
      </c>
      <c r="I9" s="140"/>
    </row>
    <row r="10" spans="1:10" ht="86.25" thickBot="1" x14ac:dyDescent="0.25">
      <c r="A10" s="137" t="s">
        <v>2</v>
      </c>
      <c r="B10" s="133" t="s">
        <v>132</v>
      </c>
      <c r="C10" s="87" t="s">
        <v>133</v>
      </c>
      <c r="D10" s="88" t="s">
        <v>134</v>
      </c>
      <c r="E10" s="152">
        <v>1</v>
      </c>
      <c r="F10" s="90">
        <v>1130.67</v>
      </c>
      <c r="G10" s="102">
        <f>ROUND(F10*(1+H$6),2)</f>
        <v>1465.91</v>
      </c>
      <c r="H10" s="142">
        <f>ROUND(G10*E10,2)</f>
        <v>1465.91</v>
      </c>
      <c r="I10" s="99">
        <v>0</v>
      </c>
    </row>
    <row r="11" spans="1:10" ht="99" customHeight="1" x14ac:dyDescent="0.2">
      <c r="A11" s="137" t="s">
        <v>125</v>
      </c>
      <c r="B11" s="95" t="s">
        <v>28</v>
      </c>
      <c r="C11" s="87" t="s">
        <v>30</v>
      </c>
      <c r="D11" s="88" t="s">
        <v>29</v>
      </c>
      <c r="E11" s="152">
        <v>3</v>
      </c>
      <c r="F11" s="90">
        <v>1021.74</v>
      </c>
      <c r="G11" s="102">
        <f t="shared" ref="G11:G14" si="0">ROUND(F11*(1+H$6),2)</f>
        <v>1324.69</v>
      </c>
      <c r="H11" s="142">
        <f>ROUND(G11*E11,2)</f>
        <v>3974.07</v>
      </c>
      <c r="I11" s="99">
        <v>1</v>
      </c>
    </row>
    <row r="12" spans="1:10" ht="54.75" customHeight="1" x14ac:dyDescent="0.2">
      <c r="A12" s="137" t="s">
        <v>26</v>
      </c>
      <c r="B12" s="133" t="s">
        <v>135</v>
      </c>
      <c r="C12" s="30" t="s">
        <v>227</v>
      </c>
      <c r="D12" s="134" t="s">
        <v>208</v>
      </c>
      <c r="E12" s="152">
        <v>1</v>
      </c>
      <c r="F12" s="148">
        <v>1634.06</v>
      </c>
      <c r="G12" s="102">
        <f t="shared" si="0"/>
        <v>2118.56</v>
      </c>
      <c r="H12" s="142">
        <f>ROUND(G12*E12,2)</f>
        <v>2118.56</v>
      </c>
      <c r="I12" s="132"/>
    </row>
    <row r="13" spans="1:10" ht="30" customHeight="1" x14ac:dyDescent="0.2">
      <c r="A13" s="137" t="s">
        <v>113</v>
      </c>
      <c r="B13" s="113" t="s">
        <v>62</v>
      </c>
      <c r="C13" s="87" t="s">
        <v>63</v>
      </c>
      <c r="D13" s="88" t="s">
        <v>64</v>
      </c>
      <c r="E13" s="152">
        <v>1</v>
      </c>
      <c r="F13" s="90">
        <v>10757.65</v>
      </c>
      <c r="G13" s="102">
        <f t="shared" si="0"/>
        <v>13947.29</v>
      </c>
      <c r="H13" s="142">
        <f t="shared" ref="H13:H14" si="1">ROUND(G13*E13,2)</f>
        <v>13947.29</v>
      </c>
      <c r="I13" s="86" t="s">
        <v>88</v>
      </c>
      <c r="J13" s="44"/>
    </row>
    <row r="14" spans="1:10" ht="30" customHeight="1" x14ac:dyDescent="0.2">
      <c r="A14" s="137" t="s">
        <v>115</v>
      </c>
      <c r="B14" s="95" t="s">
        <v>91</v>
      </c>
      <c r="C14" s="30" t="s">
        <v>99</v>
      </c>
      <c r="D14" s="95" t="s">
        <v>90</v>
      </c>
      <c r="E14" s="101">
        <v>14</v>
      </c>
      <c r="F14" s="102">
        <v>84.33</v>
      </c>
      <c r="G14" s="102">
        <f t="shared" si="0"/>
        <v>109.33</v>
      </c>
      <c r="H14" s="142">
        <f t="shared" si="1"/>
        <v>1530.62</v>
      </c>
      <c r="I14" s="86"/>
      <c r="J14" s="44"/>
    </row>
    <row r="15" spans="1:10" ht="15" x14ac:dyDescent="0.25">
      <c r="A15" s="135" t="s">
        <v>17</v>
      </c>
      <c r="B15" s="136"/>
      <c r="C15" s="97" t="s">
        <v>209</v>
      </c>
      <c r="D15" s="91"/>
      <c r="E15" s="153"/>
      <c r="F15" s="92"/>
      <c r="G15" s="92"/>
      <c r="H15" s="141">
        <f>SUM(H16:H22)</f>
        <v>0</v>
      </c>
      <c r="I15" s="93"/>
    </row>
    <row r="16" spans="1:10" ht="71.25" x14ac:dyDescent="0.2">
      <c r="A16" s="137" t="s">
        <v>92</v>
      </c>
      <c r="B16" s="133">
        <v>90099</v>
      </c>
      <c r="C16" s="87" t="s">
        <v>136</v>
      </c>
      <c r="D16" s="113" t="s">
        <v>19</v>
      </c>
      <c r="E16" s="154">
        <f>31.22*0.8*1.2</f>
        <v>29.971199999999996</v>
      </c>
      <c r="F16" s="94">
        <v>15.94</v>
      </c>
      <c r="G16" s="102">
        <v>0</v>
      </c>
      <c r="H16" s="142">
        <f t="shared" ref="H16:H32" si="2">ROUND(G16*E16,2)</f>
        <v>0</v>
      </c>
      <c r="I16" s="86" t="s">
        <v>83</v>
      </c>
    </row>
    <row r="17" spans="1:9" ht="42.75" x14ac:dyDescent="0.2">
      <c r="A17" s="137" t="s">
        <v>93</v>
      </c>
      <c r="B17" s="139">
        <v>97957</v>
      </c>
      <c r="C17" s="30" t="s">
        <v>144</v>
      </c>
      <c r="D17" s="95" t="s">
        <v>145</v>
      </c>
      <c r="E17" s="101">
        <v>2</v>
      </c>
      <c r="F17" s="102">
        <v>2848.95</v>
      </c>
      <c r="G17" s="102">
        <v>0</v>
      </c>
      <c r="H17" s="142">
        <f t="shared" si="2"/>
        <v>0</v>
      </c>
      <c r="I17" s="86">
        <v>2</v>
      </c>
    </row>
    <row r="18" spans="1:9" ht="38.25" customHeight="1" x14ac:dyDescent="0.2">
      <c r="A18" s="137" t="s">
        <v>94</v>
      </c>
      <c r="B18" s="138" t="s">
        <v>137</v>
      </c>
      <c r="C18" s="30" t="s">
        <v>138</v>
      </c>
      <c r="D18" s="113" t="s">
        <v>15</v>
      </c>
      <c r="E18" s="101">
        <f>31.22*0.8</f>
        <v>24.975999999999999</v>
      </c>
      <c r="F18" s="94">
        <v>6.38</v>
      </c>
      <c r="G18" s="102">
        <v>0</v>
      </c>
      <c r="H18" s="142">
        <f t="shared" si="2"/>
        <v>0</v>
      </c>
      <c r="I18" s="86" t="s">
        <v>83</v>
      </c>
    </row>
    <row r="19" spans="1:9" ht="69" customHeight="1" x14ac:dyDescent="0.2">
      <c r="A19" s="137" t="s">
        <v>95</v>
      </c>
      <c r="B19" s="133">
        <v>92219</v>
      </c>
      <c r="C19" s="149" t="s">
        <v>139</v>
      </c>
      <c r="D19" s="95" t="s">
        <v>61</v>
      </c>
      <c r="E19" s="101">
        <v>31.22</v>
      </c>
      <c r="F19" s="89">
        <v>162.44999999999999</v>
      </c>
      <c r="G19" s="102">
        <v>0</v>
      </c>
      <c r="H19" s="142">
        <f t="shared" si="2"/>
        <v>0</v>
      </c>
      <c r="I19" s="86" t="s">
        <v>83</v>
      </c>
    </row>
    <row r="20" spans="1:9" ht="63.75" customHeight="1" x14ac:dyDescent="0.2">
      <c r="A20" s="137" t="s">
        <v>210</v>
      </c>
      <c r="B20" s="133">
        <v>92221</v>
      </c>
      <c r="C20" s="149" t="s">
        <v>140</v>
      </c>
      <c r="D20" s="95" t="s">
        <v>61</v>
      </c>
      <c r="E20" s="101">
        <v>0</v>
      </c>
      <c r="F20" s="89">
        <v>301.55</v>
      </c>
      <c r="G20" s="102">
        <v>0</v>
      </c>
      <c r="H20" s="142">
        <f t="shared" si="2"/>
        <v>0</v>
      </c>
      <c r="I20" s="86" t="s">
        <v>83</v>
      </c>
    </row>
    <row r="21" spans="1:9" ht="36" customHeight="1" x14ac:dyDescent="0.2">
      <c r="A21" s="137" t="s">
        <v>96</v>
      </c>
      <c r="B21" s="138" t="s">
        <v>141</v>
      </c>
      <c r="C21" s="30" t="s">
        <v>142</v>
      </c>
      <c r="D21" s="113" t="s">
        <v>19</v>
      </c>
      <c r="E21" s="101">
        <f>(35*0.8*1.6)-(31.22*0.2*0.2*31.14)</f>
        <v>5.9123680000000007</v>
      </c>
      <c r="F21" s="94">
        <v>26.52</v>
      </c>
      <c r="G21" s="102">
        <v>0</v>
      </c>
      <c r="H21" s="142">
        <f t="shared" si="2"/>
        <v>0</v>
      </c>
      <c r="I21" s="86" t="s">
        <v>146</v>
      </c>
    </row>
    <row r="22" spans="1:9" ht="67.5" customHeight="1" x14ac:dyDescent="0.2">
      <c r="A22" s="137" t="s">
        <v>97</v>
      </c>
      <c r="B22" s="133">
        <v>101768</v>
      </c>
      <c r="C22" s="30" t="s">
        <v>220</v>
      </c>
      <c r="D22" s="96" t="s">
        <v>19</v>
      </c>
      <c r="E22" s="101">
        <f>31.22*0.8*0.15</f>
        <v>3.7463999999999995</v>
      </c>
      <c r="F22" s="184">
        <v>25.78</v>
      </c>
      <c r="G22" s="102">
        <v>0</v>
      </c>
      <c r="H22" s="142">
        <f t="shared" si="2"/>
        <v>0</v>
      </c>
      <c r="I22" s="86" t="s">
        <v>147</v>
      </c>
    </row>
    <row r="23" spans="1:9" ht="29.25" customHeight="1" x14ac:dyDescent="0.25">
      <c r="A23" s="185">
        <v>3</v>
      </c>
      <c r="B23" s="186"/>
      <c r="C23" s="187" t="s">
        <v>207</v>
      </c>
      <c r="D23" s="188"/>
      <c r="E23" s="189"/>
      <c r="F23" s="102"/>
      <c r="G23" s="102"/>
      <c r="H23" s="143">
        <f>SUM(H24:H27)</f>
        <v>63296.49</v>
      </c>
      <c r="I23" s="145"/>
    </row>
    <row r="24" spans="1:9" ht="43.5" customHeight="1" x14ac:dyDescent="0.2">
      <c r="A24" s="127" t="s">
        <v>77</v>
      </c>
      <c r="B24" s="190" t="s">
        <v>170</v>
      </c>
      <c r="C24" s="129" t="s">
        <v>171</v>
      </c>
      <c r="D24" s="160" t="s">
        <v>19</v>
      </c>
      <c r="E24" s="155">
        <f>(4.8*4.8*3.14*11.7)-(4.4*4.4*3.14*11.7)</f>
        <v>135.19583999999998</v>
      </c>
      <c r="F24" s="191">
        <v>158.66999999999999</v>
      </c>
      <c r="G24" s="102">
        <f t="shared" ref="G24:G27" si="3">ROUND(F24*(1+H$6),2)</f>
        <v>205.72</v>
      </c>
      <c r="H24" s="142">
        <f t="shared" si="2"/>
        <v>27812.49</v>
      </c>
      <c r="I24" s="193">
        <f t="shared" ref="I24:I27" si="4">ROUND(H24*E24,2)</f>
        <v>3760132.95</v>
      </c>
    </row>
    <row r="25" spans="1:9" ht="64.5" customHeight="1" x14ac:dyDescent="0.2">
      <c r="A25" s="127" t="s">
        <v>78</v>
      </c>
      <c r="B25" s="130" t="s">
        <v>173</v>
      </c>
      <c r="C25" s="42" t="s">
        <v>172</v>
      </c>
      <c r="D25" s="192" t="s">
        <v>19</v>
      </c>
      <c r="E25" s="194">
        <f>(0.4*0.4*6*11.7)+(4.8*4.8*3.14*3*0.2)+(4.5*3.5*0.15)</f>
        <v>57.001860000000008</v>
      </c>
      <c r="F25" s="184">
        <v>261.92</v>
      </c>
      <c r="G25" s="102">
        <f t="shared" si="3"/>
        <v>339.58</v>
      </c>
      <c r="H25" s="142">
        <f t="shared" si="2"/>
        <v>19356.689999999999</v>
      </c>
      <c r="I25" s="193">
        <f t="shared" si="4"/>
        <v>1103367.33</v>
      </c>
    </row>
    <row r="26" spans="1:9" ht="66.75" customHeight="1" x14ac:dyDescent="0.2">
      <c r="A26" s="127" t="s">
        <v>167</v>
      </c>
      <c r="B26" s="130">
        <v>100981</v>
      </c>
      <c r="C26" s="42" t="s">
        <v>166</v>
      </c>
      <c r="D26" s="192" t="s">
        <v>19</v>
      </c>
      <c r="E26" s="194">
        <f>E25+E24</f>
        <v>192.1977</v>
      </c>
      <c r="F26" s="184">
        <v>9.57</v>
      </c>
      <c r="G26" s="102">
        <f t="shared" si="3"/>
        <v>12.41</v>
      </c>
      <c r="H26" s="142">
        <f t="shared" si="2"/>
        <v>2385.17</v>
      </c>
      <c r="I26" s="193">
        <f t="shared" si="4"/>
        <v>458424.19</v>
      </c>
    </row>
    <row r="27" spans="1:9" ht="36.75" customHeight="1" x14ac:dyDescent="0.2">
      <c r="A27" s="127" t="s">
        <v>178</v>
      </c>
      <c r="B27" s="130">
        <v>95875</v>
      </c>
      <c r="C27" s="42" t="s">
        <v>168</v>
      </c>
      <c r="D27" s="192" t="s">
        <v>169</v>
      </c>
      <c r="E27" s="194">
        <f>E26*22</f>
        <v>4228.3494000000001</v>
      </c>
      <c r="F27" s="184">
        <v>2.5099999999999998</v>
      </c>
      <c r="G27" s="102">
        <f t="shared" si="3"/>
        <v>3.25</v>
      </c>
      <c r="H27" s="142">
        <f t="shared" si="2"/>
        <v>13742.14</v>
      </c>
      <c r="I27" s="193">
        <f t="shared" si="4"/>
        <v>58106569.420000002</v>
      </c>
    </row>
    <row r="28" spans="1:9" ht="18.75" customHeight="1" x14ac:dyDescent="0.25">
      <c r="A28" s="195" t="s">
        <v>27</v>
      </c>
      <c r="B28" s="196"/>
      <c r="C28" s="197" t="s">
        <v>165</v>
      </c>
      <c r="D28" s="198"/>
      <c r="E28" s="199"/>
      <c r="F28" s="92"/>
      <c r="G28" s="92"/>
      <c r="H28" s="141">
        <f>SUM(H29:H32)</f>
        <v>28226.68</v>
      </c>
      <c r="I28" s="93"/>
    </row>
    <row r="29" spans="1:9" ht="60.75" customHeight="1" x14ac:dyDescent="0.2">
      <c r="A29" s="137" t="s">
        <v>179</v>
      </c>
      <c r="B29" s="133" t="s">
        <v>175</v>
      </c>
      <c r="C29" s="30" t="s">
        <v>176</v>
      </c>
      <c r="D29" s="96" t="s">
        <v>19</v>
      </c>
      <c r="E29" s="101">
        <f>31.22+31.22+10+10*0.4*0.15</f>
        <v>73.039999999999992</v>
      </c>
      <c r="F29" s="94">
        <v>213.91</v>
      </c>
      <c r="G29" s="102">
        <f t="shared" ref="G29:G32" si="5">ROUND(F29*(1+H$6),2)</f>
        <v>277.33</v>
      </c>
      <c r="H29" s="142">
        <f t="shared" si="2"/>
        <v>20256.18</v>
      </c>
      <c r="I29" s="86"/>
    </row>
    <row r="30" spans="1:9" ht="57" x14ac:dyDescent="0.2">
      <c r="A30" s="137" t="s">
        <v>143</v>
      </c>
      <c r="B30" s="133" t="s">
        <v>174</v>
      </c>
      <c r="C30" s="30" t="s">
        <v>177</v>
      </c>
      <c r="D30" s="96" t="s">
        <v>15</v>
      </c>
      <c r="E30" s="101">
        <f>31.22+31.22+10+10</f>
        <v>82.44</v>
      </c>
      <c r="F30" s="94">
        <v>17.23</v>
      </c>
      <c r="G30" s="102">
        <f t="shared" si="5"/>
        <v>22.34</v>
      </c>
      <c r="H30" s="142">
        <f t="shared" si="2"/>
        <v>1841.71</v>
      </c>
      <c r="I30" s="86"/>
    </row>
    <row r="31" spans="1:9" ht="57" x14ac:dyDescent="0.2">
      <c r="A31" s="137" t="s">
        <v>181</v>
      </c>
      <c r="B31" s="130">
        <v>100981</v>
      </c>
      <c r="C31" s="42" t="s">
        <v>166</v>
      </c>
      <c r="D31" s="192" t="s">
        <v>19</v>
      </c>
      <c r="E31" s="194">
        <f>E29</f>
        <v>73.039999999999992</v>
      </c>
      <c r="F31" s="184">
        <v>9.57</v>
      </c>
      <c r="G31" s="102">
        <f t="shared" si="5"/>
        <v>12.41</v>
      </c>
      <c r="H31" s="142">
        <f t="shared" si="2"/>
        <v>906.43</v>
      </c>
      <c r="I31" s="86"/>
    </row>
    <row r="32" spans="1:9" ht="40.5" customHeight="1" x14ac:dyDescent="0.2">
      <c r="A32" s="137" t="s">
        <v>182</v>
      </c>
      <c r="B32" s="130">
        <v>95875</v>
      </c>
      <c r="C32" s="42" t="s">
        <v>168</v>
      </c>
      <c r="D32" s="192" t="s">
        <v>169</v>
      </c>
      <c r="E32" s="194">
        <f>E31*22</f>
        <v>1606.8799999999999</v>
      </c>
      <c r="F32" s="184">
        <v>2.5099999999999998</v>
      </c>
      <c r="G32" s="102">
        <f t="shared" si="5"/>
        <v>3.25</v>
      </c>
      <c r="H32" s="142">
        <f t="shared" si="2"/>
        <v>5222.3599999999997</v>
      </c>
      <c r="I32" s="86"/>
    </row>
    <row r="33" spans="1:9" ht="15" x14ac:dyDescent="0.25">
      <c r="A33" s="195" t="s">
        <v>183</v>
      </c>
      <c r="B33" s="196"/>
      <c r="C33" s="197" t="s">
        <v>211</v>
      </c>
      <c r="D33" s="198"/>
      <c r="E33" s="199"/>
      <c r="F33" s="92"/>
      <c r="G33" s="92"/>
      <c r="H33" s="141">
        <f>SUM(H34:H37)</f>
        <v>48880.71</v>
      </c>
      <c r="I33" s="93"/>
    </row>
    <row r="34" spans="1:9" ht="49.5" customHeight="1" x14ac:dyDescent="0.2">
      <c r="A34" s="127" t="s">
        <v>85</v>
      </c>
      <c r="B34" s="128">
        <v>101176</v>
      </c>
      <c r="C34" s="129" t="s">
        <v>106</v>
      </c>
      <c r="D34" s="160" t="s">
        <v>107</v>
      </c>
      <c r="E34" s="155">
        <f>14*1.8</f>
        <v>25.2</v>
      </c>
      <c r="F34" s="184">
        <v>147.4</v>
      </c>
      <c r="G34" s="102">
        <f t="shared" ref="G34:G37" si="6">ROUND(F34*(1+H$6),2)</f>
        <v>191.1</v>
      </c>
      <c r="H34" s="142">
        <f t="shared" ref="H34:H37" si="7">ROUND(G34*E34,2)</f>
        <v>4815.72</v>
      </c>
      <c r="I34" s="86" t="s">
        <v>83</v>
      </c>
    </row>
    <row r="35" spans="1:9" ht="45.75" customHeight="1" x14ac:dyDescent="0.2">
      <c r="A35" s="127" t="s">
        <v>84</v>
      </c>
      <c r="B35" s="128">
        <v>96555</v>
      </c>
      <c r="C35" s="129" t="s">
        <v>213</v>
      </c>
      <c r="D35" s="160" t="s">
        <v>108</v>
      </c>
      <c r="E35" s="155">
        <f>((E34*0.2*0.2*3.14)+(0.5*0.5*0.5*14)+((31.2+31.22+10+6)*0.3*0.15))</f>
        <v>8.4440200000000001</v>
      </c>
      <c r="F35" s="184">
        <v>790.4</v>
      </c>
      <c r="G35" s="102">
        <f t="shared" si="6"/>
        <v>1024.75</v>
      </c>
      <c r="H35" s="142">
        <f t="shared" si="7"/>
        <v>8653.01</v>
      </c>
      <c r="I35" s="200" t="s">
        <v>150</v>
      </c>
    </row>
    <row r="36" spans="1:9" ht="28.5" customHeight="1" x14ac:dyDescent="0.2">
      <c r="A36" s="127" t="s">
        <v>87</v>
      </c>
      <c r="B36" s="130" t="s">
        <v>214</v>
      </c>
      <c r="C36" s="131" t="s">
        <v>215</v>
      </c>
      <c r="D36" s="160" t="s">
        <v>109</v>
      </c>
      <c r="E36" s="155">
        <v>678</v>
      </c>
      <c r="F36" s="184">
        <v>13.67</v>
      </c>
      <c r="G36" s="102">
        <f t="shared" si="6"/>
        <v>17.72</v>
      </c>
      <c r="H36" s="142">
        <f t="shared" si="7"/>
        <v>12014.16</v>
      </c>
      <c r="I36" s="86" t="s">
        <v>83</v>
      </c>
    </row>
    <row r="37" spans="1:9" ht="42.75" x14ac:dyDescent="0.2">
      <c r="A37" s="127" t="s">
        <v>184</v>
      </c>
      <c r="B37" s="130">
        <v>92263</v>
      </c>
      <c r="C37" s="129" t="s">
        <v>216</v>
      </c>
      <c r="D37" s="160" t="s">
        <v>110</v>
      </c>
      <c r="E37" s="155">
        <f>(0.5*0.5*4*14)+((31.22+31.22+10+6)*0.3*2*2)</f>
        <v>108.128</v>
      </c>
      <c r="F37" s="184">
        <v>166.9</v>
      </c>
      <c r="G37" s="102">
        <f t="shared" si="6"/>
        <v>216.39</v>
      </c>
      <c r="H37" s="142">
        <f t="shared" si="7"/>
        <v>23397.82</v>
      </c>
      <c r="I37" s="201" t="s">
        <v>148</v>
      </c>
    </row>
    <row r="38" spans="1:9" ht="15" x14ac:dyDescent="0.25">
      <c r="A38" s="195" t="s">
        <v>185</v>
      </c>
      <c r="B38" s="196"/>
      <c r="C38" s="181" t="s">
        <v>111</v>
      </c>
      <c r="D38" s="202"/>
      <c r="E38" s="199"/>
      <c r="F38" s="203"/>
      <c r="G38" s="204"/>
      <c r="H38" s="141">
        <f>SUM(H39:H44)</f>
        <v>63179.49</v>
      </c>
      <c r="I38" s="205"/>
    </row>
    <row r="39" spans="1:9" ht="42.75" x14ac:dyDescent="0.2">
      <c r="A39" s="127" t="s">
        <v>186</v>
      </c>
      <c r="B39" s="130">
        <v>103324</v>
      </c>
      <c r="C39" s="42" t="s">
        <v>112</v>
      </c>
      <c r="D39" s="206" t="s">
        <v>110</v>
      </c>
      <c r="E39" s="155">
        <f>(31.22+31.22+10+6)*3</f>
        <v>235.32</v>
      </c>
      <c r="F39" s="184">
        <v>79.540000000000006</v>
      </c>
      <c r="G39" s="102">
        <f t="shared" ref="G39:G44" si="8">ROUND(F39*(1+H$6),2)</f>
        <v>103.12</v>
      </c>
      <c r="H39" s="142">
        <f t="shared" ref="H39:H44" si="9">ROUND(G39*E39,2)</f>
        <v>24266.2</v>
      </c>
      <c r="I39" s="207" t="s">
        <v>149</v>
      </c>
    </row>
    <row r="40" spans="1:9" ht="28.5" x14ac:dyDescent="0.2">
      <c r="A40" s="127" t="s">
        <v>187</v>
      </c>
      <c r="B40" s="130">
        <v>98557</v>
      </c>
      <c r="C40" s="42" t="s">
        <v>114</v>
      </c>
      <c r="D40" s="206" t="s">
        <v>110</v>
      </c>
      <c r="E40" s="155">
        <f>(31.22+31.22+10+6)*0.5</f>
        <v>39.22</v>
      </c>
      <c r="F40" s="184">
        <v>39.630000000000003</v>
      </c>
      <c r="G40" s="102">
        <f t="shared" si="8"/>
        <v>51.38</v>
      </c>
      <c r="H40" s="142">
        <f t="shared" si="9"/>
        <v>2015.12</v>
      </c>
      <c r="I40" s="207" t="s">
        <v>156</v>
      </c>
    </row>
    <row r="41" spans="1:9" ht="50.25" customHeight="1" x14ac:dyDescent="0.2">
      <c r="A41" s="127" t="s">
        <v>103</v>
      </c>
      <c r="B41" s="130">
        <v>87879</v>
      </c>
      <c r="C41" s="42" t="s">
        <v>116</v>
      </c>
      <c r="D41" s="206" t="s">
        <v>110</v>
      </c>
      <c r="E41" s="155">
        <f>E39*2</f>
        <v>470.64</v>
      </c>
      <c r="F41" s="184">
        <v>4.68</v>
      </c>
      <c r="G41" s="102">
        <f t="shared" si="8"/>
        <v>6.07</v>
      </c>
      <c r="H41" s="142">
        <f t="shared" si="9"/>
        <v>2856.78</v>
      </c>
      <c r="I41" s="207" t="s">
        <v>157</v>
      </c>
    </row>
    <row r="42" spans="1:9" ht="71.25" x14ac:dyDescent="0.2">
      <c r="A42" s="127" t="s">
        <v>188</v>
      </c>
      <c r="B42" s="130">
        <v>104233</v>
      </c>
      <c r="C42" s="42" t="s">
        <v>117</v>
      </c>
      <c r="D42" s="206" t="s">
        <v>110</v>
      </c>
      <c r="E42" s="155">
        <f>E41</f>
        <v>470.64</v>
      </c>
      <c r="F42" s="184">
        <v>40.31</v>
      </c>
      <c r="G42" s="102">
        <f t="shared" si="8"/>
        <v>52.26</v>
      </c>
      <c r="H42" s="142">
        <f t="shared" si="9"/>
        <v>24595.65</v>
      </c>
      <c r="I42" s="207" t="s">
        <v>157</v>
      </c>
    </row>
    <row r="43" spans="1:9" ht="28.5" x14ac:dyDescent="0.2">
      <c r="A43" s="127" t="s">
        <v>189</v>
      </c>
      <c r="B43" s="130">
        <v>88485</v>
      </c>
      <c r="C43" s="42" t="s">
        <v>119</v>
      </c>
      <c r="D43" s="206" t="s">
        <v>110</v>
      </c>
      <c r="E43" s="155">
        <f>E42</f>
        <v>470.64</v>
      </c>
      <c r="F43" s="184">
        <v>4.47</v>
      </c>
      <c r="G43" s="102">
        <f t="shared" si="8"/>
        <v>5.8</v>
      </c>
      <c r="H43" s="142">
        <f t="shared" si="9"/>
        <v>2729.71</v>
      </c>
      <c r="I43" s="207" t="s">
        <v>157</v>
      </c>
    </row>
    <row r="44" spans="1:9" ht="28.5" x14ac:dyDescent="0.2">
      <c r="A44" s="127" t="s">
        <v>190</v>
      </c>
      <c r="B44" s="130">
        <v>104642</v>
      </c>
      <c r="C44" s="42" t="s">
        <v>120</v>
      </c>
      <c r="D44" s="206" t="s">
        <v>110</v>
      </c>
      <c r="E44" s="155">
        <f>E43</f>
        <v>470.64</v>
      </c>
      <c r="F44" s="184">
        <v>11.01</v>
      </c>
      <c r="G44" s="102">
        <f t="shared" si="8"/>
        <v>14.27</v>
      </c>
      <c r="H44" s="142">
        <f t="shared" si="9"/>
        <v>6716.03</v>
      </c>
      <c r="I44" s="207" t="s">
        <v>157</v>
      </c>
    </row>
    <row r="45" spans="1:9" ht="15" x14ac:dyDescent="0.25">
      <c r="A45" s="195" t="s">
        <v>191</v>
      </c>
      <c r="B45" s="196"/>
      <c r="C45" s="181" t="s">
        <v>118</v>
      </c>
      <c r="D45" s="208"/>
      <c r="E45" s="199"/>
      <c r="F45" s="209"/>
      <c r="G45" s="92"/>
      <c r="H45" s="141">
        <f>SUM(H46:H53)</f>
        <v>220595.76000000004</v>
      </c>
      <c r="I45" s="93"/>
    </row>
    <row r="46" spans="1:9" ht="99.75" x14ac:dyDescent="0.2">
      <c r="A46" s="127" t="s">
        <v>192</v>
      </c>
      <c r="B46" s="130" t="s">
        <v>218</v>
      </c>
      <c r="C46" s="42" t="s">
        <v>226</v>
      </c>
      <c r="D46" s="206"/>
      <c r="E46" s="155">
        <f>31.22*10</f>
        <v>312.2</v>
      </c>
      <c r="F46" s="184">
        <v>368.36</v>
      </c>
      <c r="G46" s="102">
        <f>ROUND(F46*(1+H$6),2)</f>
        <v>477.58</v>
      </c>
      <c r="H46" s="142">
        <f>ROUND(G46*E46,2)</f>
        <v>149100.48000000001</v>
      </c>
      <c r="I46" s="207" t="e">
        <f>#REF!+#REF!+#REF!+#REF!</f>
        <v>#REF!</v>
      </c>
    </row>
    <row r="47" spans="1:9" ht="57" x14ac:dyDescent="0.2">
      <c r="A47" s="127" t="s">
        <v>193</v>
      </c>
      <c r="B47" s="130">
        <v>92580</v>
      </c>
      <c r="C47" s="42" t="s">
        <v>219</v>
      </c>
      <c r="D47" s="206"/>
      <c r="E47" s="155">
        <f>E49</f>
        <v>123.66</v>
      </c>
      <c r="F47" s="184">
        <v>47.14</v>
      </c>
      <c r="G47" s="102">
        <f t="shared" ref="G47:G63" si="10">ROUND(F47*(1+H$6),2)</f>
        <v>61.12</v>
      </c>
      <c r="H47" s="142">
        <f t="shared" ref="H47:H53" si="11">ROUND(G47*E47,2)</f>
        <v>7558.1</v>
      </c>
      <c r="I47" s="207"/>
    </row>
    <row r="48" spans="1:9" ht="36" customHeight="1" x14ac:dyDescent="0.2">
      <c r="A48" s="127" t="s">
        <v>217</v>
      </c>
      <c r="B48" s="130">
        <v>94213</v>
      </c>
      <c r="C48" s="129" t="s">
        <v>126</v>
      </c>
      <c r="D48" s="160" t="s">
        <v>15</v>
      </c>
      <c r="E48" s="155">
        <f>E46-E50</f>
        <v>299</v>
      </c>
      <c r="F48" s="184">
        <v>54.61</v>
      </c>
      <c r="G48" s="102">
        <f t="shared" si="10"/>
        <v>70.8</v>
      </c>
      <c r="H48" s="142">
        <f t="shared" si="11"/>
        <v>21169.200000000001</v>
      </c>
      <c r="I48" s="146" t="e">
        <f>#REF!</f>
        <v>#REF!</v>
      </c>
    </row>
    <row r="49" spans="1:9" ht="47.25" customHeight="1" x14ac:dyDescent="0.2">
      <c r="A49" s="127" t="s">
        <v>194</v>
      </c>
      <c r="B49" s="130">
        <v>94213</v>
      </c>
      <c r="C49" s="129" t="s">
        <v>127</v>
      </c>
      <c r="D49" s="160" t="s">
        <v>15</v>
      </c>
      <c r="E49" s="155">
        <f>(31.22+31.22+10+10)*1.5</f>
        <v>123.66</v>
      </c>
      <c r="F49" s="184">
        <v>198.65</v>
      </c>
      <c r="G49" s="102">
        <f t="shared" si="10"/>
        <v>257.55</v>
      </c>
      <c r="H49" s="142">
        <f t="shared" si="11"/>
        <v>31848.63</v>
      </c>
      <c r="I49" s="207" t="s">
        <v>158</v>
      </c>
    </row>
    <row r="50" spans="1:9" ht="57" customHeight="1" x14ac:dyDescent="0.2">
      <c r="A50" s="127" t="s">
        <v>195</v>
      </c>
      <c r="B50" s="130">
        <v>94449</v>
      </c>
      <c r="C50" s="129" t="s">
        <v>128</v>
      </c>
      <c r="D50" s="160" t="s">
        <v>15</v>
      </c>
      <c r="E50" s="155">
        <f>6*1.1*2</f>
        <v>13.200000000000001</v>
      </c>
      <c r="F50" s="184">
        <v>71.459999999999994</v>
      </c>
      <c r="G50" s="102">
        <f t="shared" si="10"/>
        <v>92.65</v>
      </c>
      <c r="H50" s="142">
        <f t="shared" si="11"/>
        <v>1222.98</v>
      </c>
      <c r="I50" s="146" t="s">
        <v>159</v>
      </c>
    </row>
    <row r="51" spans="1:9" ht="48" customHeight="1" x14ac:dyDescent="0.2">
      <c r="A51" s="127" t="s">
        <v>196</v>
      </c>
      <c r="B51" s="130">
        <v>94228</v>
      </c>
      <c r="C51" s="129" t="s">
        <v>161</v>
      </c>
      <c r="D51" s="160" t="s">
        <v>61</v>
      </c>
      <c r="E51" s="155">
        <f>31.2+31.22</f>
        <v>62.42</v>
      </c>
      <c r="F51" s="184">
        <v>95.66</v>
      </c>
      <c r="G51" s="102">
        <f t="shared" si="10"/>
        <v>124.02</v>
      </c>
      <c r="H51" s="142">
        <f t="shared" si="11"/>
        <v>7741.33</v>
      </c>
      <c r="I51" s="146" t="s">
        <v>160</v>
      </c>
    </row>
    <row r="52" spans="1:9" ht="14.25" x14ac:dyDescent="0.2">
      <c r="A52" s="127" t="s">
        <v>197</v>
      </c>
      <c r="B52" s="130">
        <v>89580</v>
      </c>
      <c r="C52" s="129" t="s">
        <v>129</v>
      </c>
      <c r="D52" s="160" t="s">
        <v>61</v>
      </c>
      <c r="E52" s="155">
        <v>18</v>
      </c>
      <c r="F52" s="184">
        <v>52.77</v>
      </c>
      <c r="G52" s="102">
        <f t="shared" si="10"/>
        <v>68.42</v>
      </c>
      <c r="H52" s="142">
        <f t="shared" si="11"/>
        <v>1231.56</v>
      </c>
      <c r="I52" s="146" t="s">
        <v>162</v>
      </c>
    </row>
    <row r="53" spans="1:9" ht="14.25" x14ac:dyDescent="0.2">
      <c r="A53" s="127" t="s">
        <v>198</v>
      </c>
      <c r="B53" s="130">
        <v>89590</v>
      </c>
      <c r="C53" s="129" t="s">
        <v>130</v>
      </c>
      <c r="D53" s="160" t="s">
        <v>131</v>
      </c>
      <c r="E53" s="155">
        <v>4</v>
      </c>
      <c r="F53" s="184">
        <v>139.51</v>
      </c>
      <c r="G53" s="102">
        <f t="shared" si="10"/>
        <v>180.87</v>
      </c>
      <c r="H53" s="142">
        <f t="shared" si="11"/>
        <v>723.48</v>
      </c>
      <c r="I53" s="146" t="s">
        <v>163</v>
      </c>
    </row>
    <row r="54" spans="1:9" ht="15" x14ac:dyDescent="0.25">
      <c r="A54" s="195" t="s">
        <v>199</v>
      </c>
      <c r="B54" s="196"/>
      <c r="C54" s="181" t="s">
        <v>121</v>
      </c>
      <c r="D54" s="208"/>
      <c r="E54" s="199"/>
      <c r="F54" s="209"/>
      <c r="G54" s="92"/>
      <c r="H54" s="141">
        <f>SUM(H55:H57)</f>
        <v>17523.55</v>
      </c>
      <c r="I54" s="93"/>
    </row>
    <row r="55" spans="1:9" ht="22.5" customHeight="1" x14ac:dyDescent="0.2">
      <c r="A55" s="127" t="s">
        <v>200</v>
      </c>
      <c r="B55" s="130" t="s">
        <v>151</v>
      </c>
      <c r="C55" s="42" t="s">
        <v>152</v>
      </c>
      <c r="D55" s="206" t="s">
        <v>110</v>
      </c>
      <c r="E55" s="155">
        <f>4.5*4.5</f>
        <v>20.25</v>
      </c>
      <c r="F55" s="184">
        <v>532</v>
      </c>
      <c r="G55" s="102">
        <f t="shared" si="10"/>
        <v>689.74</v>
      </c>
      <c r="H55" s="142">
        <f t="shared" ref="H55:H63" si="12">ROUND(G55*E55,2)</f>
        <v>13967.24</v>
      </c>
      <c r="I55" s="146" t="s">
        <v>153</v>
      </c>
    </row>
    <row r="56" spans="1:9" ht="42.75" x14ac:dyDescent="0.2">
      <c r="A56" s="127" t="s">
        <v>201</v>
      </c>
      <c r="B56" s="130">
        <v>100719</v>
      </c>
      <c r="C56" s="42" t="s">
        <v>122</v>
      </c>
      <c r="D56" s="206" t="s">
        <v>110</v>
      </c>
      <c r="E56" s="155">
        <f>E55*2</f>
        <v>40.5</v>
      </c>
      <c r="F56" s="184">
        <v>13.47</v>
      </c>
      <c r="G56" s="102">
        <f t="shared" si="10"/>
        <v>17.46</v>
      </c>
      <c r="H56" s="142">
        <f t="shared" si="12"/>
        <v>707.13</v>
      </c>
      <c r="I56" s="146" t="s">
        <v>154</v>
      </c>
    </row>
    <row r="57" spans="1:9" ht="65.25" customHeight="1" x14ac:dyDescent="0.2">
      <c r="A57" s="127" t="s">
        <v>202</v>
      </c>
      <c r="B57" s="130">
        <v>100762</v>
      </c>
      <c r="C57" s="42" t="s">
        <v>123</v>
      </c>
      <c r="D57" s="206" t="s">
        <v>110</v>
      </c>
      <c r="E57" s="155">
        <f>E55*2</f>
        <v>40.5</v>
      </c>
      <c r="F57" s="184">
        <v>54.26</v>
      </c>
      <c r="G57" s="102">
        <f t="shared" si="10"/>
        <v>70.349999999999994</v>
      </c>
      <c r="H57" s="142">
        <f t="shared" si="12"/>
        <v>2849.18</v>
      </c>
      <c r="I57" s="146" t="s">
        <v>155</v>
      </c>
    </row>
    <row r="58" spans="1:9" ht="21.75" customHeight="1" x14ac:dyDescent="0.25">
      <c r="A58" s="195" t="s">
        <v>203</v>
      </c>
      <c r="B58" s="196"/>
      <c r="C58" s="181" t="s">
        <v>124</v>
      </c>
      <c r="D58" s="208"/>
      <c r="E58" s="199"/>
      <c r="F58" s="209"/>
      <c r="G58" s="92"/>
      <c r="H58" s="141">
        <f>SUM(H59:H61)</f>
        <v>69906.22</v>
      </c>
      <c r="I58" s="93"/>
    </row>
    <row r="59" spans="1:9" ht="49.5" customHeight="1" x14ac:dyDescent="0.2">
      <c r="A59" s="127" t="s">
        <v>180</v>
      </c>
      <c r="B59" s="133">
        <v>101768</v>
      </c>
      <c r="C59" s="30" t="s">
        <v>220</v>
      </c>
      <c r="D59" s="96" t="s">
        <v>15</v>
      </c>
      <c r="E59" s="155">
        <f>(31.22*10)+(5*3.5)</f>
        <v>329.7</v>
      </c>
      <c r="F59" s="184">
        <v>25.78</v>
      </c>
      <c r="G59" s="102">
        <f t="shared" si="10"/>
        <v>33.42</v>
      </c>
      <c r="H59" s="142">
        <f t="shared" si="12"/>
        <v>11018.57</v>
      </c>
      <c r="I59" s="207" t="s">
        <v>164</v>
      </c>
    </row>
    <row r="60" spans="1:9" ht="48" customHeight="1" x14ac:dyDescent="0.2">
      <c r="A60" s="127" t="s">
        <v>221</v>
      </c>
      <c r="B60" s="128">
        <v>94994</v>
      </c>
      <c r="C60" s="129" t="s">
        <v>212</v>
      </c>
      <c r="D60" s="160" t="s">
        <v>19</v>
      </c>
      <c r="E60" s="155">
        <f>((E59*0.2*0.2*3.14)+(0.5*0.5*0.5*14)+((31.2+31.22+10+6)*0.3*0.15))</f>
        <v>46.689220000000006</v>
      </c>
      <c r="F60" s="184">
        <v>99.18</v>
      </c>
      <c r="G60" s="102">
        <f t="shared" si="10"/>
        <v>128.59</v>
      </c>
      <c r="H60" s="142">
        <f t="shared" si="12"/>
        <v>6003.77</v>
      </c>
      <c r="I60" s="207" t="s">
        <v>164</v>
      </c>
    </row>
    <row r="61" spans="1:9" ht="36.75" customHeight="1" x14ac:dyDescent="0.2">
      <c r="A61" s="127" t="s">
        <v>204</v>
      </c>
      <c r="B61" s="128">
        <v>1039.1300000000001</v>
      </c>
      <c r="C61" s="129" t="s">
        <v>228</v>
      </c>
      <c r="D61" s="160" t="s">
        <v>15</v>
      </c>
      <c r="E61" s="155">
        <f>E59</f>
        <v>329.7</v>
      </c>
      <c r="F61" s="184">
        <v>123.72</v>
      </c>
      <c r="G61" s="102">
        <f t="shared" si="10"/>
        <v>160.4</v>
      </c>
      <c r="H61" s="142">
        <f t="shared" si="12"/>
        <v>52883.88</v>
      </c>
      <c r="I61" s="207"/>
    </row>
    <row r="62" spans="1:9" ht="25.5" customHeight="1" x14ac:dyDescent="0.25">
      <c r="A62" s="117" t="s">
        <v>205</v>
      </c>
      <c r="B62" s="114"/>
      <c r="C62" s="97" t="s">
        <v>67</v>
      </c>
      <c r="D62" s="91"/>
      <c r="E62" s="156"/>
      <c r="F62" s="98"/>
      <c r="G62" s="98"/>
      <c r="H62" s="141">
        <f>SUM(H63)</f>
        <v>3326.67</v>
      </c>
      <c r="I62" s="100" t="s">
        <v>89</v>
      </c>
    </row>
    <row r="63" spans="1:9" ht="27.75" customHeight="1" x14ac:dyDescent="0.2">
      <c r="A63" s="116" t="s">
        <v>206</v>
      </c>
      <c r="B63" s="113" t="s">
        <v>58</v>
      </c>
      <c r="C63" s="30" t="s">
        <v>31</v>
      </c>
      <c r="D63" s="95" t="s">
        <v>15</v>
      </c>
      <c r="E63" s="152">
        <f>E59</f>
        <v>329.7</v>
      </c>
      <c r="F63" s="89">
        <v>7.78</v>
      </c>
      <c r="G63" s="102">
        <f t="shared" si="10"/>
        <v>10.09</v>
      </c>
      <c r="H63" s="142">
        <f t="shared" si="12"/>
        <v>3326.67</v>
      </c>
      <c r="I63" s="207" t="s">
        <v>164</v>
      </c>
    </row>
    <row r="64" spans="1:9" ht="54.75" customHeight="1" x14ac:dyDescent="0.2">
      <c r="I64" s="45"/>
    </row>
    <row r="65" spans="2:9" ht="15" x14ac:dyDescent="0.2">
      <c r="C65" s="104" t="s">
        <v>79</v>
      </c>
      <c r="I65" s="45"/>
    </row>
    <row r="66" spans="2:9" ht="18" customHeight="1" x14ac:dyDescent="0.2">
      <c r="C66" s="74" t="s">
        <v>74</v>
      </c>
      <c r="I66" s="45"/>
    </row>
    <row r="67" spans="2:9" ht="15" x14ac:dyDescent="0.2">
      <c r="C67" s="74" t="s">
        <v>75</v>
      </c>
      <c r="I67" s="45"/>
    </row>
    <row r="68" spans="2:9" x14ac:dyDescent="0.2">
      <c r="I68" s="45"/>
    </row>
    <row r="69" spans="2:9" x14ac:dyDescent="0.2">
      <c r="I69" s="45"/>
    </row>
    <row r="70" spans="2:9" x14ac:dyDescent="0.2">
      <c r="B70" s="115">
        <f>B64+B65+B66</f>
        <v>0</v>
      </c>
      <c r="I70" s="45"/>
    </row>
    <row r="71" spans="2:9" ht="27.75" customHeight="1" x14ac:dyDescent="0.2">
      <c r="I71" s="45"/>
    </row>
    <row r="72" spans="2:9" ht="27.75" customHeight="1" x14ac:dyDescent="0.2">
      <c r="F72" s="119">
        <f>3.26/4.2</f>
        <v>0.7761904761904761</v>
      </c>
      <c r="I72" s="45"/>
    </row>
    <row r="73" spans="2:9" ht="27.75" customHeight="1" x14ac:dyDescent="0.2">
      <c r="C73" s="5">
        <f>80+52+10</f>
        <v>142</v>
      </c>
      <c r="I73" s="45"/>
    </row>
    <row r="74" spans="2:9" ht="27.75" customHeight="1" x14ac:dyDescent="0.2">
      <c r="C74" s="5">
        <f>4.2/0.12</f>
        <v>35</v>
      </c>
      <c r="I74" s="45"/>
    </row>
    <row r="75" spans="2:9" ht="27.75" customHeight="1" x14ac:dyDescent="0.2">
      <c r="C75" s="5">
        <f>3.7*3.14</f>
        <v>11.618</v>
      </c>
      <c r="I75" s="45"/>
    </row>
    <row r="76" spans="2:9" x14ac:dyDescent="0.2">
      <c r="C76" s="5">
        <f>2*1.9*3.14</f>
        <v>11.932</v>
      </c>
      <c r="I76" s="45"/>
    </row>
    <row r="77" spans="2:9" ht="35.25" customHeight="1" x14ac:dyDescent="0.2">
      <c r="I77" s="45"/>
    </row>
    <row r="78" spans="2:9" ht="35.25" customHeight="1" x14ac:dyDescent="0.2">
      <c r="I78" s="45"/>
    </row>
    <row r="79" spans="2:9" ht="35.25" customHeight="1" x14ac:dyDescent="0.2">
      <c r="G79" s="123" t="s">
        <v>104</v>
      </c>
      <c r="I79" s="45"/>
    </row>
    <row r="80" spans="2:9" ht="35.25" customHeight="1" x14ac:dyDescent="0.25">
      <c r="C80" s="123" t="s">
        <v>100</v>
      </c>
      <c r="D80" s="162" t="s">
        <v>101</v>
      </c>
      <c r="E80" s="159" t="s">
        <v>102</v>
      </c>
      <c r="F80" s="151" t="s">
        <v>103</v>
      </c>
      <c r="G80" s="125">
        <f>0.154*12</f>
        <v>1.8479999999999999</v>
      </c>
      <c r="I80" s="45"/>
    </row>
    <row r="81" spans="3:10" ht="35.25" customHeight="1" x14ac:dyDescent="0.2">
      <c r="C81" s="124">
        <f>0.988*12</f>
        <v>11.856</v>
      </c>
      <c r="D81" s="125">
        <f>0.624*12</f>
        <v>7.4879999999999995</v>
      </c>
      <c r="E81" s="125">
        <f>0.393*12</f>
        <v>4.7160000000000002</v>
      </c>
      <c r="F81" s="147">
        <f>0.248*12</f>
        <v>2.976</v>
      </c>
      <c r="I81" s="45"/>
    </row>
    <row r="82" spans="3:10" ht="26.25" customHeight="1" x14ac:dyDescent="0.2">
      <c r="I82" s="45"/>
    </row>
    <row r="83" spans="3:10" ht="26.25" customHeight="1" x14ac:dyDescent="0.2">
      <c r="G83" s="120">
        <f>D81/12</f>
        <v>0.624</v>
      </c>
      <c r="H83" s="120">
        <f t="shared" ref="H83:H88" si="13">F84*G83</f>
        <v>14.87616</v>
      </c>
      <c r="I83" s="45">
        <f>H83*1.1</f>
        <v>16.363776000000001</v>
      </c>
      <c r="J83">
        <f t="shared" ref="J83:J89" si="14">F84/12</f>
        <v>1.9866666666666666</v>
      </c>
    </row>
    <row r="84" spans="3:10" ht="26.25" customHeight="1" x14ac:dyDescent="0.2">
      <c r="C84" s="5">
        <v>11.92</v>
      </c>
      <c r="D84" s="112">
        <v>2</v>
      </c>
      <c r="F84" s="119">
        <f>C84*D84</f>
        <v>23.84</v>
      </c>
      <c r="G84" s="120">
        <f>D81/12</f>
        <v>0.624</v>
      </c>
      <c r="H84" s="120">
        <f t="shared" si="13"/>
        <v>14.476799999999999</v>
      </c>
      <c r="I84" s="45">
        <f t="shared" ref="I84:I88" si="15">H84*1.1</f>
        <v>15.924480000000001</v>
      </c>
      <c r="J84">
        <f t="shared" si="14"/>
        <v>1.9333333333333333</v>
      </c>
    </row>
    <row r="85" spans="3:10" ht="26.25" customHeight="1" x14ac:dyDescent="0.2">
      <c r="C85" s="5">
        <v>11.6</v>
      </c>
      <c r="D85" s="112">
        <v>2</v>
      </c>
      <c r="F85" s="119">
        <f t="shared" ref="F85:F89" si="16">C85*D85</f>
        <v>23.2</v>
      </c>
      <c r="G85" s="120">
        <f>F81/12</f>
        <v>0.248</v>
      </c>
      <c r="H85" s="120">
        <f t="shared" si="13"/>
        <v>15.847199999999999</v>
      </c>
      <c r="I85" s="45">
        <f t="shared" si="15"/>
        <v>17.431920000000002</v>
      </c>
      <c r="J85">
        <f t="shared" si="14"/>
        <v>5.3250000000000002</v>
      </c>
    </row>
    <row r="86" spans="3:10" ht="26.25" customHeight="1" x14ac:dyDescent="0.2">
      <c r="C86" s="5">
        <v>1.42</v>
      </c>
      <c r="D86" s="112">
        <v>45</v>
      </c>
      <c r="F86" s="119">
        <f t="shared" si="16"/>
        <v>63.9</v>
      </c>
      <c r="G86" s="120">
        <f>D81/12</f>
        <v>0.624</v>
      </c>
      <c r="H86" s="120">
        <f t="shared" si="13"/>
        <v>262.08</v>
      </c>
      <c r="I86" s="45">
        <f t="shared" si="15"/>
        <v>288.28800000000001</v>
      </c>
      <c r="J86">
        <f t="shared" si="14"/>
        <v>35</v>
      </c>
    </row>
    <row r="87" spans="3:10" ht="26.25" customHeight="1" x14ac:dyDescent="0.2">
      <c r="C87" s="5">
        <v>140</v>
      </c>
      <c r="D87" s="112">
        <v>3</v>
      </c>
      <c r="F87" s="119">
        <f t="shared" si="16"/>
        <v>420</v>
      </c>
      <c r="G87" s="120">
        <f>D81/12</f>
        <v>0.624</v>
      </c>
      <c r="H87" s="120">
        <f t="shared" si="13"/>
        <v>131.04</v>
      </c>
      <c r="I87" s="45">
        <f t="shared" si="15"/>
        <v>144.14400000000001</v>
      </c>
      <c r="J87">
        <f t="shared" si="14"/>
        <v>17.5</v>
      </c>
    </row>
    <row r="88" spans="3:10" ht="26.25" customHeight="1" x14ac:dyDescent="0.2">
      <c r="C88" s="5">
        <v>42</v>
      </c>
      <c r="D88" s="112">
        <v>5</v>
      </c>
      <c r="F88" s="119">
        <f t="shared" si="16"/>
        <v>210</v>
      </c>
      <c r="G88" s="120">
        <f>F81/12</f>
        <v>0.248</v>
      </c>
      <c r="H88" s="120">
        <f t="shared" si="13"/>
        <v>37.497600000000006</v>
      </c>
      <c r="I88" s="45">
        <f t="shared" si="15"/>
        <v>41.247360000000008</v>
      </c>
      <c r="J88">
        <f t="shared" si="14"/>
        <v>12.600000000000001</v>
      </c>
    </row>
    <row r="89" spans="3:10" ht="26.25" customHeight="1" x14ac:dyDescent="0.2">
      <c r="C89" s="5">
        <v>84</v>
      </c>
      <c r="D89" s="112">
        <v>1.8</v>
      </c>
      <c r="F89" s="119">
        <f t="shared" si="16"/>
        <v>151.20000000000002</v>
      </c>
      <c r="I89" s="45">
        <f>SUM(I83:I88)</f>
        <v>523.39953600000001</v>
      </c>
      <c r="J89">
        <f t="shared" si="14"/>
        <v>0</v>
      </c>
    </row>
    <row r="90" spans="3:10" ht="26.25" customHeight="1" x14ac:dyDescent="0.2">
      <c r="I90" s="45"/>
    </row>
    <row r="91" spans="3:10" ht="26.25" customHeight="1" x14ac:dyDescent="0.2">
      <c r="I91" s="45"/>
    </row>
    <row r="92" spans="3:10" ht="26.25" customHeight="1" x14ac:dyDescent="0.2">
      <c r="G92" s="120">
        <f t="shared" ref="G92:G98" si="17">F84*1.1</f>
        <v>26.224</v>
      </c>
      <c r="H92" s="120">
        <f>G92/12</f>
        <v>2.1853333333333333</v>
      </c>
      <c r="I92" s="45"/>
    </row>
    <row r="93" spans="3:10" ht="26.25" customHeight="1" x14ac:dyDescent="0.2">
      <c r="G93" s="120">
        <f t="shared" si="17"/>
        <v>25.52</v>
      </c>
      <c r="H93" s="120">
        <f t="shared" ref="H93:H99" si="18">G93/12</f>
        <v>2.1266666666666665</v>
      </c>
      <c r="I93" s="45"/>
    </row>
    <row r="94" spans="3:10" ht="26.25" customHeight="1" x14ac:dyDescent="0.2">
      <c r="G94" s="120">
        <f t="shared" si="17"/>
        <v>70.290000000000006</v>
      </c>
      <c r="H94" s="120">
        <f t="shared" si="18"/>
        <v>5.8575000000000008</v>
      </c>
    </row>
    <row r="95" spans="3:10" ht="26.25" customHeight="1" x14ac:dyDescent="0.2">
      <c r="G95" s="120">
        <f t="shared" si="17"/>
        <v>462.00000000000006</v>
      </c>
      <c r="H95" s="120">
        <f t="shared" si="18"/>
        <v>38.500000000000007</v>
      </c>
    </row>
    <row r="96" spans="3:10" ht="26.25" customHeight="1" x14ac:dyDescent="0.2">
      <c r="G96" s="120">
        <f t="shared" si="17"/>
        <v>231.00000000000003</v>
      </c>
      <c r="H96" s="120">
        <f t="shared" si="18"/>
        <v>19.250000000000004</v>
      </c>
    </row>
    <row r="97" spans="7:8" x14ac:dyDescent="0.2">
      <c r="G97" s="120">
        <f t="shared" si="17"/>
        <v>166.32000000000002</v>
      </c>
      <c r="H97" s="120">
        <f t="shared" si="18"/>
        <v>13.860000000000001</v>
      </c>
    </row>
    <row r="98" spans="7:8" x14ac:dyDescent="0.2">
      <c r="G98" s="120">
        <f t="shared" si="17"/>
        <v>0</v>
      </c>
      <c r="H98" s="120">
        <f t="shared" si="18"/>
        <v>0</v>
      </c>
    </row>
    <row r="99" spans="7:8" x14ac:dyDescent="0.2">
      <c r="H99" s="120">
        <f t="shared" si="18"/>
        <v>0</v>
      </c>
    </row>
  </sheetData>
  <mergeCells count="7">
    <mergeCell ref="A1:I1"/>
    <mergeCell ref="A2:I2"/>
    <mergeCell ref="B3:I3"/>
    <mergeCell ref="B4:I4"/>
    <mergeCell ref="A6:B6"/>
    <mergeCell ref="D6:E6"/>
    <mergeCell ref="I6:I8"/>
  </mergeCells>
  <conditionalFormatting sqref="F12 F16">
    <cfRule type="cellIs" dxfId="5" priority="1" stopIfTrue="1" operator="equal">
      <formula>0</formula>
    </cfRule>
  </conditionalFormatting>
  <conditionalFormatting sqref="F18:F21 F29:F30 E62:G62">
    <cfRule type="cellIs" dxfId="4" priority="2" stopIfTrue="1" operator="equal">
      <formula>0</formula>
    </cfRule>
  </conditionalFormatting>
  <conditionalFormatting sqref="F63">
    <cfRule type="cellIs" dxfId="3" priority="3" stopIfTrue="1" operator="equal">
      <formula>0</formula>
    </cfRule>
  </conditionalFormatting>
  <printOptions horizontalCentered="1"/>
  <pageMargins left="0.43307086614173229" right="0.43307086614173229" top="0.55118110236220474" bottom="0.35433070866141736" header="0.31496062992125984" footer="0.11811023622047245"/>
  <pageSetup paperSize="9" scale="56" fitToHeight="0" orientation="landscape" horizontalDpi="4294967295" verticalDpi="4294967295" r:id="rId1"/>
  <headerFooter alignWithMargins="0">
    <oddFooter>&amp;R&amp;"Arial,Negrito itálico"&amp;14&amp;P/&amp;N</oddFooter>
  </headerFooter>
  <rowBreaks count="2" manualBreakCount="2">
    <brk id="21" max="8" man="1"/>
    <brk id="57" max="8"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02"/>
  <sheetViews>
    <sheetView view="pageBreakPreview" zoomScale="55" zoomScaleNormal="115" zoomScaleSheetLayoutView="55" zoomScalePageLayoutView="85" workbookViewId="0">
      <pane ySplit="2" topLeftCell="A49" activePane="bottomLeft" state="frozen"/>
      <selection pane="bottomLeft" activeCell="E12" sqref="E12"/>
    </sheetView>
  </sheetViews>
  <sheetFormatPr defaultRowHeight="12.75" x14ac:dyDescent="0.2"/>
  <cols>
    <col min="1" max="1" width="11" style="1" customWidth="1"/>
    <col min="2" max="2" width="13.28515625" style="115" customWidth="1"/>
    <col min="3" max="3" width="70" style="1" customWidth="1"/>
    <col min="4" max="4" width="8.7109375" style="112" customWidth="1"/>
    <col min="5" max="5" width="12.5703125" style="158" customWidth="1"/>
    <col min="6" max="6" width="11.85546875" style="119" customWidth="1"/>
    <col min="7" max="7" width="12.42578125" style="120" customWidth="1"/>
    <col min="8" max="8" width="17.85546875" style="120" customWidth="1"/>
    <col min="9" max="9" width="28.42578125" style="1" customWidth="1"/>
    <col min="10" max="10" width="11.28515625" customWidth="1"/>
    <col min="12" max="12" width="9.42578125" bestFit="1" customWidth="1"/>
  </cols>
  <sheetData>
    <row r="1" spans="1:10" ht="51.75" customHeight="1" x14ac:dyDescent="0.2">
      <c r="A1" s="245"/>
      <c r="B1" s="245"/>
      <c r="C1" s="245"/>
      <c r="D1" s="245"/>
      <c r="E1" s="245"/>
      <c r="F1" s="245"/>
      <c r="G1" s="245"/>
      <c r="H1" s="245"/>
      <c r="I1" s="245"/>
    </row>
    <row r="2" spans="1:10" ht="33" customHeight="1" x14ac:dyDescent="0.2">
      <c r="A2" s="246" t="s">
        <v>98</v>
      </c>
      <c r="B2" s="246"/>
      <c r="C2" s="246"/>
      <c r="D2" s="246"/>
      <c r="E2" s="246"/>
      <c r="F2" s="246"/>
      <c r="G2" s="246"/>
      <c r="H2" s="246"/>
      <c r="I2" s="246"/>
    </row>
    <row r="3" spans="1:10" s="6" customFormat="1" ht="17.25" customHeight="1" x14ac:dyDescent="0.25">
      <c r="A3" s="163" t="s">
        <v>20</v>
      </c>
      <c r="B3" s="247" t="s">
        <v>283</v>
      </c>
      <c r="C3" s="247"/>
      <c r="D3" s="247"/>
      <c r="E3" s="247"/>
      <c r="F3" s="247"/>
      <c r="G3" s="247"/>
      <c r="H3" s="247"/>
      <c r="I3" s="247"/>
    </row>
    <row r="4" spans="1:10" s="6" customFormat="1" ht="17.25" customHeight="1" x14ac:dyDescent="0.25">
      <c r="A4" s="163" t="s">
        <v>225</v>
      </c>
      <c r="B4" s="248" t="s">
        <v>291</v>
      </c>
      <c r="C4" s="248"/>
      <c r="D4" s="248"/>
      <c r="E4" s="248"/>
      <c r="F4" s="248"/>
      <c r="G4" s="248"/>
      <c r="H4" s="248"/>
      <c r="I4" s="248"/>
    </row>
    <row r="5" spans="1:10" s="6" customFormat="1" ht="17.25" customHeight="1" thickBot="1" x14ac:dyDescent="0.3">
      <c r="A5" s="163" t="s">
        <v>32</v>
      </c>
      <c r="B5" s="165">
        <v>45978</v>
      </c>
      <c r="C5" s="164"/>
      <c r="D5" s="167"/>
      <c r="E5" s="168"/>
      <c r="F5" s="169"/>
      <c r="G5" s="170"/>
      <c r="H5" s="170"/>
      <c r="I5" s="227"/>
    </row>
    <row r="6" spans="1:10" s="6" customFormat="1" ht="21.75" customHeight="1" x14ac:dyDescent="0.25">
      <c r="A6" s="249" t="s">
        <v>69</v>
      </c>
      <c r="B6" s="250"/>
      <c r="C6" s="210" t="s">
        <v>276</v>
      </c>
      <c r="D6" s="251" t="s">
        <v>70</v>
      </c>
      <c r="E6" s="251"/>
      <c r="F6" s="172" t="s">
        <v>71</v>
      </c>
      <c r="G6" s="172" t="s">
        <v>35</v>
      </c>
      <c r="H6" s="173">
        <f>DBI!K6</f>
        <v>0.29649999999999999</v>
      </c>
      <c r="I6" s="252" t="s">
        <v>82</v>
      </c>
    </row>
    <row r="7" spans="1:10" ht="23.25" customHeight="1" x14ac:dyDescent="0.25">
      <c r="A7" s="117" t="s">
        <v>0</v>
      </c>
      <c r="B7" s="174" t="s">
        <v>22</v>
      </c>
      <c r="C7" s="217" t="s">
        <v>3</v>
      </c>
      <c r="D7" s="176" t="s">
        <v>1</v>
      </c>
      <c r="E7" s="177" t="s">
        <v>4</v>
      </c>
      <c r="F7" s="178" t="s">
        <v>23</v>
      </c>
      <c r="G7" s="179" t="s">
        <v>24</v>
      </c>
      <c r="H7" s="180" t="s">
        <v>11</v>
      </c>
      <c r="I7" s="253"/>
    </row>
    <row r="8" spans="1:10" ht="34.5" customHeight="1" x14ac:dyDescent="0.25">
      <c r="A8" s="117"/>
      <c r="B8" s="174"/>
      <c r="C8" s="218" t="s">
        <v>105</v>
      </c>
      <c r="D8" s="176"/>
      <c r="E8" s="177"/>
      <c r="F8" s="178"/>
      <c r="G8" s="179"/>
      <c r="H8" s="182">
        <f>H9+H15+H20+H31+H42+H46+H49+H51</f>
        <v>576921.54</v>
      </c>
      <c r="I8" s="253"/>
    </row>
    <row r="9" spans="1:10" ht="24.75" customHeight="1" x14ac:dyDescent="0.25">
      <c r="A9" s="117" t="s">
        <v>16</v>
      </c>
      <c r="B9" s="91"/>
      <c r="C9" s="219" t="s">
        <v>72</v>
      </c>
      <c r="D9" s="176"/>
      <c r="E9" s="177"/>
      <c r="F9" s="178"/>
      <c r="G9" s="178"/>
      <c r="H9" s="141">
        <f>SUM(H10:H14)</f>
        <v>29135.46</v>
      </c>
      <c r="I9" s="254"/>
    </row>
    <row r="10" spans="1:10" ht="92.25" customHeight="1" x14ac:dyDescent="0.2">
      <c r="A10" s="137" t="s">
        <v>2</v>
      </c>
      <c r="B10" s="133" t="s">
        <v>132</v>
      </c>
      <c r="C10" s="220" t="s">
        <v>133</v>
      </c>
      <c r="D10" s="88" t="s">
        <v>134</v>
      </c>
      <c r="E10" s="152">
        <v>1</v>
      </c>
      <c r="F10" s="90">
        <v>1130.67</v>
      </c>
      <c r="G10" s="102">
        <f>ROUND(F10*(1+H$6),2)</f>
        <v>1465.91</v>
      </c>
      <c r="H10" s="142">
        <f>ROUND(G10*E10,2)</f>
        <v>1465.91</v>
      </c>
      <c r="I10" s="132">
        <v>1</v>
      </c>
    </row>
    <row r="11" spans="1:10" ht="105.75" customHeight="1" x14ac:dyDescent="0.2">
      <c r="A11" s="137" t="s">
        <v>125</v>
      </c>
      <c r="B11" s="95" t="s">
        <v>28</v>
      </c>
      <c r="C11" s="220" t="s">
        <v>30</v>
      </c>
      <c r="D11" s="88" t="s">
        <v>29</v>
      </c>
      <c r="E11" s="152">
        <v>3</v>
      </c>
      <c r="F11" s="90">
        <v>1021.74</v>
      </c>
      <c r="G11" s="102">
        <f>ROUND(F11*(1+H$6),2)</f>
        <v>1324.69</v>
      </c>
      <c r="H11" s="142">
        <f>ROUND(G11*E11,2)</f>
        <v>3974.07</v>
      </c>
      <c r="I11" s="132">
        <v>3</v>
      </c>
    </row>
    <row r="12" spans="1:10" ht="62.25" customHeight="1" x14ac:dyDescent="0.2">
      <c r="A12" s="137" t="s">
        <v>26</v>
      </c>
      <c r="B12" s="133" t="s">
        <v>135</v>
      </c>
      <c r="C12" s="221" t="s">
        <v>227</v>
      </c>
      <c r="D12" s="134" t="s">
        <v>208</v>
      </c>
      <c r="E12" s="152">
        <v>1</v>
      </c>
      <c r="F12" s="148">
        <v>1634.06</v>
      </c>
      <c r="G12" s="102">
        <f>ROUND(F12*(1+H$6),2)</f>
        <v>2118.56</v>
      </c>
      <c r="H12" s="142">
        <f>ROUND(G12*E12,2)</f>
        <v>2118.56</v>
      </c>
      <c r="I12" s="132">
        <v>1</v>
      </c>
    </row>
    <row r="13" spans="1:10" ht="30" customHeight="1" x14ac:dyDescent="0.2">
      <c r="A13" s="137" t="s">
        <v>113</v>
      </c>
      <c r="B13" s="113" t="s">
        <v>62</v>
      </c>
      <c r="C13" s="220" t="s">
        <v>63</v>
      </c>
      <c r="D13" s="88" t="s">
        <v>64</v>
      </c>
      <c r="E13" s="152">
        <v>1.5</v>
      </c>
      <c r="F13" s="90">
        <v>10757.65</v>
      </c>
      <c r="G13" s="102">
        <f>ROUND(F13*(1+H$6),2)</f>
        <v>13947.29</v>
      </c>
      <c r="H13" s="142">
        <f>ROUND(G13*E13,2)</f>
        <v>20920.939999999999</v>
      </c>
      <c r="I13" s="86" t="s">
        <v>268</v>
      </c>
      <c r="J13" s="44"/>
    </row>
    <row r="14" spans="1:10" ht="30" customHeight="1" x14ac:dyDescent="0.2">
      <c r="A14" s="137" t="s">
        <v>115</v>
      </c>
      <c r="B14" s="95" t="s">
        <v>91</v>
      </c>
      <c r="C14" s="221" t="s">
        <v>260</v>
      </c>
      <c r="D14" s="95" t="s">
        <v>208</v>
      </c>
      <c r="E14" s="101">
        <v>6</v>
      </c>
      <c r="F14" s="102">
        <v>84.33</v>
      </c>
      <c r="G14" s="102">
        <f>ROUND(F14*(1+H$6),2)</f>
        <v>109.33</v>
      </c>
      <c r="H14" s="142">
        <f>ROUND(G14*E14,2)</f>
        <v>655.98</v>
      </c>
      <c r="I14" s="86">
        <v>6</v>
      </c>
      <c r="J14" s="44"/>
    </row>
    <row r="15" spans="1:10" ht="29.25" customHeight="1" x14ac:dyDescent="0.25">
      <c r="A15" s="232" t="s">
        <v>17</v>
      </c>
      <c r="B15" s="233"/>
      <c r="C15" s="234" t="s">
        <v>207</v>
      </c>
      <c r="D15" s="235"/>
      <c r="E15" s="236"/>
      <c r="F15" s="92"/>
      <c r="G15" s="92"/>
      <c r="H15" s="141">
        <f>SUM(H16:H19)</f>
        <v>56425.42</v>
      </c>
      <c r="I15" s="93"/>
    </row>
    <row r="16" spans="1:10" ht="61.5" customHeight="1" x14ac:dyDescent="0.2">
      <c r="A16" s="127" t="s">
        <v>92</v>
      </c>
      <c r="B16" s="190" t="s">
        <v>170</v>
      </c>
      <c r="C16" s="222" t="s">
        <v>171</v>
      </c>
      <c r="D16" s="160" t="s">
        <v>19</v>
      </c>
      <c r="E16" s="155">
        <f>(4.8*4.8*3.14*11.7)-(4.4*4.4*3.14*11.7)</f>
        <v>135.19583999999998</v>
      </c>
      <c r="F16" s="191">
        <v>158.66999999999999</v>
      </c>
      <c r="G16" s="102">
        <f>ROUND(F16*(1+H$6),2)</f>
        <v>205.72</v>
      </c>
      <c r="H16" s="142">
        <f>ROUND(G16*E16,2)</f>
        <v>27812.49</v>
      </c>
      <c r="I16" s="238" t="s">
        <v>261</v>
      </c>
    </row>
    <row r="17" spans="1:9" ht="62.25" customHeight="1" x14ac:dyDescent="0.2">
      <c r="A17" s="127" t="s">
        <v>93</v>
      </c>
      <c r="B17" s="130" t="s">
        <v>173</v>
      </c>
      <c r="C17" s="223" t="s">
        <v>172</v>
      </c>
      <c r="D17" s="192" t="s">
        <v>19</v>
      </c>
      <c r="E17" s="194">
        <f>(0.4*0.4*6*11.7)+(4.8*4.8*3.14*3*0.2)+(4.5*3.5*0.15)</f>
        <v>57.001860000000008</v>
      </c>
      <c r="F17" s="184">
        <v>261.92</v>
      </c>
      <c r="G17" s="102">
        <f>ROUND(F17*(1+H$6),2)</f>
        <v>339.58</v>
      </c>
      <c r="H17" s="142">
        <f>ROUND(G17*E17,2)</f>
        <v>19356.689999999999</v>
      </c>
      <c r="I17" s="238" t="s">
        <v>262</v>
      </c>
    </row>
    <row r="18" spans="1:9" ht="61.5" customHeight="1" x14ac:dyDescent="0.2">
      <c r="A18" s="127" t="s">
        <v>94</v>
      </c>
      <c r="B18" s="130">
        <v>100981</v>
      </c>
      <c r="C18" s="223" t="s">
        <v>166</v>
      </c>
      <c r="D18" s="192" t="s">
        <v>19</v>
      </c>
      <c r="E18" s="194">
        <f>E17+E16</f>
        <v>192.1977</v>
      </c>
      <c r="F18" s="184">
        <v>9.57</v>
      </c>
      <c r="G18" s="102">
        <f>ROUND(F18*(1+H$6),2)</f>
        <v>12.41</v>
      </c>
      <c r="H18" s="142">
        <f>ROUND(G18*E18,2)</f>
        <v>2385.17</v>
      </c>
      <c r="I18" s="238" t="s">
        <v>263</v>
      </c>
    </row>
    <row r="19" spans="1:9" ht="57.75" customHeight="1" x14ac:dyDescent="0.2">
      <c r="A19" s="127" t="s">
        <v>95</v>
      </c>
      <c r="B19" s="130">
        <v>95875</v>
      </c>
      <c r="C19" s="223" t="s">
        <v>168</v>
      </c>
      <c r="D19" s="192" t="s">
        <v>169</v>
      </c>
      <c r="E19" s="194">
        <f>E18*11</f>
        <v>2114.1747</v>
      </c>
      <c r="F19" s="184">
        <v>2.5099999999999998</v>
      </c>
      <c r="G19" s="102">
        <f>ROUND(F19*(1+H$6),2)</f>
        <v>3.25</v>
      </c>
      <c r="H19" s="142">
        <f>ROUND(G19*E19,2)</f>
        <v>6871.07</v>
      </c>
      <c r="I19" s="238" t="s">
        <v>264</v>
      </c>
    </row>
    <row r="20" spans="1:9" ht="20.25" customHeight="1" x14ac:dyDescent="0.25">
      <c r="A20" s="195" t="s">
        <v>18</v>
      </c>
      <c r="B20" s="196"/>
      <c r="C20" s="224" t="s">
        <v>266</v>
      </c>
      <c r="D20" s="198"/>
      <c r="E20" s="92"/>
      <c r="F20" s="92"/>
      <c r="G20" s="92"/>
      <c r="H20" s="141">
        <f>SUM(H21:H30)</f>
        <v>97505.95</v>
      </c>
      <c r="I20" s="93"/>
    </row>
    <row r="21" spans="1:9" ht="46.5" customHeight="1" x14ac:dyDescent="0.2">
      <c r="A21" s="127" t="s">
        <v>77</v>
      </c>
      <c r="B21" s="128">
        <v>101176</v>
      </c>
      <c r="C21" s="222" t="s">
        <v>106</v>
      </c>
      <c r="D21" s="160" t="s">
        <v>61</v>
      </c>
      <c r="E21" s="155">
        <f>25*1.8</f>
        <v>45</v>
      </c>
      <c r="F21" s="184">
        <v>147.4</v>
      </c>
      <c r="G21" s="102">
        <f t="shared" ref="G21:G30" si="0">ROUND(F21*(1+H$6),2)</f>
        <v>191.1</v>
      </c>
      <c r="H21" s="142">
        <f t="shared" ref="H21:H30" si="1">ROUND(G21*E21,2)</f>
        <v>8599.5</v>
      </c>
      <c r="I21" s="86" t="s">
        <v>265</v>
      </c>
    </row>
    <row r="22" spans="1:9" ht="59.25" customHeight="1" x14ac:dyDescent="0.2">
      <c r="A22" s="127" t="s">
        <v>78</v>
      </c>
      <c r="B22" s="128">
        <v>96555</v>
      </c>
      <c r="C22" s="222" t="s">
        <v>242</v>
      </c>
      <c r="D22" s="160" t="s">
        <v>19</v>
      </c>
      <c r="E22" s="155">
        <f>((E21*0.2*0.2*3.14)+(0.5*0.5*0.5*25)+((31.2+31.22+31.3122+10+10+10+6)*0.3*0.15))+(11*3.2*0.3*0.15)</f>
        <v>16.198949000000002</v>
      </c>
      <c r="F22" s="184">
        <v>790.4</v>
      </c>
      <c r="G22" s="102">
        <f t="shared" si="0"/>
        <v>1024.75</v>
      </c>
      <c r="H22" s="142">
        <f t="shared" si="1"/>
        <v>16599.87</v>
      </c>
      <c r="I22" s="215" t="s">
        <v>269</v>
      </c>
    </row>
    <row r="23" spans="1:9" ht="31.5" customHeight="1" x14ac:dyDescent="0.2">
      <c r="A23" s="127" t="s">
        <v>167</v>
      </c>
      <c r="B23" s="130" t="s">
        <v>214</v>
      </c>
      <c r="C23" s="225" t="s">
        <v>215</v>
      </c>
      <c r="D23" s="160" t="s">
        <v>258</v>
      </c>
      <c r="E23" s="155">
        <v>753.62</v>
      </c>
      <c r="F23" s="184">
        <v>13.67</v>
      </c>
      <c r="G23" s="102">
        <f t="shared" si="0"/>
        <v>17.72</v>
      </c>
      <c r="H23" s="142">
        <f t="shared" si="1"/>
        <v>13354.15</v>
      </c>
      <c r="I23" s="86" t="s">
        <v>83</v>
      </c>
    </row>
    <row r="24" spans="1:9" ht="46.5" customHeight="1" x14ac:dyDescent="0.2">
      <c r="A24" s="127" t="s">
        <v>178</v>
      </c>
      <c r="B24" s="130" t="s">
        <v>288</v>
      </c>
      <c r="C24" s="222" t="s">
        <v>284</v>
      </c>
      <c r="D24" s="160" t="s">
        <v>15</v>
      </c>
      <c r="E24" s="155">
        <f>((0.5*0.5*4*25)+((31.22+10+10)*0.6))+((31.22+31.22+10+6)*0.6)+(11*3.2*0.6)</f>
        <v>123.916</v>
      </c>
      <c r="F24" s="184">
        <v>105.01</v>
      </c>
      <c r="G24" s="102">
        <f t="shared" si="0"/>
        <v>136.15</v>
      </c>
      <c r="H24" s="142">
        <f t="shared" si="1"/>
        <v>16871.16</v>
      </c>
      <c r="I24" s="215" t="s">
        <v>270</v>
      </c>
    </row>
    <row r="25" spans="1:9" ht="59.25" customHeight="1" x14ac:dyDescent="0.2">
      <c r="A25" s="127" t="s">
        <v>246</v>
      </c>
      <c r="B25" s="130">
        <v>103324</v>
      </c>
      <c r="C25" s="223" t="s">
        <v>112</v>
      </c>
      <c r="D25" s="206" t="s">
        <v>15</v>
      </c>
      <c r="E25" s="155">
        <f>((31.22+10+6)*3)+(31.22*0.4)</f>
        <v>154.148</v>
      </c>
      <c r="F25" s="184">
        <v>79.540000000000006</v>
      </c>
      <c r="G25" s="102">
        <f t="shared" si="0"/>
        <v>103.12</v>
      </c>
      <c r="H25" s="142">
        <f t="shared" si="1"/>
        <v>15895.74</v>
      </c>
      <c r="I25" s="229" t="s">
        <v>274</v>
      </c>
    </row>
    <row r="26" spans="1:9" ht="28.5" x14ac:dyDescent="0.2">
      <c r="A26" s="127" t="s">
        <v>247</v>
      </c>
      <c r="B26" s="130">
        <v>98557</v>
      </c>
      <c r="C26" s="223" t="s">
        <v>114</v>
      </c>
      <c r="D26" s="206" t="s">
        <v>15</v>
      </c>
      <c r="E26" s="155">
        <f>(31.22+31.22+10+6)*0.5</f>
        <v>39.22</v>
      </c>
      <c r="F26" s="184">
        <v>39.630000000000003</v>
      </c>
      <c r="G26" s="102">
        <f t="shared" si="0"/>
        <v>51.38</v>
      </c>
      <c r="H26" s="142">
        <f t="shared" si="1"/>
        <v>2015.12</v>
      </c>
      <c r="I26" s="228" t="s">
        <v>156</v>
      </c>
    </row>
    <row r="27" spans="1:9" ht="52.5" customHeight="1" x14ac:dyDescent="0.2">
      <c r="A27" s="127" t="s">
        <v>248</v>
      </c>
      <c r="B27" s="130">
        <v>87879</v>
      </c>
      <c r="C27" s="223" t="s">
        <v>116</v>
      </c>
      <c r="D27" s="206" t="s">
        <v>15</v>
      </c>
      <c r="E27" s="155">
        <f>E25*2</f>
        <v>308.29599999999999</v>
      </c>
      <c r="F27" s="184">
        <v>4.68</v>
      </c>
      <c r="G27" s="102">
        <f t="shared" si="0"/>
        <v>6.07</v>
      </c>
      <c r="H27" s="142">
        <f t="shared" si="1"/>
        <v>1871.36</v>
      </c>
      <c r="I27" s="228" t="s">
        <v>157</v>
      </c>
    </row>
    <row r="28" spans="1:9" ht="69.75" customHeight="1" x14ac:dyDescent="0.2">
      <c r="A28" s="127" t="s">
        <v>249</v>
      </c>
      <c r="B28" s="130">
        <v>104233</v>
      </c>
      <c r="C28" s="223" t="s">
        <v>117</v>
      </c>
      <c r="D28" s="206" t="s">
        <v>15</v>
      </c>
      <c r="E28" s="155">
        <f>E27</f>
        <v>308.29599999999999</v>
      </c>
      <c r="F28" s="184">
        <v>40.31</v>
      </c>
      <c r="G28" s="102">
        <f t="shared" si="0"/>
        <v>52.26</v>
      </c>
      <c r="H28" s="142">
        <f t="shared" si="1"/>
        <v>16111.55</v>
      </c>
      <c r="I28" s="228" t="str">
        <f>I27</f>
        <v>(31,22+31,22+10+6)*3*2</v>
      </c>
    </row>
    <row r="29" spans="1:9" ht="28.5" x14ac:dyDescent="0.2">
      <c r="A29" s="127" t="s">
        <v>250</v>
      </c>
      <c r="B29" s="130">
        <v>88485</v>
      </c>
      <c r="C29" s="223" t="s">
        <v>119</v>
      </c>
      <c r="D29" s="206" t="s">
        <v>15</v>
      </c>
      <c r="E29" s="155">
        <f>E28</f>
        <v>308.29599999999999</v>
      </c>
      <c r="F29" s="184">
        <v>4.47</v>
      </c>
      <c r="G29" s="102">
        <f t="shared" si="0"/>
        <v>5.8</v>
      </c>
      <c r="H29" s="142">
        <f t="shared" si="1"/>
        <v>1788.12</v>
      </c>
      <c r="I29" s="228" t="str">
        <f>I27</f>
        <v>(31,22+31,22+10+6)*3*2</v>
      </c>
    </row>
    <row r="30" spans="1:9" ht="34.5" customHeight="1" x14ac:dyDescent="0.2">
      <c r="A30" s="127" t="s">
        <v>251</v>
      </c>
      <c r="B30" s="130">
        <v>104642</v>
      </c>
      <c r="C30" s="223" t="s">
        <v>120</v>
      </c>
      <c r="D30" s="206" t="s">
        <v>15</v>
      </c>
      <c r="E30" s="155">
        <f>E29</f>
        <v>308.29599999999999</v>
      </c>
      <c r="F30" s="184">
        <v>11.01</v>
      </c>
      <c r="G30" s="102">
        <f t="shared" si="0"/>
        <v>14.27</v>
      </c>
      <c r="H30" s="142">
        <f t="shared" si="1"/>
        <v>4399.38</v>
      </c>
      <c r="I30" s="228" t="str">
        <f>I27</f>
        <v>(31,22+31,22+10+6)*3*2</v>
      </c>
    </row>
    <row r="31" spans="1:9" ht="15" x14ac:dyDescent="0.25">
      <c r="A31" s="195" t="s">
        <v>27</v>
      </c>
      <c r="B31" s="196"/>
      <c r="C31" s="218" t="s">
        <v>118</v>
      </c>
      <c r="D31" s="208"/>
      <c r="E31" s="199"/>
      <c r="F31" s="209"/>
      <c r="G31" s="92"/>
      <c r="H31" s="141">
        <f>SUM(H32:H41)</f>
        <v>227898.51</v>
      </c>
      <c r="I31" s="93"/>
    </row>
    <row r="32" spans="1:9" ht="94.5" customHeight="1" x14ac:dyDescent="0.2">
      <c r="A32" s="127" t="s">
        <v>179</v>
      </c>
      <c r="B32" s="130" t="s">
        <v>218</v>
      </c>
      <c r="C32" s="223" t="s">
        <v>244</v>
      </c>
      <c r="D32" s="160" t="s">
        <v>15</v>
      </c>
      <c r="E32" s="155">
        <f>31.22*10</f>
        <v>312.2</v>
      </c>
      <c r="F32" s="184">
        <v>368.36</v>
      </c>
      <c r="G32" s="102">
        <f t="shared" ref="G32:G41" si="2">ROUND(F32*(1+H$6),2)</f>
        <v>477.58</v>
      </c>
      <c r="H32" s="142">
        <f t="shared" ref="H32:H41" si="3">ROUND(G32*E32,2)</f>
        <v>149100.48000000001</v>
      </c>
      <c r="I32" s="228" t="s">
        <v>245</v>
      </c>
    </row>
    <row r="33" spans="1:9" ht="57" x14ac:dyDescent="0.2">
      <c r="A33" s="127" t="s">
        <v>143</v>
      </c>
      <c r="B33" s="130">
        <v>92580</v>
      </c>
      <c r="C33" s="223" t="s">
        <v>243</v>
      </c>
      <c r="D33" s="160" t="s">
        <v>15</v>
      </c>
      <c r="E33" s="155">
        <f>E35</f>
        <v>274.10000000000002</v>
      </c>
      <c r="F33" s="184">
        <v>47.14</v>
      </c>
      <c r="G33" s="102">
        <f t="shared" si="2"/>
        <v>61.12</v>
      </c>
      <c r="H33" s="142">
        <f t="shared" si="3"/>
        <v>16752.990000000002</v>
      </c>
      <c r="I33" s="229" t="str">
        <f>I35</f>
        <v>((31,22+31,22+10+10)*2,5)+(17*4)</v>
      </c>
    </row>
    <row r="34" spans="1:9" ht="36" customHeight="1" x14ac:dyDescent="0.2">
      <c r="A34" s="127" t="s">
        <v>181</v>
      </c>
      <c r="B34" s="130">
        <v>94213</v>
      </c>
      <c r="C34" s="222" t="s">
        <v>126</v>
      </c>
      <c r="D34" s="160" t="s">
        <v>15</v>
      </c>
      <c r="E34" s="155">
        <f>E32-E36</f>
        <v>301.2</v>
      </c>
      <c r="F34" s="184">
        <v>54.61</v>
      </c>
      <c r="G34" s="102">
        <f t="shared" si="2"/>
        <v>70.8</v>
      </c>
      <c r="H34" s="142">
        <f t="shared" si="3"/>
        <v>21324.959999999999</v>
      </c>
      <c r="I34" s="229" t="s">
        <v>271</v>
      </c>
    </row>
    <row r="35" spans="1:9" ht="47.25" customHeight="1" x14ac:dyDescent="0.2">
      <c r="A35" s="127" t="s">
        <v>182</v>
      </c>
      <c r="B35" s="130">
        <v>94213</v>
      </c>
      <c r="C35" s="222" t="s">
        <v>236</v>
      </c>
      <c r="D35" s="160" t="s">
        <v>15</v>
      </c>
      <c r="E35" s="155">
        <f>((31.22+31.22+10+10)*2.5)+(17*4)</f>
        <v>274.10000000000002</v>
      </c>
      <c r="F35" s="184">
        <f>F34</f>
        <v>54.61</v>
      </c>
      <c r="G35" s="102">
        <f t="shared" si="2"/>
        <v>70.8</v>
      </c>
      <c r="H35" s="142">
        <f t="shared" si="3"/>
        <v>19406.28</v>
      </c>
      <c r="I35" s="229" t="s">
        <v>282</v>
      </c>
    </row>
    <row r="36" spans="1:9" ht="50.25" customHeight="1" x14ac:dyDescent="0.2">
      <c r="A36" s="127" t="s">
        <v>252</v>
      </c>
      <c r="B36" s="130">
        <v>94449</v>
      </c>
      <c r="C36" s="222" t="s">
        <v>128</v>
      </c>
      <c r="D36" s="160" t="s">
        <v>15</v>
      </c>
      <c r="E36" s="155">
        <f>5*1.1*2</f>
        <v>11</v>
      </c>
      <c r="F36" s="184">
        <v>71.459999999999994</v>
      </c>
      <c r="G36" s="102">
        <f t="shared" si="2"/>
        <v>92.65</v>
      </c>
      <c r="H36" s="142">
        <f t="shared" si="3"/>
        <v>1019.15</v>
      </c>
      <c r="I36" s="201" t="s">
        <v>159</v>
      </c>
    </row>
    <row r="37" spans="1:9" ht="38.25" customHeight="1" x14ac:dyDescent="0.2">
      <c r="A37" s="127" t="s">
        <v>253</v>
      </c>
      <c r="B37" s="130">
        <v>94451</v>
      </c>
      <c r="C37" s="222" t="s">
        <v>290</v>
      </c>
      <c r="D37" s="160" t="s">
        <v>15</v>
      </c>
      <c r="E37" s="155">
        <v>31.22</v>
      </c>
      <c r="F37" s="184">
        <v>77.760000000000005</v>
      </c>
      <c r="G37" s="102">
        <f t="shared" ref="G37" si="4">ROUND(F37*(1+H$6),2)</f>
        <v>100.82</v>
      </c>
      <c r="H37" s="142">
        <f t="shared" ref="H37" si="5">ROUND(G37*E37,2)</f>
        <v>3147.6</v>
      </c>
      <c r="I37" s="201">
        <v>31.22</v>
      </c>
    </row>
    <row r="38" spans="1:9" ht="48" customHeight="1" x14ac:dyDescent="0.2">
      <c r="A38" s="127" t="s">
        <v>254</v>
      </c>
      <c r="B38" s="130">
        <v>94228</v>
      </c>
      <c r="C38" s="222" t="s">
        <v>241</v>
      </c>
      <c r="D38" s="160" t="s">
        <v>61</v>
      </c>
      <c r="E38" s="155">
        <f>31.2+31.22+8</f>
        <v>70.42</v>
      </c>
      <c r="F38" s="184">
        <v>95.66</v>
      </c>
      <c r="G38" s="102">
        <f t="shared" si="2"/>
        <v>124.02</v>
      </c>
      <c r="H38" s="142">
        <f t="shared" si="3"/>
        <v>8733.49</v>
      </c>
      <c r="I38" s="201" t="s">
        <v>240</v>
      </c>
    </row>
    <row r="39" spans="1:9" ht="38.25" customHeight="1" x14ac:dyDescent="0.2">
      <c r="A39" s="127" t="s">
        <v>255</v>
      </c>
      <c r="B39" s="130">
        <v>94231</v>
      </c>
      <c r="C39" s="222" t="s">
        <v>280</v>
      </c>
      <c r="D39" s="244" t="s">
        <v>61</v>
      </c>
      <c r="E39" s="239">
        <f>(31.22+10+10+ 31.22)</f>
        <v>82.44</v>
      </c>
      <c r="F39" s="213">
        <v>55.5</v>
      </c>
      <c r="G39" s="102">
        <f t="shared" si="2"/>
        <v>71.959999999999994</v>
      </c>
      <c r="H39" s="142">
        <f t="shared" si="3"/>
        <v>5932.38</v>
      </c>
      <c r="I39" s="201" t="s">
        <v>281</v>
      </c>
    </row>
    <row r="40" spans="1:9" ht="21" customHeight="1" x14ac:dyDescent="0.2">
      <c r="A40" s="127" t="s">
        <v>279</v>
      </c>
      <c r="B40" s="130">
        <v>89580</v>
      </c>
      <c r="C40" s="222" t="s">
        <v>129</v>
      </c>
      <c r="D40" s="160" t="s">
        <v>61</v>
      </c>
      <c r="E40" s="155">
        <v>18</v>
      </c>
      <c r="F40" s="184">
        <v>75.319999999999993</v>
      </c>
      <c r="G40" s="102">
        <f t="shared" si="2"/>
        <v>97.65</v>
      </c>
      <c r="H40" s="142">
        <f t="shared" si="3"/>
        <v>1757.7</v>
      </c>
      <c r="I40" s="201" t="s">
        <v>162</v>
      </c>
    </row>
    <row r="41" spans="1:9" ht="21" customHeight="1" x14ac:dyDescent="0.2">
      <c r="A41" s="127" t="s">
        <v>289</v>
      </c>
      <c r="B41" s="130">
        <v>89590</v>
      </c>
      <c r="C41" s="222" t="s">
        <v>130</v>
      </c>
      <c r="D41" s="160" t="s">
        <v>208</v>
      </c>
      <c r="E41" s="155">
        <v>4</v>
      </c>
      <c r="F41" s="184">
        <v>139.51</v>
      </c>
      <c r="G41" s="102">
        <f t="shared" si="2"/>
        <v>180.87</v>
      </c>
      <c r="H41" s="142">
        <f t="shared" si="3"/>
        <v>723.48</v>
      </c>
      <c r="I41" s="201" t="s">
        <v>163</v>
      </c>
    </row>
    <row r="42" spans="1:9" ht="21" customHeight="1" x14ac:dyDescent="0.25">
      <c r="A42" s="195" t="s">
        <v>183</v>
      </c>
      <c r="B42" s="196"/>
      <c r="C42" s="218" t="s">
        <v>121</v>
      </c>
      <c r="D42" s="208"/>
      <c r="E42" s="199"/>
      <c r="F42" s="209"/>
      <c r="G42" s="92"/>
      <c r="H42" s="141">
        <f>SUM(H43:H45)</f>
        <v>17523.55</v>
      </c>
      <c r="I42" s="93"/>
    </row>
    <row r="43" spans="1:9" ht="30.75" customHeight="1" x14ac:dyDescent="0.2">
      <c r="A43" s="127" t="s">
        <v>85</v>
      </c>
      <c r="B43" s="130" t="s">
        <v>151</v>
      </c>
      <c r="C43" s="42" t="s">
        <v>152</v>
      </c>
      <c r="D43" s="206" t="s">
        <v>15</v>
      </c>
      <c r="E43" s="155">
        <f>4.5*4.5</f>
        <v>20.25</v>
      </c>
      <c r="F43" s="184">
        <v>532</v>
      </c>
      <c r="G43" s="102">
        <f>ROUND(F43*(1+H$6),2)</f>
        <v>689.74</v>
      </c>
      <c r="H43" s="142">
        <f>ROUND(G43*E43,2)</f>
        <v>13967.24</v>
      </c>
      <c r="I43" s="201" t="s">
        <v>153</v>
      </c>
    </row>
    <row r="44" spans="1:9" ht="49.5" customHeight="1" x14ac:dyDescent="0.2">
      <c r="A44" s="127" t="s">
        <v>84</v>
      </c>
      <c r="B44" s="130">
        <v>100719</v>
      </c>
      <c r="C44" s="223" t="s">
        <v>122</v>
      </c>
      <c r="D44" s="206" t="s">
        <v>15</v>
      </c>
      <c r="E44" s="155">
        <f>E43*2</f>
        <v>40.5</v>
      </c>
      <c r="F44" s="184">
        <v>13.47</v>
      </c>
      <c r="G44" s="102">
        <f>ROUND(F44*(1+H$6),2)</f>
        <v>17.46</v>
      </c>
      <c r="H44" s="142">
        <f>ROUND(G44*E44,2)</f>
        <v>707.13</v>
      </c>
      <c r="I44" s="201" t="s">
        <v>154</v>
      </c>
    </row>
    <row r="45" spans="1:9" ht="65.25" customHeight="1" x14ac:dyDescent="0.2">
      <c r="A45" s="127" t="s">
        <v>287</v>
      </c>
      <c r="B45" s="130">
        <v>100762</v>
      </c>
      <c r="C45" s="223" t="s">
        <v>123</v>
      </c>
      <c r="D45" s="206" t="s">
        <v>15</v>
      </c>
      <c r="E45" s="155">
        <f>E43*2</f>
        <v>40.5</v>
      </c>
      <c r="F45" s="184">
        <v>54.26</v>
      </c>
      <c r="G45" s="102">
        <f>ROUND(F45*(1+H$6),2)</f>
        <v>70.349999999999994</v>
      </c>
      <c r="H45" s="142">
        <f>ROUND(G45*E45,2)</f>
        <v>2849.18</v>
      </c>
      <c r="I45" s="201" t="str">
        <f>I44</f>
        <v>4,5*4,6*2</v>
      </c>
    </row>
    <row r="46" spans="1:9" ht="21.75" customHeight="1" x14ac:dyDescent="0.25">
      <c r="A46" s="195" t="s">
        <v>185</v>
      </c>
      <c r="B46" s="196"/>
      <c r="C46" s="218" t="s">
        <v>124</v>
      </c>
      <c r="D46" s="208"/>
      <c r="E46" s="199"/>
      <c r="F46" s="209"/>
      <c r="G46" s="92"/>
      <c r="H46" s="141">
        <f>SUM(H47:H48)</f>
        <v>61596</v>
      </c>
      <c r="I46" s="93"/>
    </row>
    <row r="47" spans="1:9" ht="57.75" customHeight="1" x14ac:dyDescent="0.2">
      <c r="A47" s="127" t="s">
        <v>186</v>
      </c>
      <c r="B47" s="133">
        <v>101768</v>
      </c>
      <c r="C47" s="221" t="s">
        <v>220</v>
      </c>
      <c r="D47" s="96" t="s">
        <v>15</v>
      </c>
      <c r="E47" s="155">
        <f>((31*9.8)+(4*3.5))</f>
        <v>317.8</v>
      </c>
      <c r="F47" s="184">
        <v>25.78</v>
      </c>
      <c r="G47" s="102">
        <f>ROUND(F47*(1+H$6),2)</f>
        <v>33.42</v>
      </c>
      <c r="H47" s="142">
        <f>ROUND(G47*E47,2)</f>
        <v>10620.88</v>
      </c>
      <c r="I47" s="228" t="s">
        <v>259</v>
      </c>
    </row>
    <row r="48" spans="1:9" ht="36.75" customHeight="1" x14ac:dyDescent="0.2">
      <c r="A48" s="127" t="s">
        <v>187</v>
      </c>
      <c r="B48" s="128">
        <v>103913</v>
      </c>
      <c r="C48" s="222" t="s">
        <v>228</v>
      </c>
      <c r="D48" s="160" t="s">
        <v>15</v>
      </c>
      <c r="E48" s="155">
        <f>E47</f>
        <v>317.8</v>
      </c>
      <c r="F48" s="184">
        <v>123.72</v>
      </c>
      <c r="G48" s="102">
        <f>ROUND(F48*(1+H$6),2)</f>
        <v>160.4</v>
      </c>
      <c r="H48" s="142">
        <f>ROUND(G48*E48,2)</f>
        <v>50975.12</v>
      </c>
      <c r="I48" s="228" t="str">
        <f>I47</f>
        <v>((31*9,8)+(4*3,5))</v>
      </c>
    </row>
    <row r="49" spans="1:9" ht="25.5" customHeight="1" x14ac:dyDescent="0.25">
      <c r="A49" s="117" t="s">
        <v>191</v>
      </c>
      <c r="B49" s="114"/>
      <c r="C49" s="226" t="s">
        <v>67</v>
      </c>
      <c r="D49" s="91"/>
      <c r="E49" s="156"/>
      <c r="F49" s="98"/>
      <c r="G49" s="98"/>
      <c r="H49" s="141">
        <f>SUM(H50)</f>
        <v>3206.6</v>
      </c>
      <c r="I49" s="237"/>
    </row>
    <row r="50" spans="1:9" ht="27.75" customHeight="1" x14ac:dyDescent="0.2">
      <c r="A50" s="116" t="s">
        <v>192</v>
      </c>
      <c r="B50" s="113" t="s">
        <v>58</v>
      </c>
      <c r="C50" s="221" t="s">
        <v>31</v>
      </c>
      <c r="D50" s="95" t="s">
        <v>15</v>
      </c>
      <c r="E50" s="152">
        <f>E47</f>
        <v>317.8</v>
      </c>
      <c r="F50" s="89">
        <v>7.78</v>
      </c>
      <c r="G50" s="102">
        <f>ROUND(F50*(1+H$6),2)</f>
        <v>10.09</v>
      </c>
      <c r="H50" s="142">
        <f>ROUND(G50*E50,2)</f>
        <v>3206.6</v>
      </c>
      <c r="I50" s="228" t="str">
        <f>I47</f>
        <v>((31*9,8)+(4*3,5))</v>
      </c>
    </row>
    <row r="51" spans="1:9" ht="22.5" customHeight="1" x14ac:dyDescent="0.25">
      <c r="A51" s="195" t="s">
        <v>199</v>
      </c>
      <c r="B51" s="196"/>
      <c r="C51" s="218" t="s">
        <v>229</v>
      </c>
      <c r="D51" s="208"/>
      <c r="E51" s="199"/>
      <c r="F51" s="209"/>
      <c r="G51" s="92"/>
      <c r="H51" s="141">
        <f>SUM(H52:H57)</f>
        <v>83630.05</v>
      </c>
      <c r="I51" s="93"/>
    </row>
    <row r="52" spans="1:9" ht="20.25" customHeight="1" x14ac:dyDescent="0.2">
      <c r="A52" s="127" t="s">
        <v>200</v>
      </c>
      <c r="B52" s="130" t="s">
        <v>233</v>
      </c>
      <c r="C52" s="212" t="s">
        <v>234</v>
      </c>
      <c r="D52" s="206" t="s">
        <v>231</v>
      </c>
      <c r="E52" s="155">
        <v>24</v>
      </c>
      <c r="F52" s="184">
        <v>22.34</v>
      </c>
      <c r="G52" s="102">
        <f t="shared" ref="G52:G57" si="6">ROUND(F52*(1+H$6),2)</f>
        <v>28.96</v>
      </c>
      <c r="H52" s="142">
        <f t="shared" ref="H52:H57" si="7">ROUND(G52*E52,2)</f>
        <v>695.04</v>
      </c>
      <c r="I52" s="201">
        <v>24</v>
      </c>
    </row>
    <row r="53" spans="1:9" ht="20.25" customHeight="1" x14ac:dyDescent="0.2">
      <c r="A53" s="127" t="s">
        <v>201</v>
      </c>
      <c r="B53" s="130" t="s">
        <v>232</v>
      </c>
      <c r="C53" s="212" t="s">
        <v>235</v>
      </c>
      <c r="D53" s="206" t="s">
        <v>231</v>
      </c>
      <c r="E53" s="155">
        <v>24</v>
      </c>
      <c r="F53" s="184">
        <v>34.950000000000003</v>
      </c>
      <c r="G53" s="102">
        <f t="shared" si="6"/>
        <v>45.31</v>
      </c>
      <c r="H53" s="142">
        <f t="shared" si="7"/>
        <v>1087.44</v>
      </c>
      <c r="I53" s="201">
        <v>24</v>
      </c>
    </row>
    <row r="54" spans="1:9" ht="50.25" customHeight="1" x14ac:dyDescent="0.2">
      <c r="A54" s="127" t="s">
        <v>202</v>
      </c>
      <c r="B54" s="130">
        <v>100719</v>
      </c>
      <c r="C54" s="223" t="s">
        <v>122</v>
      </c>
      <c r="D54" s="206" t="s">
        <v>15</v>
      </c>
      <c r="E54" s="155">
        <f>E53*2</f>
        <v>48</v>
      </c>
      <c r="F54" s="184">
        <v>13.47</v>
      </c>
      <c r="G54" s="102">
        <f t="shared" si="6"/>
        <v>17.46</v>
      </c>
      <c r="H54" s="142">
        <f t="shared" si="7"/>
        <v>838.08</v>
      </c>
      <c r="I54" s="201" t="s">
        <v>272</v>
      </c>
    </row>
    <row r="55" spans="1:9" ht="60.75" customHeight="1" x14ac:dyDescent="0.2">
      <c r="A55" s="127" t="s">
        <v>256</v>
      </c>
      <c r="B55" s="130">
        <v>100762</v>
      </c>
      <c r="C55" s="223" t="s">
        <v>123</v>
      </c>
      <c r="D55" s="206" t="s">
        <v>15</v>
      </c>
      <c r="E55" s="155">
        <f>E54</f>
        <v>48</v>
      </c>
      <c r="F55" s="184">
        <v>54.26</v>
      </c>
      <c r="G55" s="102">
        <f t="shared" si="6"/>
        <v>70.349999999999994</v>
      </c>
      <c r="H55" s="142">
        <f t="shared" si="7"/>
        <v>3376.8</v>
      </c>
      <c r="I55" s="201" t="str">
        <f>I54</f>
        <v>24*2</v>
      </c>
    </row>
    <row r="56" spans="1:9" ht="66" customHeight="1" x14ac:dyDescent="0.2">
      <c r="A56" s="127" t="s">
        <v>257</v>
      </c>
      <c r="B56" s="130" t="s">
        <v>237</v>
      </c>
      <c r="C56" s="223" t="s">
        <v>286</v>
      </c>
      <c r="D56" s="206" t="s">
        <v>61</v>
      </c>
      <c r="E56" s="191">
        <f>(15*6*5.35)+(12*6*3.75)+(((12*10)+(3*12)+(9*5))*3.37)</f>
        <v>1428.87</v>
      </c>
      <c r="F56" s="213">
        <v>41.01</v>
      </c>
      <c r="G56" s="211">
        <f t="shared" si="6"/>
        <v>53.17</v>
      </c>
      <c r="H56" s="142">
        <f t="shared" si="7"/>
        <v>75973.02</v>
      </c>
      <c r="I56" s="240" t="s">
        <v>239</v>
      </c>
    </row>
    <row r="57" spans="1:9" ht="51.75" customHeight="1" x14ac:dyDescent="0.2">
      <c r="A57" s="127" t="s">
        <v>267</v>
      </c>
      <c r="B57" s="130" t="s">
        <v>238</v>
      </c>
      <c r="C57" s="223" t="s">
        <v>285</v>
      </c>
      <c r="D57" s="206" t="s">
        <v>15</v>
      </c>
      <c r="E57" s="155">
        <f>8*0.35*0.35</f>
        <v>0.97999999999999987</v>
      </c>
      <c r="F57" s="184">
        <v>1306.24</v>
      </c>
      <c r="G57" s="211">
        <f t="shared" si="6"/>
        <v>1693.54</v>
      </c>
      <c r="H57" s="142">
        <f t="shared" si="7"/>
        <v>1659.67</v>
      </c>
      <c r="I57" s="214" t="s">
        <v>273</v>
      </c>
    </row>
    <row r="58" spans="1:9" ht="20.25" customHeight="1" thickBot="1" x14ac:dyDescent="0.3">
      <c r="A58" s="255" t="s">
        <v>66</v>
      </c>
      <c r="B58" s="256"/>
      <c r="C58" s="256"/>
      <c r="D58" s="256"/>
      <c r="E58" s="256"/>
      <c r="F58" s="256"/>
      <c r="G58" s="256"/>
      <c r="H58" s="144">
        <f>H9+H15+H20+H31+H42+H46+H49+H51</f>
        <v>576921.54</v>
      </c>
      <c r="I58" s="230"/>
    </row>
    <row r="59" spans="1:9" ht="51.75" customHeight="1" x14ac:dyDescent="0.2">
      <c r="A59" s="118"/>
      <c r="B59" s="126"/>
      <c r="C59" s="161"/>
      <c r="D59" s="161"/>
      <c r="E59" s="157"/>
      <c r="F59" s="150"/>
      <c r="I59" s="231"/>
    </row>
    <row r="60" spans="1:9" ht="39.75" customHeight="1" x14ac:dyDescent="0.2">
      <c r="I60" s="231"/>
    </row>
    <row r="61" spans="1:9" ht="15" x14ac:dyDescent="0.2">
      <c r="C61" s="104" t="s">
        <v>79</v>
      </c>
      <c r="I61" s="231"/>
    </row>
    <row r="62" spans="1:9" ht="18" customHeight="1" x14ac:dyDescent="0.2">
      <c r="C62" s="104" t="s">
        <v>74</v>
      </c>
      <c r="I62" s="231"/>
    </row>
    <row r="63" spans="1:9" ht="15" x14ac:dyDescent="0.2">
      <c r="C63" s="104" t="s">
        <v>75</v>
      </c>
      <c r="I63" s="231"/>
    </row>
    <row r="64" spans="1:9" x14ac:dyDescent="0.2">
      <c r="I64" s="231"/>
    </row>
    <row r="65" spans="2:10" x14ac:dyDescent="0.2">
      <c r="I65" s="231"/>
    </row>
    <row r="66" spans="2:10" x14ac:dyDescent="0.2">
      <c r="B66" s="115">
        <f>B60+B61+B62</f>
        <v>0</v>
      </c>
      <c r="I66" s="231"/>
    </row>
    <row r="67" spans="2:10" ht="27.75" customHeight="1" x14ac:dyDescent="0.2">
      <c r="E67" s="216">
        <f>113.75*4</f>
        <v>455</v>
      </c>
      <c r="F67" s="119">
        <v>196.86</v>
      </c>
      <c r="I67" s="231"/>
    </row>
    <row r="68" spans="2:10" ht="27.75" customHeight="1" x14ac:dyDescent="0.2">
      <c r="F68" s="119">
        <v>106.48</v>
      </c>
      <c r="I68" s="231">
        <f>72.88/86</f>
        <v>0.84744186046511627</v>
      </c>
    </row>
    <row r="69" spans="2:10" ht="27.75" customHeight="1" x14ac:dyDescent="0.2">
      <c r="C69" s="1">
        <f>80+52+10</f>
        <v>142</v>
      </c>
      <c r="F69" s="119">
        <v>140.18</v>
      </c>
      <c r="I69" s="231">
        <v>6630</v>
      </c>
    </row>
    <row r="70" spans="2:10" ht="27.75" customHeight="1" x14ac:dyDescent="0.2">
      <c r="C70" s="1">
        <f>4.2/0.12</f>
        <v>35</v>
      </c>
      <c r="F70" s="119">
        <v>115.52</v>
      </c>
      <c r="I70" s="231">
        <v>739.2</v>
      </c>
    </row>
    <row r="71" spans="2:10" ht="27.75" customHeight="1" x14ac:dyDescent="0.2">
      <c r="C71" s="1">
        <f>3.7*3.14</f>
        <v>11.618</v>
      </c>
      <c r="F71" s="119">
        <v>194.58</v>
      </c>
      <c r="I71" s="231">
        <f>I69-I70</f>
        <v>5890.8</v>
      </c>
    </row>
    <row r="72" spans="2:10" x14ac:dyDescent="0.2">
      <c r="C72" s="1">
        <f>2*1.9*3.14</f>
        <v>11.932</v>
      </c>
      <c r="F72" s="119">
        <f>F67+F68+F69+F70+F71</f>
        <v>753.62000000000012</v>
      </c>
      <c r="I72" s="231"/>
    </row>
    <row r="73" spans="2:10" ht="35.25" customHeight="1" x14ac:dyDescent="0.2">
      <c r="E73" s="216">
        <f>17.5/3.14</f>
        <v>5.5732484076433115</v>
      </c>
      <c r="G73" s="120">
        <f>F71/12</f>
        <v>16.215</v>
      </c>
      <c r="H73" s="120">
        <f>G73*E69</f>
        <v>0</v>
      </c>
      <c r="I73" s="231"/>
    </row>
    <row r="74" spans="2:10" ht="35.25" customHeight="1" x14ac:dyDescent="0.2">
      <c r="C74" s="1">
        <f>14.87*2</f>
        <v>29.74</v>
      </c>
      <c r="E74" s="158">
        <f>E73/2</f>
        <v>2.7866242038216558</v>
      </c>
      <c r="H74" s="120">
        <f>H73*1.1</f>
        <v>0</v>
      </c>
      <c r="I74" s="231"/>
    </row>
    <row r="75" spans="2:10" ht="35.25" customHeight="1" x14ac:dyDescent="0.2">
      <c r="G75" s="123" t="s">
        <v>104</v>
      </c>
      <c r="I75" s="231"/>
    </row>
    <row r="76" spans="2:10" ht="35.25" customHeight="1" x14ac:dyDescent="0.25">
      <c r="C76" s="162" t="s">
        <v>100</v>
      </c>
      <c r="D76" s="162" t="s">
        <v>101</v>
      </c>
      <c r="E76" s="159" t="s">
        <v>102</v>
      </c>
      <c r="F76" s="151" t="s">
        <v>103</v>
      </c>
      <c r="G76" s="125">
        <f>0.154*12</f>
        <v>1.8479999999999999</v>
      </c>
      <c r="I76" s="231"/>
    </row>
    <row r="77" spans="2:10" ht="35.25" customHeight="1" x14ac:dyDescent="0.2">
      <c r="C77" s="124">
        <f>0.988*12</f>
        <v>11.856</v>
      </c>
      <c r="D77" s="125">
        <f>0.624*12</f>
        <v>7.4879999999999995</v>
      </c>
      <c r="E77" s="125">
        <f>0.393*12</f>
        <v>4.7160000000000002</v>
      </c>
      <c r="F77" s="147">
        <f>0.248*12</f>
        <v>2.976</v>
      </c>
      <c r="I77" s="231"/>
    </row>
    <row r="78" spans="2:10" ht="26.25" customHeight="1" x14ac:dyDescent="0.2">
      <c r="I78" s="231"/>
    </row>
    <row r="79" spans="2:10" ht="26.25" customHeight="1" x14ac:dyDescent="0.2">
      <c r="G79" s="120">
        <f>D77/12</f>
        <v>0.624</v>
      </c>
      <c r="H79" s="120">
        <f t="shared" ref="H79:H84" si="8">F80*G79</f>
        <v>14.87616</v>
      </c>
      <c r="I79" s="231">
        <f>H79*1.1</f>
        <v>16.363776000000001</v>
      </c>
      <c r="J79">
        <f t="shared" ref="J79:J85" si="9">F80/12</f>
        <v>1.9866666666666666</v>
      </c>
    </row>
    <row r="80" spans="2:10" ht="26.25" customHeight="1" x14ac:dyDescent="0.2">
      <c r="C80" s="1">
        <v>11.92</v>
      </c>
      <c r="D80" s="112">
        <v>2</v>
      </c>
      <c r="F80" s="119">
        <f>C80*D80</f>
        <v>23.84</v>
      </c>
      <c r="G80" s="120">
        <f>D77/12</f>
        <v>0.624</v>
      </c>
      <c r="H80" s="120">
        <f t="shared" si="8"/>
        <v>14.476799999999999</v>
      </c>
      <c r="I80" s="231">
        <f t="shared" ref="I80:I84" si="10">H80*1.1</f>
        <v>15.924480000000001</v>
      </c>
      <c r="J80">
        <f t="shared" si="9"/>
        <v>1.9333333333333333</v>
      </c>
    </row>
    <row r="81" spans="3:10" ht="26.25" customHeight="1" x14ac:dyDescent="0.2">
      <c r="C81" s="1">
        <v>11.6</v>
      </c>
      <c r="D81" s="112">
        <v>2</v>
      </c>
      <c r="F81" s="119">
        <f t="shared" ref="F81:F85" si="11">C81*D81</f>
        <v>23.2</v>
      </c>
      <c r="G81" s="120">
        <f>F77/12</f>
        <v>0.248</v>
      </c>
      <c r="H81" s="120">
        <f t="shared" si="8"/>
        <v>15.847199999999999</v>
      </c>
      <c r="I81" s="231">
        <f t="shared" si="10"/>
        <v>17.431920000000002</v>
      </c>
      <c r="J81">
        <f t="shared" si="9"/>
        <v>5.3250000000000002</v>
      </c>
    </row>
    <row r="82" spans="3:10" ht="26.25" customHeight="1" x14ac:dyDescent="0.2">
      <c r="C82" s="1">
        <v>1.42</v>
      </c>
      <c r="D82" s="112">
        <v>45</v>
      </c>
      <c r="F82" s="119">
        <f t="shared" si="11"/>
        <v>63.9</v>
      </c>
      <c r="G82" s="120">
        <f>D77/12</f>
        <v>0.624</v>
      </c>
      <c r="H82" s="120">
        <f t="shared" si="8"/>
        <v>262.08</v>
      </c>
      <c r="I82" s="231">
        <f t="shared" si="10"/>
        <v>288.28800000000001</v>
      </c>
      <c r="J82">
        <f t="shared" si="9"/>
        <v>35</v>
      </c>
    </row>
    <row r="83" spans="3:10" ht="26.25" customHeight="1" x14ac:dyDescent="0.2">
      <c r="C83" s="1">
        <v>140</v>
      </c>
      <c r="D83" s="112">
        <v>3</v>
      </c>
      <c r="F83" s="119">
        <f t="shared" si="11"/>
        <v>420</v>
      </c>
      <c r="G83" s="120">
        <f>D77/12</f>
        <v>0.624</v>
      </c>
      <c r="H83" s="120">
        <f t="shared" si="8"/>
        <v>131.04</v>
      </c>
      <c r="I83" s="231">
        <f t="shared" si="10"/>
        <v>144.14400000000001</v>
      </c>
      <c r="J83">
        <f t="shared" si="9"/>
        <v>17.5</v>
      </c>
    </row>
    <row r="84" spans="3:10" ht="26.25" customHeight="1" x14ac:dyDescent="0.2">
      <c r="C84" s="1">
        <v>42</v>
      </c>
      <c r="D84" s="112">
        <v>5</v>
      </c>
      <c r="F84" s="119">
        <f t="shared" si="11"/>
        <v>210</v>
      </c>
      <c r="G84" s="120">
        <f>F77/12</f>
        <v>0.248</v>
      </c>
      <c r="H84" s="120">
        <f t="shared" si="8"/>
        <v>37.497600000000006</v>
      </c>
      <c r="I84" s="231">
        <f t="shared" si="10"/>
        <v>41.247360000000008</v>
      </c>
      <c r="J84">
        <f t="shared" si="9"/>
        <v>12.600000000000001</v>
      </c>
    </row>
    <row r="85" spans="3:10" ht="26.25" customHeight="1" x14ac:dyDescent="0.2">
      <c r="C85" s="1">
        <v>84</v>
      </c>
      <c r="D85" s="112">
        <v>1.8</v>
      </c>
      <c r="F85" s="119">
        <f t="shared" si="11"/>
        <v>151.20000000000002</v>
      </c>
      <c r="I85" s="231">
        <f>SUM(I79:I84)</f>
        <v>523.39953600000001</v>
      </c>
      <c r="J85">
        <f t="shared" si="9"/>
        <v>0</v>
      </c>
    </row>
    <row r="86" spans="3:10" ht="26.25" customHeight="1" x14ac:dyDescent="0.2">
      <c r="I86" s="231"/>
    </row>
    <row r="87" spans="3:10" ht="26.25" customHeight="1" x14ac:dyDescent="0.2">
      <c r="I87" s="231"/>
    </row>
    <row r="88" spans="3:10" ht="26.25" customHeight="1" x14ac:dyDescent="0.2">
      <c r="E88" s="158">
        <v>2.4</v>
      </c>
      <c r="G88" s="120">
        <f t="shared" ref="G88:G94" si="12">F80*1.1</f>
        <v>26.224</v>
      </c>
      <c r="H88" s="120">
        <f>G88/12</f>
        <v>2.1853333333333333</v>
      </c>
      <c r="I88" s="231"/>
    </row>
    <row r="89" spans="3:10" ht="26.25" customHeight="1" x14ac:dyDescent="0.2">
      <c r="E89" s="158">
        <v>0.65</v>
      </c>
      <c r="G89" s="120">
        <f t="shared" si="12"/>
        <v>25.52</v>
      </c>
      <c r="H89" s="120">
        <f t="shared" ref="H89:H95" si="13">G89/12</f>
        <v>2.1266666666666665</v>
      </c>
      <c r="I89" s="231"/>
    </row>
    <row r="90" spans="3:10" ht="26.25" customHeight="1" x14ac:dyDescent="0.2">
      <c r="D90" s="112">
        <f>E88*E89*E90</f>
        <v>1.4040000000000001</v>
      </c>
      <c r="E90" s="158">
        <v>0.9</v>
      </c>
      <c r="G90" s="120">
        <f t="shared" si="12"/>
        <v>70.290000000000006</v>
      </c>
      <c r="H90" s="120">
        <f t="shared" si="13"/>
        <v>5.8575000000000008</v>
      </c>
    </row>
    <row r="91" spans="3:10" ht="26.25" customHeight="1" x14ac:dyDescent="0.2">
      <c r="G91" s="120">
        <f t="shared" si="12"/>
        <v>462.00000000000006</v>
      </c>
      <c r="H91" s="120">
        <f t="shared" si="13"/>
        <v>38.500000000000007</v>
      </c>
    </row>
    <row r="92" spans="3:10" ht="26.25" customHeight="1" x14ac:dyDescent="0.2">
      <c r="E92" s="158">
        <v>2.4500000000000002</v>
      </c>
      <c r="G92" s="120">
        <f t="shared" si="12"/>
        <v>231.00000000000003</v>
      </c>
      <c r="H92" s="120">
        <f t="shared" si="13"/>
        <v>19.250000000000004</v>
      </c>
    </row>
    <row r="93" spans="3:10" x14ac:dyDescent="0.2">
      <c r="E93" s="158">
        <v>0.65</v>
      </c>
      <c r="G93" s="120">
        <f t="shared" si="12"/>
        <v>166.32000000000002</v>
      </c>
      <c r="H93" s="120">
        <f t="shared" si="13"/>
        <v>13.860000000000001</v>
      </c>
    </row>
    <row r="94" spans="3:10" x14ac:dyDescent="0.2">
      <c r="E94" s="158">
        <v>0.85</v>
      </c>
      <c r="G94" s="120">
        <f t="shared" si="12"/>
        <v>0</v>
      </c>
      <c r="H94" s="120">
        <f t="shared" si="13"/>
        <v>0</v>
      </c>
    </row>
    <row r="95" spans="3:10" x14ac:dyDescent="0.2">
      <c r="D95" s="112">
        <f>E92*E93*E94</f>
        <v>1.3536250000000001</v>
      </c>
      <c r="H95" s="120">
        <f t="shared" si="13"/>
        <v>0</v>
      </c>
    </row>
    <row r="96" spans="3:10" x14ac:dyDescent="0.2">
      <c r="E96" s="158">
        <v>3.1</v>
      </c>
    </row>
    <row r="97" spans="4:5" x14ac:dyDescent="0.2">
      <c r="E97" s="158">
        <v>0.75</v>
      </c>
    </row>
    <row r="98" spans="4:5" x14ac:dyDescent="0.2">
      <c r="D98" s="112">
        <f>E96*E97*E98</f>
        <v>1.8600000000000003</v>
      </c>
      <c r="E98" s="158">
        <v>0.8</v>
      </c>
    </row>
    <row r="102" spans="4:5" x14ac:dyDescent="0.2">
      <c r="D102" s="112">
        <f>D90+D95+D98</f>
        <v>4.6176250000000003</v>
      </c>
    </row>
  </sheetData>
  <mergeCells count="8">
    <mergeCell ref="A58:G58"/>
    <mergeCell ref="A1:I1"/>
    <mergeCell ref="A2:I2"/>
    <mergeCell ref="B3:I3"/>
    <mergeCell ref="B4:I4"/>
    <mergeCell ref="A6:B6"/>
    <mergeCell ref="D6:E6"/>
    <mergeCell ref="I6:I9"/>
  </mergeCells>
  <phoneticPr fontId="35" type="noConversion"/>
  <conditionalFormatting sqref="E49:G49">
    <cfRule type="cellIs" dxfId="2" priority="7" stopIfTrue="1" operator="equal">
      <formula>0</formula>
    </cfRule>
  </conditionalFormatting>
  <conditionalFormatting sqref="F12">
    <cfRule type="cellIs" dxfId="1" priority="3" stopIfTrue="1" operator="equal">
      <formula>0</formula>
    </cfRule>
  </conditionalFormatting>
  <conditionalFormatting sqref="F50">
    <cfRule type="cellIs" dxfId="0" priority="13" stopIfTrue="1" operator="equal">
      <formula>0</formula>
    </cfRule>
  </conditionalFormatting>
  <printOptions horizontalCentered="1"/>
  <pageMargins left="0.43307086614173229" right="0.43307086614173229" top="0.55118110236220474" bottom="0.35433070866141736" header="0.31496062992125984" footer="0.11811023622047245"/>
  <pageSetup paperSize="9" scale="69" fitToHeight="0" orientation="landscape" horizontalDpi="4294967295" verticalDpi="4294967295" r:id="rId1"/>
  <headerFooter alignWithMargins="0">
    <oddFooter>&amp;R&amp;"Arial,Negrito itálico"&amp;14&amp;P/&amp;N</oddFooter>
  </headerFooter>
  <rowBreaks count="3" manualBreakCount="3">
    <brk id="17" max="8" man="1"/>
    <brk id="30" max="8" man="1"/>
    <brk id="45" max="8"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24"/>
  <sheetViews>
    <sheetView view="pageBreakPreview" zoomScale="85" zoomScaleNormal="55" zoomScaleSheetLayoutView="85" zoomScalePageLayoutView="55" workbookViewId="0">
      <selection activeCell="E21" sqref="E21:H23"/>
    </sheetView>
  </sheetViews>
  <sheetFormatPr defaultRowHeight="12.75" x14ac:dyDescent="0.2"/>
  <cols>
    <col min="1" max="1" width="10.5703125" style="3" customWidth="1"/>
    <col min="2" max="2" width="39.5703125" style="1" customWidth="1"/>
    <col min="3" max="3" width="15.140625" style="2" customWidth="1"/>
    <col min="4" max="4" width="14.7109375" style="2" customWidth="1"/>
    <col min="5" max="5" width="7.85546875" style="4" customWidth="1"/>
    <col min="6" max="6" width="12.85546875" style="2" customWidth="1"/>
    <col min="7" max="7" width="8.5703125" style="4" customWidth="1"/>
    <col min="8" max="8" width="13.42578125" style="2" customWidth="1"/>
    <col min="9" max="9" width="10" style="4" customWidth="1"/>
    <col min="10" max="10" width="14.28515625" style="4" customWidth="1"/>
    <col min="11" max="11" width="9.28515625" customWidth="1"/>
    <col min="12" max="12" width="14.28515625" customWidth="1"/>
    <col min="13" max="13" width="9.85546875" customWidth="1"/>
    <col min="14" max="14" width="17.42578125" customWidth="1"/>
  </cols>
  <sheetData>
    <row r="1" spans="1:14" ht="64.5" customHeight="1" thickBot="1" x14ac:dyDescent="0.25"/>
    <row r="2" spans="1:14" ht="38.25" customHeight="1" thickBot="1" x14ac:dyDescent="0.25">
      <c r="A2" s="257" t="s">
        <v>14</v>
      </c>
      <c r="B2" s="258"/>
      <c r="C2" s="258"/>
      <c r="D2" s="258"/>
      <c r="E2" s="258"/>
      <c r="F2" s="258"/>
      <c r="G2" s="258"/>
      <c r="H2" s="258"/>
      <c r="I2" s="258"/>
      <c r="J2" s="258"/>
      <c r="K2" s="258"/>
      <c r="L2" s="258"/>
      <c r="M2" s="258"/>
      <c r="N2" s="259"/>
    </row>
    <row r="3" spans="1:14" ht="30.75" customHeight="1" x14ac:dyDescent="0.25">
      <c r="A3" s="39" t="s">
        <v>20</v>
      </c>
      <c r="B3" s="275" t="str">
        <f>'PLANILHA de preço'!B3:C3</f>
        <v>Demolição de reservatório e construção de galpão com muro, piso e cobertura metálica para deposito de materiais</v>
      </c>
      <c r="C3" s="275"/>
      <c r="D3" s="275"/>
      <c r="E3" s="275"/>
      <c r="F3" s="275"/>
      <c r="G3" s="275"/>
      <c r="H3" s="275"/>
      <c r="I3" s="40"/>
      <c r="K3" s="40"/>
      <c r="M3" s="70" t="str">
        <f>DBI!J6</f>
        <v>BDI:</v>
      </c>
      <c r="N3" s="69">
        <f>'PLANILHA de preço'!H6</f>
        <v>0.29649999999999999</v>
      </c>
    </row>
    <row r="4" spans="1:14" ht="22.5" customHeight="1" thickBot="1" x14ac:dyDescent="0.25">
      <c r="A4" s="39" t="s">
        <v>21</v>
      </c>
      <c r="B4" s="79" t="str">
        <f>'PLANILHA de preço'!B4:C4</f>
        <v xml:space="preserve">Rua Júlia Lara, em freta a Sede Saae, Unaí-MG </v>
      </c>
      <c r="C4" s="79"/>
      <c r="D4" s="79"/>
      <c r="E4" s="79"/>
      <c r="F4" s="79"/>
      <c r="G4" s="79"/>
      <c r="H4" s="268" t="s">
        <v>32</v>
      </c>
      <c r="I4" s="268"/>
      <c r="J4" s="277">
        <f>'PLANILHA de preço'!B5</f>
        <v>45978</v>
      </c>
      <c r="K4" s="277"/>
      <c r="L4" s="277"/>
      <c r="M4" s="277"/>
      <c r="N4" s="278"/>
    </row>
    <row r="5" spans="1:14" ht="24" customHeight="1" x14ac:dyDescent="0.2">
      <c r="A5" s="260" t="s">
        <v>0</v>
      </c>
      <c r="B5" s="262" t="s">
        <v>3</v>
      </c>
      <c r="C5" s="264" t="s">
        <v>5</v>
      </c>
      <c r="D5" s="264" t="s">
        <v>86</v>
      </c>
      <c r="E5" s="266" t="s">
        <v>8</v>
      </c>
      <c r="F5" s="267"/>
      <c r="G5" s="266" t="s">
        <v>9</v>
      </c>
      <c r="H5" s="267"/>
      <c r="I5" s="266" t="s">
        <v>10</v>
      </c>
      <c r="J5" s="267"/>
      <c r="K5" s="266" t="s">
        <v>275</v>
      </c>
      <c r="L5" s="267"/>
      <c r="M5" s="266" t="s">
        <v>59</v>
      </c>
      <c r="N5" s="276"/>
    </row>
    <row r="6" spans="1:14" ht="24" customHeight="1" x14ac:dyDescent="0.2">
      <c r="A6" s="261"/>
      <c r="B6" s="263"/>
      <c r="C6" s="265"/>
      <c r="D6" s="265"/>
      <c r="E6" s="47" t="s">
        <v>6</v>
      </c>
      <c r="F6" s="48" t="s">
        <v>7</v>
      </c>
      <c r="G6" s="47" t="s">
        <v>6</v>
      </c>
      <c r="H6" s="48" t="s">
        <v>7</v>
      </c>
      <c r="I6" s="47" t="s">
        <v>6</v>
      </c>
      <c r="J6" s="48" t="s">
        <v>7</v>
      </c>
      <c r="K6" s="47" t="s">
        <v>6</v>
      </c>
      <c r="L6" s="48" t="s">
        <v>7</v>
      </c>
      <c r="M6" s="47" t="s">
        <v>6</v>
      </c>
      <c r="N6" s="49" t="s">
        <v>7</v>
      </c>
    </row>
    <row r="7" spans="1:14" ht="24" customHeight="1" x14ac:dyDescent="0.2">
      <c r="A7" s="269" t="s">
        <v>68</v>
      </c>
      <c r="B7" s="270"/>
      <c r="C7" s="62"/>
      <c r="D7" s="62"/>
      <c r="E7" s="63"/>
      <c r="F7" s="64"/>
      <c r="G7" s="63"/>
      <c r="H7" s="64"/>
      <c r="I7" s="63"/>
      <c r="J7" s="64"/>
      <c r="K7" s="63"/>
      <c r="L7" s="64"/>
      <c r="M7" s="63"/>
      <c r="N7" s="65"/>
    </row>
    <row r="8" spans="1:14" ht="28.5" customHeight="1" x14ac:dyDescent="0.2">
      <c r="A8" s="46" t="s">
        <v>16</v>
      </c>
      <c r="B8" s="30" t="str">
        <f>'PLANILHA de preço'!C9</f>
        <v>SERVIÇO PRELIMINAR / ADMINISTRAÇÃO</v>
      </c>
      <c r="C8" s="50">
        <f>'PLANILHA de preço'!H9</f>
        <v>29135.46</v>
      </c>
      <c r="D8" s="103">
        <f t="shared" ref="D8:D15" si="0">C8/C$17</f>
        <v>5.0501598536258498E-2</v>
      </c>
      <c r="E8" s="51">
        <v>0.5</v>
      </c>
      <c r="F8" s="52">
        <f>C8*E8</f>
        <v>14567.73</v>
      </c>
      <c r="G8" s="51">
        <v>0.15</v>
      </c>
      <c r="H8" s="52">
        <f>C8*G8</f>
        <v>4370.3189999999995</v>
      </c>
      <c r="I8" s="51">
        <v>0.15</v>
      </c>
      <c r="J8" s="52">
        <f>C8*I8</f>
        <v>4370.3189999999995</v>
      </c>
      <c r="K8" s="51">
        <v>0.2</v>
      </c>
      <c r="L8" s="52">
        <f>C8*K8</f>
        <v>5827.0920000000006</v>
      </c>
      <c r="M8" s="66">
        <f>I8+G8+E8+K8</f>
        <v>1</v>
      </c>
      <c r="N8" s="49">
        <f>F8+H8+J8+L8</f>
        <v>29135.46</v>
      </c>
    </row>
    <row r="9" spans="1:14" ht="28.5" customHeight="1" x14ac:dyDescent="0.2">
      <c r="A9" s="46" t="s">
        <v>17</v>
      </c>
      <c r="B9" s="30" t="str">
        <f>'PLANILHA de preço'!C15</f>
        <v>DEMOLIÇÃO DE RESERVATÓRIO</v>
      </c>
      <c r="C9" s="50">
        <f>'PLANILHA de preço'!H15</f>
        <v>56425.42</v>
      </c>
      <c r="D9" s="103">
        <f t="shared" si="0"/>
        <v>9.7804321884046821E-2</v>
      </c>
      <c r="E9" s="51">
        <v>0.6</v>
      </c>
      <c r="F9" s="52">
        <f>C9*E9</f>
        <v>33855.252</v>
      </c>
      <c r="G9" s="51">
        <v>0.4</v>
      </c>
      <c r="H9" s="52">
        <f>C9*G9</f>
        <v>22570.168000000001</v>
      </c>
      <c r="I9" s="51">
        <v>0</v>
      </c>
      <c r="J9" s="52">
        <f>C9*I9</f>
        <v>0</v>
      </c>
      <c r="K9" s="51">
        <v>0</v>
      </c>
      <c r="L9" s="52">
        <f t="shared" ref="L9:L15" si="1">C9*K9</f>
        <v>0</v>
      </c>
      <c r="M9" s="66">
        <f t="shared" ref="M9:M15" si="2">I9+G9+E9+K9</f>
        <v>1</v>
      </c>
      <c r="N9" s="49">
        <f t="shared" ref="N9:N15" si="3">F9+H9+J9+L9</f>
        <v>56425.42</v>
      </c>
    </row>
    <row r="10" spans="1:14" ht="28.5" customHeight="1" x14ac:dyDescent="0.2">
      <c r="A10" s="46" t="s">
        <v>18</v>
      </c>
      <c r="B10" s="30" t="str">
        <f>'PLANILHA de preço'!C20</f>
        <v>FUNDAÇÕES E FECHAMENTO DE ALVENARIA</v>
      </c>
      <c r="C10" s="50">
        <f>'PLANILHA de preço'!H20</f>
        <v>97505.95</v>
      </c>
      <c r="D10" s="103">
        <f t="shared" si="0"/>
        <v>0.16901076357800748</v>
      </c>
      <c r="E10" s="51">
        <v>0</v>
      </c>
      <c r="F10" s="52">
        <f t="shared" ref="F10" si="4">C10*E10</f>
        <v>0</v>
      </c>
      <c r="G10" s="51">
        <v>0.7</v>
      </c>
      <c r="H10" s="52">
        <f t="shared" ref="H10:H15" si="5">C10*G10</f>
        <v>68254.164999999994</v>
      </c>
      <c r="I10" s="51">
        <v>0.3</v>
      </c>
      <c r="J10" s="52">
        <f t="shared" ref="J10:J15" si="6">C10*I10</f>
        <v>29251.785</v>
      </c>
      <c r="K10" s="51">
        <v>0</v>
      </c>
      <c r="L10" s="52">
        <f t="shared" si="1"/>
        <v>0</v>
      </c>
      <c r="M10" s="66">
        <f t="shared" si="2"/>
        <v>1</v>
      </c>
      <c r="N10" s="49">
        <f t="shared" si="3"/>
        <v>97505.95</v>
      </c>
    </row>
    <row r="11" spans="1:14" ht="28.5" customHeight="1" x14ac:dyDescent="0.2">
      <c r="A11" s="46" t="s">
        <v>27</v>
      </c>
      <c r="B11" s="30" t="str">
        <f>'PLANILHA de preço'!C31</f>
        <v>COBERTURA</v>
      </c>
      <c r="C11" s="50">
        <f>'PLANILHA de preço'!H31</f>
        <v>227898.51</v>
      </c>
      <c r="D11" s="103">
        <f t="shared" si="0"/>
        <v>0.39502513634696323</v>
      </c>
      <c r="E11" s="51">
        <v>0</v>
      </c>
      <c r="F11" s="52">
        <f t="shared" ref="F11:F14" si="7">C11*E11</f>
        <v>0</v>
      </c>
      <c r="G11" s="51">
        <v>0</v>
      </c>
      <c r="H11" s="52">
        <f t="shared" si="5"/>
        <v>0</v>
      </c>
      <c r="I11" s="51">
        <v>0.8</v>
      </c>
      <c r="J11" s="52">
        <f t="shared" si="6"/>
        <v>182318.80800000002</v>
      </c>
      <c r="K11" s="51">
        <v>0.2</v>
      </c>
      <c r="L11" s="52">
        <f t="shared" si="1"/>
        <v>45579.702000000005</v>
      </c>
      <c r="M11" s="66">
        <f t="shared" si="2"/>
        <v>1</v>
      </c>
      <c r="N11" s="49">
        <f t="shared" si="3"/>
        <v>227898.51</v>
      </c>
    </row>
    <row r="12" spans="1:14" ht="28.5" customHeight="1" x14ac:dyDescent="0.2">
      <c r="A12" s="46" t="s">
        <v>183</v>
      </c>
      <c r="B12" s="30" t="str">
        <f>'PLANILHA de preço'!C42</f>
        <v>Portão</v>
      </c>
      <c r="C12" s="50">
        <f>'PLANILHA de preço'!H42</f>
        <v>17523.55</v>
      </c>
      <c r="D12" s="103">
        <f t="shared" si="0"/>
        <v>3.0374234250293373E-2</v>
      </c>
      <c r="E12" s="51">
        <v>0</v>
      </c>
      <c r="F12" s="52">
        <f t="shared" si="7"/>
        <v>0</v>
      </c>
      <c r="G12" s="51">
        <v>0</v>
      </c>
      <c r="H12" s="52">
        <f t="shared" si="5"/>
        <v>0</v>
      </c>
      <c r="I12" s="51">
        <v>1</v>
      </c>
      <c r="J12" s="52">
        <f t="shared" si="6"/>
        <v>17523.55</v>
      </c>
      <c r="K12" s="51">
        <v>0</v>
      </c>
      <c r="L12" s="52">
        <f t="shared" si="1"/>
        <v>0</v>
      </c>
      <c r="M12" s="66">
        <f t="shared" si="2"/>
        <v>1</v>
      </c>
      <c r="N12" s="49">
        <f t="shared" si="3"/>
        <v>17523.55</v>
      </c>
    </row>
    <row r="13" spans="1:14" ht="33" customHeight="1" x14ac:dyDescent="0.2">
      <c r="A13" s="46" t="s">
        <v>185</v>
      </c>
      <c r="B13" s="7" t="str">
        <f>'PLANILHA de preço'!C46</f>
        <v>PISO EM CONCRETO ARMADO</v>
      </c>
      <c r="C13" s="48">
        <f>'PLANILHA de preço'!H46</f>
        <v>61596</v>
      </c>
      <c r="D13" s="103">
        <f t="shared" si="0"/>
        <v>0.10676668442644731</v>
      </c>
      <c r="E13" s="51">
        <v>0</v>
      </c>
      <c r="F13" s="52">
        <f t="shared" si="7"/>
        <v>0</v>
      </c>
      <c r="G13" s="51">
        <v>0.2</v>
      </c>
      <c r="H13" s="52">
        <f t="shared" si="5"/>
        <v>12319.2</v>
      </c>
      <c r="I13" s="51">
        <v>0.4</v>
      </c>
      <c r="J13" s="52">
        <f t="shared" si="6"/>
        <v>24638.400000000001</v>
      </c>
      <c r="K13" s="51">
        <v>0.4</v>
      </c>
      <c r="L13" s="52">
        <f t="shared" si="1"/>
        <v>24638.400000000001</v>
      </c>
      <c r="M13" s="66">
        <f t="shared" si="2"/>
        <v>1</v>
      </c>
      <c r="N13" s="49">
        <f t="shared" si="3"/>
        <v>61596.000000000007</v>
      </c>
    </row>
    <row r="14" spans="1:14" ht="28.5" customHeight="1" x14ac:dyDescent="0.2">
      <c r="A14" s="46" t="s">
        <v>191</v>
      </c>
      <c r="B14" s="42" t="str">
        <f>'PLANILHA de preço'!C49</f>
        <v>LIMPEZA</v>
      </c>
      <c r="C14" s="48">
        <f>'PLANILHA de preço'!H49</f>
        <v>3206.6</v>
      </c>
      <c r="D14" s="103">
        <f t="shared" si="0"/>
        <v>5.5581214735022713E-3</v>
      </c>
      <c r="E14" s="51">
        <v>0.25</v>
      </c>
      <c r="F14" s="52">
        <f t="shared" si="7"/>
        <v>801.65</v>
      </c>
      <c r="G14" s="51">
        <v>0.25</v>
      </c>
      <c r="H14" s="52">
        <f t="shared" si="5"/>
        <v>801.65</v>
      </c>
      <c r="I14" s="51">
        <v>0.25</v>
      </c>
      <c r="J14" s="52">
        <f t="shared" si="6"/>
        <v>801.65</v>
      </c>
      <c r="K14" s="51">
        <v>0.25</v>
      </c>
      <c r="L14" s="52">
        <f t="shared" si="1"/>
        <v>801.65</v>
      </c>
      <c r="M14" s="66">
        <f t="shared" si="2"/>
        <v>1</v>
      </c>
      <c r="N14" s="49">
        <f t="shared" si="3"/>
        <v>3206.6</v>
      </c>
    </row>
    <row r="15" spans="1:14" ht="28.5" customHeight="1" x14ac:dyDescent="0.2">
      <c r="A15" s="46" t="s">
        <v>199</v>
      </c>
      <c r="B15" s="42" t="str">
        <f>'PLANILHA de preço'!C51</f>
        <v>EXECUÇÃO DE PRATELEIRA</v>
      </c>
      <c r="C15" s="48">
        <f>'PLANILHA de preço'!H51</f>
        <v>83630.05</v>
      </c>
      <c r="D15" s="103">
        <f t="shared" si="0"/>
        <v>0.14495913950448097</v>
      </c>
      <c r="E15" s="51">
        <v>0</v>
      </c>
      <c r="F15" s="52">
        <f t="shared" ref="F15" si="8">C15*E15</f>
        <v>0</v>
      </c>
      <c r="G15" s="51">
        <v>0</v>
      </c>
      <c r="H15" s="52">
        <f t="shared" si="5"/>
        <v>0</v>
      </c>
      <c r="I15" s="51">
        <v>0</v>
      </c>
      <c r="J15" s="52">
        <f t="shared" si="6"/>
        <v>0</v>
      </c>
      <c r="K15" s="51">
        <v>1</v>
      </c>
      <c r="L15" s="52">
        <f t="shared" si="1"/>
        <v>83630.05</v>
      </c>
      <c r="M15" s="66">
        <f t="shared" si="2"/>
        <v>1</v>
      </c>
      <c r="N15" s="49">
        <f t="shared" si="3"/>
        <v>83630.05</v>
      </c>
    </row>
    <row r="16" spans="1:14" ht="25.5" customHeight="1" x14ac:dyDescent="0.2">
      <c r="A16" s="58"/>
      <c r="B16" s="59" t="s">
        <v>12</v>
      </c>
      <c r="C16" s="60">
        <f>SUM(C8:C15)</f>
        <v>576921.54</v>
      </c>
      <c r="D16" s="60"/>
      <c r="E16" s="67">
        <f>SUM(F16/C17)</f>
        <v>8.5322922766932915E-2</v>
      </c>
      <c r="F16" s="60">
        <f>SUM(F8:F15)</f>
        <v>49224.632000000005</v>
      </c>
      <c r="G16" s="67">
        <f>SUM(H16/C17)</f>
        <v>0.18774737029232777</v>
      </c>
      <c r="H16" s="60">
        <f>SUM(H8:H15)</f>
        <v>108315.50199999999</v>
      </c>
      <c r="I16" s="67">
        <f>SUM(J16/C17)</f>
        <v>0.44876901632065941</v>
      </c>
      <c r="J16" s="60">
        <f>SUM(J8:J15)</f>
        <v>258904.51199999999</v>
      </c>
      <c r="K16" s="67">
        <f>SUM(L16/C17)</f>
        <v>0.27816069062007986</v>
      </c>
      <c r="L16" s="60">
        <f>SUM(L8:L15)</f>
        <v>160476.89400000003</v>
      </c>
      <c r="M16" s="271">
        <f>E16+G16+I16+K16</f>
        <v>0.99999999999999989</v>
      </c>
      <c r="N16" s="273">
        <f>SUM(N8:N15)</f>
        <v>576921.54</v>
      </c>
    </row>
    <row r="17" spans="1:14" ht="25.5" customHeight="1" thickBot="1" x14ac:dyDescent="0.25">
      <c r="A17" s="43"/>
      <c r="B17" s="41" t="s">
        <v>13</v>
      </c>
      <c r="C17" s="53">
        <f>SUM(C7:C15)</f>
        <v>576921.54</v>
      </c>
      <c r="D17" s="53"/>
      <c r="E17" s="68">
        <f>E16</f>
        <v>8.5322922766932915E-2</v>
      </c>
      <c r="F17" s="54">
        <f>SUM(F16)</f>
        <v>49224.632000000005</v>
      </c>
      <c r="G17" s="68">
        <f>SUM(E17+G16)</f>
        <v>0.27307029305926067</v>
      </c>
      <c r="H17" s="54">
        <f>H16+F17</f>
        <v>157540.13399999999</v>
      </c>
      <c r="I17" s="68">
        <f>SUM(G17+I16)</f>
        <v>0.72183930937992002</v>
      </c>
      <c r="J17" s="54">
        <f>J16+H17</f>
        <v>416444.64599999995</v>
      </c>
      <c r="K17" s="68">
        <f>SUM(I17+K16)</f>
        <v>0.99999999999999989</v>
      </c>
      <c r="L17" s="54">
        <f>L16+J17</f>
        <v>576921.54</v>
      </c>
      <c r="M17" s="272"/>
      <c r="N17" s="274"/>
    </row>
    <row r="18" spans="1:14" x14ac:dyDescent="0.2">
      <c r="C18" s="55"/>
      <c r="D18" s="55"/>
      <c r="E18" s="56"/>
      <c r="F18" s="55"/>
      <c r="G18" s="56"/>
      <c r="H18" s="55"/>
      <c r="I18" s="56"/>
      <c r="J18" s="56"/>
    </row>
    <row r="19" spans="1:14" ht="36" customHeight="1" x14ac:dyDescent="0.2">
      <c r="C19" s="55"/>
      <c r="D19" s="55"/>
      <c r="E19" s="56"/>
      <c r="F19" s="71"/>
      <c r="G19" s="72"/>
      <c r="H19" s="71"/>
      <c r="I19" s="72"/>
      <c r="J19" s="56"/>
    </row>
    <row r="20" spans="1:14" ht="15" x14ac:dyDescent="0.2">
      <c r="C20" s="55"/>
      <c r="D20" s="55"/>
      <c r="E20" s="56"/>
      <c r="F20" s="71"/>
      <c r="G20" s="72"/>
      <c r="H20" s="71"/>
      <c r="I20" s="72"/>
      <c r="J20" s="57"/>
      <c r="K20" s="61"/>
      <c r="L20" s="61"/>
    </row>
    <row r="21" spans="1:14" ht="15" x14ac:dyDescent="0.2">
      <c r="F21" s="73"/>
      <c r="G21" s="74" t="s">
        <v>73</v>
      </c>
      <c r="H21" s="73"/>
      <c r="I21" s="75"/>
    </row>
    <row r="22" spans="1:14" ht="15" x14ac:dyDescent="0.2">
      <c r="F22" s="73"/>
      <c r="G22" s="74" t="s">
        <v>74</v>
      </c>
      <c r="H22" s="73"/>
      <c r="I22" s="75"/>
    </row>
    <row r="23" spans="1:14" ht="15" x14ac:dyDescent="0.2">
      <c r="F23" s="73"/>
      <c r="G23" s="74" t="s">
        <v>75</v>
      </c>
      <c r="H23" s="73"/>
      <c r="I23" s="75"/>
    </row>
    <row r="24" spans="1:14" ht="15" x14ac:dyDescent="0.2">
      <c r="F24" s="73"/>
      <c r="G24" s="75"/>
      <c r="H24" s="73"/>
      <c r="I24" s="75"/>
    </row>
  </sheetData>
  <mergeCells count="16">
    <mergeCell ref="A7:B7"/>
    <mergeCell ref="K5:L5"/>
    <mergeCell ref="M16:M17"/>
    <mergeCell ref="N16:N17"/>
    <mergeCell ref="B3:H3"/>
    <mergeCell ref="M5:N5"/>
    <mergeCell ref="J4:N4"/>
    <mergeCell ref="D5:D6"/>
    <mergeCell ref="A2:N2"/>
    <mergeCell ref="A5:A6"/>
    <mergeCell ref="B5:B6"/>
    <mergeCell ref="C5:C6"/>
    <mergeCell ref="E5:F5"/>
    <mergeCell ref="G5:H5"/>
    <mergeCell ref="I5:J5"/>
    <mergeCell ref="H4:I4"/>
  </mergeCells>
  <printOptions horizontalCentered="1"/>
  <pageMargins left="0.23622047244094491" right="0.23622047244094491" top="0.55118110236220474" bottom="0.55118110236220474" header="0.31496062992125984" footer="0.51181102362204722"/>
  <pageSetup paperSize="9" scale="73" orientation="landscape" r:id="rId1"/>
  <headerFooter alignWithMargins="0">
    <oddFooter>&amp;R&amp;"Arial,Negrito itálico"&amp;12&amp;P/&amp;N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21"/>
  <sheetViews>
    <sheetView tabSelected="1" view="pageBreakPreview" zoomScaleNormal="70" zoomScaleSheetLayoutView="100" workbookViewId="0">
      <selection activeCell="J4" sqref="J4:L4"/>
    </sheetView>
  </sheetViews>
  <sheetFormatPr defaultColWidth="9.140625" defaultRowHeight="12.75" x14ac:dyDescent="0.2"/>
  <cols>
    <col min="1" max="1" width="13.42578125" style="8" customWidth="1"/>
    <col min="2" max="2" width="32.7109375" style="8" customWidth="1"/>
    <col min="3" max="6" width="25.140625" style="8" hidden="1" customWidth="1"/>
    <col min="7" max="7" width="23.42578125" style="8" hidden="1" customWidth="1"/>
    <col min="8" max="8" width="6.28515625" style="8" customWidth="1"/>
    <col min="9" max="9" width="3.85546875" style="8" customWidth="1"/>
    <col min="10" max="10" width="18.5703125" style="8" customWidth="1"/>
    <col min="11" max="11" width="19.42578125" style="8" customWidth="1"/>
    <col min="12" max="12" width="15.28515625" style="8" customWidth="1"/>
    <col min="13" max="16384" width="9.140625" style="8"/>
  </cols>
  <sheetData>
    <row r="1" spans="1:12" ht="69" customHeight="1" thickBot="1" x14ac:dyDescent="0.25"/>
    <row r="2" spans="1:12" ht="33" customHeight="1" thickBot="1" x14ac:dyDescent="0.25">
      <c r="A2" s="288" t="s">
        <v>33</v>
      </c>
      <c r="B2" s="289"/>
      <c r="C2" s="289"/>
      <c r="D2" s="289"/>
      <c r="E2" s="289"/>
      <c r="F2" s="289"/>
      <c r="G2" s="289"/>
      <c r="H2" s="289"/>
      <c r="I2" s="289"/>
      <c r="J2" s="289"/>
      <c r="K2" s="289"/>
      <c r="L2" s="290"/>
    </row>
    <row r="3" spans="1:12" ht="33" customHeight="1" x14ac:dyDescent="0.2">
      <c r="A3" s="121" t="s">
        <v>80</v>
      </c>
      <c r="B3" s="291" t="str">
        <f>'PLANILHA de preço'!B3:C3</f>
        <v>Demolição de reservatório e construção de galpão com muro, piso e cobertura metálica para deposito de materiais</v>
      </c>
      <c r="C3" s="291"/>
      <c r="D3" s="291"/>
      <c r="E3" s="291"/>
      <c r="F3" s="291"/>
      <c r="G3" s="291"/>
      <c r="H3" s="291"/>
      <c r="I3" s="291"/>
      <c r="J3" s="291"/>
      <c r="K3" s="291"/>
      <c r="L3" s="292"/>
    </row>
    <row r="4" spans="1:12" ht="27" customHeight="1" x14ac:dyDescent="0.2">
      <c r="A4" s="122" t="s">
        <v>81</v>
      </c>
      <c r="B4" s="293" t="str">
        <f>'PLANILHA de preço'!B4:C4</f>
        <v xml:space="preserve">Rua Júlia Lara, em freta a Sede Saae, Unaí-MG </v>
      </c>
      <c r="C4" s="293"/>
      <c r="D4" s="293"/>
      <c r="E4" s="293"/>
      <c r="F4" s="293"/>
      <c r="G4" s="293"/>
      <c r="H4" s="294" t="s">
        <v>32</v>
      </c>
      <c r="I4" s="294"/>
      <c r="J4" s="295">
        <f>'PLANILHA de preço'!B5</f>
        <v>45978</v>
      </c>
      <c r="K4" s="295"/>
      <c r="L4" s="296"/>
    </row>
    <row r="5" spans="1:12" ht="20.25" customHeight="1" x14ac:dyDescent="0.2">
      <c r="A5" s="285" t="s">
        <v>34</v>
      </c>
      <c r="B5" s="286"/>
      <c r="C5" s="286"/>
      <c r="D5" s="286"/>
      <c r="E5" s="286"/>
      <c r="F5" s="286"/>
      <c r="G5" s="286"/>
      <c r="H5" s="286"/>
      <c r="I5" s="286"/>
      <c r="J5" s="286"/>
      <c r="K5" s="286"/>
      <c r="L5" s="287"/>
    </row>
    <row r="6" spans="1:12" ht="27" customHeight="1" x14ac:dyDescent="0.2">
      <c r="A6" s="299" t="s">
        <v>65</v>
      </c>
      <c r="B6" s="300"/>
      <c r="C6" s="300"/>
      <c r="D6" s="300"/>
      <c r="E6" s="300"/>
      <c r="F6" s="300"/>
      <c r="G6" s="300"/>
      <c r="H6" s="300"/>
      <c r="I6" s="300"/>
      <c r="J6" s="78" t="s">
        <v>35</v>
      </c>
      <c r="K6" s="297">
        <f>ROUND((1+(H8+H10+H11)/100)*(1+(H7/100))*(1+(H12/100))/(1-(H13+H17)/100)-1,4)</f>
        <v>0.29649999999999999</v>
      </c>
      <c r="L6" s="298"/>
    </row>
    <row r="7" spans="1:12" ht="27" customHeight="1" x14ac:dyDescent="0.2">
      <c r="A7" s="108">
        <v>1</v>
      </c>
      <c r="B7" s="9" t="s">
        <v>41</v>
      </c>
      <c r="C7" s="10" t="s">
        <v>37</v>
      </c>
      <c r="D7" s="11">
        <v>9.2999999999999992E-3</v>
      </c>
      <c r="E7" s="12" t="s">
        <v>38</v>
      </c>
      <c r="F7" s="11">
        <v>9.2999999999999992E-3</v>
      </c>
      <c r="G7" s="13" t="s">
        <v>42</v>
      </c>
      <c r="H7" s="105">
        <v>1</v>
      </c>
      <c r="I7" s="21" t="s">
        <v>25</v>
      </c>
      <c r="J7" s="301" t="s">
        <v>40</v>
      </c>
      <c r="K7" s="302"/>
      <c r="L7" s="303"/>
    </row>
    <row r="8" spans="1:12" ht="20.25" customHeight="1" x14ac:dyDescent="0.2">
      <c r="A8" s="109">
        <v>2</v>
      </c>
      <c r="B8" s="16" t="s">
        <v>43</v>
      </c>
      <c r="C8" s="17" t="s">
        <v>37</v>
      </c>
      <c r="D8" s="18">
        <v>5.5E-2</v>
      </c>
      <c r="E8" s="19" t="s">
        <v>38</v>
      </c>
      <c r="F8" s="18">
        <v>5.5E-2</v>
      </c>
      <c r="G8" s="20" t="s">
        <v>44</v>
      </c>
      <c r="H8" s="14">
        <v>5.5</v>
      </c>
      <c r="I8" s="21" t="s">
        <v>25</v>
      </c>
      <c r="J8" s="279"/>
      <c r="K8" s="280"/>
      <c r="L8" s="281"/>
    </row>
    <row r="9" spans="1:12" ht="34.5" customHeight="1" x14ac:dyDescent="0.2">
      <c r="A9" s="109">
        <v>3</v>
      </c>
      <c r="B9" s="84" t="s">
        <v>76</v>
      </c>
      <c r="C9" s="17" t="s">
        <v>37</v>
      </c>
      <c r="D9" s="80">
        <f>D10+D11</f>
        <v>2.2699999999999998E-2</v>
      </c>
      <c r="E9" s="81" t="s">
        <v>38</v>
      </c>
      <c r="F9" s="80">
        <f>F10+F11</f>
        <v>2.2699999999999998E-2</v>
      </c>
      <c r="G9" s="82" t="s">
        <v>46</v>
      </c>
      <c r="H9" s="83">
        <f>H10+H11</f>
        <v>2.27</v>
      </c>
      <c r="I9" s="23" t="s">
        <v>25</v>
      </c>
      <c r="J9" s="279" t="s">
        <v>45</v>
      </c>
      <c r="K9" s="280"/>
      <c r="L9" s="281"/>
    </row>
    <row r="10" spans="1:12" ht="20.25" customHeight="1" x14ac:dyDescent="0.2">
      <c r="A10" s="109" t="s">
        <v>77</v>
      </c>
      <c r="B10" s="16" t="s">
        <v>60</v>
      </c>
      <c r="C10" s="17" t="s">
        <v>37</v>
      </c>
      <c r="D10" s="18">
        <v>0.01</v>
      </c>
      <c r="E10" s="19" t="s">
        <v>38</v>
      </c>
      <c r="F10" s="18">
        <v>0.01</v>
      </c>
      <c r="G10" s="20" t="s">
        <v>46</v>
      </c>
      <c r="H10" s="14">
        <v>1</v>
      </c>
      <c r="I10" s="21" t="s">
        <v>25</v>
      </c>
      <c r="L10" s="85"/>
    </row>
    <row r="11" spans="1:12" ht="20.25" customHeight="1" x14ac:dyDescent="0.2">
      <c r="A11" s="109" t="s">
        <v>78</v>
      </c>
      <c r="B11" s="16" t="s">
        <v>36</v>
      </c>
      <c r="C11" s="10" t="s">
        <v>37</v>
      </c>
      <c r="D11" s="11">
        <v>1.2699999999999999E-2</v>
      </c>
      <c r="E11" s="12" t="s">
        <v>38</v>
      </c>
      <c r="F11" s="11">
        <v>1.2699999999999999E-2</v>
      </c>
      <c r="G11" s="13" t="s">
        <v>39</v>
      </c>
      <c r="H11" s="14">
        <v>1.27</v>
      </c>
      <c r="I11" s="15" t="s">
        <v>25</v>
      </c>
      <c r="J11" s="106"/>
      <c r="K11" s="31"/>
      <c r="L11" s="107"/>
    </row>
    <row r="12" spans="1:12" ht="20.25" customHeight="1" x14ac:dyDescent="0.2">
      <c r="A12" s="109">
        <v>4</v>
      </c>
      <c r="B12" s="16" t="s">
        <v>47</v>
      </c>
      <c r="C12" s="17" t="s">
        <v>37</v>
      </c>
      <c r="D12" s="18">
        <v>4.9399999999999999E-2</v>
      </c>
      <c r="E12" s="19" t="s">
        <v>38</v>
      </c>
      <c r="F12" s="18">
        <v>7.4999999999999997E-2</v>
      </c>
      <c r="G12" s="20" t="s">
        <v>48</v>
      </c>
      <c r="H12" s="14">
        <v>7.5</v>
      </c>
      <c r="I12" s="21" t="s">
        <v>25</v>
      </c>
      <c r="J12" s="279" t="s">
        <v>49</v>
      </c>
      <c r="K12" s="280"/>
      <c r="L12" s="281"/>
    </row>
    <row r="13" spans="1:12" ht="20.25" customHeight="1" x14ac:dyDescent="0.2">
      <c r="A13" s="109">
        <v>5</v>
      </c>
      <c r="B13" s="16" t="s">
        <v>50</v>
      </c>
      <c r="C13" s="17" t="s">
        <v>37</v>
      </c>
      <c r="D13" s="18">
        <v>3.6499999999999998E-2</v>
      </c>
      <c r="E13" s="19" t="s">
        <v>38</v>
      </c>
      <c r="F13" s="18">
        <v>6.1499999999999999E-2</v>
      </c>
      <c r="G13" s="20" t="s">
        <v>51</v>
      </c>
      <c r="H13" s="22">
        <f>H14+H15+H16</f>
        <v>6.15</v>
      </c>
      <c r="I13" s="23" t="s">
        <v>25</v>
      </c>
      <c r="J13" s="279"/>
      <c r="K13" s="280"/>
      <c r="L13" s="281"/>
    </row>
    <row r="14" spans="1:12" ht="20.25" customHeight="1" x14ac:dyDescent="0.2">
      <c r="A14" s="109" t="s">
        <v>85</v>
      </c>
      <c r="B14" s="16" t="s">
        <v>52</v>
      </c>
      <c r="C14" s="17" t="s">
        <v>37</v>
      </c>
      <c r="D14" s="18">
        <v>6.4999999999999997E-3</v>
      </c>
      <c r="E14" s="19" t="s">
        <v>38</v>
      </c>
      <c r="F14" s="18">
        <v>6.4999999999999997E-3</v>
      </c>
      <c r="G14" s="20" t="s">
        <v>52</v>
      </c>
      <c r="H14" s="14">
        <v>0.65</v>
      </c>
      <c r="I14" s="21" t="s">
        <v>25</v>
      </c>
      <c r="J14" s="279"/>
      <c r="K14" s="280"/>
      <c r="L14" s="281"/>
    </row>
    <row r="15" spans="1:12" ht="20.25" customHeight="1" x14ac:dyDescent="0.2">
      <c r="A15" s="109" t="s">
        <v>84</v>
      </c>
      <c r="B15" s="16" t="s">
        <v>53</v>
      </c>
      <c r="C15" s="17" t="s">
        <v>37</v>
      </c>
      <c r="D15" s="18">
        <v>0.03</v>
      </c>
      <c r="E15" s="19" t="s">
        <v>38</v>
      </c>
      <c r="F15" s="18">
        <v>0.03</v>
      </c>
      <c r="G15" s="20" t="s">
        <v>53</v>
      </c>
      <c r="H15" s="14">
        <v>3</v>
      </c>
      <c r="I15" s="21" t="s">
        <v>25</v>
      </c>
      <c r="J15" s="279" t="s">
        <v>54</v>
      </c>
      <c r="K15" s="280"/>
      <c r="L15" s="281"/>
    </row>
    <row r="16" spans="1:12" ht="20.25" customHeight="1" x14ac:dyDescent="0.2">
      <c r="A16" s="109" t="s">
        <v>87</v>
      </c>
      <c r="B16" s="16" t="s">
        <v>55</v>
      </c>
      <c r="C16" s="17" t="s">
        <v>37</v>
      </c>
      <c r="D16" s="18">
        <v>0.01</v>
      </c>
      <c r="E16" s="19" t="s">
        <v>38</v>
      </c>
      <c r="F16" s="18">
        <v>2.5000000000000001E-2</v>
      </c>
      <c r="G16" s="20" t="s">
        <v>55</v>
      </c>
      <c r="H16" s="14">
        <v>2.5</v>
      </c>
      <c r="I16" s="21" t="s">
        <v>25</v>
      </c>
      <c r="J16" s="279"/>
      <c r="K16" s="280"/>
      <c r="L16" s="281"/>
    </row>
    <row r="17" spans="1:12" ht="20.25" customHeight="1" thickBot="1" x14ac:dyDescent="0.25">
      <c r="A17" s="110">
        <v>6</v>
      </c>
      <c r="B17" s="111" t="s">
        <v>56</v>
      </c>
      <c r="C17" s="25" t="s">
        <v>37</v>
      </c>
      <c r="D17" s="26">
        <v>4.4999999999999998E-2</v>
      </c>
      <c r="E17" s="27" t="s">
        <v>38</v>
      </c>
      <c r="F17" s="26">
        <v>4.4999999999999998E-2</v>
      </c>
      <c r="G17" s="24" t="s">
        <v>57</v>
      </c>
      <c r="H17" s="28">
        <v>3.6</v>
      </c>
      <c r="I17" s="38" t="s">
        <v>25</v>
      </c>
      <c r="J17" s="282"/>
      <c r="K17" s="283"/>
      <c r="L17" s="284"/>
    </row>
    <row r="18" spans="1:12" ht="24" customHeight="1" x14ac:dyDescent="0.2">
      <c r="A18" s="32"/>
      <c r="B18" s="33"/>
      <c r="C18" s="34"/>
      <c r="D18" s="34"/>
      <c r="E18" s="35"/>
      <c r="F18" s="34"/>
      <c r="G18" s="33"/>
      <c r="H18" s="36"/>
      <c r="I18" s="37"/>
      <c r="J18" s="31"/>
      <c r="K18" s="31"/>
      <c r="L18" s="31"/>
    </row>
    <row r="19" spans="1:12" ht="12" customHeight="1" x14ac:dyDescent="0.2">
      <c r="A19" s="29"/>
      <c r="B19" s="4"/>
      <c r="C19" s="73"/>
      <c r="D19" s="74" t="s">
        <v>73</v>
      </c>
      <c r="E19" s="73"/>
      <c r="F19" s="74" t="s">
        <v>73</v>
      </c>
      <c r="G19" s="76"/>
      <c r="H19" s="242"/>
      <c r="I19" s="243"/>
      <c r="J19" s="241" t="s">
        <v>277</v>
      </c>
      <c r="K19" s="243"/>
      <c r="L19" s="29"/>
    </row>
    <row r="20" spans="1:12" ht="15" x14ac:dyDescent="0.2">
      <c r="B20" s="4"/>
      <c r="C20" s="73"/>
      <c r="D20" s="74" t="s">
        <v>74</v>
      </c>
      <c r="E20" s="73"/>
      <c r="F20" s="74" t="s">
        <v>74</v>
      </c>
      <c r="G20" s="77"/>
      <c r="H20" s="242"/>
      <c r="I20" s="243"/>
      <c r="J20" s="241" t="s">
        <v>74</v>
      </c>
      <c r="K20" s="243"/>
    </row>
    <row r="21" spans="1:12" ht="15" x14ac:dyDescent="0.2">
      <c r="B21" s="4"/>
      <c r="C21" s="73"/>
      <c r="D21" s="74" t="s">
        <v>75</v>
      </c>
      <c r="E21" s="73"/>
      <c r="F21" s="74" t="s">
        <v>75</v>
      </c>
      <c r="G21" s="77"/>
      <c r="H21" s="242"/>
      <c r="I21" s="243"/>
      <c r="J21" s="241" t="s">
        <v>278</v>
      </c>
      <c r="K21" s="243"/>
    </row>
  </sheetData>
  <mergeCells count="13">
    <mergeCell ref="J12:L14"/>
    <mergeCell ref="J15:L17"/>
    <mergeCell ref="A5:L5"/>
    <mergeCell ref="A2:L2"/>
    <mergeCell ref="B3:L3"/>
    <mergeCell ref="B4:G4"/>
    <mergeCell ref="H4:I4"/>
    <mergeCell ref="J4:L4"/>
    <mergeCell ref="K6:L6"/>
    <mergeCell ref="A6:I6"/>
    <mergeCell ref="J7:L7"/>
    <mergeCell ref="J8:L8"/>
    <mergeCell ref="J9:L9"/>
  </mergeCells>
  <printOptions horizontalCentered="1"/>
  <pageMargins left="0.51181102362204722" right="0.51181102362204722" top="0.98425196850393704" bottom="0.59055118110236227" header="0.51181102362204722" footer="0.51181102362204722"/>
  <pageSetup paperSize="9" scale="95" orientation="landscape" r:id="rId1"/>
  <headerFooter>
    <oddFooter>&amp;R&amp;"Arial,Negrito itálico"&amp;12&amp;P/&amp;N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7</vt:i4>
      </vt:variant>
    </vt:vector>
  </HeadingPairs>
  <TitlesOfParts>
    <vt:vector size="11" baseType="lpstr">
      <vt:lpstr>PLANILHA de preço (2)</vt:lpstr>
      <vt:lpstr>PLANILHA de preço</vt:lpstr>
      <vt:lpstr>Cronograma_ff</vt:lpstr>
      <vt:lpstr>DBI</vt:lpstr>
      <vt:lpstr>Cronograma_ff!Area_de_impressao</vt:lpstr>
      <vt:lpstr>DBI!Area_de_impressao</vt:lpstr>
      <vt:lpstr>'PLANILHA de preço'!Area_de_impressao</vt:lpstr>
      <vt:lpstr>'PLANILHA de preço (2)'!Area_de_impressao</vt:lpstr>
      <vt:lpstr>Cronograma_ff!Titulos_de_impressao</vt:lpstr>
      <vt:lpstr>'PLANILHA de preço'!Titulos_de_impressao</vt:lpstr>
      <vt:lpstr>'PLANILHA de preço (2)'!Titulos_de_impressao</vt:lpstr>
    </vt:vector>
  </TitlesOfParts>
  <Company>ABCINFORMATICA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Arrecardaçao</dc:creator>
  <cp:lastModifiedBy>Julio da Costa Oliveira</cp:lastModifiedBy>
  <cp:lastPrinted>2025-11-17T11:51:43Z</cp:lastPrinted>
  <dcterms:created xsi:type="dcterms:W3CDTF">2005-05-19T20:12:39Z</dcterms:created>
  <dcterms:modified xsi:type="dcterms:W3CDTF">2025-11-17T11:51:47Z</dcterms:modified>
</cp:coreProperties>
</file>