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D:\Usuarios\luiz.lima\Documents\54 _ Processo Licitação_Locação Veículos_SUEST - MA\"/>
    </mc:Choice>
  </mc:AlternateContent>
  <bookViews>
    <workbookView xWindow="0" yWindow="0" windowWidth="26865" windowHeight="10860" tabRatio="894"/>
  </bookViews>
  <sheets>
    <sheet name="Quadro Resumo" sheetId="273" r:id="rId1"/>
    <sheet name="Locação - Veículo Cat I" sheetId="231" r:id="rId2"/>
    <sheet name="Composição - Depreciação" sheetId="242" r:id="rId3"/>
    <sheet name="Pesquisa de Veículos" sheetId="233" r:id="rId4"/>
    <sheet name="Pesquisa - Manutenções" sheetId="232" r:id="rId5"/>
    <sheet name="Pesquisa - Seguro" sheetId="234" r:id="rId6"/>
    <sheet name="Pesquisa - Rastreamento" sheetId="235" r:id="rId7"/>
    <sheet name="Pesquisa - Lavagem" sheetId="236" r:id="rId8"/>
    <sheet name="Pesquisa - Borracharia" sheetId="240" r:id="rId9"/>
    <sheet name="Pesquisa - Manta Magnética" sheetId="237" r:id="rId10"/>
  </sheets>
  <definedNames>
    <definedName name="_xlnm.Print_Area" localSheetId="2">'Composição - Depreciação'!$A$1:$F$19</definedName>
    <definedName name="_xlnm.Print_Area" localSheetId="5">'Pesquisa - Seguro'!$A$1:$L$32</definedName>
    <definedName name="_xlnm.Print_Area" localSheetId="0">'Quadro Resumo'!$B$1:$K$12</definedName>
    <definedName name="asdf">#REF!</definedName>
    <definedName name="asdff">#REF!</definedName>
    <definedName name="asdfff">#REF!</definedName>
    <definedName name="cv">#REF!</definedName>
    <definedName name="dwadsd">#REF!</definedName>
    <definedName name="Estiva">#REF!</definedName>
    <definedName name="ISS">#REF!</definedName>
    <definedName name="Lista1">#REF!</definedName>
    <definedName name="sdasdddddddddd">#REF!</definedName>
    <definedName name="Serviços">#REF!</definedName>
    <definedName name="UniformeMensageiro">#REF!</definedName>
    <definedName name="UniformeMensageiros">#REF!</definedName>
    <definedName name="UniformeRecepcionista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xlnp="http://schemas.microsoft.com/office/spreadsheetml/2019/extlinksprops" uri="{FCE6A71B-6B00-49CD-AB44-F6B1AE7CDE65}">
      <xxlnp:externalLinksPr autoRefresh="1"/>
    </ext>
  </extLst>
</workbook>
</file>

<file path=xl/calcChain.xml><?xml version="1.0" encoding="utf-8"?>
<calcChain xmlns="http://schemas.openxmlformats.org/spreadsheetml/2006/main">
  <c r="C6" i="242" l="1"/>
  <c r="B6" i="242" l="1"/>
  <c r="H22" i="232"/>
  <c r="H18" i="231"/>
  <c r="E16" i="234"/>
  <c r="F16" i="234" s="1"/>
  <c r="G16" i="234" s="1"/>
  <c r="E15" i="234"/>
  <c r="F15" i="234" s="1"/>
  <c r="G15" i="234" s="1"/>
  <c r="E14" i="234"/>
  <c r="F14" i="234" s="1"/>
  <c r="G14" i="234" s="1"/>
  <c r="E13" i="234"/>
  <c r="F13" i="234" s="1"/>
  <c r="G13" i="234" s="1"/>
  <c r="E12" i="234"/>
  <c r="F12" i="234" s="1"/>
  <c r="G12" i="234" s="1"/>
  <c r="G21" i="232"/>
  <c r="G22" i="232" s="1"/>
  <c r="F21" i="232"/>
  <c r="F22" i="232" s="1"/>
  <c r="E11" i="232"/>
  <c r="E21" i="232" s="1"/>
  <c r="E22" i="232" s="1"/>
  <c r="D21" i="232"/>
  <c r="D22" i="232" s="1"/>
  <c r="C20" i="232"/>
  <c r="H20" i="232" s="1"/>
  <c r="C19" i="232"/>
  <c r="H19" i="232" s="1"/>
  <c r="C18" i="232"/>
  <c r="H18" i="232" s="1"/>
  <c r="C17" i="232"/>
  <c r="H17" i="232" s="1"/>
  <c r="C16" i="232"/>
  <c r="H16" i="232" s="1"/>
  <c r="C15" i="232"/>
  <c r="H15" i="232" s="1"/>
  <c r="C14" i="232"/>
  <c r="H14" i="232" s="1"/>
  <c r="C13" i="232"/>
  <c r="H13" i="232" s="1"/>
  <c r="C12" i="232"/>
  <c r="H12" i="232" s="1"/>
  <c r="C11" i="232"/>
  <c r="B21" i="232"/>
  <c r="B22" i="232" s="1"/>
  <c r="H27" i="233"/>
  <c r="I27" i="233" s="1"/>
  <c r="J27" i="233" s="1"/>
  <c r="H26" i="233"/>
  <c r="I26" i="233" s="1"/>
  <c r="J26" i="233" s="1"/>
  <c r="H25" i="233"/>
  <c r="I25" i="233" s="1"/>
  <c r="J25" i="233" s="1"/>
  <c r="H24" i="233"/>
  <c r="I24" i="233" s="1"/>
  <c r="J24" i="233" s="1"/>
  <c r="H23" i="233"/>
  <c r="I23" i="233" s="1"/>
  <c r="J23" i="233" s="1"/>
  <c r="H22" i="233"/>
  <c r="I22" i="233" s="1"/>
  <c r="J22" i="233" s="1"/>
  <c r="H21" i="233"/>
  <c r="I21" i="233" s="1"/>
  <c r="J21" i="233" s="1"/>
  <c r="H20" i="233"/>
  <c r="I20" i="233" s="1"/>
  <c r="J20" i="233" s="1"/>
  <c r="H19" i="233"/>
  <c r="I19" i="233" s="1"/>
  <c r="J19" i="233" s="1"/>
  <c r="H18" i="233"/>
  <c r="I18" i="233" s="1"/>
  <c r="J18" i="233" s="1"/>
  <c r="H17" i="233"/>
  <c r="I17" i="233" s="1"/>
  <c r="J17" i="233" s="1"/>
  <c r="H16" i="233"/>
  <c r="I16" i="233" s="1"/>
  <c r="J16" i="233" s="1"/>
  <c r="H15" i="233"/>
  <c r="I15" i="233" s="1"/>
  <c r="J15" i="233" s="1"/>
  <c r="H14" i="233"/>
  <c r="I14" i="233" s="1"/>
  <c r="J14" i="233" s="1"/>
  <c r="H13" i="233"/>
  <c r="I13" i="233" s="1"/>
  <c r="J13" i="233" s="1"/>
  <c r="H12" i="233"/>
  <c r="I12" i="233" s="1"/>
  <c r="J12" i="233" s="1"/>
  <c r="H11" i="233"/>
  <c r="I11" i="233" s="1"/>
  <c r="J11" i="233" s="1"/>
  <c r="H16" i="234" l="1"/>
  <c r="H12" i="234"/>
  <c r="K13" i="234"/>
  <c r="L13" i="234" s="1"/>
  <c r="J13" i="234"/>
  <c r="I13" i="234"/>
  <c r="H13" i="234"/>
  <c r="H14" i="234"/>
  <c r="H15" i="234"/>
  <c r="H11" i="232"/>
  <c r="C21" i="232"/>
  <c r="C22" i="232" s="1"/>
  <c r="K27" i="233"/>
  <c r="K13" i="233"/>
  <c r="K20" i="233"/>
  <c r="K15" i="233"/>
  <c r="K22" i="233"/>
  <c r="K19" i="233"/>
  <c r="K14" i="233"/>
  <c r="K16" i="233"/>
  <c r="K23" i="233"/>
  <c r="K12" i="233"/>
  <c r="K24" i="233"/>
  <c r="K21" i="233"/>
  <c r="K17" i="233"/>
  <c r="K25" i="233"/>
  <c r="K11" i="233"/>
  <c r="K18" i="233"/>
  <c r="K26" i="233"/>
  <c r="I16" i="234" l="1"/>
  <c r="J16" i="234" s="1"/>
  <c r="K16" i="234" s="1"/>
  <c r="L16" i="234" s="1"/>
  <c r="I12" i="234"/>
  <c r="J12" i="234" s="1"/>
  <c r="K12" i="234" s="1"/>
  <c r="L12" i="234" s="1"/>
  <c r="I14" i="234"/>
  <c r="J14" i="234" s="1"/>
  <c r="K14" i="234" s="1"/>
  <c r="L14" i="234" s="1"/>
  <c r="I15" i="234"/>
  <c r="J15" i="234" s="1"/>
  <c r="K15" i="234" s="1"/>
  <c r="L15" i="234" s="1"/>
  <c r="H21" i="232"/>
  <c r="L27" i="233"/>
  <c r="M27" i="233" s="1"/>
  <c r="N27" i="233" s="1"/>
  <c r="O27" i="233" s="1"/>
  <c r="L19" i="233"/>
  <c r="M19" i="233" s="1"/>
  <c r="N19" i="233" s="1"/>
  <c r="O19" i="233" s="1"/>
  <c r="L17" i="233"/>
  <c r="M17" i="233" s="1"/>
  <c r="N17" i="233" s="1"/>
  <c r="O17" i="233" s="1"/>
  <c r="L24" i="233"/>
  <c r="M24" i="233" s="1"/>
  <c r="N24" i="233" s="1"/>
  <c r="O24" i="233" s="1"/>
  <c r="L16" i="233"/>
  <c r="M16" i="233" s="1"/>
  <c r="N16" i="233" s="1"/>
  <c r="O16" i="233" s="1"/>
  <c r="L20" i="233"/>
  <c r="M20" i="233" s="1"/>
  <c r="N20" i="233" s="1"/>
  <c r="O20" i="233" s="1"/>
  <c r="L11" i="233"/>
  <c r="M11" i="233" s="1"/>
  <c r="N11" i="233" s="1"/>
  <c r="O11" i="233" s="1"/>
  <c r="L18" i="233"/>
  <c r="M18" i="233" s="1"/>
  <c r="N18" i="233" s="1"/>
  <c r="O18" i="233" s="1"/>
  <c r="L23" i="233"/>
  <c r="M23" i="233" s="1"/>
  <c r="N23" i="233" s="1"/>
  <c r="O23" i="233" s="1"/>
  <c r="L15" i="233"/>
  <c r="M15" i="233" s="1"/>
  <c r="N15" i="233" s="1"/>
  <c r="O15" i="233" s="1"/>
  <c r="L25" i="233"/>
  <c r="M25" i="233" s="1"/>
  <c r="N25" i="233" s="1"/>
  <c r="O25" i="233" s="1"/>
  <c r="L14" i="233"/>
  <c r="M14" i="233" s="1"/>
  <c r="N14" i="233" s="1"/>
  <c r="O14" i="233" s="1"/>
  <c r="L26" i="233"/>
  <c r="M26" i="233" s="1"/>
  <c r="N26" i="233" s="1"/>
  <c r="O26" i="233" s="1"/>
  <c r="L12" i="233"/>
  <c r="M12" i="233" s="1"/>
  <c r="N12" i="233" s="1"/>
  <c r="O12" i="233" s="1"/>
  <c r="L13" i="233"/>
  <c r="M13" i="233" s="1"/>
  <c r="N13" i="233" s="1"/>
  <c r="O13" i="233" s="1"/>
  <c r="L21" i="233"/>
  <c r="M21" i="233" s="1"/>
  <c r="N21" i="233" s="1"/>
  <c r="O21" i="233" s="1"/>
  <c r="L22" i="233"/>
  <c r="M22" i="233" s="1"/>
  <c r="N22" i="233" s="1"/>
  <c r="O22" i="233" s="1"/>
  <c r="L18" i="234" l="1"/>
  <c r="L19" i="234"/>
  <c r="L21" i="234"/>
  <c r="O32" i="233"/>
  <c r="O30" i="233"/>
  <c r="O29" i="233"/>
  <c r="L20" i="234" l="1"/>
  <c r="K22" i="234" s="1"/>
  <c r="O31" i="233"/>
  <c r="L22" i="234" l="1"/>
  <c r="O33" i="233"/>
  <c r="N33" i="233"/>
  <c r="E6" i="242" l="1"/>
  <c r="H15" i="240" l="1"/>
  <c r="I15" i="240" s="1"/>
  <c r="J15" i="240" s="1"/>
  <c r="H14" i="240"/>
  <c r="I14" i="240" s="1"/>
  <c r="J14" i="240" s="1"/>
  <c r="H13" i="240"/>
  <c r="I13" i="240" s="1"/>
  <c r="J13" i="240" s="1"/>
  <c r="H12" i="240"/>
  <c r="I12" i="240" s="1"/>
  <c r="J12" i="240" s="1"/>
  <c r="H11" i="240"/>
  <c r="I11" i="240" s="1"/>
  <c r="J11" i="240" s="1"/>
  <c r="K12" i="240"/>
  <c r="O12" i="240"/>
  <c r="K13" i="240"/>
  <c r="O13" i="240"/>
  <c r="K15" i="240"/>
  <c r="O15" i="240"/>
  <c r="H17" i="231"/>
  <c r="H9" i="231"/>
  <c r="O12" i="237"/>
  <c r="K12" i="237"/>
  <c r="K13" i="237"/>
  <c r="L12" i="237" s="1"/>
  <c r="K15" i="237"/>
  <c r="L13" i="237" s="1"/>
  <c r="H15" i="237"/>
  <c r="I15" i="237" s="1"/>
  <c r="J15" i="237" s="1"/>
  <c r="H11" i="237"/>
  <c r="G11" i="237"/>
  <c r="H14" i="237" s="1"/>
  <c r="I11" i="237"/>
  <c r="J11" i="237" s="1"/>
  <c r="K11" i="237"/>
  <c r="O13" i="237"/>
  <c r="I14" i="237"/>
  <c r="J14" i="237" s="1"/>
  <c r="O15" i="237"/>
  <c r="O11" i="236"/>
  <c r="O12" i="236"/>
  <c r="O10" i="236"/>
  <c r="K11" i="236"/>
  <c r="K12" i="236"/>
  <c r="K13" i="236"/>
  <c r="H13" i="236"/>
  <c r="I13" i="236" s="1"/>
  <c r="J13" i="236" s="1"/>
  <c r="H12" i="236"/>
  <c r="I12" i="236" s="1"/>
  <c r="J12" i="236" s="1"/>
  <c r="H11" i="236"/>
  <c r="I11" i="236" s="1"/>
  <c r="J11" i="236" s="1"/>
  <c r="H10" i="236"/>
  <c r="I10" i="236" s="1"/>
  <c r="J10" i="236" s="1"/>
  <c r="K10" i="236"/>
  <c r="O13" i="236"/>
  <c r="O18" i="236" s="1"/>
  <c r="O14" i="235"/>
  <c r="O15" i="235"/>
  <c r="O17" i="235" s="1"/>
  <c r="K13" i="235"/>
  <c r="L11" i="235" s="1"/>
  <c r="K14" i="235"/>
  <c r="K15" i="235"/>
  <c r="H15" i="235"/>
  <c r="I15" i="235" s="1"/>
  <c r="J15" i="235" s="1"/>
  <c r="H14" i="235"/>
  <c r="I14" i="235" s="1"/>
  <c r="J14" i="235" s="1"/>
  <c r="H13" i="235"/>
  <c r="I13" i="235" s="1"/>
  <c r="J13" i="235" s="1"/>
  <c r="H12" i="235"/>
  <c r="I12" i="235" s="1"/>
  <c r="J12" i="235" s="1"/>
  <c r="H11" i="235"/>
  <c r="I11" i="235" s="1"/>
  <c r="J11" i="235" s="1"/>
  <c r="K11" i="235"/>
  <c r="O11" i="235"/>
  <c r="H10" i="231"/>
  <c r="H11" i="231"/>
  <c r="G27" i="231"/>
  <c r="G32" i="231" s="1"/>
  <c r="M12" i="237" l="1"/>
  <c r="N12" i="237" s="1"/>
  <c r="O17" i="237"/>
  <c r="H13" i="237"/>
  <c r="I13" i="237" s="1"/>
  <c r="J13" i="237" s="1"/>
  <c r="O18" i="240"/>
  <c r="O17" i="240"/>
  <c r="O19" i="240" s="1"/>
  <c r="L12" i="236"/>
  <c r="M12" i="236" s="1"/>
  <c r="N12" i="236" s="1"/>
  <c r="O16" i="236"/>
  <c r="O18" i="235"/>
  <c r="O19" i="235" s="1"/>
  <c r="H24" i="232"/>
  <c r="O21" i="235"/>
  <c r="N21" i="235"/>
  <c r="L15" i="235"/>
  <c r="M11" i="235"/>
  <c r="N11" i="235" s="1"/>
  <c r="L13" i="235"/>
  <c r="M13" i="235" s="1"/>
  <c r="N13" i="235" s="1"/>
  <c r="L13" i="240"/>
  <c r="M13" i="240"/>
  <c r="N13" i="240" s="1"/>
  <c r="L12" i="240"/>
  <c r="M12" i="240" s="1"/>
  <c r="N12" i="240" s="1"/>
  <c r="L14" i="235"/>
  <c r="M14" i="235" s="1"/>
  <c r="N14" i="235" s="1"/>
  <c r="M15" i="235"/>
  <c r="N15" i="235" s="1"/>
  <c r="L11" i="236"/>
  <c r="M11" i="236" s="1"/>
  <c r="N11" i="236" s="1"/>
  <c r="L13" i="236"/>
  <c r="M13" i="236" s="1"/>
  <c r="N13" i="236" s="1"/>
  <c r="L10" i="236"/>
  <c r="M10" i="236" s="1"/>
  <c r="N10" i="236" s="1"/>
  <c r="O15" i="236"/>
  <c r="M13" i="237"/>
  <c r="N13" i="237" s="1"/>
  <c r="L15" i="237"/>
  <c r="M15" i="237" s="1"/>
  <c r="N15" i="237" s="1"/>
  <c r="O18" i="237"/>
  <c r="O19" i="237" s="1"/>
  <c r="O20" i="237"/>
  <c r="L15" i="240"/>
  <c r="M15" i="240" s="1"/>
  <c r="N15" i="240" s="1"/>
  <c r="O20" i="235"/>
  <c r="H12" i="237"/>
  <c r="I12" i="237" s="1"/>
  <c r="J12" i="237" s="1"/>
  <c r="L11" i="237"/>
  <c r="M11" i="237" s="1"/>
  <c r="N11" i="237" s="1"/>
  <c r="O20" i="240"/>
  <c r="H25" i="232" l="1"/>
  <c r="H26" i="232" s="1"/>
  <c r="O21" i="240"/>
  <c r="N21" i="240"/>
  <c r="O17" i="236"/>
  <c r="N19" i="236"/>
  <c r="O19" i="236"/>
  <c r="O21" i="237"/>
  <c r="N21" i="237"/>
  <c r="H7" i="231" l="1"/>
  <c r="H19" i="231"/>
  <c r="H21" i="231" s="1"/>
  <c r="H14" i="231" l="1"/>
  <c r="G12" i="231"/>
  <c r="H12" i="231" s="1"/>
  <c r="H8" i="231" l="1"/>
  <c r="H15" i="231" s="1"/>
  <c r="H22" i="231" s="1"/>
  <c r="H23" i="231" s="1"/>
  <c r="H24" i="231" l="1"/>
  <c r="H25" i="231" s="1"/>
  <c r="H26" i="231" l="1"/>
  <c r="H31" i="231" s="1"/>
  <c r="H28" i="231" l="1"/>
  <c r="H30" i="231" l="1"/>
  <c r="H29" i="231" l="1"/>
  <c r="H27" i="231" l="1"/>
  <c r="H32" i="231" s="1"/>
  <c r="H33" i="231" l="1"/>
  <c r="H34" i="231" s="1"/>
  <c r="H37" i="231" s="1"/>
  <c r="H39" i="231" s="1"/>
  <c r="H40" i="231" s="1"/>
  <c r="H8" i="273" l="1"/>
  <c r="H9" i="273" s="1"/>
  <c r="J8" i="273" l="1"/>
  <c r="J9" i="273" s="1"/>
  <c r="K8" i="273" l="1"/>
  <c r="K10" i="273" l="1"/>
  <c r="K9" i="273"/>
</calcChain>
</file>

<file path=xl/sharedStrings.xml><?xml version="1.0" encoding="utf-8"?>
<sst xmlns="http://schemas.openxmlformats.org/spreadsheetml/2006/main" count="492" uniqueCount="215">
  <si>
    <t>Grupo</t>
  </si>
  <si>
    <t>ITEM</t>
  </si>
  <si>
    <t>Tipo de Serviço (A)</t>
  </si>
  <si>
    <t>UNIDADE</t>
  </si>
  <si>
    <t>Valor Unitário (B)</t>
  </si>
  <si>
    <t>Qtd (C)</t>
  </si>
  <si>
    <t>CUSTO FIXO</t>
  </si>
  <si>
    <t>posto</t>
  </si>
  <si>
    <t>Total Item 2</t>
  </si>
  <si>
    <t>VALIDADE DA PROPOSTA</t>
  </si>
  <si>
    <t>-</t>
  </si>
  <si>
    <t>Subtotal Tributos</t>
  </si>
  <si>
    <t>PLANILHAS DE CUSTOS E FORMAÇÃO DE PREÇOS  -  LOCAÇÃO DE VEÍCULO CATEGORIA I</t>
  </si>
  <si>
    <t>CUSTO FIXO MENSAL</t>
  </si>
  <si>
    <t xml:space="preserve">CUSTOS FIXOS MENSAIS VEÍCULOS </t>
  </si>
  <si>
    <t>Modelo e Marca (Parâmetro)</t>
  </si>
  <si>
    <t>Valor estimado do veículo - para cálculo de depreciação</t>
  </si>
  <si>
    <r>
      <t xml:space="preserve">1 - Depreciação do veículo </t>
    </r>
    <r>
      <rPr>
        <sz val="12"/>
        <color rgb="FFFF0000"/>
        <rFont val="Calibri"/>
        <family val="2"/>
        <scheme val="minor"/>
      </rPr>
      <t xml:space="preserve">
V</t>
    </r>
    <r>
      <rPr>
        <sz val="11"/>
        <color rgb="FFFF0000"/>
        <rFont val="Calibri"/>
        <family val="2"/>
        <scheme val="minor"/>
      </rPr>
      <t>alor mensal de depreciação do veículo foi calculado com base em valor de aquisição, vida útil e valor residual de revenda, conforme a fórmula: D= (Po - P) / n, onde: D - custo mensal de depreciação; Po - valor de mercado veíc. 0 km; P - valor de mercado do veículo com 30 meses de uso; e n - período previsto de utilização do veículo - 30 meses</t>
    </r>
  </si>
  <si>
    <r>
      <t xml:space="preserve">2 - Seguro </t>
    </r>
    <r>
      <rPr>
        <sz val="12"/>
        <color rgb="FFFF0000"/>
        <rFont val="Calibri"/>
        <family val="2"/>
        <scheme val="minor"/>
      </rPr>
      <t>(Informar valor ANUAL dividido por 12 meses)</t>
    </r>
  </si>
  <si>
    <t>Seguro Anual:</t>
  </si>
  <si>
    <r>
      <t xml:space="preserve">3 - Emissão de CRV </t>
    </r>
    <r>
      <rPr>
        <sz val="12"/>
        <color rgb="FFFF0000"/>
        <rFont val="Calibri"/>
        <family val="2"/>
        <scheme val="minor"/>
      </rPr>
      <t>(Valor dividido por 60 meses - vida útil de um veículo segundo a IN RFB nº 1700, de 14 de março de 2017  )</t>
    </r>
  </si>
  <si>
    <t>Emissão de CRV:</t>
  </si>
  <si>
    <r>
      <t xml:space="preserve">4 - Emplacamento </t>
    </r>
    <r>
      <rPr>
        <sz val="12"/>
        <color rgb="FFFF0000"/>
        <rFont val="Calibri"/>
        <family val="2"/>
        <scheme val="minor"/>
      </rPr>
      <t>(Valor dividido por 60 meses - vida útil de um veículo segundo a IN RFB nº 1700, de 14 de março de 2017  )</t>
    </r>
  </si>
  <si>
    <t>Emplacamento:</t>
  </si>
  <si>
    <r>
      <t>5 - Licenciamento</t>
    </r>
    <r>
      <rPr>
        <sz val="12"/>
        <color rgb="FFFF0000"/>
        <rFont val="Calibri"/>
        <family val="2"/>
        <scheme val="minor"/>
      </rPr>
      <t xml:space="preserve"> (Informar valor ANUAL dividido por 12 meses)</t>
    </r>
  </si>
  <si>
    <t>Licenciamento:</t>
  </si>
  <si>
    <r>
      <t>6 - IPVA</t>
    </r>
    <r>
      <rPr>
        <sz val="12"/>
        <color rgb="FFFF0000"/>
        <rFont val="Calibri"/>
        <family val="2"/>
        <scheme val="minor"/>
      </rPr>
      <t xml:space="preserve"> (Informar valor ANUAL dividido por 12 meses)</t>
    </r>
  </si>
  <si>
    <t>IPVA:</t>
  </si>
  <si>
    <r>
      <t>7 - Rastreamento</t>
    </r>
    <r>
      <rPr>
        <sz val="12"/>
        <color rgb="FFFF0000"/>
        <rFont val="Calibri"/>
        <family val="2"/>
        <scheme val="minor"/>
      </rPr>
      <t xml:space="preserve"> (informar valor Mensal)</t>
    </r>
  </si>
  <si>
    <t xml:space="preserve">Subtotal Custos Fixos Veículo </t>
  </si>
  <si>
    <t>INSUMOS FIXOS MENSAIS</t>
  </si>
  <si>
    <r>
      <t>1 - Revisões (Peças, insumos, lubrificantes, mão-de-obra)</t>
    </r>
    <r>
      <rPr>
        <sz val="12"/>
        <color indexed="10"/>
        <rFont val="Calibri"/>
        <family val="2"/>
        <scheme val="minor"/>
      </rPr>
      <t xml:space="preserve"> (informar o valor mensal)</t>
    </r>
  </si>
  <si>
    <r>
      <t xml:space="preserve">4 - Borracharia - Reparo de Pneus </t>
    </r>
    <r>
      <rPr>
        <sz val="12"/>
        <color indexed="10"/>
        <rFont val="Calibri"/>
        <family val="2"/>
        <scheme val="minor"/>
      </rPr>
      <t>(informar o valor mensal) * Estimativa de 2 reparos por ano</t>
    </r>
  </si>
  <si>
    <r>
      <t xml:space="preserve">5 - Outros </t>
    </r>
    <r>
      <rPr>
        <i/>
        <sz val="12"/>
        <color indexed="10"/>
        <rFont val="Calibri"/>
        <family val="2"/>
        <scheme val="minor"/>
      </rPr>
      <t>(especificar e justificar, se houver, e informar valor mensal)</t>
    </r>
  </si>
  <si>
    <t xml:space="preserve">Subtotal Insumos Fixos Veículo 
</t>
  </si>
  <si>
    <t xml:space="preserve">Subtotal Custos Fixos + Insumos Fixos
</t>
  </si>
  <si>
    <t>CARRO RESERVA</t>
  </si>
  <si>
    <t xml:space="preserve">Subtotal Custos Fixos + Insumos + Carro reserva
</t>
  </si>
  <si>
    <t>CUSTOS INDIRETOS, TRIBUTO E LUCRO - CUSTOS FIXOS</t>
  </si>
  <si>
    <t>A- Custos Indiretos (informar %)</t>
  </si>
  <si>
    <t>B - Lucro</t>
  </si>
  <si>
    <r>
      <t xml:space="preserve"> C - Tributos
</t>
    </r>
    <r>
      <rPr>
        <b/>
        <sz val="11"/>
        <color rgb="FFFF0000"/>
        <rFont val="Calibri"/>
        <family val="2"/>
        <scheme val="minor"/>
      </rPr>
      <t/>
    </r>
  </si>
  <si>
    <t>c.1 - Tributos Federais</t>
  </si>
  <si>
    <t>c.1.1 - PIS</t>
  </si>
  <si>
    <t>c.1.2 - COFINS</t>
  </si>
  <si>
    <t>c.2 - Tributos Estaduais</t>
  </si>
  <si>
    <t>c.3 - Tributos Municipais</t>
  </si>
  <si>
    <t xml:space="preserve"> Total Custos Indiretos, Tributos e Lucro SOBRE Custos Fixos de Veículos</t>
  </si>
  <si>
    <t xml:space="preserve">TOTAL CUSTO FIXO POR VEÍCULO </t>
  </si>
  <si>
    <t>Resumo</t>
  </si>
  <si>
    <t>Quantidade de Veículos</t>
  </si>
  <si>
    <t>PESQUISA DE MERCADO E ANÁLISE CRÍTICA DOS PREÇOS - VEÍCULOS</t>
  </si>
  <si>
    <t>Tipo de Veículo</t>
  </si>
  <si>
    <t>ANÁLISE CRÍTICA - PREÇOS EXCESSIVAMENTE ELEVADOS</t>
  </si>
  <si>
    <t>ANÁLISE CRÍTICA - PREÇOS INEXEQUÍVEIS</t>
  </si>
  <si>
    <t>Fonte</t>
  </si>
  <si>
    <t>UASG</t>
  </si>
  <si>
    <t>Nome UASG / Fonte</t>
  </si>
  <si>
    <t>Modalidade</t>
  </si>
  <si>
    <t>Número da Compra</t>
  </si>
  <si>
    <t>Data da Compra/ Consulta</t>
  </si>
  <si>
    <t>Valor Unitário</t>
  </si>
  <si>
    <t>MÉDIA DOS DEMAIS</t>
  </si>
  <si>
    <t>PERCENTUAL EM RELAÇÃO À MÉDIA DOS DEMAIS</t>
  </si>
  <si>
    <t>AVALIAÇÃO</t>
  </si>
  <si>
    <t>Valor Unitário a ser condiderado na média ou mediana</t>
  </si>
  <si>
    <t>I</t>
  </si>
  <si>
    <t xml:space="preserve">Pregão </t>
  </si>
  <si>
    <t>III</t>
  </si>
  <si>
    <t>EXCLUÍDO</t>
  </si>
  <si>
    <t xml:space="preserve">*Obs.: </t>
  </si>
  <si>
    <t>MÉDIA</t>
  </si>
  <si>
    <t>1 - Os preços excessivamente elevados foram excluídos antes da análise dos preços inexequíveis.</t>
  </si>
  <si>
    <t>DESVIO</t>
  </si>
  <si>
    <t>COEFICIENTE</t>
  </si>
  <si>
    <t>MEDIANA</t>
  </si>
  <si>
    <t>Fontes de Pesquisa - art. 5ºda IN 65/2021:</t>
  </si>
  <si>
    <t>I - Painel de Preços (Prazo: até 1 ano)</t>
  </si>
  <si>
    <t>II - Contratações similares da Administração pública (Prazo: até 1 ano)</t>
  </si>
  <si>
    <t>III - Mídias especializadas, tabelas de referência ou sites especializados ou de domínio amplo (Prazo: até 6 meses)</t>
  </si>
  <si>
    <t>IV- Cotação direta com fornecedores (Prazo: até 6 meses)</t>
  </si>
  <si>
    <t>03/2023</t>
  </si>
  <si>
    <t>04/2023</t>
  </si>
  <si>
    <t>15/2023</t>
  </si>
  <si>
    <t>32/2023</t>
  </si>
  <si>
    <t>05/2023</t>
  </si>
  <si>
    <t>08/2023</t>
  </si>
  <si>
    <t>PREFEITURA MUNICIPAL DE VERA CRUZ DO OESTE-PR</t>
  </si>
  <si>
    <t>37/2023</t>
  </si>
  <si>
    <t>PREF.MUN.DE NOVA FRIBURGO</t>
  </si>
  <si>
    <t>COMPOSIÇÃO - DEPRECIAÇÃO</t>
  </si>
  <si>
    <t>CÁLCULO DE DEPRECIAÇÃO</t>
  </si>
  <si>
    <t>VEÍCULO</t>
  </si>
  <si>
    <t>Valor de Mercado - Veic. 0 km (Po)</t>
  </si>
  <si>
    <t>Valor Residual (30 meses) (P)</t>
  </si>
  <si>
    <t>Período de utilização previsto: meses (n)</t>
  </si>
  <si>
    <t>Custo de Depreciação D=(Po-P)/n</t>
  </si>
  <si>
    <t xml:space="preserve">Depreciação (D) </t>
  </si>
  <si>
    <t>O valor mensal de depreciação dos veículos foi calculado com base em valor de aquisição, vida útil e valor residual de revenda, conforme a fórmula apresentada:</t>
  </si>
  <si>
    <t>Onde:</t>
  </si>
  <si>
    <t xml:space="preserve">D: Custo mensal da depreciação; </t>
  </si>
  <si>
    <t>Po: Valor de mercado do veículo (0 quilômetro)</t>
  </si>
  <si>
    <t>P: Valor de mercado do veículo com 30 meses de uso; e</t>
  </si>
  <si>
    <t>n: Período previsto de utilização do veículo (30 meses).</t>
  </si>
  <si>
    <t>PESQUISA DE MERCADO E ANÁLISE CRÍTICA DOS PREÇOS - MANUTENÇÕES/REVISÕES</t>
  </si>
  <si>
    <t>Revisão (km)</t>
  </si>
  <si>
    <t>Valor médio</t>
  </si>
  <si>
    <t>Valor total</t>
  </si>
  <si>
    <t>Quantidade estimada de KM por ano</t>
  </si>
  <si>
    <t>Custo médio por km</t>
  </si>
  <si>
    <t>Custo Anual de manutenção ( qtd anual de km x custo médio por km)</t>
  </si>
  <si>
    <t>Custo Mensal de manutenção ( custo anual de manutenção / 12 meses)</t>
  </si>
  <si>
    <t xml:space="preserve">Obs.: </t>
  </si>
  <si>
    <t>PESQUISA DE MERCADO E ANÁLISE CRÍTICA DOS PREÇOS - SEGURO VEÍCULOS</t>
  </si>
  <si>
    <t>Seguradora</t>
  </si>
  <si>
    <t>Data da Consulta</t>
  </si>
  <si>
    <t>PESQUISA DE MERCADO E ANÁLISE CRÍTICA DOS PREÇOS - RASTREAMENTO VEICULAR</t>
  </si>
  <si>
    <t>Objeto</t>
  </si>
  <si>
    <t>Rastreamento veicular</t>
  </si>
  <si>
    <t>EMBRAPA TRIGOPASSO FUNDO-RS</t>
  </si>
  <si>
    <t>14/2023</t>
  </si>
  <si>
    <t>CONSELHO REG. DE ENGENHARIA E AGRONOMIA DA BA</t>
  </si>
  <si>
    <t>COMPANHIA DE SERV.URBANIZAÇÃO DE GUARAPUAVA</t>
  </si>
  <si>
    <t>22/2023</t>
  </si>
  <si>
    <t>127/2023</t>
  </si>
  <si>
    <t xml:space="preserve"> PREFEITURA MUNICIPAL DE FARROUPILHA</t>
  </si>
  <si>
    <t>174/2023</t>
  </si>
  <si>
    <t>PESQUISA DE MERCADO E ANÁLISE CRÍTICA DOS PREÇOS - LAVAGEM DOS VEÍCULOS</t>
  </si>
  <si>
    <t>COORDENAçãO GERAL DE REC. LOGíSTICOS - MTPS</t>
  </si>
  <si>
    <t>94/2023</t>
  </si>
  <si>
    <t>Dispensa</t>
  </si>
  <si>
    <t>59/2023</t>
  </si>
  <si>
    <t>PESQUISA DE MERCADO E ANÁLISE CRÍTICA DOS PREÇOS - SERVIÇOS DE BORRACHARIA - CONSERTO DE PNEUS</t>
  </si>
  <si>
    <t>CONS INTERM DE REDE URGENCIA SUDOESTE PR</t>
  </si>
  <si>
    <t>PREFEITURA MUN. DE SAO JOSE DA BELA VISTA</t>
  </si>
  <si>
    <t>39/2023</t>
  </si>
  <si>
    <t>PREFEITURA MUNICIPAL DE SALTO DO LONTRA - PR</t>
  </si>
  <si>
    <t>67/2023</t>
  </si>
  <si>
    <t>TRIBUNAL DE JUSTIÇA DO ESTADO DO ACRE</t>
  </si>
  <si>
    <t>PMA - PREFEITURA MUNICIPAL DE ASSIS - SP</t>
  </si>
  <si>
    <t>124/2023</t>
  </si>
  <si>
    <t>Manta magnética adevisa, medindo 450x220cm, atendendo as especificações da IN 03/2008 - Unidade: par</t>
  </si>
  <si>
    <t>Site Sinal Center</t>
  </si>
  <si>
    <t>Site DKJ.online</t>
  </si>
  <si>
    <t>Site New Colors Print</t>
  </si>
  <si>
    <t>Site Ponto Decorativo</t>
  </si>
  <si>
    <t>Site Portal Banners.com.br</t>
  </si>
  <si>
    <t>RESULTADO</t>
  </si>
  <si>
    <r>
      <t xml:space="preserve">2 - Adesivo magnetizado </t>
    </r>
    <r>
      <rPr>
        <sz val="12"/>
        <color indexed="10"/>
        <rFont val="Calibri"/>
        <family val="2"/>
        <scheme val="minor"/>
      </rPr>
      <t>(Informar valor ANUAL dividido por 12 meses)</t>
    </r>
    <r>
      <rPr>
        <sz val="12"/>
        <rFont val="Calibri"/>
        <family val="2"/>
        <scheme val="minor"/>
      </rPr>
      <t xml:space="preserve"> </t>
    </r>
  </si>
  <si>
    <t>FUNDAÇÃO NACIONAL DE SAÚDE</t>
  </si>
  <si>
    <t>90006/2024</t>
  </si>
  <si>
    <t>VEÍCULO - CATEGORIA I: PICK-UP 4X4</t>
  </si>
  <si>
    <t>PREFEITURA MUNICIPAL DE PARNAMIRIM - RN</t>
  </si>
  <si>
    <t>02/2023</t>
  </si>
  <si>
    <t>FUNAI - COORDENACAO REGIONAL DE CUIABÁ</t>
  </si>
  <si>
    <t xml:space="preserve"> INSTITUTO DE ASSIST.TÉCN.EXT.RURAL DE RORAIMA</t>
  </si>
  <si>
    <t>PREFEITURA MUNICIPAL DE GENTIO DO OURO - BA</t>
  </si>
  <si>
    <t>7 BATALHAO DE ENGENHARIA DE CONSTRUCAO-MEX-AC</t>
  </si>
  <si>
    <t>CENTRO DE OBTENÇÕES DO EXÉRCITO</t>
  </si>
  <si>
    <t>25/2023</t>
  </si>
  <si>
    <t>PREFEITURA MUNICIPAL DE PEDRA DO ANTA - MG</t>
  </si>
  <si>
    <t>PREFEIRURA MUNICIPAL DE CRUZEIRO DO SUL - AC</t>
  </si>
  <si>
    <t>27/2023</t>
  </si>
  <si>
    <t>Veículo Categoria I - Pick-up 4x4</t>
  </si>
  <si>
    <t>INST.CAPIXABA DE PESQ.ASSIST.TÉC.E EXT.RURAL</t>
  </si>
  <si>
    <t>31/2023</t>
  </si>
  <si>
    <t>SECRETARIA DA EDUCAÇÃO DO ESTADO DO TOCANTINS</t>
  </si>
  <si>
    <t>CIA DE DESENV. DO VALE DO SAO FRANCISCO-DF</t>
  </si>
  <si>
    <t>53/2023</t>
  </si>
  <si>
    <t>57/2023</t>
  </si>
  <si>
    <t>119/2023</t>
  </si>
  <si>
    <t xml:space="preserve"> PREFEITURA MUNICIPAL DE MARINGA - PR</t>
  </si>
  <si>
    <t>305/2023</t>
  </si>
  <si>
    <t>PREFEITURA MUNICIPAL DE ITAÚNA DO SUL - PR</t>
  </si>
  <si>
    <t>Categoria I - Pick-up 4x4</t>
  </si>
  <si>
    <t>Modelo de veículos - Categoria I - Pick-up 4x4</t>
  </si>
  <si>
    <t>Toyota - Hilux</t>
  </si>
  <si>
    <t>Chevrolet - S-10</t>
  </si>
  <si>
    <t>Nissan - Frontier</t>
  </si>
  <si>
    <t>Mitsubishi L200</t>
  </si>
  <si>
    <t>Ford Ranger</t>
  </si>
  <si>
    <t>Volkswagen Amarok</t>
  </si>
  <si>
    <t>Valor por Km (Total /100.000 km)*</t>
  </si>
  <si>
    <t xml:space="preserve">Veículo Categoria I - Pick-up 4x4 </t>
  </si>
  <si>
    <t>Porto Seguros (Toyota Hilux)</t>
  </si>
  <si>
    <t>Tokio Marine (Nissan Frontier)</t>
  </si>
  <si>
    <t>Porto Seguros (Mitsubishi L200)</t>
  </si>
  <si>
    <t>Tokio Marine (Ford Ranger)</t>
  </si>
  <si>
    <t>Tokio Marine (Chevrolet S-10)</t>
  </si>
  <si>
    <t>JUSTICA FEDERAL DE 1A. INSTANCIA-MT</t>
  </si>
  <si>
    <t>90047/2024</t>
  </si>
  <si>
    <t>Lavagem veicular completa - Veículos Utilitários</t>
  </si>
  <si>
    <t>MINISTéRIO PúBLICO DO ESTADO DO MATO GROSSO</t>
  </si>
  <si>
    <t>900014/2024</t>
  </si>
  <si>
    <t xml:space="preserve">Serviço de reparo de pneus de veículos utilitários </t>
  </si>
  <si>
    <t xml:space="preserve">PESQUISA DE MERCADO E ANÁLISE CRÍTICA DOS PREÇOS - MANTA MAGNÉTICA ADESIVA </t>
  </si>
  <si>
    <r>
      <t xml:space="preserve">3 - Lavagens </t>
    </r>
    <r>
      <rPr>
        <sz val="12"/>
        <color indexed="10"/>
        <rFont val="Calibri"/>
        <family val="2"/>
        <scheme val="minor"/>
      </rPr>
      <t>(informar o valor mensal) * Previsão mínima de 3 lavagens completas por mês</t>
    </r>
  </si>
  <si>
    <t>TOTAL CUSTO FIXO MENSAL</t>
  </si>
  <si>
    <t xml:space="preserve"> CUSTO TOTAL MENSAL</t>
  </si>
  <si>
    <t xml:space="preserve"> CUSTO TOTAL GLOBAL (12 MESES)</t>
  </si>
  <si>
    <t>Valor Total por Posto para 12 meses (E)</t>
  </si>
  <si>
    <t>Valor Global para 12 meses (F)</t>
  </si>
  <si>
    <t>D = B x 12meses</t>
  </si>
  <si>
    <t>E = D x C</t>
  </si>
  <si>
    <r>
      <t xml:space="preserve">Locação mensal de </t>
    </r>
    <r>
      <rPr>
        <b/>
        <sz val="11"/>
        <color rgb="FF000000"/>
        <rFont val="Calibri"/>
        <family val="2"/>
        <scheme val="minor"/>
      </rPr>
      <t xml:space="preserve">Veículo Categoria I - Pick-up 4x4 - </t>
    </r>
    <r>
      <rPr>
        <sz val="11"/>
        <color rgb="FF000000"/>
        <rFont val="Calibri"/>
        <family val="2"/>
        <scheme val="minor"/>
      </rPr>
      <t>Quilometragem livre, sem combustível</t>
    </r>
  </si>
  <si>
    <t>90 DIAS</t>
  </si>
  <si>
    <t>CATSER</t>
  </si>
  <si>
    <t>VALOR GLOBAL DOS SERVIÇOS - GRUPO 1 (12 MESES)</t>
  </si>
  <si>
    <t>*As revisões da Mitsubishi L200 o valor total foi dividido por 60.000 km.</t>
  </si>
  <si>
    <t>1 - Carro reserva (valor fixo + insumos fixos/ 30 dias = valor de 1 diária x 3 diárias ao ano / 12 meses)- Previsão de 3 diárias a cada 12 meses (1 dia para revisão a cada 10.000 km considerando a média anual de 30.000 km a serem rodados)</t>
  </si>
  <si>
    <r>
      <t xml:space="preserve">8 - Custo de Capital/Oportunidade </t>
    </r>
    <r>
      <rPr>
        <sz val="12"/>
        <color rgb="FFFF0000"/>
        <rFont val="Calibri"/>
        <family val="2"/>
        <scheme val="minor"/>
      </rPr>
      <t>(informar valor Mensal)</t>
    </r>
    <r>
      <rPr>
        <sz val="12"/>
        <rFont val="Calibri"/>
        <family val="2"/>
        <scheme val="minor"/>
      </rPr>
      <t xml:space="preserve"> - (</t>
    </r>
    <r>
      <rPr>
        <sz val="12"/>
        <color rgb="FFFF0000"/>
        <rFont val="Calibri"/>
        <family val="2"/>
        <scheme val="minor"/>
      </rPr>
      <t>Taxa de Remuneração Anual - SELIC</t>
    </r>
    <r>
      <rPr>
        <sz val="12"/>
        <rFont val="Calibri"/>
        <family val="2"/>
        <scheme val="minor"/>
      </rPr>
      <t xml:space="preserve"> </t>
    </r>
    <r>
      <rPr>
        <sz val="12"/>
        <color rgb="FFFF0000"/>
        <rFont val="Calibri"/>
        <family val="2"/>
        <scheme val="minor"/>
      </rPr>
      <t>acumulada Abr/24)</t>
    </r>
  </si>
  <si>
    <t>QUADRO RESUMO PROPOSTA</t>
  </si>
  <si>
    <t>OBSERVAÇÃO: Nos preços propostos, estão inclusos todos os custos necessários para a prestação dos serviços, todas as despesas com encargos trabalhistas, previdenciários, fiscais, comerciais, taxas ou quaisquer outras despesas que incidam ou venham a incidir sobre o objeto e que influenciem na formação dos preços desta proposta.</t>
  </si>
  <si>
    <t>SUPERINTENDÊNCIA ESTADUAL NO MARANHÃO</t>
  </si>
  <si>
    <t>PROCESSO ADMINISTRATIVO Nº 25170.000.266/2024 - 15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</si>
</sst>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_(&quot;R$ &quot;* #,##0.00_);_(&quot;R$ &quot;* \(#,##0.00\);_(&quot;R$ &quot;* &quot;-&quot;??_);_(@_)"/>
    <numFmt numFmtId="167" formatCode="_(&quot;R$&quot;* #,##0.00_);_(&quot;R$&quot;* \(#,##0.00\);_(&quot;R$&quot;* &quot;-&quot;??_);_(@_)"/>
    <numFmt numFmtId="168" formatCode="_(* #,##0.00_);_(* \(#,##0.00\);_(* \-??_);_(@_)"/>
    <numFmt numFmtId="169" formatCode="&quot;R$&quot;\ #,##0.00"/>
  </numFmts>
  <fonts count="7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9"/>
      <color indexed="10"/>
      <name val="Geneva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1"/>
      <name val="Cambria"/>
      <family val="1"/>
      <scheme val="major"/>
    </font>
    <font>
      <b/>
      <sz val="11"/>
      <color theme="0"/>
      <name val="Cambria"/>
      <family val="1"/>
      <scheme val="major"/>
    </font>
    <font>
      <b/>
      <sz val="11"/>
      <color rgb="FF000000"/>
      <name val="Cambria"/>
      <family val="1"/>
      <scheme val="major"/>
    </font>
    <font>
      <sz val="11"/>
      <color rgb="FF000000"/>
      <name val="Calibri"/>
      <family val="2"/>
    </font>
    <font>
      <sz val="11"/>
      <color theme="1"/>
      <name val="Cambria"/>
      <family val="1"/>
      <scheme val="major"/>
    </font>
    <font>
      <b/>
      <u/>
      <sz val="12"/>
      <color indexed="8"/>
      <name val="Ecofont_Spranq_eco_Sans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i/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indexed="10"/>
      <name val="Calibri"/>
      <family val="2"/>
      <scheme val="minor"/>
    </font>
    <font>
      <i/>
      <sz val="12"/>
      <color indexed="10"/>
      <name val="Calibri"/>
      <family val="2"/>
      <scheme val="minor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rgb="FFFF0000"/>
      <name val="Calibri"/>
      <family val="2"/>
      <scheme val="minor"/>
    </font>
    <font>
      <b/>
      <u/>
      <sz val="10"/>
      <name val="Arial"/>
      <family val="2"/>
    </font>
    <font>
      <sz val="11"/>
      <color theme="1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</fonts>
  <fills count="4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B8CCE4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3" tint="0.39997558519241921"/>
        <bgColor rgb="FF000000"/>
      </patternFill>
    </fill>
  </fills>
  <borders count="1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204">
    <xf numFmtId="0" fontId="0" fillId="0" borderId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5" fillId="16" borderId="1" applyNumberFormat="0" applyAlignment="0" applyProtection="0"/>
    <xf numFmtId="0" fontId="15" fillId="16" borderId="1" applyNumberFormat="0" applyAlignment="0" applyProtection="0"/>
    <xf numFmtId="0" fontId="15" fillId="16" borderId="1" applyNumberFormat="0" applyAlignment="0" applyProtection="0"/>
    <xf numFmtId="0" fontId="15" fillId="16" borderId="1" applyNumberFormat="0" applyAlignment="0" applyProtection="0"/>
    <xf numFmtId="0" fontId="29" fillId="0" borderId="0"/>
    <xf numFmtId="0" fontId="29" fillId="0" borderId="0"/>
    <xf numFmtId="0" fontId="29" fillId="0" borderId="0"/>
    <xf numFmtId="0" fontId="16" fillId="17" borderId="2" applyNumberFormat="0" applyAlignment="0" applyProtection="0"/>
    <xf numFmtId="0" fontId="16" fillId="17" borderId="2" applyNumberFormat="0" applyAlignment="0" applyProtection="0"/>
    <xf numFmtId="0" fontId="16" fillId="17" borderId="2" applyNumberFormat="0" applyAlignment="0" applyProtection="0"/>
    <xf numFmtId="0" fontId="16" fillId="17" borderId="2" applyNumberFormat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21" borderId="0" applyNumberFormat="0" applyBorder="0" applyAlignment="0" applyProtection="0"/>
    <xf numFmtId="0" fontId="13" fillId="21" borderId="0" applyNumberFormat="0" applyBorder="0" applyAlignment="0" applyProtection="0"/>
    <xf numFmtId="0" fontId="13" fillId="21" borderId="0" applyNumberFormat="0" applyBorder="0" applyAlignment="0" applyProtection="0"/>
    <xf numFmtId="0" fontId="13" fillId="21" borderId="0" applyNumberFormat="0" applyBorder="0" applyAlignment="0" applyProtection="0"/>
    <xf numFmtId="0" fontId="18" fillId="7" borderId="1" applyNumberFormat="0" applyAlignment="0" applyProtection="0"/>
    <xf numFmtId="0" fontId="18" fillId="7" borderId="1" applyNumberFormat="0" applyAlignment="0" applyProtection="0"/>
    <xf numFmtId="0" fontId="18" fillId="7" borderId="1" applyNumberFormat="0" applyAlignment="0" applyProtection="0"/>
    <xf numFmtId="0" fontId="18" fillId="7" borderId="1" applyNumberFormat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167" fontId="31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32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4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0" fillId="0" borderId="0" applyFont="0" applyFill="0" applyBorder="0" applyAlignment="0" applyProtection="0"/>
    <xf numFmtId="44" fontId="10" fillId="0" borderId="0" applyFill="0" applyBorder="0" applyAlignment="0" applyProtection="0"/>
    <xf numFmtId="167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44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166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31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30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31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36" fillId="0" borderId="0"/>
    <xf numFmtId="0" fontId="10" fillId="0" borderId="0"/>
    <xf numFmtId="0" fontId="10" fillId="0" borderId="0"/>
    <xf numFmtId="0" fontId="3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23" borderId="4" applyNumberFormat="0" applyFont="0" applyAlignment="0" applyProtection="0"/>
    <xf numFmtId="0" fontId="12" fillId="23" borderId="4" applyNumberFormat="0" applyFont="0" applyAlignment="0" applyProtection="0"/>
    <xf numFmtId="0" fontId="12" fillId="23" borderId="4" applyNumberFormat="0" applyFont="0" applyAlignment="0" applyProtection="0"/>
    <xf numFmtId="0" fontId="12" fillId="23" borderId="4" applyNumberFormat="0" applyFont="0" applyAlignment="0" applyProtection="0"/>
    <xf numFmtId="9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21" fillId="16" borderId="5" applyNumberFormat="0" applyAlignment="0" applyProtection="0"/>
    <xf numFmtId="0" fontId="21" fillId="16" borderId="5" applyNumberFormat="0" applyAlignment="0" applyProtection="0"/>
    <xf numFmtId="0" fontId="21" fillId="16" borderId="5" applyNumberFormat="0" applyAlignment="0" applyProtection="0"/>
    <xf numFmtId="0" fontId="21" fillId="16" borderId="5" applyNumberFormat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0" fillId="0" borderId="0" applyFont="0" applyFill="0" applyBorder="0" applyAlignment="0" applyProtection="0"/>
    <xf numFmtId="168" fontId="10" fillId="0" borderId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31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33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6" fillId="0" borderId="7" applyNumberFormat="0" applyFill="0" applyAlignment="0" applyProtection="0"/>
    <xf numFmtId="0" fontId="26" fillId="0" borderId="7" applyNumberFormat="0" applyFill="0" applyAlignment="0" applyProtection="0"/>
    <xf numFmtId="0" fontId="26" fillId="0" borderId="7" applyNumberFormat="0" applyFill="0" applyAlignment="0" applyProtection="0"/>
    <xf numFmtId="0" fontId="26" fillId="0" borderId="7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165" fontId="35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9" fillId="0" borderId="0"/>
    <xf numFmtId="0" fontId="8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5" fillId="16" borderId="10" applyNumberFormat="0" applyAlignment="0" applyProtection="0"/>
    <xf numFmtId="0" fontId="15" fillId="16" borderId="10" applyNumberFormat="0" applyAlignment="0" applyProtection="0"/>
    <xf numFmtId="0" fontId="15" fillId="16" borderId="10" applyNumberFormat="0" applyAlignment="0" applyProtection="0"/>
    <xf numFmtId="0" fontId="15" fillId="16" borderId="10" applyNumberFormat="0" applyAlignment="0" applyProtection="0"/>
    <xf numFmtId="0" fontId="18" fillId="7" borderId="10" applyNumberFormat="0" applyAlignment="0" applyProtection="0"/>
    <xf numFmtId="0" fontId="18" fillId="7" borderId="10" applyNumberFormat="0" applyAlignment="0" applyProtection="0"/>
    <xf numFmtId="0" fontId="18" fillId="7" borderId="10" applyNumberFormat="0" applyAlignment="0" applyProtection="0"/>
    <xf numFmtId="0" fontId="18" fillId="7" borderId="10" applyNumberFormat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ill="0" applyBorder="0" applyAlignment="0" applyProtection="0"/>
    <xf numFmtId="44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44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2" fillId="23" borderId="11" applyNumberFormat="0" applyFont="0" applyAlignment="0" applyProtection="0"/>
    <xf numFmtId="0" fontId="12" fillId="23" borderId="11" applyNumberFormat="0" applyFont="0" applyAlignment="0" applyProtection="0"/>
    <xf numFmtId="0" fontId="12" fillId="23" borderId="11" applyNumberFormat="0" applyFont="0" applyAlignment="0" applyProtection="0"/>
    <xf numFmtId="0" fontId="12" fillId="23" borderId="11" applyNumberFormat="0" applyFont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21" fillId="16" borderId="12" applyNumberFormat="0" applyAlignment="0" applyProtection="0"/>
    <xf numFmtId="0" fontId="21" fillId="16" borderId="12" applyNumberFormat="0" applyAlignment="0" applyProtection="0"/>
    <xf numFmtId="0" fontId="21" fillId="16" borderId="12" applyNumberFormat="0" applyAlignment="0" applyProtection="0"/>
    <xf numFmtId="0" fontId="21" fillId="16" borderId="12" applyNumberFormat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8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9" fillId="0" borderId="0" applyFont="0" applyFill="0" applyBorder="0" applyAlignment="0" applyProtection="0"/>
    <xf numFmtId="0" fontId="15" fillId="16" borderId="10" applyNumberFormat="0" applyAlignment="0" applyProtection="0"/>
    <xf numFmtId="0" fontId="15" fillId="16" borderId="10" applyNumberFormat="0" applyAlignment="0" applyProtection="0"/>
    <xf numFmtId="0" fontId="15" fillId="16" borderId="10" applyNumberFormat="0" applyAlignment="0" applyProtection="0"/>
    <xf numFmtId="0" fontId="15" fillId="16" borderId="10" applyNumberFormat="0" applyAlignment="0" applyProtection="0"/>
    <xf numFmtId="0" fontId="18" fillId="7" borderId="10" applyNumberFormat="0" applyAlignment="0" applyProtection="0"/>
    <xf numFmtId="0" fontId="18" fillId="7" borderId="10" applyNumberFormat="0" applyAlignment="0" applyProtection="0"/>
    <xf numFmtId="0" fontId="18" fillId="7" borderId="10" applyNumberFormat="0" applyAlignment="0" applyProtection="0"/>
    <xf numFmtId="0" fontId="18" fillId="7" borderId="10" applyNumberFormat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ill="0" applyBorder="0" applyAlignment="0" applyProtection="0"/>
    <xf numFmtId="44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44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21" fillId="16" borderId="12" applyNumberFormat="0" applyAlignment="0" applyProtection="0"/>
    <xf numFmtId="0" fontId="21" fillId="16" borderId="12" applyNumberFormat="0" applyAlignment="0" applyProtection="0"/>
    <xf numFmtId="0" fontId="21" fillId="16" borderId="12" applyNumberFormat="0" applyAlignment="0" applyProtection="0"/>
    <xf numFmtId="0" fontId="21" fillId="16" borderId="12" applyNumberFormat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8" fontId="9" fillId="0" borderId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9" fillId="0" borderId="0" applyFont="0" applyFill="0" applyBorder="0" applyAlignment="0" applyProtection="0"/>
    <xf numFmtId="0" fontId="9" fillId="0" borderId="0"/>
    <xf numFmtId="0" fontId="7" fillId="0" borderId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6" fillId="0" borderId="0"/>
    <xf numFmtId="0" fontId="5" fillId="0" borderId="0"/>
    <xf numFmtId="164" fontId="5" fillId="0" borderId="0" applyFont="0" applyFill="0" applyBorder="0" applyAlignment="0" applyProtection="0"/>
    <xf numFmtId="0" fontId="4" fillId="0" borderId="0"/>
    <xf numFmtId="0" fontId="3" fillId="0" borderId="0"/>
    <xf numFmtId="165" fontId="9" fillId="0" borderId="0" applyFont="0" applyFill="0" applyBorder="0" applyAlignment="0" applyProtection="0"/>
    <xf numFmtId="0" fontId="3" fillId="0" borderId="0"/>
    <xf numFmtId="165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18" fillId="7" borderId="70" applyNumberFormat="0" applyAlignment="0" applyProtection="0"/>
    <xf numFmtId="0" fontId="18" fillId="7" borderId="42" applyNumberFormat="0" applyAlignment="0" applyProtection="0"/>
    <xf numFmtId="0" fontId="18" fillId="7" borderId="38" applyNumberFormat="0" applyAlignment="0" applyProtection="0"/>
    <xf numFmtId="0" fontId="21" fillId="16" borderId="48" applyNumberFormat="0" applyAlignment="0" applyProtection="0"/>
    <xf numFmtId="0" fontId="18" fillId="7" borderId="18" applyNumberFormat="0" applyAlignment="0" applyProtection="0"/>
    <xf numFmtId="0" fontId="18" fillId="7" borderId="18" applyNumberFormat="0" applyAlignment="0" applyProtection="0"/>
    <xf numFmtId="0" fontId="18" fillId="7" borderId="18" applyNumberFormat="0" applyAlignment="0" applyProtection="0"/>
    <xf numFmtId="0" fontId="18" fillId="7" borderId="18" applyNumberFormat="0" applyAlignment="0" applyProtection="0"/>
    <xf numFmtId="0" fontId="15" fillId="16" borderId="18" applyNumberFormat="0" applyAlignment="0" applyProtection="0"/>
    <xf numFmtId="0" fontId="15" fillId="16" borderId="18" applyNumberFormat="0" applyAlignment="0" applyProtection="0"/>
    <xf numFmtId="0" fontId="15" fillId="16" borderId="18" applyNumberFormat="0" applyAlignment="0" applyProtection="0"/>
    <xf numFmtId="0" fontId="15" fillId="16" borderId="18" applyNumberFormat="0" applyAlignment="0" applyProtection="0"/>
    <xf numFmtId="0" fontId="12" fillId="23" borderId="31" applyNumberFormat="0" applyFont="0" applyAlignment="0" applyProtection="0"/>
    <xf numFmtId="0" fontId="15" fillId="16" borderId="54" applyNumberFormat="0" applyAlignment="0" applyProtection="0"/>
    <xf numFmtId="0" fontId="15" fillId="16" borderId="34" applyNumberFormat="0" applyAlignment="0" applyProtection="0"/>
    <xf numFmtId="0" fontId="28" fillId="0" borderId="49" applyNumberFormat="0" applyFill="0" applyAlignment="0" applyProtection="0"/>
    <xf numFmtId="0" fontId="28" fillId="0" borderId="21" applyNumberFormat="0" applyFill="0" applyAlignment="0" applyProtection="0"/>
    <xf numFmtId="0" fontId="28" fillId="0" borderId="21" applyNumberFormat="0" applyFill="0" applyAlignment="0" applyProtection="0"/>
    <xf numFmtId="0" fontId="28" fillId="0" borderId="21" applyNumberFormat="0" applyFill="0" applyAlignment="0" applyProtection="0"/>
    <xf numFmtId="0" fontId="28" fillId="0" borderId="21" applyNumberFormat="0" applyFill="0" applyAlignment="0" applyProtection="0"/>
    <xf numFmtId="0" fontId="18" fillId="7" borderId="26" applyNumberFormat="0" applyAlignment="0" applyProtection="0"/>
    <xf numFmtId="0" fontId="28" fillId="0" borderId="37" applyNumberFormat="0" applyFill="0" applyAlignment="0" applyProtection="0"/>
    <xf numFmtId="0" fontId="21" fillId="16" borderId="44" applyNumberFormat="0" applyAlignment="0" applyProtection="0"/>
    <xf numFmtId="0" fontId="15" fillId="16" borderId="78" applyNumberFormat="0" applyAlignment="0" applyProtection="0"/>
    <xf numFmtId="0" fontId="18" fillId="7" borderId="42" applyNumberFormat="0" applyAlignment="0" applyProtection="0"/>
    <xf numFmtId="0" fontId="21" fillId="16" borderId="48" applyNumberFormat="0" applyAlignment="0" applyProtection="0"/>
    <xf numFmtId="0" fontId="15" fillId="16" borderId="46" applyNumberFormat="0" applyAlignment="0" applyProtection="0"/>
    <xf numFmtId="0" fontId="21" fillId="16" borderId="36" applyNumberFormat="0" applyAlignment="0" applyProtection="0"/>
    <xf numFmtId="0" fontId="21" fillId="16" borderId="32" applyNumberFormat="0" applyAlignment="0" applyProtection="0"/>
    <xf numFmtId="0" fontId="21" fillId="16" borderId="20" applyNumberFormat="0" applyAlignment="0" applyProtection="0"/>
    <xf numFmtId="0" fontId="21" fillId="16" borderId="20" applyNumberFormat="0" applyAlignment="0" applyProtection="0"/>
    <xf numFmtId="0" fontId="21" fillId="16" borderId="20" applyNumberFormat="0" applyAlignment="0" applyProtection="0"/>
    <xf numFmtId="0" fontId="21" fillId="16" borderId="20" applyNumberFormat="0" applyAlignment="0" applyProtection="0"/>
    <xf numFmtId="0" fontId="12" fillId="23" borderId="55" applyNumberFormat="0" applyFont="0" applyAlignment="0" applyProtection="0"/>
    <xf numFmtId="0" fontId="12" fillId="23" borderId="43" applyNumberFormat="0" applyFont="0" applyAlignment="0" applyProtection="0"/>
    <xf numFmtId="0" fontId="15" fillId="16" borderId="30" applyNumberFormat="0" applyAlignment="0" applyProtection="0"/>
    <xf numFmtId="0" fontId="12" fillId="23" borderId="31" applyNumberFormat="0" applyFont="0" applyAlignment="0" applyProtection="0"/>
    <xf numFmtId="0" fontId="15" fillId="16" borderId="42" applyNumberFormat="0" applyAlignment="0" applyProtection="0"/>
    <xf numFmtId="0" fontId="21" fillId="16" borderId="64" applyNumberFormat="0" applyAlignment="0" applyProtection="0"/>
    <xf numFmtId="0" fontId="18" fillId="7" borderId="46" applyNumberFormat="0" applyAlignment="0" applyProtection="0"/>
    <xf numFmtId="0" fontId="28" fillId="0" borderId="37" applyNumberFormat="0" applyFill="0" applyAlignment="0" applyProtection="0"/>
    <xf numFmtId="0" fontId="12" fillId="23" borderId="4" applyNumberFormat="0" applyFont="0" applyAlignment="0" applyProtection="0"/>
    <xf numFmtId="0" fontId="18" fillId="7" borderId="46" applyNumberFormat="0" applyAlignment="0" applyProtection="0"/>
    <xf numFmtId="0" fontId="18" fillId="7" borderId="50" applyNumberFormat="0" applyAlignment="0" applyProtection="0"/>
    <xf numFmtId="0" fontId="15" fillId="16" borderId="54" applyNumberFormat="0" applyAlignment="0" applyProtection="0"/>
    <xf numFmtId="0" fontId="21" fillId="16" borderId="32" applyNumberFormat="0" applyAlignment="0" applyProtection="0"/>
    <xf numFmtId="0" fontId="12" fillId="23" borderId="19" applyNumberFormat="0" applyFont="0" applyAlignment="0" applyProtection="0"/>
    <xf numFmtId="0" fontId="12" fillId="23" borderId="19" applyNumberFormat="0" applyFont="0" applyAlignment="0" applyProtection="0"/>
    <xf numFmtId="0" fontId="12" fillId="23" borderId="19" applyNumberFormat="0" applyFont="0" applyAlignment="0" applyProtection="0"/>
    <xf numFmtId="0" fontId="12" fillId="23" borderId="19" applyNumberFormat="0" applyFont="0" applyAlignment="0" applyProtection="0"/>
    <xf numFmtId="0" fontId="18" fillId="7" borderId="34" applyNumberFormat="0" applyAlignment="0" applyProtection="0"/>
    <xf numFmtId="0" fontId="15" fillId="16" borderId="30" applyNumberFormat="0" applyAlignment="0" applyProtection="0"/>
    <xf numFmtId="0" fontId="15" fillId="16" borderId="62" applyNumberFormat="0" applyAlignment="0" applyProtection="0"/>
    <xf numFmtId="0" fontId="21" fillId="16" borderId="32" applyNumberFormat="0" applyAlignment="0" applyProtection="0"/>
    <xf numFmtId="0" fontId="15" fillId="16" borderId="34" applyNumberFormat="0" applyAlignment="0" applyProtection="0"/>
    <xf numFmtId="0" fontId="21" fillId="16" borderId="56" applyNumberFormat="0" applyAlignment="0" applyProtection="0"/>
    <xf numFmtId="0" fontId="12" fillId="23" borderId="39" applyNumberFormat="0" applyFont="0" applyAlignment="0" applyProtection="0"/>
    <xf numFmtId="0" fontId="18" fillId="7" borderId="42" applyNumberFormat="0" applyAlignment="0" applyProtection="0"/>
    <xf numFmtId="0" fontId="21" fillId="16" borderId="64" applyNumberFormat="0" applyAlignment="0" applyProtection="0"/>
    <xf numFmtId="0" fontId="12" fillId="23" borderId="43" applyNumberFormat="0" applyFont="0" applyAlignment="0" applyProtection="0"/>
    <xf numFmtId="0" fontId="21" fillId="16" borderId="52" applyNumberFormat="0" applyAlignment="0" applyProtection="0"/>
    <xf numFmtId="0" fontId="18" fillId="7" borderId="50" applyNumberFormat="0" applyAlignment="0" applyProtection="0"/>
    <xf numFmtId="0" fontId="15" fillId="16" borderId="50" applyNumberFormat="0" applyAlignment="0" applyProtection="0"/>
    <xf numFmtId="0" fontId="21" fillId="16" borderId="28" applyNumberFormat="0" applyAlignment="0" applyProtection="0"/>
    <xf numFmtId="0" fontId="21" fillId="16" borderId="44" applyNumberFormat="0" applyAlignment="0" applyProtection="0"/>
    <xf numFmtId="0" fontId="21" fillId="16" borderId="28" applyNumberFormat="0" applyAlignment="0" applyProtection="0"/>
    <xf numFmtId="0" fontId="28" fillId="0" borderId="29" applyNumberFormat="0" applyFill="0" applyAlignment="0" applyProtection="0"/>
    <xf numFmtId="0" fontId="28" fillId="0" borderId="29" applyNumberFormat="0" applyFill="0" applyAlignment="0" applyProtection="0"/>
    <xf numFmtId="0" fontId="15" fillId="16" borderId="38" applyNumberFormat="0" applyAlignment="0" applyProtection="0"/>
    <xf numFmtId="0" fontId="12" fillId="23" borderId="51" applyNumberFormat="0" applyFont="0" applyAlignment="0" applyProtection="0"/>
    <xf numFmtId="0" fontId="15" fillId="16" borderId="78" applyNumberFormat="0" applyAlignment="0" applyProtection="0"/>
    <xf numFmtId="0" fontId="15" fillId="16" borderId="22" applyNumberFormat="0" applyAlignment="0" applyProtection="0"/>
    <xf numFmtId="0" fontId="18" fillId="7" borderId="22" applyNumberFormat="0" applyAlignment="0" applyProtection="0"/>
    <xf numFmtId="0" fontId="18" fillId="7" borderId="22" applyNumberFormat="0" applyAlignment="0" applyProtection="0"/>
    <xf numFmtId="0" fontId="21" fillId="16" borderId="32" applyNumberFormat="0" applyAlignment="0" applyProtection="0"/>
    <xf numFmtId="0" fontId="18" fillId="7" borderId="58" applyNumberFormat="0" applyAlignment="0" applyProtection="0"/>
    <xf numFmtId="0" fontId="15" fillId="16" borderId="58" applyNumberFormat="0" applyAlignment="0" applyProtection="0"/>
    <xf numFmtId="0" fontId="18" fillId="7" borderId="62" applyNumberFormat="0" applyAlignment="0" applyProtection="0"/>
    <xf numFmtId="0" fontId="18" fillId="7" borderId="74" applyNumberFormat="0" applyAlignment="0" applyProtection="0"/>
    <xf numFmtId="0" fontId="18" fillId="7" borderId="18" applyNumberFormat="0" applyAlignment="0" applyProtection="0"/>
    <xf numFmtId="0" fontId="18" fillId="7" borderId="18" applyNumberFormat="0" applyAlignment="0" applyProtection="0"/>
    <xf numFmtId="0" fontId="18" fillId="7" borderId="18" applyNumberFormat="0" applyAlignment="0" applyProtection="0"/>
    <xf numFmtId="0" fontId="18" fillId="7" borderId="18" applyNumberFormat="0" applyAlignment="0" applyProtection="0"/>
    <xf numFmtId="0" fontId="15" fillId="16" borderId="18" applyNumberFormat="0" applyAlignment="0" applyProtection="0"/>
    <xf numFmtId="0" fontId="15" fillId="16" borderId="18" applyNumberFormat="0" applyAlignment="0" applyProtection="0"/>
    <xf numFmtId="0" fontId="15" fillId="16" borderId="18" applyNumberFormat="0" applyAlignment="0" applyProtection="0"/>
    <xf numFmtId="0" fontId="15" fillId="16" borderId="18" applyNumberFormat="0" applyAlignment="0" applyProtection="0"/>
    <xf numFmtId="0" fontId="18" fillId="7" borderId="26" applyNumberFormat="0" applyAlignment="0" applyProtection="0"/>
    <xf numFmtId="0" fontId="12" fillId="23" borderId="47" applyNumberFormat="0" applyFont="0" applyAlignment="0" applyProtection="0"/>
    <xf numFmtId="0" fontId="18" fillId="7" borderId="30" applyNumberFormat="0" applyAlignment="0" applyProtection="0"/>
    <xf numFmtId="0" fontId="15" fillId="16" borderId="70" applyNumberFormat="0" applyAlignment="0" applyProtection="0"/>
    <xf numFmtId="0" fontId="28" fillId="0" borderId="49" applyNumberFormat="0" applyFill="0" applyAlignment="0" applyProtection="0"/>
    <xf numFmtId="0" fontId="15" fillId="16" borderId="30" applyNumberFormat="0" applyAlignment="0" applyProtection="0"/>
    <xf numFmtId="0" fontId="18" fillId="7" borderId="34" applyNumberFormat="0" applyAlignment="0" applyProtection="0"/>
    <xf numFmtId="0" fontId="28" fillId="0" borderId="37" applyNumberFormat="0" applyFill="0" applyAlignment="0" applyProtection="0"/>
    <xf numFmtId="0" fontId="21" fillId="16" borderId="36" applyNumberFormat="0" applyAlignment="0" applyProtection="0"/>
    <xf numFmtId="0" fontId="28" fillId="0" borderId="81" applyNumberFormat="0" applyFill="0" applyAlignment="0" applyProtection="0"/>
    <xf numFmtId="0" fontId="21" fillId="16" borderId="76" applyNumberFormat="0" applyAlignment="0" applyProtection="0"/>
    <xf numFmtId="0" fontId="15" fillId="16" borderId="74" applyNumberFormat="0" applyAlignment="0" applyProtection="0"/>
    <xf numFmtId="0" fontId="21" fillId="16" borderId="56" applyNumberFormat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18" fillId="7" borderId="38" applyNumberFormat="0" applyAlignment="0" applyProtection="0"/>
    <xf numFmtId="167" fontId="9" fillId="0" borderId="0" applyFont="0" applyFill="0" applyBorder="0" applyAlignment="0" applyProtection="0"/>
    <xf numFmtId="0" fontId="18" fillId="7" borderId="66" applyNumberFormat="0" applyAlignment="0" applyProtection="0"/>
    <xf numFmtId="4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18" fillId="7" borderId="58" applyNumberFormat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21" fillId="16" borderId="60" applyNumberFormat="0" applyAlignment="0" applyProtection="0"/>
    <xf numFmtId="0" fontId="12" fillId="23" borderId="75" applyNumberFormat="0" applyFont="0" applyAlignment="0" applyProtection="0"/>
    <xf numFmtId="0" fontId="18" fillId="7" borderId="38" applyNumberFormat="0" applyAlignment="0" applyProtection="0"/>
    <xf numFmtId="0" fontId="18" fillId="7" borderId="66" applyNumberFormat="0" applyAlignment="0" applyProtection="0"/>
    <xf numFmtId="0" fontId="2" fillId="0" borderId="0"/>
    <xf numFmtId="0" fontId="21" fillId="16" borderId="56" applyNumberFormat="0" applyAlignment="0" applyProtection="0"/>
    <xf numFmtId="0" fontId="18" fillId="7" borderId="38" applyNumberFormat="0" applyAlignment="0" applyProtection="0"/>
    <xf numFmtId="0" fontId="18" fillId="7" borderId="42" applyNumberFormat="0" applyAlignment="0" applyProtection="0"/>
    <xf numFmtId="0" fontId="21" fillId="16" borderId="36" applyNumberFormat="0" applyAlignment="0" applyProtection="0"/>
    <xf numFmtId="0" fontId="18" fillId="7" borderId="46" applyNumberFormat="0" applyAlignment="0" applyProtection="0"/>
    <xf numFmtId="0" fontId="21" fillId="16" borderId="60" applyNumberFormat="0" applyAlignment="0" applyProtection="0"/>
    <xf numFmtId="0" fontId="15" fillId="16" borderId="22" applyNumberFormat="0" applyAlignment="0" applyProtection="0"/>
    <xf numFmtId="0" fontId="15" fillId="16" borderId="22" applyNumberFormat="0" applyAlignment="0" applyProtection="0"/>
    <xf numFmtId="0" fontId="18" fillId="7" borderId="30" applyNumberFormat="0" applyAlignment="0" applyProtection="0"/>
    <xf numFmtId="0" fontId="18" fillId="7" borderId="34" applyNumberFormat="0" applyAlignment="0" applyProtection="0"/>
    <xf numFmtId="0" fontId="15" fillId="16" borderId="50" applyNumberFormat="0" applyAlignment="0" applyProtection="0"/>
    <xf numFmtId="0" fontId="15" fillId="16" borderId="30" applyNumberFormat="0" applyAlignment="0" applyProtection="0"/>
    <xf numFmtId="0" fontId="21" fillId="16" borderId="72" applyNumberFormat="0" applyAlignment="0" applyProtection="0"/>
    <xf numFmtId="0" fontId="15" fillId="16" borderId="78" applyNumberFormat="0" applyAlignment="0" applyProtection="0"/>
    <xf numFmtId="0" fontId="12" fillId="23" borderId="23" applyNumberFormat="0" applyFont="0" applyAlignment="0" applyProtection="0"/>
    <xf numFmtId="9" fontId="2" fillId="0" borderId="0" applyFont="0" applyFill="0" applyBorder="0" applyAlignment="0" applyProtection="0"/>
    <xf numFmtId="0" fontId="12" fillId="23" borderId="23" applyNumberFormat="0" applyFont="0" applyAlignment="0" applyProtection="0"/>
    <xf numFmtId="0" fontId="12" fillId="23" borderId="23" applyNumberFormat="0" applyFont="0" applyAlignment="0" applyProtection="0"/>
    <xf numFmtId="0" fontId="21" fillId="16" borderId="44" applyNumberFormat="0" applyAlignment="0" applyProtection="0"/>
    <xf numFmtId="0" fontId="21" fillId="16" borderId="28" applyNumberFormat="0" applyAlignment="0" applyProtection="0"/>
    <xf numFmtId="0" fontId="15" fillId="16" borderId="26" applyNumberFormat="0" applyAlignment="0" applyProtection="0"/>
    <xf numFmtId="0" fontId="12" fillId="23" borderId="47" applyNumberFormat="0" applyFont="0" applyAlignment="0" applyProtection="0"/>
    <xf numFmtId="0" fontId="21" fillId="16" borderId="24" applyNumberFormat="0" applyAlignment="0" applyProtection="0"/>
    <xf numFmtId="0" fontId="21" fillId="16" borderId="36" applyNumberFormat="0" applyAlignment="0" applyProtection="0"/>
    <xf numFmtId="0" fontId="12" fillId="23" borderId="63" applyNumberFormat="0" applyFont="0" applyAlignment="0" applyProtection="0"/>
    <xf numFmtId="0" fontId="28" fillId="0" borderId="25" applyNumberFormat="0" applyFill="0" applyAlignment="0" applyProtection="0"/>
    <xf numFmtId="0" fontId="28" fillId="0" borderId="25" applyNumberFormat="0" applyFill="0" applyAlignment="0" applyProtection="0"/>
    <xf numFmtId="0" fontId="18" fillId="7" borderId="34" applyNumberFormat="0" applyAlignment="0" applyProtection="0"/>
    <xf numFmtId="0" fontId="15" fillId="16" borderId="22" applyNumberFormat="0" applyAlignment="0" applyProtection="0"/>
    <xf numFmtId="0" fontId="15" fillId="16" borderId="22" applyNumberFormat="0" applyAlignment="0" applyProtection="0"/>
    <xf numFmtId="0" fontId="18" fillId="7" borderId="22" applyNumberFormat="0" applyAlignment="0" applyProtection="0"/>
    <xf numFmtId="0" fontId="18" fillId="7" borderId="22" applyNumberFormat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5" fillId="16" borderId="26" applyNumberFormat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8" fillId="7" borderId="42" applyNumberFormat="0" applyAlignment="0" applyProtection="0"/>
    <xf numFmtId="0" fontId="15" fillId="16" borderId="66" applyNumberFormat="0" applyAlignment="0" applyProtection="0"/>
    <xf numFmtId="0" fontId="15" fillId="16" borderId="54" applyNumberFormat="0" applyAlignment="0" applyProtection="0"/>
    <xf numFmtId="0" fontId="18" fillId="7" borderId="30" applyNumberFormat="0" applyAlignment="0" applyProtection="0"/>
    <xf numFmtId="0" fontId="28" fillId="0" borderId="69" applyNumberFormat="0" applyFill="0" applyAlignment="0" applyProtection="0"/>
    <xf numFmtId="0" fontId="21" fillId="16" borderId="72" applyNumberFormat="0" applyAlignment="0" applyProtection="0"/>
    <xf numFmtId="0" fontId="15" fillId="16" borderId="42" applyNumberFormat="0" applyAlignment="0" applyProtection="0"/>
    <xf numFmtId="0" fontId="18" fillId="7" borderId="70" applyNumberFormat="0" applyAlignment="0" applyProtection="0"/>
    <xf numFmtId="0" fontId="15" fillId="16" borderId="42" applyNumberFormat="0" applyAlignment="0" applyProtection="0"/>
    <xf numFmtId="0" fontId="28" fillId="0" borderId="45" applyNumberFormat="0" applyFill="0" applyAlignment="0" applyProtection="0"/>
    <xf numFmtId="0" fontId="18" fillId="7" borderId="38" applyNumberFormat="0" applyAlignment="0" applyProtection="0"/>
    <xf numFmtId="0" fontId="15" fillId="16" borderId="58" applyNumberFormat="0" applyAlignment="0" applyProtection="0"/>
    <xf numFmtId="0" fontId="12" fillId="23" borderId="79" applyNumberFormat="0" applyFont="0" applyAlignment="0" applyProtection="0"/>
    <xf numFmtId="0" fontId="15" fillId="16" borderId="50" applyNumberFormat="0" applyAlignment="0" applyProtection="0"/>
    <xf numFmtId="0" fontId="15" fillId="16" borderId="50" applyNumberFormat="0" applyAlignment="0" applyProtection="0"/>
    <xf numFmtId="0" fontId="21" fillId="16" borderId="36" applyNumberFormat="0" applyAlignment="0" applyProtection="0"/>
    <xf numFmtId="0" fontId="12" fillId="23" borderId="27" applyNumberFormat="0" applyFont="0" applyAlignment="0" applyProtection="0"/>
    <xf numFmtId="0" fontId="21" fillId="16" borderId="52" applyNumberFormat="0" applyAlignment="0" applyProtection="0"/>
    <xf numFmtId="0" fontId="18" fillId="7" borderId="62" applyNumberFormat="0" applyAlignment="0" applyProtection="0"/>
    <xf numFmtId="0" fontId="15" fillId="16" borderId="54" applyNumberFormat="0" applyAlignment="0" applyProtection="0"/>
    <xf numFmtId="0" fontId="28" fillId="0" borderId="41" applyNumberFormat="0" applyFill="0" applyAlignment="0" applyProtection="0"/>
    <xf numFmtId="0" fontId="21" fillId="16" borderId="28" applyNumberFormat="0" applyAlignment="0" applyProtection="0"/>
    <xf numFmtId="0" fontId="12" fillId="23" borderId="35" applyNumberFormat="0" applyFont="0" applyAlignment="0" applyProtection="0"/>
    <xf numFmtId="0" fontId="28" fillId="0" borderId="29" applyNumberFormat="0" applyFill="0" applyAlignment="0" applyProtection="0"/>
    <xf numFmtId="0" fontId="18" fillId="7" borderId="42" applyNumberFormat="0" applyAlignment="0" applyProtection="0"/>
    <xf numFmtId="0" fontId="21" fillId="16" borderId="36" applyNumberFormat="0" applyAlignment="0" applyProtection="0"/>
    <xf numFmtId="0" fontId="18" fillId="7" borderId="62" applyNumberFormat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5" fillId="16" borderId="46" applyNumberFormat="0" applyAlignment="0" applyProtection="0"/>
    <xf numFmtId="0" fontId="2" fillId="0" borderId="0"/>
    <xf numFmtId="0" fontId="12" fillId="23" borderId="23" applyNumberFormat="0" applyFont="0" applyAlignment="0" applyProtection="0"/>
    <xf numFmtId="0" fontId="15" fillId="16" borderId="14" applyNumberFormat="0" applyAlignment="0" applyProtection="0"/>
    <xf numFmtId="0" fontId="15" fillId="16" borderId="14" applyNumberFormat="0" applyAlignment="0" applyProtection="0"/>
    <xf numFmtId="0" fontId="15" fillId="16" borderId="14" applyNumberFormat="0" applyAlignment="0" applyProtection="0"/>
    <xf numFmtId="0" fontId="15" fillId="16" borderId="14" applyNumberFormat="0" applyAlignment="0" applyProtection="0"/>
    <xf numFmtId="0" fontId="18" fillId="7" borderId="14" applyNumberFormat="0" applyAlignment="0" applyProtection="0"/>
    <xf numFmtId="0" fontId="18" fillId="7" borderId="14" applyNumberFormat="0" applyAlignment="0" applyProtection="0"/>
    <xf numFmtId="0" fontId="18" fillId="7" borderId="14" applyNumberFormat="0" applyAlignment="0" applyProtection="0"/>
    <xf numFmtId="0" fontId="18" fillId="7" borderId="14" applyNumberFormat="0" applyAlignment="0" applyProtection="0"/>
    <xf numFmtId="0" fontId="12" fillId="23" borderId="79" applyNumberFormat="0" applyFont="0" applyAlignment="0" applyProtection="0"/>
    <xf numFmtId="0" fontId="15" fillId="16" borderId="38" applyNumberFormat="0" applyAlignment="0" applyProtection="0"/>
    <xf numFmtId="0" fontId="18" fillId="7" borderId="78" applyNumberFormat="0" applyAlignment="0" applyProtection="0"/>
    <xf numFmtId="0" fontId="15" fillId="16" borderId="26" applyNumberFormat="0" applyAlignment="0" applyProtection="0"/>
    <xf numFmtId="0" fontId="21" fillId="16" borderId="64" applyNumberFormat="0" applyAlignment="0" applyProtection="0"/>
    <xf numFmtId="4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5" fillId="16" borderId="50" applyNumberFormat="0" applyAlignment="0" applyProtection="0"/>
    <xf numFmtId="0" fontId="18" fillId="7" borderId="30" applyNumberFormat="0" applyAlignment="0" applyProtection="0"/>
    <xf numFmtId="0" fontId="15" fillId="16" borderId="30" applyNumberFormat="0" applyAlignment="0" applyProtection="0"/>
    <xf numFmtId="0" fontId="18" fillId="7" borderId="34" applyNumberFormat="0" applyAlignment="0" applyProtection="0"/>
    <xf numFmtId="0" fontId="15" fillId="16" borderId="70" applyNumberFormat="0" applyAlignment="0" applyProtection="0"/>
    <xf numFmtId="0" fontId="28" fillId="0" borderId="57" applyNumberFormat="0" applyFill="0" applyAlignment="0" applyProtection="0"/>
    <xf numFmtId="0" fontId="12" fillId="23" borderId="4" applyNumberFormat="0" applyFont="0" applyAlignment="0" applyProtection="0"/>
    <xf numFmtId="0" fontId="15" fillId="16" borderId="38" applyNumberFormat="0" applyAlignment="0" applyProtection="0"/>
    <xf numFmtId="0" fontId="21" fillId="16" borderId="72" applyNumberFormat="0" applyAlignment="0" applyProtection="0"/>
    <xf numFmtId="0" fontId="18" fillId="7" borderId="58" applyNumberFormat="0" applyAlignment="0" applyProtection="0"/>
    <xf numFmtId="0" fontId="15" fillId="16" borderId="30" applyNumberFormat="0" applyAlignment="0" applyProtection="0"/>
    <xf numFmtId="0" fontId="2" fillId="0" borderId="0"/>
    <xf numFmtId="0" fontId="21" fillId="16" borderId="44" applyNumberFormat="0" applyAlignment="0" applyProtection="0"/>
    <xf numFmtId="0" fontId="15" fillId="16" borderId="62" applyNumberFormat="0" applyAlignment="0" applyProtection="0"/>
    <xf numFmtId="0" fontId="21" fillId="16" borderId="28" applyNumberFormat="0" applyAlignment="0" applyProtection="0"/>
    <xf numFmtId="0" fontId="28" fillId="0" borderId="45" applyNumberFormat="0" applyFill="0" applyAlignment="0" applyProtection="0"/>
    <xf numFmtId="0" fontId="28" fillId="0" borderId="29" applyNumberFormat="0" applyFill="0" applyAlignment="0" applyProtection="0"/>
    <xf numFmtId="0" fontId="21" fillId="16" borderId="56" applyNumberFormat="0" applyAlignment="0" applyProtection="0"/>
    <xf numFmtId="0" fontId="12" fillId="23" borderId="47" applyNumberFormat="0" applyFont="0" applyAlignment="0" applyProtection="0"/>
    <xf numFmtId="0" fontId="18" fillId="7" borderId="30" applyNumberFormat="0" applyAlignment="0" applyProtection="0"/>
    <xf numFmtId="0" fontId="12" fillId="23" borderId="15" applyNumberFormat="0" applyFont="0" applyAlignment="0" applyProtection="0"/>
    <xf numFmtId="0" fontId="12" fillId="23" borderId="15" applyNumberFormat="0" applyFont="0" applyAlignment="0" applyProtection="0"/>
    <xf numFmtId="0" fontId="12" fillId="23" borderId="15" applyNumberFormat="0" applyFont="0" applyAlignment="0" applyProtection="0"/>
    <xf numFmtId="0" fontId="12" fillId="23" borderId="15" applyNumberFormat="0" applyFont="0" applyAlignment="0" applyProtection="0"/>
    <xf numFmtId="0" fontId="15" fillId="16" borderId="54" applyNumberFormat="0" applyAlignment="0" applyProtection="0"/>
    <xf numFmtId="0" fontId="15" fillId="16" borderId="42" applyNumberFormat="0" applyAlignment="0" applyProtection="0"/>
    <xf numFmtId="9" fontId="2" fillId="0" borderId="0" applyFont="0" applyFill="0" applyBorder="0" applyAlignment="0" applyProtection="0"/>
    <xf numFmtId="0" fontId="21" fillId="16" borderId="60" applyNumberFormat="0" applyAlignment="0" applyProtection="0"/>
    <xf numFmtId="0" fontId="28" fillId="0" borderId="41" applyNumberFormat="0" applyFill="0" applyAlignment="0" applyProtection="0"/>
    <xf numFmtId="0" fontId="28" fillId="0" borderId="29" applyNumberFormat="0" applyFill="0" applyAlignment="0" applyProtection="0"/>
    <xf numFmtId="0" fontId="21" fillId="16" borderId="24" applyNumberFormat="0" applyAlignment="0" applyProtection="0"/>
    <xf numFmtId="0" fontId="21" fillId="16" borderId="24" applyNumberFormat="0" applyAlignment="0" applyProtection="0"/>
    <xf numFmtId="0" fontId="12" fillId="23" borderId="59" applyNumberFormat="0" applyFont="0" applyAlignment="0" applyProtection="0"/>
    <xf numFmtId="0" fontId="28" fillId="0" borderId="25" applyNumberFormat="0" applyFill="0" applyAlignment="0" applyProtection="0"/>
    <xf numFmtId="0" fontId="15" fillId="16" borderId="42" applyNumberFormat="0" applyAlignment="0" applyProtection="0"/>
    <xf numFmtId="0" fontId="15" fillId="16" borderId="22" applyNumberFormat="0" applyAlignment="0" applyProtection="0"/>
    <xf numFmtId="0" fontId="21" fillId="16" borderId="16" applyNumberFormat="0" applyAlignment="0" applyProtection="0"/>
    <xf numFmtId="0" fontId="21" fillId="16" borderId="16" applyNumberFormat="0" applyAlignment="0" applyProtection="0"/>
    <xf numFmtId="0" fontId="21" fillId="16" borderId="16" applyNumberFormat="0" applyAlignment="0" applyProtection="0"/>
    <xf numFmtId="0" fontId="21" fillId="16" borderId="16" applyNumberFormat="0" applyAlignment="0" applyProtection="0"/>
    <xf numFmtId="0" fontId="18" fillId="7" borderId="22" applyNumberFormat="0" applyAlignment="0" applyProtection="0"/>
    <xf numFmtId="0" fontId="21" fillId="16" borderId="56" applyNumberFormat="0" applyAlignment="0" applyProtection="0"/>
    <xf numFmtId="0" fontId="15" fillId="16" borderId="34" applyNumberFormat="0" applyAlignment="0" applyProtection="0"/>
    <xf numFmtId="0" fontId="21" fillId="16" borderId="76" applyNumberFormat="0" applyAlignment="0" applyProtection="0"/>
    <xf numFmtId="0" fontId="28" fillId="0" borderId="49" applyNumberFormat="0" applyFill="0" applyAlignment="0" applyProtection="0"/>
    <xf numFmtId="0" fontId="15" fillId="16" borderId="26" applyNumberFormat="0" applyAlignment="0" applyProtection="0"/>
    <xf numFmtId="0" fontId="18" fillId="7" borderId="38" applyNumberFormat="0" applyAlignment="0" applyProtection="0"/>
    <xf numFmtId="0" fontId="12" fillId="23" borderId="51" applyNumberFormat="0" applyFont="0" applyAlignment="0" applyProtection="0"/>
    <xf numFmtId="0" fontId="28" fillId="0" borderId="17" applyNumberFormat="0" applyFill="0" applyAlignment="0" applyProtection="0"/>
    <xf numFmtId="0" fontId="28" fillId="0" borderId="17" applyNumberFormat="0" applyFill="0" applyAlignment="0" applyProtection="0"/>
    <xf numFmtId="0" fontId="28" fillId="0" borderId="17" applyNumberFormat="0" applyFill="0" applyAlignment="0" applyProtection="0"/>
    <xf numFmtId="0" fontId="28" fillId="0" borderId="17" applyNumberFormat="0" applyFill="0" applyAlignment="0" applyProtection="0"/>
    <xf numFmtId="0" fontId="18" fillId="7" borderId="26" applyNumberFormat="0" applyAlignment="0" applyProtection="0"/>
    <xf numFmtId="43" fontId="2" fillId="0" borderId="0" applyFont="0" applyFill="0" applyBorder="0" applyAlignment="0" applyProtection="0"/>
    <xf numFmtId="0" fontId="2" fillId="0" borderId="0"/>
    <xf numFmtId="0" fontId="21" fillId="16" borderId="24" applyNumberFormat="0" applyAlignment="0" applyProtection="0"/>
    <xf numFmtId="0" fontId="15" fillId="16" borderId="14" applyNumberFormat="0" applyAlignment="0" applyProtection="0"/>
    <xf numFmtId="0" fontId="15" fillId="16" borderId="14" applyNumberFormat="0" applyAlignment="0" applyProtection="0"/>
    <xf numFmtId="0" fontId="15" fillId="16" borderId="14" applyNumberFormat="0" applyAlignment="0" applyProtection="0"/>
    <xf numFmtId="0" fontId="15" fillId="16" borderId="14" applyNumberFormat="0" applyAlignment="0" applyProtection="0"/>
    <xf numFmtId="0" fontId="18" fillId="7" borderId="14" applyNumberFormat="0" applyAlignment="0" applyProtection="0"/>
    <xf numFmtId="0" fontId="18" fillId="7" borderId="14" applyNumberFormat="0" applyAlignment="0" applyProtection="0"/>
    <xf numFmtId="0" fontId="18" fillId="7" borderId="14" applyNumberFormat="0" applyAlignment="0" applyProtection="0"/>
    <xf numFmtId="0" fontId="18" fillId="7" borderId="14" applyNumberFormat="0" applyAlignment="0" applyProtection="0"/>
    <xf numFmtId="0" fontId="15" fillId="16" borderId="78" applyNumberFormat="0" applyAlignment="0" applyProtection="0"/>
    <xf numFmtId="0" fontId="21" fillId="16" borderId="68" applyNumberFormat="0" applyAlignment="0" applyProtection="0"/>
    <xf numFmtId="0" fontId="15" fillId="16" borderId="42" applyNumberFormat="0" applyAlignment="0" applyProtection="0"/>
    <xf numFmtId="0" fontId="21" fillId="16" borderId="48" applyNumberFormat="0" applyAlignment="0" applyProtection="0"/>
    <xf numFmtId="0" fontId="15" fillId="16" borderId="34" applyNumberFormat="0" applyAlignment="0" applyProtection="0"/>
    <xf numFmtId="0" fontId="18" fillId="7" borderId="26" applyNumberFormat="0" applyAlignment="0" applyProtection="0"/>
    <xf numFmtId="0" fontId="15" fillId="16" borderId="30" applyNumberFormat="0" applyAlignment="0" applyProtection="0"/>
    <xf numFmtId="0" fontId="12" fillId="23" borderId="27" applyNumberFormat="0" applyFont="0" applyAlignment="0" applyProtection="0"/>
    <xf numFmtId="4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2" fillId="23" borderId="67" applyNumberFormat="0" applyFont="0" applyAlignment="0" applyProtection="0"/>
    <xf numFmtId="0" fontId="12" fillId="23" borderId="63" applyNumberFormat="0" applyFont="0" applyAlignment="0" applyProtection="0"/>
    <xf numFmtId="0" fontId="18" fillId="7" borderId="54" applyNumberFormat="0" applyAlignment="0" applyProtection="0"/>
    <xf numFmtId="0" fontId="12" fillId="23" borderId="4" applyNumberFormat="0" applyFont="0" applyAlignment="0" applyProtection="0"/>
    <xf numFmtId="0" fontId="18" fillId="7" borderId="78" applyNumberFormat="0" applyAlignment="0" applyProtection="0"/>
    <xf numFmtId="0" fontId="21" fillId="16" borderId="48" applyNumberFormat="0" applyAlignment="0" applyProtection="0"/>
    <xf numFmtId="0" fontId="18" fillId="7" borderId="54" applyNumberFormat="0" applyAlignment="0" applyProtection="0"/>
    <xf numFmtId="0" fontId="21" fillId="16" borderId="48" applyNumberFormat="0" applyAlignment="0" applyProtection="0"/>
    <xf numFmtId="0" fontId="2" fillId="0" borderId="0"/>
    <xf numFmtId="0" fontId="28" fillId="0" borderId="45" applyNumberFormat="0" applyFill="0" applyAlignment="0" applyProtection="0"/>
    <xf numFmtId="0" fontId="21" fillId="16" borderId="60" applyNumberFormat="0" applyAlignment="0" applyProtection="0"/>
    <xf numFmtId="0" fontId="21" fillId="16" borderId="28" applyNumberFormat="0" applyAlignment="0" applyProtection="0"/>
    <xf numFmtId="0" fontId="21" fillId="16" borderId="40" applyNumberFormat="0" applyAlignment="0" applyProtection="0"/>
    <xf numFmtId="0" fontId="28" fillId="0" borderId="73" applyNumberFormat="0" applyFill="0" applyAlignment="0" applyProtection="0"/>
    <xf numFmtId="0" fontId="18" fillId="7" borderId="54" applyNumberFormat="0" applyAlignment="0" applyProtection="0"/>
    <xf numFmtId="0" fontId="15" fillId="16" borderId="26" applyNumberFormat="0" applyAlignment="0" applyProtection="0"/>
    <xf numFmtId="0" fontId="12" fillId="23" borderId="75" applyNumberFormat="0" applyFont="0" applyAlignment="0" applyProtection="0"/>
    <xf numFmtId="0" fontId="12" fillId="23" borderId="43" applyNumberFormat="0" applyFont="0" applyAlignment="0" applyProtection="0"/>
    <xf numFmtId="0" fontId="15" fillId="16" borderId="50" applyNumberFormat="0" applyAlignment="0" applyProtection="0"/>
    <xf numFmtId="9" fontId="2" fillId="0" borderId="0" applyFont="0" applyFill="0" applyBorder="0" applyAlignment="0" applyProtection="0"/>
    <xf numFmtId="0" fontId="12" fillId="23" borderId="27" applyNumberFormat="0" applyFont="0" applyAlignment="0" applyProtection="0"/>
    <xf numFmtId="0" fontId="21" fillId="16" borderId="28" applyNumberFormat="0" applyAlignment="0" applyProtection="0"/>
    <xf numFmtId="0" fontId="28" fillId="0" borderId="29" applyNumberFormat="0" applyFill="0" applyAlignment="0" applyProtection="0"/>
    <xf numFmtId="0" fontId="21" fillId="16" borderId="24" applyNumberFormat="0" applyAlignment="0" applyProtection="0"/>
    <xf numFmtId="0" fontId="18" fillId="7" borderId="26" applyNumberFormat="0" applyAlignment="0" applyProtection="0"/>
    <xf numFmtId="0" fontId="15" fillId="16" borderId="58" applyNumberFormat="0" applyAlignment="0" applyProtection="0"/>
    <xf numFmtId="0" fontId="28" fillId="0" borderId="25" applyNumberFormat="0" applyFill="0" applyAlignment="0" applyProtection="0"/>
    <xf numFmtId="0" fontId="12" fillId="23" borderId="67" applyNumberFormat="0" applyFont="0" applyAlignment="0" applyProtection="0"/>
    <xf numFmtId="0" fontId="12" fillId="23" borderId="39" applyNumberFormat="0" applyFont="0" applyAlignment="0" applyProtection="0"/>
    <xf numFmtId="0" fontId="15" fillId="16" borderId="22" applyNumberFormat="0" applyAlignment="0" applyProtection="0"/>
    <xf numFmtId="0" fontId="21" fillId="16" borderId="16" applyNumberFormat="0" applyAlignment="0" applyProtection="0"/>
    <xf numFmtId="0" fontId="21" fillId="16" borderId="16" applyNumberFormat="0" applyAlignment="0" applyProtection="0"/>
    <xf numFmtId="0" fontId="21" fillId="16" borderId="16" applyNumberFormat="0" applyAlignment="0" applyProtection="0"/>
    <xf numFmtId="0" fontId="21" fillId="16" borderId="16" applyNumberFormat="0" applyAlignment="0" applyProtection="0"/>
    <xf numFmtId="0" fontId="18" fillId="7" borderId="22" applyNumberFormat="0" applyAlignment="0" applyProtection="0"/>
    <xf numFmtId="0" fontId="28" fillId="0" borderId="57" applyNumberFormat="0" applyFill="0" applyAlignment="0" applyProtection="0"/>
    <xf numFmtId="0" fontId="12" fillId="23" borderId="75" applyNumberFormat="0" applyFont="0" applyAlignment="0" applyProtection="0"/>
    <xf numFmtId="0" fontId="15" fillId="16" borderId="42" applyNumberFormat="0" applyAlignment="0" applyProtection="0"/>
    <xf numFmtId="0" fontId="15" fillId="16" borderId="46" applyNumberFormat="0" applyAlignment="0" applyProtection="0"/>
    <xf numFmtId="0" fontId="18" fillId="7" borderId="42" applyNumberFormat="0" applyAlignment="0" applyProtection="0"/>
    <xf numFmtId="0" fontId="18" fillId="7" borderId="54" applyNumberFormat="0" applyAlignment="0" applyProtection="0"/>
    <xf numFmtId="0" fontId="28" fillId="0" borderId="17" applyNumberFormat="0" applyFill="0" applyAlignment="0" applyProtection="0"/>
    <xf numFmtId="0" fontId="28" fillId="0" borderId="17" applyNumberFormat="0" applyFill="0" applyAlignment="0" applyProtection="0"/>
    <xf numFmtId="0" fontId="28" fillId="0" borderId="17" applyNumberFormat="0" applyFill="0" applyAlignment="0" applyProtection="0"/>
    <xf numFmtId="0" fontId="28" fillId="0" borderId="17" applyNumberFormat="0" applyFill="0" applyAlignment="0" applyProtection="0"/>
    <xf numFmtId="0" fontId="18" fillId="7" borderId="26" applyNumberFormat="0" applyAlignment="0" applyProtection="0"/>
    <xf numFmtId="0" fontId="21" fillId="16" borderId="24" applyNumberFormat="0" applyAlignment="0" applyProtection="0"/>
    <xf numFmtId="43" fontId="2" fillId="0" borderId="0" applyFont="0" applyFill="0" applyBorder="0" applyAlignment="0" applyProtection="0"/>
    <xf numFmtId="0" fontId="2" fillId="0" borderId="0"/>
    <xf numFmtId="0" fontId="21" fillId="16" borderId="24" applyNumberFormat="0" applyAlignment="0" applyProtection="0"/>
    <xf numFmtId="0" fontId="28" fillId="0" borderId="37" applyNumberFormat="0" applyFill="0" applyAlignment="0" applyProtection="0"/>
    <xf numFmtId="0" fontId="2" fillId="0" borderId="0"/>
    <xf numFmtId="0" fontId="21" fillId="16" borderId="24" applyNumberFormat="0" applyAlignment="0" applyProtection="0"/>
    <xf numFmtId="0" fontId="18" fillId="7" borderId="22" applyNumberFormat="0" applyAlignment="0" applyProtection="0"/>
    <xf numFmtId="0" fontId="15" fillId="16" borderId="50" applyNumberFormat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18" fillId="7" borderId="46" applyNumberFormat="0" applyAlignment="0" applyProtection="0"/>
    <xf numFmtId="0" fontId="28" fillId="0" borderId="73" applyNumberFormat="0" applyFill="0" applyAlignment="0" applyProtection="0"/>
    <xf numFmtId="0" fontId="12" fillId="23" borderId="67" applyNumberFormat="0" applyFont="0" applyAlignment="0" applyProtection="0"/>
    <xf numFmtId="0" fontId="21" fillId="16" borderId="60" applyNumberFormat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8" fillId="0" borderId="37" applyNumberFormat="0" applyFill="0" applyAlignment="0" applyProtection="0"/>
    <xf numFmtId="0" fontId="21" fillId="16" borderId="76" applyNumberFormat="0" applyAlignment="0" applyProtection="0"/>
    <xf numFmtId="0" fontId="18" fillId="7" borderId="22" applyNumberFormat="0" applyAlignment="0" applyProtection="0"/>
    <xf numFmtId="0" fontId="15" fillId="16" borderId="22" applyNumberFormat="0" applyAlignment="0" applyProtection="0"/>
    <xf numFmtId="0" fontId="18" fillId="7" borderId="50" applyNumberFormat="0" applyAlignment="0" applyProtection="0"/>
    <xf numFmtId="0" fontId="12" fillId="23" borderId="71" applyNumberFormat="0" applyFont="0" applyAlignment="0" applyProtection="0"/>
    <xf numFmtId="0" fontId="21" fillId="16" borderId="48" applyNumberFormat="0" applyAlignment="0" applyProtection="0"/>
    <xf numFmtId="0" fontId="28" fillId="0" borderId="29" applyNumberFormat="0" applyFill="0" applyAlignment="0" applyProtection="0"/>
    <xf numFmtId="0" fontId="21" fillId="16" borderId="28" applyNumberFormat="0" applyAlignment="0" applyProtection="0"/>
    <xf numFmtId="0" fontId="18" fillId="7" borderId="74" applyNumberFormat="0" applyAlignment="0" applyProtection="0"/>
    <xf numFmtId="0" fontId="15" fillId="16" borderId="62" applyNumberFormat="0" applyAlignment="0" applyProtection="0"/>
    <xf numFmtId="0" fontId="21" fillId="16" borderId="52" applyNumberFormat="0" applyAlignment="0" applyProtection="0"/>
    <xf numFmtId="0" fontId="15" fillId="16" borderId="54" applyNumberFormat="0" applyAlignment="0" applyProtection="0"/>
    <xf numFmtId="0" fontId="12" fillId="23" borderId="71" applyNumberFormat="0" applyFont="0" applyAlignment="0" applyProtection="0"/>
    <xf numFmtId="0" fontId="28" fillId="0" borderId="29" applyNumberFormat="0" applyFill="0" applyAlignment="0" applyProtection="0"/>
    <xf numFmtId="0" fontId="15" fillId="16" borderId="26" applyNumberFormat="0" applyAlignment="0" applyProtection="0"/>
    <xf numFmtId="0" fontId="28" fillId="0" borderId="37" applyNumberFormat="0" applyFill="0" applyAlignment="0" applyProtection="0"/>
    <xf numFmtId="0" fontId="12" fillId="23" borderId="27" applyNumberFormat="0" applyFont="0" applyAlignment="0" applyProtection="0"/>
    <xf numFmtId="0" fontId="18" fillId="7" borderId="74" applyNumberFormat="0" applyAlignment="0" applyProtection="0"/>
    <xf numFmtId="0" fontId="21" fillId="16" borderId="48" applyNumberFormat="0" applyAlignment="0" applyProtection="0"/>
    <xf numFmtId="0" fontId="28" fillId="0" borderId="49" applyNumberFormat="0" applyFill="0" applyAlignment="0" applyProtection="0"/>
    <xf numFmtId="0" fontId="28" fillId="0" borderId="81" applyNumberFormat="0" applyFill="0" applyAlignment="0" applyProtection="0"/>
    <xf numFmtId="0" fontId="12" fillId="23" borderId="35" applyNumberFormat="0" applyFont="0" applyAlignment="0" applyProtection="0"/>
    <xf numFmtId="0" fontId="15" fillId="16" borderId="70" applyNumberFormat="0" applyAlignment="0" applyProtection="0"/>
    <xf numFmtId="0" fontId="15" fillId="16" borderId="34" applyNumberFormat="0" applyAlignment="0" applyProtection="0"/>
    <xf numFmtId="0" fontId="28" fillId="0" borderId="45" applyNumberFormat="0" applyFill="0" applyAlignment="0" applyProtection="0"/>
    <xf numFmtId="0" fontId="18" fillId="7" borderId="38" applyNumberFormat="0" applyAlignment="0" applyProtection="0"/>
    <xf numFmtId="0" fontId="12" fillId="23" borderId="4" applyNumberFormat="0" applyFont="0" applyAlignment="0" applyProtection="0"/>
    <xf numFmtId="0" fontId="21" fillId="16" borderId="36" applyNumberFormat="0" applyAlignment="0" applyProtection="0"/>
    <xf numFmtId="0" fontId="18" fillId="7" borderId="66" applyNumberFormat="0" applyAlignment="0" applyProtection="0"/>
    <xf numFmtId="0" fontId="18" fillId="7" borderId="62" applyNumberFormat="0" applyAlignment="0" applyProtection="0"/>
    <xf numFmtId="0" fontId="15" fillId="16" borderId="38" applyNumberFormat="0" applyAlignment="0" applyProtection="0"/>
    <xf numFmtId="0" fontId="21" fillId="16" borderId="32" applyNumberFormat="0" applyAlignment="0" applyProtection="0"/>
    <xf numFmtId="0" fontId="28" fillId="0" borderId="33" applyNumberFormat="0" applyFill="0" applyAlignment="0" applyProtection="0"/>
    <xf numFmtId="0" fontId="21" fillId="16" borderId="20" applyNumberFormat="0" applyAlignment="0" applyProtection="0"/>
    <xf numFmtId="0" fontId="21" fillId="16" borderId="20" applyNumberFormat="0" applyAlignment="0" applyProtection="0"/>
    <xf numFmtId="0" fontId="21" fillId="16" borderId="20" applyNumberFormat="0" applyAlignment="0" applyProtection="0"/>
    <xf numFmtId="0" fontId="21" fillId="16" borderId="20" applyNumberFormat="0" applyAlignment="0" applyProtection="0"/>
    <xf numFmtId="0" fontId="15" fillId="16" borderId="46" applyNumberFormat="0" applyAlignment="0" applyProtection="0"/>
    <xf numFmtId="0" fontId="12" fillId="23" borderId="67" applyNumberFormat="0" applyFont="0" applyAlignment="0" applyProtection="0"/>
    <xf numFmtId="0" fontId="12" fillId="23" borderId="35" applyNumberFormat="0" applyFont="0" applyAlignment="0" applyProtection="0"/>
    <xf numFmtId="0" fontId="21" fillId="16" borderId="44" applyNumberFormat="0" applyAlignment="0" applyProtection="0"/>
    <xf numFmtId="0" fontId="21" fillId="16" borderId="64" applyNumberFormat="0" applyAlignment="0" applyProtection="0"/>
    <xf numFmtId="0" fontId="18" fillId="7" borderId="30" applyNumberFormat="0" applyAlignment="0" applyProtection="0"/>
    <xf numFmtId="0" fontId="28" fillId="0" borderId="21" applyNumberFormat="0" applyFill="0" applyAlignment="0" applyProtection="0"/>
    <xf numFmtId="0" fontId="28" fillId="0" borderId="21" applyNumberFormat="0" applyFill="0" applyAlignment="0" applyProtection="0"/>
    <xf numFmtId="0" fontId="28" fillId="0" borderId="21" applyNumberFormat="0" applyFill="0" applyAlignment="0" applyProtection="0"/>
    <xf numFmtId="0" fontId="28" fillId="0" borderId="21" applyNumberFormat="0" applyFill="0" applyAlignment="0" applyProtection="0"/>
    <xf numFmtId="0" fontId="15" fillId="16" borderId="74" applyNumberFormat="0" applyAlignment="0" applyProtection="0"/>
    <xf numFmtId="0" fontId="21" fillId="16" borderId="32" applyNumberFormat="0" applyAlignment="0" applyProtection="0"/>
    <xf numFmtId="0" fontId="28" fillId="0" borderId="65" applyNumberFormat="0" applyFill="0" applyAlignment="0" applyProtection="0"/>
    <xf numFmtId="0" fontId="12" fillId="23" borderId="31" applyNumberFormat="0" applyFont="0" applyAlignment="0" applyProtection="0"/>
    <xf numFmtId="0" fontId="21" fillId="16" borderId="48" applyNumberFormat="0" applyAlignment="0" applyProtection="0"/>
    <xf numFmtId="0" fontId="15" fillId="16" borderId="26" applyNumberFormat="0" applyAlignment="0" applyProtection="0"/>
    <xf numFmtId="0" fontId="28" fillId="0" borderId="33" applyNumberFormat="0" applyFill="0" applyAlignment="0" applyProtection="0"/>
    <xf numFmtId="0" fontId="15" fillId="16" borderId="26" applyNumberFormat="0" applyAlignment="0" applyProtection="0"/>
    <xf numFmtId="0" fontId="21" fillId="16" borderId="68" applyNumberFormat="0" applyAlignment="0" applyProtection="0"/>
    <xf numFmtId="0" fontId="21" fillId="16" borderId="72" applyNumberFormat="0" applyAlignment="0" applyProtection="0"/>
    <xf numFmtId="0" fontId="18" fillId="7" borderId="30" applyNumberFormat="0" applyAlignment="0" applyProtection="0"/>
    <xf numFmtId="0" fontId="15" fillId="16" borderId="46" applyNumberFormat="0" applyAlignment="0" applyProtection="0"/>
    <xf numFmtId="0" fontId="18" fillId="7" borderId="54" applyNumberFormat="0" applyAlignment="0" applyProtection="0"/>
    <xf numFmtId="0" fontId="21" fillId="16" borderId="80" applyNumberFormat="0" applyAlignment="0" applyProtection="0"/>
    <xf numFmtId="0" fontId="18" fillId="7" borderId="26" applyNumberFormat="0" applyAlignment="0" applyProtection="0"/>
    <xf numFmtId="0" fontId="18" fillId="7" borderId="42" applyNumberFormat="0" applyAlignment="0" applyProtection="0"/>
    <xf numFmtId="0" fontId="12" fillId="23" borderId="55" applyNumberFormat="0" applyFont="0" applyAlignment="0" applyProtection="0"/>
    <xf numFmtId="0" fontId="18" fillId="7" borderId="34" applyNumberFormat="0" applyAlignment="0" applyProtection="0"/>
    <xf numFmtId="0" fontId="15" fillId="16" borderId="54" applyNumberFormat="0" applyAlignment="0" applyProtection="0"/>
    <xf numFmtId="0" fontId="15" fillId="16" borderId="70" applyNumberFormat="0" applyAlignment="0" applyProtection="0"/>
    <xf numFmtId="0" fontId="28" fillId="0" borderId="25" applyNumberFormat="0" applyFill="0" applyAlignment="0" applyProtection="0"/>
    <xf numFmtId="0" fontId="28" fillId="0" borderId="25" applyNumberFormat="0" applyFill="0" applyAlignment="0" applyProtection="0"/>
    <xf numFmtId="0" fontId="28" fillId="0" borderId="25" applyNumberFormat="0" applyFill="0" applyAlignment="0" applyProtection="0"/>
    <xf numFmtId="0" fontId="28" fillId="0" borderId="25" applyNumberFormat="0" applyFill="0" applyAlignment="0" applyProtection="0"/>
    <xf numFmtId="0" fontId="18" fillId="7" borderId="34" applyNumberFormat="0" applyAlignment="0" applyProtection="0"/>
    <xf numFmtId="0" fontId="21" fillId="16" borderId="44" applyNumberFormat="0" applyAlignment="0" applyProtection="0"/>
    <xf numFmtId="0" fontId="15" fillId="16" borderId="62" applyNumberFormat="0" applyAlignment="0" applyProtection="0"/>
    <xf numFmtId="0" fontId="18" fillId="7" borderId="54" applyNumberFormat="0" applyAlignment="0" applyProtection="0"/>
    <xf numFmtId="0" fontId="28" fillId="0" borderId="57" applyNumberFormat="0" applyFill="0" applyAlignment="0" applyProtection="0"/>
    <xf numFmtId="0" fontId="18" fillId="7" borderId="62" applyNumberFormat="0" applyAlignment="0" applyProtection="0"/>
    <xf numFmtId="0" fontId="21" fillId="16" borderId="40" applyNumberFormat="0" applyAlignment="0" applyProtection="0"/>
    <xf numFmtId="0" fontId="15" fillId="16" borderId="38" applyNumberFormat="0" applyAlignment="0" applyProtection="0"/>
    <xf numFmtId="0" fontId="12" fillId="23" borderId="31" applyNumberFormat="0" applyFont="0" applyAlignment="0" applyProtection="0"/>
    <xf numFmtId="0" fontId="18" fillId="7" borderId="26" applyNumberFormat="0" applyAlignment="0" applyProtection="0"/>
    <xf numFmtId="0" fontId="15" fillId="16" borderId="46" applyNumberFormat="0" applyAlignment="0" applyProtection="0"/>
    <xf numFmtId="0" fontId="21" fillId="16" borderId="56" applyNumberFormat="0" applyAlignment="0" applyProtection="0"/>
    <xf numFmtId="0" fontId="18" fillId="7" borderId="46" applyNumberFormat="0" applyAlignment="0" applyProtection="0"/>
    <xf numFmtId="0" fontId="21" fillId="16" borderId="36" applyNumberFormat="0" applyAlignment="0" applyProtection="0"/>
    <xf numFmtId="0" fontId="15" fillId="16" borderId="66" applyNumberFormat="0" applyAlignment="0" applyProtection="0"/>
    <xf numFmtId="0" fontId="28" fillId="0" borderId="73" applyNumberFormat="0" applyFill="0" applyAlignment="0" applyProtection="0"/>
    <xf numFmtId="0" fontId="18" fillId="7" borderId="46" applyNumberFormat="0" applyAlignment="0" applyProtection="0"/>
    <xf numFmtId="0" fontId="28" fillId="0" borderId="33" applyNumberFormat="0" applyFill="0" applyAlignment="0" applyProtection="0"/>
    <xf numFmtId="0" fontId="28" fillId="0" borderId="33" applyNumberFormat="0" applyFill="0" applyAlignment="0" applyProtection="0"/>
    <xf numFmtId="0" fontId="15" fillId="16" borderId="30" applyNumberFormat="0" applyAlignment="0" applyProtection="0"/>
    <xf numFmtId="0" fontId="18" fillId="7" borderId="78" applyNumberFormat="0" applyAlignment="0" applyProtection="0"/>
    <xf numFmtId="0" fontId="18" fillId="7" borderId="30" applyNumberFormat="0" applyAlignment="0" applyProtection="0"/>
    <xf numFmtId="0" fontId="15" fillId="16" borderId="34" applyNumberFormat="0" applyAlignment="0" applyProtection="0"/>
    <xf numFmtId="0" fontId="18" fillId="7" borderId="54" applyNumberFormat="0" applyAlignment="0" applyProtection="0"/>
    <xf numFmtId="0" fontId="18" fillId="7" borderId="70" applyNumberFormat="0" applyAlignment="0" applyProtection="0"/>
    <xf numFmtId="0" fontId="21" fillId="16" borderId="32" applyNumberFormat="0" applyAlignment="0" applyProtection="0"/>
    <xf numFmtId="0" fontId="18" fillId="7" borderId="34" applyNumberFormat="0" applyAlignment="0" applyProtection="0"/>
    <xf numFmtId="0" fontId="15" fillId="16" borderId="34" applyNumberFormat="0" applyAlignment="0" applyProtection="0"/>
    <xf numFmtId="0" fontId="15" fillId="16" borderId="74" applyNumberFormat="0" applyAlignment="0" applyProtection="0"/>
    <xf numFmtId="0" fontId="18" fillId="7" borderId="66" applyNumberFormat="0" applyAlignment="0" applyProtection="0"/>
    <xf numFmtId="0" fontId="21" fillId="16" borderId="32" applyNumberFormat="0" applyAlignment="0" applyProtection="0"/>
    <xf numFmtId="0" fontId="12" fillId="23" borderId="59" applyNumberFormat="0" applyFont="0" applyAlignment="0" applyProtection="0"/>
    <xf numFmtId="0" fontId="21" fillId="16" borderId="44" applyNumberFormat="0" applyAlignment="0" applyProtection="0"/>
    <xf numFmtId="0" fontId="12" fillId="23" borderId="63" applyNumberFormat="0" applyFont="0" applyAlignment="0" applyProtection="0"/>
    <xf numFmtId="0" fontId="18" fillId="7" borderId="70" applyNumberFormat="0" applyAlignment="0" applyProtection="0"/>
    <xf numFmtId="0" fontId="28" fillId="0" borderId="77" applyNumberFormat="0" applyFill="0" applyAlignment="0" applyProtection="0"/>
    <xf numFmtId="0" fontId="28" fillId="0" borderId="37" applyNumberFormat="0" applyFill="0" applyAlignment="0" applyProtection="0"/>
    <xf numFmtId="0" fontId="21" fillId="16" borderId="72" applyNumberFormat="0" applyAlignment="0" applyProtection="0"/>
    <xf numFmtId="0" fontId="28" fillId="0" borderId="49" applyNumberFormat="0" applyFill="0" applyAlignment="0" applyProtection="0"/>
    <xf numFmtId="0" fontId="15" fillId="16" borderId="62" applyNumberFormat="0" applyAlignment="0" applyProtection="0"/>
    <xf numFmtId="0" fontId="28" fillId="0" borderId="49" applyNumberFormat="0" applyFill="0" applyAlignment="0" applyProtection="0"/>
    <xf numFmtId="0" fontId="15" fillId="16" borderId="66" applyNumberFormat="0" applyAlignment="0" applyProtection="0"/>
    <xf numFmtId="0" fontId="12" fillId="23" borderId="43" applyNumberFormat="0" applyFont="0" applyAlignment="0" applyProtection="0"/>
    <xf numFmtId="0" fontId="15" fillId="16" borderId="54" applyNumberFormat="0" applyAlignment="0" applyProtection="0"/>
    <xf numFmtId="0" fontId="28" fillId="0" borderId="33" applyNumberFormat="0" applyFill="0" applyAlignment="0" applyProtection="0"/>
    <xf numFmtId="0" fontId="28" fillId="0" borderId="33" applyNumberFormat="0" applyFill="0" applyAlignment="0" applyProtection="0"/>
    <xf numFmtId="0" fontId="28" fillId="0" borderId="33" applyNumberFormat="0" applyFill="0" applyAlignment="0" applyProtection="0"/>
    <xf numFmtId="0" fontId="28" fillId="0" borderId="33" applyNumberFormat="0" applyFill="0" applyAlignment="0" applyProtection="0"/>
    <xf numFmtId="0" fontId="12" fillId="23" borderId="59" applyNumberFormat="0" applyFont="0" applyAlignment="0" applyProtection="0"/>
    <xf numFmtId="0" fontId="21" fillId="16" borderId="72" applyNumberFormat="0" applyAlignment="0" applyProtection="0"/>
    <xf numFmtId="0" fontId="28" fillId="0" borderId="61" applyNumberFormat="0" applyFill="0" applyAlignment="0" applyProtection="0"/>
    <xf numFmtId="0" fontId="28" fillId="0" borderId="73" applyNumberFormat="0" applyFill="0" applyAlignment="0" applyProtection="0"/>
    <xf numFmtId="0" fontId="12" fillId="23" borderId="39" applyNumberFormat="0" applyFont="0" applyAlignment="0" applyProtection="0"/>
    <xf numFmtId="0" fontId="12" fillId="23" borderId="35" applyNumberFormat="0" applyFont="0" applyAlignment="0" applyProtection="0"/>
    <xf numFmtId="0" fontId="12" fillId="23" borderId="63" applyNumberFormat="0" applyFont="0" applyAlignment="0" applyProtection="0"/>
    <xf numFmtId="0" fontId="21" fillId="16" borderId="56" applyNumberFormat="0" applyAlignment="0" applyProtection="0"/>
    <xf numFmtId="0" fontId="28" fillId="0" borderId="37" applyNumberFormat="0" applyFill="0" applyAlignment="0" applyProtection="0"/>
    <xf numFmtId="0" fontId="15" fillId="16" borderId="38" applyNumberFormat="0" applyAlignment="0" applyProtection="0"/>
    <xf numFmtId="0" fontId="12" fillId="23" borderId="55" applyNumberFormat="0" applyFont="0" applyAlignment="0" applyProtection="0"/>
    <xf numFmtId="0" fontId="12" fillId="23" borderId="39" applyNumberFormat="0" applyFont="0" applyAlignment="0" applyProtection="0"/>
    <xf numFmtId="0" fontId="21" fillId="16" borderId="40" applyNumberFormat="0" applyAlignment="0" applyProtection="0"/>
    <xf numFmtId="0" fontId="21" fillId="16" borderId="52" applyNumberFormat="0" applyAlignment="0" applyProtection="0"/>
    <xf numFmtId="0" fontId="21" fillId="16" borderId="40" applyNumberFormat="0" applyAlignment="0" applyProtection="0"/>
    <xf numFmtId="0" fontId="28" fillId="0" borderId="41" applyNumberFormat="0" applyFill="0" applyAlignment="0" applyProtection="0"/>
    <xf numFmtId="0" fontId="28" fillId="0" borderId="81" applyNumberFormat="0" applyFill="0" applyAlignment="0" applyProtection="0"/>
    <xf numFmtId="0" fontId="28" fillId="0" borderId="41" applyNumberFormat="0" applyFill="0" applyAlignment="0" applyProtection="0"/>
    <xf numFmtId="0" fontId="15" fillId="16" borderId="70" applyNumberFormat="0" applyAlignment="0" applyProtection="0"/>
    <xf numFmtId="0" fontId="15" fillId="16" borderId="38" applyNumberFormat="0" applyAlignment="0" applyProtection="0"/>
    <xf numFmtId="0" fontId="15" fillId="16" borderId="38" applyNumberFormat="0" applyAlignment="0" applyProtection="0"/>
    <xf numFmtId="0" fontId="18" fillId="7" borderId="38" applyNumberFormat="0" applyAlignment="0" applyProtection="0"/>
    <xf numFmtId="0" fontId="18" fillId="7" borderId="58" applyNumberFormat="0" applyAlignment="0" applyProtection="0"/>
    <xf numFmtId="0" fontId="28" fillId="0" borderId="65" applyNumberFormat="0" applyFill="0" applyAlignment="0" applyProtection="0"/>
    <xf numFmtId="0" fontId="21" fillId="16" borderId="56" applyNumberFormat="0" applyAlignment="0" applyProtection="0"/>
    <xf numFmtId="0" fontId="18" fillId="7" borderId="50" applyNumberFormat="0" applyAlignment="0" applyProtection="0"/>
    <xf numFmtId="0" fontId="15" fillId="16" borderId="42" applyNumberFormat="0" applyAlignment="0" applyProtection="0"/>
    <xf numFmtId="0" fontId="21" fillId="16" borderId="44" applyNumberFormat="0" applyAlignment="0" applyProtection="0"/>
    <xf numFmtId="0" fontId="21" fillId="16" borderId="68" applyNumberFormat="0" applyAlignment="0" applyProtection="0"/>
    <xf numFmtId="0" fontId="28" fillId="0" borderId="57" applyNumberFormat="0" applyFill="0" applyAlignment="0" applyProtection="0"/>
    <xf numFmtId="0" fontId="18" fillId="7" borderId="54" applyNumberFormat="0" applyAlignment="0" applyProtection="0"/>
    <xf numFmtId="0" fontId="15" fillId="16" borderId="46" applyNumberFormat="0" applyAlignment="0" applyProtection="0"/>
    <xf numFmtId="0" fontId="15" fillId="16" borderId="74" applyNumberFormat="0" applyAlignment="0" applyProtection="0"/>
    <xf numFmtId="0" fontId="15" fillId="16" borderId="34" applyNumberFormat="0" applyAlignment="0" applyProtection="0"/>
    <xf numFmtId="0" fontId="21" fillId="16" borderId="52" applyNumberFormat="0" applyAlignment="0" applyProtection="0"/>
    <xf numFmtId="0" fontId="28" fillId="0" borderId="53" applyNumberFormat="0" applyFill="0" applyAlignment="0" applyProtection="0"/>
    <xf numFmtId="0" fontId="21" fillId="16" borderId="40" applyNumberFormat="0" applyAlignment="0" applyProtection="0"/>
    <xf numFmtId="0" fontId="21" fillId="16" borderId="40" applyNumberFormat="0" applyAlignment="0" applyProtection="0"/>
    <xf numFmtId="0" fontId="21" fillId="16" borderId="40" applyNumberFormat="0" applyAlignment="0" applyProtection="0"/>
    <xf numFmtId="0" fontId="21" fillId="16" borderId="40" applyNumberFormat="0" applyAlignment="0" applyProtection="0"/>
    <xf numFmtId="0" fontId="18" fillId="7" borderId="50" applyNumberFormat="0" applyAlignment="0" applyProtection="0"/>
    <xf numFmtId="0" fontId="15" fillId="16" borderId="66" applyNumberFormat="0" applyAlignment="0" applyProtection="0"/>
    <xf numFmtId="0" fontId="18" fillId="7" borderId="62" applyNumberFormat="0" applyAlignment="0" applyProtection="0"/>
    <xf numFmtId="0" fontId="18" fillId="7" borderId="50" applyNumberFormat="0" applyAlignment="0" applyProtection="0"/>
    <xf numFmtId="0" fontId="28" fillId="0" borderId="41" applyNumberFormat="0" applyFill="0" applyAlignment="0" applyProtection="0"/>
    <xf numFmtId="0" fontId="28" fillId="0" borderId="41" applyNumberFormat="0" applyFill="0" applyAlignment="0" applyProtection="0"/>
    <xf numFmtId="0" fontId="28" fillId="0" borderId="41" applyNumberFormat="0" applyFill="0" applyAlignment="0" applyProtection="0"/>
    <xf numFmtId="0" fontId="28" fillId="0" borderId="41" applyNumberFormat="0" applyFill="0" applyAlignment="0" applyProtection="0"/>
    <xf numFmtId="0" fontId="21" fillId="16" borderId="80" applyNumberFormat="0" applyAlignment="0" applyProtection="0"/>
    <xf numFmtId="0" fontId="12" fillId="23" borderId="59" applyNumberFormat="0" applyFont="0" applyAlignment="0" applyProtection="0"/>
    <xf numFmtId="0" fontId="21" fillId="16" borderId="52" applyNumberFormat="0" applyAlignment="0" applyProtection="0"/>
    <xf numFmtId="0" fontId="12" fillId="23" borderId="51" applyNumberFormat="0" applyFont="0" applyAlignment="0" applyProtection="0"/>
    <xf numFmtId="0" fontId="18" fillId="7" borderId="46" applyNumberFormat="0" applyAlignment="0" applyProtection="0"/>
    <xf numFmtId="0" fontId="28" fillId="0" borderId="53" applyNumberFormat="0" applyFill="0" applyAlignment="0" applyProtection="0"/>
    <xf numFmtId="0" fontId="18" fillId="7" borderId="46" applyNumberFormat="0" applyAlignment="0" applyProtection="0"/>
    <xf numFmtId="0" fontId="21" fillId="16" borderId="68" applyNumberFormat="0" applyAlignment="0" applyProtection="0"/>
    <xf numFmtId="0" fontId="12" fillId="23" borderId="71" applyNumberFormat="0" applyFont="0" applyAlignment="0" applyProtection="0"/>
    <xf numFmtId="0" fontId="28" fillId="0" borderId="77" applyNumberFormat="0" applyFill="0" applyAlignment="0" applyProtection="0"/>
    <xf numFmtId="0" fontId="15" fillId="16" borderId="58" applyNumberFormat="0" applyAlignment="0" applyProtection="0"/>
    <xf numFmtId="0" fontId="18" fillId="7" borderId="50" applyNumberFormat="0" applyAlignment="0" applyProtection="0"/>
    <xf numFmtId="0" fontId="28" fillId="0" borderId="49" applyNumberFormat="0" applyFill="0" applyAlignment="0" applyProtection="0"/>
    <xf numFmtId="0" fontId="21" fillId="16" borderId="76" applyNumberFormat="0" applyAlignment="0" applyProtection="0"/>
    <xf numFmtId="0" fontId="15" fillId="16" borderId="70" applyNumberFormat="0" applyAlignment="0" applyProtection="0"/>
    <xf numFmtId="0" fontId="28" fillId="0" borderId="45" applyNumberFormat="0" applyFill="0" applyAlignment="0" applyProtection="0"/>
    <xf numFmtId="0" fontId="28" fillId="0" borderId="45" applyNumberFormat="0" applyFill="0" applyAlignment="0" applyProtection="0"/>
    <xf numFmtId="0" fontId="28" fillId="0" borderId="45" applyNumberFormat="0" applyFill="0" applyAlignment="0" applyProtection="0"/>
    <xf numFmtId="0" fontId="28" fillId="0" borderId="45" applyNumberFormat="0" applyFill="0" applyAlignment="0" applyProtection="0"/>
    <xf numFmtId="0" fontId="21" fillId="16" borderId="60" applyNumberFormat="0" applyAlignment="0" applyProtection="0"/>
    <xf numFmtId="0" fontId="28" fillId="0" borderId="61" applyNumberFormat="0" applyFill="0" applyAlignment="0" applyProtection="0"/>
    <xf numFmtId="0" fontId="18" fillId="7" borderId="66" applyNumberFormat="0" applyAlignment="0" applyProtection="0"/>
    <xf numFmtId="0" fontId="18" fillId="7" borderId="58" applyNumberFormat="0" applyAlignment="0" applyProtection="0"/>
    <xf numFmtId="0" fontId="18" fillId="7" borderId="66" applyNumberFormat="0" applyAlignment="0" applyProtection="0"/>
    <xf numFmtId="0" fontId="18" fillId="7" borderId="58" applyNumberFormat="0" applyAlignment="0" applyProtection="0"/>
    <xf numFmtId="0" fontId="12" fillId="23" borderId="47" applyNumberFormat="0" applyFont="0" applyAlignment="0" applyProtection="0"/>
    <xf numFmtId="0" fontId="12" fillId="23" borderId="51" applyNumberFormat="0" applyFont="0" applyAlignment="0" applyProtection="0"/>
    <xf numFmtId="0" fontId="28" fillId="0" borderId="73" applyNumberFormat="0" applyFill="0" applyAlignment="0" applyProtection="0"/>
    <xf numFmtId="0" fontId="28" fillId="0" borderId="49" applyNumberFormat="0" applyFill="0" applyAlignment="0" applyProtection="0"/>
    <xf numFmtId="0" fontId="15" fillId="16" borderId="78" applyNumberFormat="0" applyAlignment="0" applyProtection="0"/>
    <xf numFmtId="0" fontId="21" fillId="16" borderId="72" applyNumberFormat="0" applyAlignment="0" applyProtection="0"/>
    <xf numFmtId="0" fontId="28" fillId="0" borderId="73" applyNumberFormat="0" applyFill="0" applyAlignment="0" applyProtection="0"/>
    <xf numFmtId="0" fontId="15" fillId="16" borderId="58" applyNumberFormat="0" applyAlignment="0" applyProtection="0"/>
    <xf numFmtId="0" fontId="18" fillId="7" borderId="70" applyNumberFormat="0" applyAlignment="0" applyProtection="0"/>
    <xf numFmtId="0" fontId="28" fillId="0" borderId="53" applyNumberFormat="0" applyFill="0" applyAlignment="0" applyProtection="0"/>
    <xf numFmtId="0" fontId="28" fillId="0" borderId="53" applyNumberFormat="0" applyFill="0" applyAlignment="0" applyProtection="0"/>
    <xf numFmtId="0" fontId="15" fillId="16" borderId="78" applyNumberFormat="0" applyAlignment="0" applyProtection="0"/>
    <xf numFmtId="0" fontId="15" fillId="16" borderId="50" applyNumberFormat="0" applyAlignment="0" applyProtection="0"/>
    <xf numFmtId="0" fontId="18" fillId="7" borderId="50" applyNumberFormat="0" applyAlignment="0" applyProtection="0"/>
    <xf numFmtId="0" fontId="15" fillId="16" borderId="66" applyNumberFormat="0" applyAlignment="0" applyProtection="0"/>
    <xf numFmtId="0" fontId="21" fillId="16" borderId="52" applyNumberFormat="0" applyAlignment="0" applyProtection="0"/>
    <xf numFmtId="0" fontId="18" fillId="7" borderId="74" applyNumberFormat="0" applyAlignment="0" applyProtection="0"/>
    <xf numFmtId="0" fontId="28" fillId="0" borderId="69" applyNumberFormat="0" applyFill="0" applyAlignment="0" applyProtection="0"/>
    <xf numFmtId="0" fontId="21" fillId="16" borderId="52" applyNumberFormat="0" applyAlignment="0" applyProtection="0"/>
    <xf numFmtId="0" fontId="28" fillId="0" borderId="61" applyNumberFormat="0" applyFill="0" applyAlignment="0" applyProtection="0"/>
    <xf numFmtId="0" fontId="15" fillId="16" borderId="58" applyNumberFormat="0" applyAlignment="0" applyProtection="0"/>
    <xf numFmtId="0" fontId="12" fillId="23" borderId="55" applyNumberFormat="0" applyFont="0" applyAlignment="0" applyProtection="0"/>
    <xf numFmtId="0" fontId="15" fillId="16" borderId="46" applyNumberFormat="0" applyAlignment="0" applyProtection="0"/>
    <xf numFmtId="0" fontId="28" fillId="0" borderId="61" applyNumberFormat="0" applyFill="0" applyAlignment="0" applyProtection="0"/>
    <xf numFmtId="0" fontId="18" fillId="7" borderId="58" applyNumberFormat="0" applyAlignment="0" applyProtection="0"/>
    <xf numFmtId="0" fontId="15" fillId="16" borderId="58" applyNumberFormat="0" applyAlignment="0" applyProtection="0"/>
    <xf numFmtId="0" fontId="15" fillId="16" borderId="58" applyNumberFormat="0" applyAlignment="0" applyProtection="0"/>
    <xf numFmtId="0" fontId="18" fillId="7" borderId="58" applyNumberFormat="0" applyAlignment="0" applyProtection="0"/>
    <xf numFmtId="0" fontId="28" fillId="0" borderId="53" applyNumberFormat="0" applyFill="0" applyAlignment="0" applyProtection="0"/>
    <xf numFmtId="0" fontId="28" fillId="0" borderId="53" applyNumberFormat="0" applyFill="0" applyAlignment="0" applyProtection="0"/>
    <xf numFmtId="0" fontId="28" fillId="0" borderId="53" applyNumberFormat="0" applyFill="0" applyAlignment="0" applyProtection="0"/>
    <xf numFmtId="0" fontId="28" fillId="0" borderId="53" applyNumberFormat="0" applyFill="0" applyAlignment="0" applyProtection="0"/>
    <xf numFmtId="0" fontId="18" fillId="7" borderId="74" applyNumberFormat="0" applyAlignment="0" applyProtection="0"/>
    <xf numFmtId="0" fontId="21" fillId="16" borderId="60" applyNumberFormat="0" applyAlignment="0" applyProtection="0"/>
    <xf numFmtId="0" fontId="21" fillId="16" borderId="80" applyNumberFormat="0" applyAlignment="0" applyProtection="0"/>
    <xf numFmtId="0" fontId="15" fillId="16" borderId="62" applyNumberFormat="0" applyAlignment="0" applyProtection="0"/>
    <xf numFmtId="0" fontId="21" fillId="16" borderId="64" applyNumberFormat="0" applyAlignment="0" applyProtection="0"/>
    <xf numFmtId="0" fontId="12" fillId="23" borderId="75" applyNumberFormat="0" applyFont="0" applyAlignment="0" applyProtection="0"/>
    <xf numFmtId="0" fontId="21" fillId="16" borderId="64" applyNumberFormat="0" applyAlignment="0" applyProtection="0"/>
    <xf numFmtId="0" fontId="21" fillId="16" borderId="60" applyNumberFormat="0" applyAlignment="0" applyProtection="0"/>
    <xf numFmtId="0" fontId="12" fillId="23" borderId="79" applyNumberFormat="0" applyFont="0" applyAlignment="0" applyProtection="0"/>
    <xf numFmtId="0" fontId="21" fillId="16" borderId="80" applyNumberFormat="0" applyAlignment="0" applyProtection="0"/>
    <xf numFmtId="0" fontId="15" fillId="16" borderId="74" applyNumberFormat="0" applyAlignment="0" applyProtection="0"/>
    <xf numFmtId="0" fontId="28" fillId="0" borderId="65" applyNumberFormat="0" applyFill="0" applyAlignment="0" applyProtection="0"/>
    <xf numFmtId="0" fontId="28" fillId="0" borderId="65" applyNumberFormat="0" applyFill="0" applyAlignment="0" applyProtection="0"/>
    <xf numFmtId="0" fontId="18" fillId="7" borderId="62" applyNumberFormat="0" applyAlignment="0" applyProtection="0"/>
    <xf numFmtId="0" fontId="15" fillId="16" borderId="62" applyNumberFormat="0" applyAlignment="0" applyProtection="0"/>
    <xf numFmtId="0" fontId="15" fillId="16" borderId="62" applyNumberFormat="0" applyAlignment="0" applyProtection="0"/>
    <xf numFmtId="0" fontId="18" fillId="7" borderId="62" applyNumberFormat="0" applyAlignment="0" applyProtection="0"/>
    <xf numFmtId="0" fontId="28" fillId="0" borderId="57" applyNumberFormat="0" applyFill="0" applyAlignment="0" applyProtection="0"/>
    <xf numFmtId="0" fontId="28" fillId="0" borderId="57" applyNumberFormat="0" applyFill="0" applyAlignment="0" applyProtection="0"/>
    <xf numFmtId="0" fontId="28" fillId="0" borderId="57" applyNumberFormat="0" applyFill="0" applyAlignment="0" applyProtection="0"/>
    <xf numFmtId="0" fontId="28" fillId="0" borderId="57" applyNumberFormat="0" applyFill="0" applyAlignment="0" applyProtection="0"/>
    <xf numFmtId="0" fontId="21" fillId="16" borderId="64" applyNumberFormat="0" applyAlignment="0" applyProtection="0"/>
    <xf numFmtId="0" fontId="18" fillId="7" borderId="74" applyNumberFormat="0" applyAlignment="0" applyProtection="0"/>
    <xf numFmtId="0" fontId="15" fillId="16" borderId="66" applyNumberFormat="0" applyAlignment="0" applyProtection="0"/>
    <xf numFmtId="0" fontId="21" fillId="16" borderId="68" applyNumberFormat="0" applyAlignment="0" applyProtection="0"/>
    <xf numFmtId="0" fontId="21" fillId="16" borderId="68" applyNumberFormat="0" applyAlignment="0" applyProtection="0"/>
    <xf numFmtId="0" fontId="21" fillId="16" borderId="64" applyNumberFormat="0" applyAlignment="0" applyProtection="0"/>
    <xf numFmtId="0" fontId="28" fillId="0" borderId="81" applyNumberFormat="0" applyFill="0" applyAlignment="0" applyProtection="0"/>
    <xf numFmtId="0" fontId="21" fillId="16" borderId="80" applyNumberFormat="0" applyAlignment="0" applyProtection="0"/>
    <xf numFmtId="0" fontId="21" fillId="16" borderId="72" applyNumberFormat="0" applyAlignment="0" applyProtection="0"/>
    <xf numFmtId="0" fontId="28" fillId="0" borderId="69" applyNumberFormat="0" applyFill="0" applyAlignment="0" applyProtection="0"/>
    <xf numFmtId="0" fontId="15" fillId="16" borderId="74" applyNumberFormat="0" applyAlignment="0" applyProtection="0"/>
    <xf numFmtId="0" fontId="28" fillId="0" borderId="69" applyNumberFormat="0" applyFill="0" applyAlignment="0" applyProtection="0"/>
    <xf numFmtId="0" fontId="18" fillId="7" borderId="66" applyNumberFormat="0" applyAlignment="0" applyProtection="0"/>
    <xf numFmtId="0" fontId="15" fillId="16" borderId="66" applyNumberFormat="0" applyAlignment="0" applyProtection="0"/>
    <xf numFmtId="0" fontId="15" fillId="16" borderId="66" applyNumberFormat="0" applyAlignment="0" applyProtection="0"/>
    <xf numFmtId="0" fontId="18" fillId="7" borderId="66" applyNumberFormat="0" applyAlignment="0" applyProtection="0"/>
    <xf numFmtId="0" fontId="18" fillId="7" borderId="70" applyNumberFormat="0" applyAlignment="0" applyProtection="0"/>
    <xf numFmtId="0" fontId="21" fillId="16" borderId="76" applyNumberFormat="0" applyAlignment="0" applyProtection="0"/>
    <xf numFmtId="0" fontId="28" fillId="0" borderId="61" applyNumberFormat="0" applyFill="0" applyAlignment="0" applyProtection="0"/>
    <xf numFmtId="0" fontId="28" fillId="0" borderId="61" applyNumberFormat="0" applyFill="0" applyAlignment="0" applyProtection="0"/>
    <xf numFmtId="0" fontId="28" fillId="0" borderId="61" applyNumberFormat="0" applyFill="0" applyAlignment="0" applyProtection="0"/>
    <xf numFmtId="0" fontId="28" fillId="0" borderId="61" applyNumberFormat="0" applyFill="0" applyAlignment="0" applyProtection="0"/>
    <xf numFmtId="0" fontId="18" fillId="7" borderId="78" applyNumberFormat="0" applyAlignment="0" applyProtection="0"/>
    <xf numFmtId="0" fontId="21" fillId="16" borderId="68" applyNumberFormat="0" applyAlignment="0" applyProtection="0"/>
    <xf numFmtId="0" fontId="15" fillId="16" borderId="70" applyNumberFormat="0" applyAlignment="0" applyProtection="0"/>
    <xf numFmtId="0" fontId="28" fillId="0" borderId="77" applyNumberFormat="0" applyFill="0" applyAlignment="0" applyProtection="0"/>
    <xf numFmtId="0" fontId="21" fillId="16" borderId="68" applyNumberFormat="0" applyAlignment="0" applyProtection="0"/>
    <xf numFmtId="0" fontId="15" fillId="16" borderId="74" applyNumberFormat="0" applyAlignment="0" applyProtection="0"/>
    <xf numFmtId="0" fontId="21" fillId="16" borderId="76" applyNumberFormat="0" applyAlignment="0" applyProtection="0"/>
    <xf numFmtId="0" fontId="21" fillId="16" borderId="80" applyNumberFormat="0" applyAlignment="0" applyProtection="0"/>
    <xf numFmtId="0" fontId="28" fillId="0" borderId="65" applyNumberFormat="0" applyFill="0" applyAlignment="0" applyProtection="0"/>
    <xf numFmtId="0" fontId="28" fillId="0" borderId="65" applyNumberFormat="0" applyFill="0" applyAlignment="0" applyProtection="0"/>
    <xf numFmtId="0" fontId="28" fillId="0" borderId="65" applyNumberFormat="0" applyFill="0" applyAlignment="0" applyProtection="0"/>
    <xf numFmtId="0" fontId="28" fillId="0" borderId="65" applyNumberFormat="0" applyFill="0" applyAlignment="0" applyProtection="0"/>
    <xf numFmtId="0" fontId="18" fillId="7" borderId="70" applyNumberFormat="0" applyAlignment="0" applyProtection="0"/>
    <xf numFmtId="0" fontId="18" fillId="7" borderId="70" applyNumberFormat="0" applyAlignment="0" applyProtection="0"/>
    <xf numFmtId="0" fontId="18" fillId="7" borderId="74" applyNumberFormat="0" applyAlignment="0" applyProtection="0"/>
    <xf numFmtId="0" fontId="28" fillId="0" borderId="73" applyNumberFormat="0" applyFill="0" applyAlignment="0" applyProtection="0"/>
    <xf numFmtId="0" fontId="21" fillId="16" borderId="76" applyNumberFormat="0" applyAlignment="0" applyProtection="0"/>
    <xf numFmtId="0" fontId="18" fillId="7" borderId="78" applyNumberFormat="0" applyAlignment="0" applyProtection="0"/>
    <xf numFmtId="0" fontId="15" fillId="16" borderId="78" applyNumberFormat="0" applyAlignment="0" applyProtection="0"/>
    <xf numFmtId="0" fontId="28" fillId="0" borderId="69" applyNumberFormat="0" applyFill="0" applyAlignment="0" applyProtection="0"/>
    <xf numFmtId="0" fontId="28" fillId="0" borderId="69" applyNumberFormat="0" applyFill="0" applyAlignment="0" applyProtection="0"/>
    <xf numFmtId="0" fontId="28" fillId="0" borderId="69" applyNumberFormat="0" applyFill="0" applyAlignment="0" applyProtection="0"/>
    <xf numFmtId="0" fontId="28" fillId="0" borderId="69" applyNumberFormat="0" applyFill="0" applyAlignment="0" applyProtection="0"/>
    <xf numFmtId="0" fontId="12" fillId="23" borderId="79" applyNumberFormat="0" applyFont="0" applyAlignment="0" applyProtection="0"/>
    <xf numFmtId="0" fontId="28" fillId="0" borderId="77" applyNumberFormat="0" applyFill="0" applyAlignment="0" applyProtection="0"/>
    <xf numFmtId="0" fontId="12" fillId="23" borderId="71" applyNumberFormat="0" applyFont="0" applyAlignment="0" applyProtection="0"/>
    <xf numFmtId="0" fontId="28" fillId="0" borderId="73" applyNumberFormat="0" applyFill="0" applyAlignment="0" applyProtection="0"/>
    <xf numFmtId="0" fontId="28" fillId="0" borderId="77" applyNumberFormat="0" applyFill="0" applyAlignment="0" applyProtection="0"/>
    <xf numFmtId="0" fontId="18" fillId="7" borderId="78" applyNumberFormat="0" applyAlignment="0" applyProtection="0"/>
    <xf numFmtId="0" fontId="28" fillId="0" borderId="81" applyNumberFormat="0" applyFill="0" applyAlignment="0" applyProtection="0"/>
    <xf numFmtId="0" fontId="15" fillId="16" borderId="74" applyNumberFormat="0" applyAlignment="0" applyProtection="0"/>
    <xf numFmtId="0" fontId="18" fillId="7" borderId="74" applyNumberFormat="0" applyAlignment="0" applyProtection="0"/>
    <xf numFmtId="0" fontId="28" fillId="0" borderId="77" applyNumberFormat="0" applyFill="0" applyAlignment="0" applyProtection="0"/>
    <xf numFmtId="0" fontId="15" fillId="16" borderId="70" applyNumberFormat="0" applyAlignment="0" applyProtection="0"/>
    <xf numFmtId="0" fontId="21" fillId="16" borderId="80" applyNumberFormat="0" applyAlignment="0" applyProtection="0"/>
    <xf numFmtId="0" fontId="28" fillId="0" borderId="77" applyNumberFormat="0" applyFill="0" applyAlignment="0" applyProtection="0"/>
    <xf numFmtId="0" fontId="28" fillId="0" borderId="77" applyNumberFormat="0" applyFill="0" applyAlignment="0" applyProtection="0"/>
    <xf numFmtId="0" fontId="21" fillId="16" borderId="76" applyNumberFormat="0" applyAlignment="0" applyProtection="0"/>
    <xf numFmtId="0" fontId="18" fillId="7" borderId="78" applyNumberFormat="0" applyAlignment="0" applyProtection="0"/>
    <xf numFmtId="0" fontId="28" fillId="0" borderId="81" applyNumberFormat="0" applyFill="0" applyAlignment="0" applyProtection="0"/>
    <xf numFmtId="0" fontId="15" fillId="16" borderId="78" applyNumberFormat="0" applyAlignment="0" applyProtection="0"/>
    <xf numFmtId="0" fontId="18" fillId="7" borderId="78" applyNumberFormat="0" applyAlignment="0" applyProtection="0"/>
    <xf numFmtId="0" fontId="28" fillId="0" borderId="81" applyNumberFormat="0" applyFill="0" applyAlignment="0" applyProtection="0"/>
    <xf numFmtId="0" fontId="28" fillId="0" borderId="81" applyNumberFormat="0" applyFill="0" applyAlignment="0" applyProtection="0"/>
    <xf numFmtId="0" fontId="21" fillId="16" borderId="80" applyNumberFormat="0" applyAlignment="0" applyProtection="0"/>
    <xf numFmtId="0" fontId="1" fillId="0" borderId="0"/>
    <xf numFmtId="0" fontId="15" fillId="16" borderId="82" applyNumberFormat="0" applyAlignment="0" applyProtection="0"/>
    <xf numFmtId="0" fontId="15" fillId="16" borderId="82" applyNumberFormat="0" applyAlignment="0" applyProtection="0"/>
    <xf numFmtId="0" fontId="18" fillId="7" borderId="82" applyNumberFormat="0" applyAlignment="0" applyProtection="0"/>
    <xf numFmtId="0" fontId="12" fillId="23" borderId="83" applyNumberFormat="0" applyFont="0" applyAlignment="0" applyProtection="0"/>
    <xf numFmtId="0" fontId="21" fillId="16" borderId="84" applyNumberFormat="0" applyAlignment="0" applyProtection="0"/>
    <xf numFmtId="0" fontId="21" fillId="16" borderId="84" applyNumberFormat="0" applyAlignment="0" applyProtection="0"/>
    <xf numFmtId="0" fontId="28" fillId="0" borderId="85" applyNumberFormat="0" applyFill="0" applyAlignment="0" applyProtection="0"/>
    <xf numFmtId="0" fontId="15" fillId="16" borderId="82" applyNumberFormat="0" applyAlignment="0" applyProtection="0"/>
    <xf numFmtId="0" fontId="18" fillId="7" borderId="82" applyNumberFormat="0" applyAlignment="0" applyProtection="0"/>
    <xf numFmtId="0" fontId="12" fillId="23" borderId="83" applyNumberFormat="0" applyFont="0" applyAlignment="0" applyProtection="0"/>
    <xf numFmtId="0" fontId="15" fillId="16" borderId="82" applyNumberFormat="0" applyAlignment="0" applyProtection="0"/>
    <xf numFmtId="0" fontId="15" fillId="16" borderId="82" applyNumberFormat="0" applyAlignment="0" applyProtection="0"/>
    <xf numFmtId="0" fontId="18" fillId="7" borderId="82" applyNumberFormat="0" applyAlignment="0" applyProtection="0"/>
    <xf numFmtId="0" fontId="18" fillId="7" borderId="82" applyNumberFormat="0" applyAlignment="0" applyProtection="0"/>
    <xf numFmtId="0" fontId="21" fillId="16" borderId="84" applyNumberFormat="0" applyAlignment="0" applyProtection="0"/>
    <xf numFmtId="0" fontId="28" fillId="0" borderId="85" applyNumberFormat="0" applyFill="0" applyAlignment="0" applyProtection="0"/>
    <xf numFmtId="0" fontId="15" fillId="16" borderId="82" applyNumberFormat="0" applyAlignment="0" applyProtection="0"/>
    <xf numFmtId="0" fontId="18" fillId="7" borderId="82" applyNumberFormat="0" applyAlignment="0" applyProtection="0"/>
    <xf numFmtId="0" fontId="18" fillId="7" borderId="82" applyNumberFormat="0" applyAlignment="0" applyProtection="0"/>
    <xf numFmtId="0" fontId="15" fillId="16" borderId="82" applyNumberFormat="0" applyAlignment="0" applyProtection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8" fillId="7" borderId="82" applyNumberFormat="0" applyAlignment="0" applyProtection="0"/>
    <xf numFmtId="0" fontId="15" fillId="16" borderId="82" applyNumberFormat="0" applyAlignment="0" applyProtection="0"/>
    <xf numFmtId="0" fontId="15" fillId="16" borderId="82" applyNumberFormat="0" applyAlignment="0" applyProtection="0"/>
    <xf numFmtId="9" fontId="1" fillId="0" borderId="0" applyFont="0" applyFill="0" applyBorder="0" applyAlignment="0" applyProtection="0"/>
    <xf numFmtId="0" fontId="21" fillId="16" borderId="84" applyNumberFormat="0" applyAlignment="0" applyProtection="0"/>
    <xf numFmtId="0" fontId="21" fillId="16" borderId="84" applyNumberFormat="0" applyAlignment="0" applyProtection="0"/>
    <xf numFmtId="0" fontId="28" fillId="0" borderId="85" applyNumberFormat="0" applyFill="0" applyAlignment="0" applyProtection="0"/>
    <xf numFmtId="0" fontId="28" fillId="0" borderId="85" applyNumberFormat="0" applyFill="0" applyAlignment="0" applyProtection="0"/>
    <xf numFmtId="0" fontId="18" fillId="7" borderId="82" applyNumberFormat="0" applyAlignment="0" applyProtection="0"/>
    <xf numFmtId="0" fontId="21" fillId="16" borderId="84" applyNumberFormat="0" applyAlignment="0" applyProtection="0"/>
    <xf numFmtId="0" fontId="21" fillId="16" borderId="84" applyNumberFormat="0" applyAlignment="0" applyProtection="0"/>
    <xf numFmtId="0" fontId="21" fillId="16" borderId="84" applyNumberFormat="0" applyAlignment="0" applyProtection="0"/>
    <xf numFmtId="0" fontId="21" fillId="16" borderId="84" applyNumberFormat="0" applyAlignment="0" applyProtection="0"/>
    <xf numFmtId="0" fontId="28" fillId="0" borderId="85" applyNumberFormat="0" applyFill="0" applyAlignment="0" applyProtection="0"/>
    <xf numFmtId="0" fontId="28" fillId="0" borderId="85" applyNumberFormat="0" applyFill="0" applyAlignment="0" applyProtection="0"/>
    <xf numFmtId="0" fontId="28" fillId="0" borderId="85" applyNumberFormat="0" applyFill="0" applyAlignment="0" applyProtection="0"/>
    <xf numFmtId="0" fontId="28" fillId="0" borderId="85" applyNumberFormat="0" applyFill="0" applyAlignment="0" applyProtection="0"/>
    <xf numFmtId="43" fontId="1" fillId="0" borderId="0" applyFont="0" applyFill="0" applyBorder="0" applyAlignment="0" applyProtection="0"/>
    <xf numFmtId="0" fontId="12" fillId="23" borderId="83" applyNumberFormat="0" applyFont="0" applyAlignment="0" applyProtection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2" fillId="23" borderId="83" applyNumberFormat="0" applyFont="0" applyAlignment="0" applyProtection="0"/>
    <xf numFmtId="0" fontId="28" fillId="0" borderId="85" applyNumberFormat="0" applyFill="0" applyAlignment="0" applyProtection="0"/>
    <xf numFmtId="9" fontId="1" fillId="0" borderId="0" applyFont="0" applyFill="0" applyBorder="0" applyAlignment="0" applyProtection="0"/>
    <xf numFmtId="0" fontId="12" fillId="23" borderId="83" applyNumberFormat="0" applyFont="0" applyAlignment="0" applyProtection="0"/>
    <xf numFmtId="0" fontId="21" fillId="16" borderId="84" applyNumberFormat="0" applyAlignment="0" applyProtection="0"/>
    <xf numFmtId="0" fontId="28" fillId="0" borderId="85" applyNumberFormat="0" applyFill="0" applyAlignment="0" applyProtection="0"/>
    <xf numFmtId="0" fontId="18" fillId="7" borderId="82" applyNumberFormat="0" applyAlignment="0" applyProtection="0"/>
    <xf numFmtId="0" fontId="15" fillId="16" borderId="82" applyNumberFormat="0" applyAlignment="0" applyProtection="0"/>
    <xf numFmtId="0" fontId="18" fillId="7" borderId="82" applyNumberFormat="0" applyAlignment="0" applyProtection="0"/>
    <xf numFmtId="43" fontId="1" fillId="0" borderId="0" applyFont="0" applyFill="0" applyBorder="0" applyAlignment="0" applyProtection="0"/>
    <xf numFmtId="0" fontId="1" fillId="0" borderId="0"/>
    <xf numFmtId="0" fontId="21" fillId="16" borderId="84" applyNumberFormat="0" applyAlignment="0" applyProtection="0"/>
    <xf numFmtId="0" fontId="28" fillId="0" borderId="85" applyNumberFormat="0" applyFill="0" applyAlignment="0" applyProtection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2" fillId="23" borderId="83" applyNumberFormat="0" applyFont="0" applyAlignment="0" applyProtection="0"/>
    <xf numFmtId="9" fontId="1" fillId="0" borderId="0" applyFont="0" applyFill="0" applyBorder="0" applyAlignment="0" applyProtection="0"/>
    <xf numFmtId="0" fontId="12" fillId="23" borderId="83" applyNumberFormat="0" applyFont="0" applyAlignment="0" applyProtection="0"/>
    <xf numFmtId="0" fontId="21" fillId="16" borderId="84" applyNumberFormat="0" applyAlignment="0" applyProtection="0"/>
    <xf numFmtId="0" fontId="28" fillId="0" borderId="85" applyNumberFormat="0" applyFill="0" applyAlignment="0" applyProtection="0"/>
    <xf numFmtId="0" fontId="15" fillId="16" borderId="82" applyNumberFormat="0" applyAlignment="0" applyProtection="0"/>
    <xf numFmtId="0" fontId="18" fillId="7" borderId="82" applyNumberForma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8" fillId="7" borderId="82" applyNumberFormat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2" fillId="23" borderId="83" applyNumberFormat="0" applyFont="0" applyAlignment="0" applyProtection="0"/>
    <xf numFmtId="0" fontId="15" fillId="16" borderId="82" applyNumberFormat="0" applyAlignment="0" applyProtection="0"/>
    <xf numFmtId="44" fontId="41" fillId="0" borderId="0" applyFont="0" applyFill="0" applyBorder="0" applyAlignment="0" applyProtection="0"/>
    <xf numFmtId="43" fontId="42" fillId="0" borderId="0" applyFont="0" applyFill="0" applyBorder="0" applyAlignment="0" applyProtection="0"/>
  </cellStyleXfs>
  <cellXfs count="210">
    <xf numFmtId="0" fontId="0" fillId="0" borderId="0" xfId="0"/>
    <xf numFmtId="0" fontId="9" fillId="0" borderId="0" xfId="0" applyFont="1"/>
    <xf numFmtId="0" fontId="0" fillId="0" borderId="86" xfId="0" applyBorder="1" applyAlignment="1">
      <alignment horizontal="center" vertical="center"/>
    </xf>
    <xf numFmtId="44" fontId="0" fillId="0" borderId="0" xfId="0" applyNumberFormat="1"/>
    <xf numFmtId="0" fontId="9" fillId="0" borderId="86" xfId="0" applyFont="1" applyBorder="1" applyAlignment="1">
      <alignment horizontal="center" vertical="center"/>
    </xf>
    <xf numFmtId="44" fontId="9" fillId="0" borderId="86" xfId="1202" applyFont="1" applyBorder="1"/>
    <xf numFmtId="169" fontId="0" fillId="0" borderId="0" xfId="0" applyNumberFormat="1"/>
    <xf numFmtId="0" fontId="43" fillId="0" borderId="0" xfId="0" applyFont="1"/>
    <xf numFmtId="0" fontId="47" fillId="0" borderId="0" xfId="0" applyFont="1"/>
    <xf numFmtId="0" fontId="48" fillId="0" borderId="0" xfId="0" applyFont="1"/>
    <xf numFmtId="0" fontId="49" fillId="0" borderId="0" xfId="0" applyFont="1" applyAlignment="1">
      <alignment horizontal="center"/>
    </xf>
    <xf numFmtId="0" fontId="40" fillId="0" borderId="0" xfId="0" applyFont="1"/>
    <xf numFmtId="49" fontId="40" fillId="34" borderId="99" xfId="0" applyNumberFormat="1" applyFont="1" applyFill="1" applyBorder="1" applyAlignment="1">
      <alignment horizontal="center" vertical="center"/>
    </xf>
    <xf numFmtId="0" fontId="51" fillId="0" borderId="86" xfId="0" applyFont="1" applyBorder="1" applyAlignment="1">
      <alignment horizontal="justify" vertical="center" wrapText="1"/>
    </xf>
    <xf numFmtId="169" fontId="51" fillId="0" borderId="86" xfId="0" applyNumberFormat="1" applyFont="1" applyBorder="1" applyAlignment="1">
      <alignment horizontal="center" vertical="center"/>
    </xf>
    <xf numFmtId="44" fontId="40" fillId="0" borderId="86" xfId="1202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54" fillId="25" borderId="86" xfId="1202" applyFont="1" applyFill="1" applyBorder="1" applyAlignment="1" applyProtection="1">
      <alignment vertical="center" wrapText="1"/>
      <protection locked="0"/>
    </xf>
    <xf numFmtId="43" fontId="0" fillId="0" borderId="0" xfId="0" applyNumberFormat="1"/>
    <xf numFmtId="0" fontId="56" fillId="0" borderId="86" xfId="0" applyFont="1" applyBorder="1" applyAlignment="1">
      <alignment vertical="center" wrapText="1"/>
    </xf>
    <xf numFmtId="44" fontId="0" fillId="25" borderId="86" xfId="1202" applyFont="1" applyFill="1" applyBorder="1"/>
    <xf numFmtId="166" fontId="56" fillId="0" borderId="86" xfId="356" applyFont="1" applyBorder="1" applyAlignment="1" applyProtection="1">
      <alignment vertical="center" wrapText="1"/>
      <protection locked="0"/>
    </xf>
    <xf numFmtId="0" fontId="56" fillId="0" borderId="86" xfId="0" applyFont="1" applyBorder="1" applyAlignment="1">
      <alignment vertical="center"/>
    </xf>
    <xf numFmtId="44" fontId="56" fillId="25" borderId="86" xfId="1202" applyFont="1" applyFill="1" applyBorder="1" applyAlignment="1">
      <alignment vertical="center"/>
    </xf>
    <xf numFmtId="166" fontId="56" fillId="25" borderId="86" xfId="356" applyFont="1" applyFill="1" applyBorder="1" applyAlignment="1" applyProtection="1">
      <alignment vertical="center" wrapText="1"/>
      <protection locked="0"/>
    </xf>
    <xf numFmtId="166" fontId="57" fillId="37" borderId="86" xfId="356" applyFont="1" applyFill="1" applyBorder="1" applyAlignment="1">
      <alignment vertical="center" wrapText="1"/>
    </xf>
    <xf numFmtId="44" fontId="56" fillId="25" borderId="86" xfId="1202" applyFont="1" applyFill="1" applyBorder="1" applyAlignment="1" applyProtection="1">
      <alignment vertical="center" wrapText="1"/>
      <protection locked="0"/>
    </xf>
    <xf numFmtId="44" fontId="54" fillId="24" borderId="86" xfId="1202" applyFont="1" applyFill="1" applyBorder="1" applyAlignment="1" applyProtection="1">
      <alignment vertical="center" wrapText="1"/>
      <protection locked="0"/>
    </xf>
    <xf numFmtId="44" fontId="54" fillId="37" borderId="86" xfId="1202" applyFont="1" applyFill="1" applyBorder="1" applyAlignment="1" applyProtection="1">
      <alignment vertical="center" wrapText="1"/>
      <protection locked="0"/>
    </xf>
    <xf numFmtId="10" fontId="54" fillId="25" borderId="86" xfId="389" applyNumberFormat="1" applyFont="1" applyFill="1" applyBorder="1" applyAlignment="1">
      <alignment horizontal="center" vertical="center" wrapText="1"/>
    </xf>
    <xf numFmtId="44" fontId="56" fillId="0" borderId="86" xfId="1202" applyFont="1" applyBorder="1" applyAlignment="1">
      <alignment horizontal="right" vertical="center" wrapText="1"/>
    </xf>
    <xf numFmtId="10" fontId="54" fillId="0" borderId="86" xfId="173" applyNumberFormat="1" applyFont="1" applyBorder="1" applyAlignment="1">
      <alignment horizontal="center" vertical="center" wrapText="1"/>
    </xf>
    <xf numFmtId="44" fontId="54" fillId="0" borderId="86" xfId="1202" applyFont="1" applyBorder="1" applyAlignment="1">
      <alignment horizontal="right" vertical="center" wrapText="1"/>
    </xf>
    <xf numFmtId="10" fontId="56" fillId="25" borderId="86" xfId="173" applyNumberFormat="1" applyFont="1" applyFill="1" applyBorder="1" applyAlignment="1">
      <alignment horizontal="center" vertical="center" wrapText="1"/>
    </xf>
    <xf numFmtId="9" fontId="54" fillId="0" borderId="86" xfId="173" applyFont="1" applyBorder="1" applyAlignment="1">
      <alignment horizontal="center" vertical="center" wrapText="1"/>
    </xf>
    <xf numFmtId="10" fontId="54" fillId="0" borderId="86" xfId="389" applyNumberFormat="1" applyFont="1" applyBorder="1" applyAlignment="1">
      <alignment horizontal="center" vertical="center" wrapText="1"/>
    </xf>
    <xf numFmtId="44" fontId="54" fillId="36" borderId="86" xfId="1202" applyFont="1" applyFill="1" applyBorder="1" applyAlignment="1">
      <alignment vertical="center" wrapText="1"/>
    </xf>
    <xf numFmtId="0" fontId="38" fillId="27" borderId="86" xfId="0" applyFont="1" applyFill="1" applyBorder="1" applyAlignment="1">
      <alignment horizontal="center" vertical="center"/>
    </xf>
    <xf numFmtId="0" fontId="38" fillId="27" borderId="86" xfId="0" applyFont="1" applyFill="1" applyBorder="1" applyAlignment="1">
      <alignment horizontal="center" vertical="center" wrapText="1"/>
    </xf>
    <xf numFmtId="3" fontId="0" fillId="0" borderId="86" xfId="0" applyNumberFormat="1" applyBorder="1" applyAlignment="1">
      <alignment horizontal="center" vertical="center"/>
    </xf>
    <xf numFmtId="44" fontId="0" fillId="0" borderId="86" xfId="1202" applyFont="1" applyBorder="1" applyAlignment="1">
      <alignment horizontal="center" vertical="center" wrapText="1"/>
    </xf>
    <xf numFmtId="166" fontId="38" fillId="0" borderId="86" xfId="0" applyNumberFormat="1" applyFont="1" applyBorder="1"/>
    <xf numFmtId="0" fontId="38" fillId="39" borderId="86" xfId="0" applyFont="1" applyFill="1" applyBorder="1"/>
    <xf numFmtId="166" fontId="38" fillId="39" borderId="86" xfId="0" applyNumberFormat="1" applyFont="1" applyFill="1" applyBorder="1"/>
    <xf numFmtId="166" fontId="38" fillId="39" borderId="86" xfId="1202" applyNumberFormat="1" applyFont="1" applyFill="1" applyBorder="1"/>
    <xf numFmtId="3" fontId="38" fillId="25" borderId="86" xfId="0" applyNumberFormat="1" applyFont="1" applyFill="1" applyBorder="1" applyAlignment="1">
      <alignment horizontal="center" vertical="center"/>
    </xf>
    <xf numFmtId="44" fontId="38" fillId="25" borderId="86" xfId="1202" applyFont="1" applyFill="1" applyBorder="1"/>
    <xf numFmtId="0" fontId="0" fillId="0" borderId="86" xfId="0" applyBorder="1" applyAlignment="1">
      <alignment vertical="center"/>
    </xf>
    <xf numFmtId="14" fontId="0" fillId="0" borderId="86" xfId="0" applyNumberFormat="1" applyBorder="1" applyAlignment="1">
      <alignment horizontal="center" vertical="center"/>
    </xf>
    <xf numFmtId="44" fontId="0" fillId="0" borderId="86" xfId="1202" applyFont="1" applyBorder="1"/>
    <xf numFmtId="49" fontId="0" fillId="0" borderId="86" xfId="0" applyNumberForma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0" borderId="86" xfId="0" applyFont="1" applyBorder="1" applyAlignment="1">
      <alignment vertical="center"/>
    </xf>
    <xf numFmtId="49" fontId="9" fillId="0" borderId="86" xfId="0" applyNumberFormat="1" applyFont="1" applyBorder="1" applyAlignment="1">
      <alignment horizontal="center"/>
    </xf>
    <xf numFmtId="14" fontId="9" fillId="0" borderId="86" xfId="0" applyNumberFormat="1" applyFont="1" applyBorder="1" applyAlignment="1">
      <alignment horizontal="center" vertical="center"/>
    </xf>
    <xf numFmtId="0" fontId="64" fillId="35" borderId="86" xfId="0" applyFont="1" applyFill="1" applyBorder="1" applyAlignment="1">
      <alignment horizontal="center" vertical="center" wrapText="1"/>
    </xf>
    <xf numFmtId="0" fontId="64" fillId="42" borderId="86" xfId="0" applyFont="1" applyFill="1" applyBorder="1" applyAlignment="1">
      <alignment horizontal="center" vertical="center" wrapText="1"/>
    </xf>
    <xf numFmtId="0" fontId="64" fillId="37" borderId="86" xfId="0" applyFont="1" applyFill="1" applyBorder="1" applyAlignment="1">
      <alignment horizontal="center" vertical="center" wrapText="1"/>
    </xf>
    <xf numFmtId="0" fontId="64" fillId="43" borderId="86" xfId="0" applyFont="1" applyFill="1" applyBorder="1" applyAlignment="1">
      <alignment horizontal="center" vertical="center" wrapText="1"/>
    </xf>
    <xf numFmtId="0" fontId="43" fillId="0" borderId="0" xfId="0" applyFont="1" applyAlignment="1">
      <alignment vertical="center"/>
    </xf>
    <xf numFmtId="44" fontId="43" fillId="0" borderId="86" xfId="0" applyNumberFormat="1" applyFont="1" applyBorder="1" applyAlignment="1">
      <alignment horizontal="center" vertical="center" wrapText="1"/>
    </xf>
    <xf numFmtId="9" fontId="43" fillId="0" borderId="86" xfId="173" applyFont="1" applyBorder="1" applyAlignment="1">
      <alignment horizontal="center" vertical="center" wrapText="1"/>
    </xf>
    <xf numFmtId="10" fontId="65" fillId="29" borderId="86" xfId="0" applyNumberFormat="1" applyFont="1" applyFill="1" applyBorder="1" applyAlignment="1">
      <alignment horizontal="center" vertical="center" wrapText="1"/>
    </xf>
    <xf numFmtId="44" fontId="43" fillId="44" borderId="86" xfId="0" applyNumberFormat="1" applyFont="1" applyFill="1" applyBorder="1"/>
    <xf numFmtId="0" fontId="9" fillId="0" borderId="0" xfId="0" applyFont="1" applyAlignment="1">
      <alignment horizontal="left" wrapText="1"/>
    </xf>
    <xf numFmtId="0" fontId="66" fillId="0" borderId="95" xfId="158" applyFont="1" applyBorder="1" applyAlignment="1">
      <alignment horizontal="left" vertical="center"/>
    </xf>
    <xf numFmtId="167" fontId="66" fillId="0" borderId="92" xfId="132" applyFont="1" applyBorder="1" applyAlignment="1">
      <alignment horizontal="left" vertical="center"/>
    </xf>
    <xf numFmtId="0" fontId="43" fillId="0" borderId="0" xfId="0" applyFont="1" applyAlignment="1">
      <alignment horizontal="left" vertical="center"/>
    </xf>
    <xf numFmtId="0" fontId="66" fillId="0" borderId="96" xfId="158" applyFont="1" applyBorder="1" applyAlignment="1">
      <alignment horizontal="left" vertical="center"/>
    </xf>
    <xf numFmtId="2" fontId="66" fillId="0" borderId="93" xfId="132" applyNumberFormat="1" applyFont="1" applyBorder="1" applyAlignment="1">
      <alignment horizontal="center" vertical="center"/>
    </xf>
    <xf numFmtId="10" fontId="66" fillId="0" borderId="93" xfId="389" applyNumberFormat="1" applyFont="1" applyBorder="1" applyAlignment="1">
      <alignment horizontal="center" vertical="center"/>
    </xf>
    <xf numFmtId="0" fontId="66" fillId="0" borderId="102" xfId="158" applyFont="1" applyBorder="1" applyAlignment="1">
      <alignment horizontal="left" vertical="center"/>
    </xf>
    <xf numFmtId="167" fontId="66" fillId="0" borderId="103" xfId="132" applyFont="1" applyBorder="1" applyAlignment="1">
      <alignment horizontal="left" vertical="center"/>
    </xf>
    <xf numFmtId="0" fontId="64" fillId="0" borderId="0" xfId="0" applyFont="1"/>
    <xf numFmtId="0" fontId="67" fillId="29" borderId="89" xfId="158" applyFont="1" applyFill="1" applyBorder="1" applyAlignment="1">
      <alignment horizontal="left" vertical="center"/>
    </xf>
    <xf numFmtId="167" fontId="67" fillId="29" borderId="97" xfId="132" applyFont="1" applyFill="1" applyBorder="1" applyAlignment="1">
      <alignment horizontal="left" vertical="center"/>
    </xf>
    <xf numFmtId="10" fontId="65" fillId="28" borderId="86" xfId="0" applyNumberFormat="1" applyFont="1" applyFill="1" applyBorder="1" applyAlignment="1">
      <alignment horizontal="center" vertical="center" wrapText="1"/>
    </xf>
    <xf numFmtId="44" fontId="0" fillId="0" borderId="86" xfId="1202" applyFont="1" applyBorder="1" applyAlignment="1">
      <alignment horizontal="center" vertical="center"/>
    </xf>
    <xf numFmtId="0" fontId="64" fillId="35" borderId="94" xfId="0" applyFont="1" applyFill="1" applyBorder="1" applyAlignment="1">
      <alignment horizontal="center" vertical="center" wrapText="1"/>
    </xf>
    <xf numFmtId="0" fontId="64" fillId="40" borderId="86" xfId="0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45" fillId="24" borderId="0" xfId="0" applyFont="1" applyFill="1" applyAlignment="1">
      <alignment horizontal="center"/>
    </xf>
    <xf numFmtId="0" fontId="0" fillId="24" borderId="0" xfId="0" applyFill="1"/>
    <xf numFmtId="44" fontId="43" fillId="44" borderId="86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8" fillId="0" borderId="0" xfId="0" applyFont="1" applyAlignment="1">
      <alignment vertical="center"/>
    </xf>
    <xf numFmtId="44" fontId="0" fillId="0" borderId="86" xfId="1202" applyFont="1" applyBorder="1" applyAlignment="1">
      <alignment vertical="center"/>
    </xf>
    <xf numFmtId="0" fontId="55" fillId="25" borderId="94" xfId="0" applyFont="1" applyFill="1" applyBorder="1" applyAlignment="1">
      <alignment horizontal="center" vertical="center" wrapText="1"/>
    </xf>
    <xf numFmtId="44" fontId="53" fillId="36" borderId="98" xfId="1202" applyFont="1" applyFill="1" applyBorder="1" applyAlignment="1">
      <alignment horizontal="center" vertical="center" wrapText="1"/>
    </xf>
    <xf numFmtId="1" fontId="60" fillId="36" borderId="98" xfId="1203" applyNumberFormat="1" applyFont="1" applyFill="1" applyBorder="1" applyAlignment="1">
      <alignment horizontal="center" vertical="center" wrapText="1"/>
    </xf>
    <xf numFmtId="44" fontId="54" fillId="36" borderId="98" xfId="1202" applyFont="1" applyFill="1" applyBorder="1" applyAlignment="1">
      <alignment vertical="center" wrapText="1"/>
    </xf>
    <xf numFmtId="0" fontId="54" fillId="36" borderId="98" xfId="0" applyFont="1" applyFill="1" applyBorder="1" applyAlignment="1">
      <alignment horizontal="center" vertical="center" textRotation="90" wrapText="1"/>
    </xf>
    <xf numFmtId="0" fontId="54" fillId="36" borderId="98" xfId="0" applyFont="1" applyFill="1" applyBorder="1" applyAlignment="1">
      <alignment vertical="center" textRotation="90" wrapText="1"/>
    </xf>
    <xf numFmtId="49" fontId="0" fillId="0" borderId="86" xfId="0" applyNumberFormat="1" applyBorder="1" applyAlignment="1">
      <alignment horizontal="center" vertical="center"/>
    </xf>
    <xf numFmtId="0" fontId="64" fillId="36" borderId="101" xfId="0" applyFont="1" applyFill="1" applyBorder="1" applyAlignment="1">
      <alignment horizontal="center" vertical="center" wrapText="1"/>
    </xf>
    <xf numFmtId="44" fontId="0" fillId="26" borderId="86" xfId="1202" applyFont="1" applyFill="1" applyBorder="1"/>
    <xf numFmtId="1" fontId="0" fillId="0" borderId="87" xfId="1202" applyNumberFormat="1" applyFont="1" applyBorder="1" applyAlignment="1">
      <alignment horizontal="center" vertical="center"/>
    </xf>
    <xf numFmtId="10" fontId="56" fillId="25" borderId="86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69" fillId="0" borderId="0" xfId="0" applyFont="1"/>
    <xf numFmtId="10" fontId="54" fillId="25" borderId="86" xfId="173" applyNumberFormat="1" applyFont="1" applyFill="1" applyBorder="1" applyAlignment="1">
      <alignment horizontal="center" vertical="center" wrapText="1"/>
    </xf>
    <xf numFmtId="0" fontId="51" fillId="0" borderId="86" xfId="0" applyFont="1" applyBorder="1" applyAlignment="1">
      <alignment horizontal="center" vertical="center" wrapText="1"/>
    </xf>
    <xf numFmtId="44" fontId="9" fillId="0" borderId="0" xfId="0" applyNumberFormat="1" applyFont="1"/>
    <xf numFmtId="169" fontId="9" fillId="0" borderId="0" xfId="0" applyNumberFormat="1" applyFont="1"/>
    <xf numFmtId="3" fontId="40" fillId="0" borderId="86" xfId="0" applyNumberFormat="1" applyFont="1" applyBorder="1" applyAlignment="1">
      <alignment horizontal="center" vertical="center"/>
    </xf>
    <xf numFmtId="44" fontId="0" fillId="0" borderId="86" xfId="0" applyNumberFormat="1" applyBorder="1" applyAlignment="1">
      <alignment horizontal="center" vertical="center"/>
    </xf>
    <xf numFmtId="0" fontId="64" fillId="35" borderId="86" xfId="0" applyFont="1" applyFill="1" applyBorder="1" applyAlignment="1">
      <alignment horizontal="center" vertical="center" wrapText="1"/>
    </xf>
    <xf numFmtId="0" fontId="0" fillId="0" borderId="86" xfId="0" applyBorder="1" applyAlignment="1">
      <alignment horizontal="center" vertical="center"/>
    </xf>
    <xf numFmtId="44" fontId="0" fillId="0" borderId="86" xfId="1202" applyFont="1" applyBorder="1" applyAlignment="1" applyProtection="1">
      <alignment horizontal="center" vertical="center"/>
      <protection locked="0"/>
    </xf>
    <xf numFmtId="44" fontId="0" fillId="0" borderId="86" xfId="0" applyNumberFormat="1" applyBorder="1" applyAlignment="1" applyProtection="1">
      <alignment horizontal="center" vertical="center" wrapText="1"/>
      <protection locked="0"/>
    </xf>
    <xf numFmtId="9" fontId="0" fillId="0" borderId="86" xfId="173" applyFont="1" applyFill="1" applyBorder="1" applyAlignment="1" applyProtection="1">
      <alignment horizontal="center" vertical="center" wrapText="1"/>
      <protection locked="0"/>
    </xf>
    <xf numFmtId="10" fontId="39" fillId="29" borderId="86" xfId="0" applyNumberFormat="1" applyFont="1" applyFill="1" applyBorder="1" applyAlignment="1" applyProtection="1">
      <alignment horizontal="center" vertical="center" wrapText="1"/>
      <protection locked="0"/>
    </xf>
    <xf numFmtId="0" fontId="70" fillId="0" borderId="0" xfId="0" applyFont="1"/>
    <xf numFmtId="0" fontId="70" fillId="0" borderId="0" xfId="0" applyFont="1" applyAlignment="1">
      <alignment horizontal="center"/>
    </xf>
    <xf numFmtId="0" fontId="71" fillId="0" borderId="95" xfId="158" applyFont="1" applyBorder="1" applyAlignment="1">
      <alignment horizontal="left" vertical="center"/>
    </xf>
    <xf numFmtId="0" fontId="71" fillId="0" borderId="96" xfId="158" applyFont="1" applyBorder="1" applyAlignment="1">
      <alignment horizontal="left" vertical="center"/>
    </xf>
    <xf numFmtId="0" fontId="71" fillId="0" borderId="102" xfId="158" applyFont="1" applyBorder="1" applyAlignment="1">
      <alignment horizontal="left" vertical="center"/>
    </xf>
    <xf numFmtId="0" fontId="72" fillId="25" borderId="89" xfId="158" applyFont="1" applyFill="1" applyBorder="1" applyAlignment="1">
      <alignment horizontal="center" vertical="center"/>
    </xf>
    <xf numFmtId="0" fontId="72" fillId="29" borderId="89" xfId="158" applyFont="1" applyFill="1" applyBorder="1" applyAlignment="1">
      <alignment horizontal="left" vertical="center"/>
    </xf>
    <xf numFmtId="44" fontId="0" fillId="44" borderId="86" xfId="0" applyNumberFormat="1" applyFill="1" applyBorder="1" applyAlignment="1" applyProtection="1">
      <alignment vertical="center"/>
      <protection locked="0"/>
    </xf>
    <xf numFmtId="167" fontId="71" fillId="0" borderId="92" xfId="132" applyFont="1" applyFill="1" applyBorder="1" applyAlignment="1">
      <alignment horizontal="left" vertical="center"/>
    </xf>
    <xf numFmtId="2" fontId="71" fillId="0" borderId="93" xfId="132" applyNumberFormat="1" applyFont="1" applyFill="1" applyBorder="1" applyAlignment="1">
      <alignment horizontal="center" vertical="center"/>
    </xf>
    <xf numFmtId="10" fontId="71" fillId="0" borderId="93" xfId="179" applyNumberFormat="1" applyFont="1" applyFill="1" applyBorder="1" applyAlignment="1">
      <alignment horizontal="center" vertical="center"/>
    </xf>
    <xf numFmtId="167" fontId="71" fillId="0" borderId="103" xfId="132" applyFont="1" applyFill="1" applyBorder="1" applyAlignment="1">
      <alignment horizontal="left" vertical="center"/>
    </xf>
    <xf numFmtId="167" fontId="72" fillId="29" borderId="97" xfId="132" applyFont="1" applyFill="1" applyBorder="1" applyAlignment="1">
      <alignment horizontal="left" vertical="center"/>
    </xf>
    <xf numFmtId="49" fontId="9" fillId="0" borderId="86" xfId="0" applyNumberFormat="1" applyFont="1" applyBorder="1" applyAlignment="1">
      <alignment horizontal="center" vertical="center"/>
    </xf>
    <xf numFmtId="44" fontId="9" fillId="0" borderId="86" xfId="1202" applyFont="1" applyBorder="1" applyAlignment="1">
      <alignment horizontal="center" vertical="center" wrapText="1"/>
    </xf>
    <xf numFmtId="0" fontId="50" fillId="47" borderId="86" xfId="0" applyFont="1" applyFill="1" applyBorder="1" applyAlignment="1">
      <alignment horizontal="center" vertical="center" wrapText="1"/>
    </xf>
    <xf numFmtId="169" fontId="50" fillId="26" borderId="86" xfId="0" applyNumberFormat="1" applyFont="1" applyFill="1" applyBorder="1" applyAlignment="1">
      <alignment horizontal="center" vertical="center"/>
    </xf>
    <xf numFmtId="3" fontId="40" fillId="26" borderId="86" xfId="0" applyNumberFormat="1" applyFont="1" applyFill="1" applyBorder="1" applyAlignment="1">
      <alignment horizontal="center" vertical="center"/>
    </xf>
    <xf numFmtId="166" fontId="56" fillId="24" borderId="86" xfId="356" applyFont="1" applyFill="1" applyBorder="1" applyAlignment="1">
      <alignment vertical="center" wrapText="1"/>
    </xf>
    <xf numFmtId="166" fontId="56" fillId="24" borderId="86" xfId="356" applyFont="1" applyFill="1" applyBorder="1" applyAlignment="1" applyProtection="1">
      <alignment vertical="center" wrapText="1"/>
      <protection locked="0"/>
    </xf>
    <xf numFmtId="169" fontId="39" fillId="33" borderId="86" xfId="0" applyNumberFormat="1" applyFont="1" applyFill="1" applyBorder="1" applyAlignment="1">
      <alignment horizontal="center" vertical="center"/>
    </xf>
    <xf numFmtId="0" fontId="50" fillId="33" borderId="110" xfId="0" applyFont="1" applyFill="1" applyBorder="1" applyAlignment="1">
      <alignment horizontal="center"/>
    </xf>
    <xf numFmtId="0" fontId="50" fillId="33" borderId="111" xfId="0" applyFont="1" applyFill="1" applyBorder="1" applyAlignment="1">
      <alignment horizontal="center"/>
    </xf>
    <xf numFmtId="0" fontId="50" fillId="33" borderId="112" xfId="0" applyFont="1" applyFill="1" applyBorder="1" applyAlignment="1">
      <alignment horizontal="center"/>
    </xf>
    <xf numFmtId="0" fontId="50" fillId="0" borderId="113" xfId="0" applyFont="1" applyBorder="1" applyAlignment="1">
      <alignment horizontal="center" vertical="center"/>
    </xf>
    <xf numFmtId="0" fontId="50" fillId="0" borderId="108" xfId="0" applyFont="1" applyBorder="1" applyAlignment="1">
      <alignment horizontal="center" vertical="center"/>
    </xf>
    <xf numFmtId="0" fontId="50" fillId="0" borderId="114" xfId="0" applyFont="1" applyBorder="1" applyAlignment="1">
      <alignment horizontal="center" vertical="center"/>
    </xf>
    <xf numFmtId="0" fontId="51" fillId="0" borderId="94" xfId="0" applyFont="1" applyBorder="1" applyAlignment="1">
      <alignment horizontal="justify" vertical="center" wrapText="1"/>
    </xf>
    <xf numFmtId="0" fontId="39" fillId="33" borderId="86" xfId="0" applyFont="1" applyFill="1" applyBorder="1" applyAlignment="1">
      <alignment horizontal="center"/>
    </xf>
    <xf numFmtId="0" fontId="39" fillId="34" borderId="90" xfId="0" applyFont="1" applyFill="1" applyBorder="1" applyAlignment="1">
      <alignment horizontal="right" vertical="center"/>
    </xf>
    <xf numFmtId="0" fontId="39" fillId="34" borderId="91" xfId="0" applyFont="1" applyFill="1" applyBorder="1" applyAlignment="1">
      <alignment horizontal="right" vertical="center"/>
    </xf>
    <xf numFmtId="0" fontId="50" fillId="26" borderId="86" xfId="0" applyFont="1" applyFill="1" applyBorder="1" applyAlignment="1">
      <alignment horizontal="center" vertical="center" wrapText="1"/>
    </xf>
    <xf numFmtId="0" fontId="40" fillId="26" borderId="105" xfId="0" applyFont="1" applyFill="1" applyBorder="1" applyAlignment="1">
      <alignment horizontal="center" vertical="center"/>
    </xf>
    <xf numFmtId="0" fontId="40" fillId="26" borderId="106" xfId="0" applyFont="1" applyFill="1" applyBorder="1" applyAlignment="1">
      <alignment horizontal="center" vertical="center"/>
    </xf>
    <xf numFmtId="0" fontId="40" fillId="26" borderId="109" xfId="0" applyFont="1" applyFill="1" applyBorder="1" applyAlignment="1">
      <alignment horizontal="center" vertical="center"/>
    </xf>
    <xf numFmtId="0" fontId="40" fillId="26" borderId="116" xfId="0" applyFont="1" applyFill="1" applyBorder="1" applyAlignment="1">
      <alignment horizontal="center" vertical="center"/>
    </xf>
    <xf numFmtId="0" fontId="40" fillId="26" borderId="104" xfId="0" applyFont="1" applyFill="1" applyBorder="1" applyAlignment="1">
      <alignment horizontal="center" vertical="center"/>
    </xf>
    <xf numFmtId="0" fontId="40" fillId="26" borderId="107" xfId="0" applyFont="1" applyFill="1" applyBorder="1" applyAlignment="1">
      <alignment horizontal="center" vertical="center"/>
    </xf>
    <xf numFmtId="0" fontId="40" fillId="26" borderId="101" xfId="0" applyFont="1" applyFill="1" applyBorder="1" applyAlignment="1">
      <alignment horizontal="center" vertical="center"/>
    </xf>
    <xf numFmtId="0" fontId="40" fillId="26" borderId="115" xfId="0" applyFont="1" applyFill="1" applyBorder="1" applyAlignment="1">
      <alignment horizontal="center" vertical="center"/>
    </xf>
    <xf numFmtId="0" fontId="40" fillId="26" borderId="94" xfId="0" applyFont="1" applyFill="1" applyBorder="1" applyAlignment="1">
      <alignment horizontal="center" vertical="center"/>
    </xf>
    <xf numFmtId="0" fontId="0" fillId="36" borderId="115" xfId="0" quotePrefix="1" applyFill="1" applyBorder="1" applyAlignment="1">
      <alignment horizontal="center" vertical="center"/>
    </xf>
    <xf numFmtId="0" fontId="0" fillId="36" borderId="115" xfId="0" applyFill="1" applyBorder="1" applyAlignment="1">
      <alignment horizontal="center" vertical="center"/>
    </xf>
    <xf numFmtId="0" fontId="0" fillId="36" borderId="94" xfId="0" applyFill="1" applyBorder="1" applyAlignment="1">
      <alignment horizontal="center" vertical="center"/>
    </xf>
    <xf numFmtId="0" fontId="50" fillId="46" borderId="86" xfId="0" applyFont="1" applyFill="1" applyBorder="1" applyAlignment="1">
      <alignment horizontal="center" vertical="center" wrapText="1"/>
    </xf>
    <xf numFmtId="0" fontId="40" fillId="0" borderId="0" xfId="0" applyFont="1" applyAlignment="1"/>
    <xf numFmtId="0" fontId="50" fillId="47" borderId="86" xfId="0" applyFont="1" applyFill="1" applyBorder="1" applyAlignment="1">
      <alignment horizontal="center" vertical="center" wrapText="1"/>
    </xf>
    <xf numFmtId="0" fontId="50" fillId="47" borderId="86" xfId="0" applyFont="1" applyFill="1" applyBorder="1" applyAlignment="1">
      <alignment horizontal="center" vertical="center" textRotation="90" wrapText="1"/>
    </xf>
    <xf numFmtId="0" fontId="54" fillId="36" borderId="98" xfId="0" applyFont="1" applyFill="1" applyBorder="1" applyAlignment="1">
      <alignment horizontal="center" vertical="center" wrapText="1"/>
    </xf>
    <xf numFmtId="0" fontId="54" fillId="36" borderId="86" xfId="0" applyFont="1" applyFill="1" applyBorder="1" applyAlignment="1">
      <alignment horizontal="center" vertical="center" wrapText="1"/>
    </xf>
    <xf numFmtId="0" fontId="54" fillId="37" borderId="86" xfId="0" applyFont="1" applyFill="1" applyBorder="1" applyAlignment="1" applyProtection="1">
      <alignment horizontal="right" vertical="center" wrapText="1"/>
      <protection locked="0"/>
    </xf>
    <xf numFmtId="0" fontId="56" fillId="0" borderId="86" xfId="0" applyFont="1" applyBorder="1" applyAlignment="1">
      <alignment horizontal="left" vertical="center" wrapText="1"/>
    </xf>
    <xf numFmtId="0" fontId="54" fillId="36" borderId="106" xfId="0" applyFont="1" applyFill="1" applyBorder="1" applyAlignment="1">
      <alignment horizontal="center" vertical="center" textRotation="90" wrapText="1"/>
    </xf>
    <xf numFmtId="0" fontId="54" fillId="36" borderId="116" xfId="0" applyFont="1" applyFill="1" applyBorder="1" applyAlignment="1">
      <alignment horizontal="center" vertical="center" textRotation="90" wrapText="1"/>
    </xf>
    <xf numFmtId="0" fontId="56" fillId="0" borderId="86" xfId="0" applyFont="1" applyBorder="1" applyAlignment="1">
      <alignment horizontal="center" vertical="center" wrapText="1"/>
    </xf>
    <xf numFmtId="0" fontId="54" fillId="0" borderId="86" xfId="0" applyFont="1" applyBorder="1" applyAlignment="1">
      <alignment horizontal="right" vertical="center" wrapText="1"/>
    </xf>
    <xf numFmtId="0" fontId="54" fillId="37" borderId="101" xfId="0" applyFont="1" applyFill="1" applyBorder="1" applyAlignment="1">
      <alignment horizontal="right" vertical="center" wrapText="1"/>
    </xf>
    <xf numFmtId="0" fontId="56" fillId="0" borderId="86" xfId="0" applyFont="1" applyBorder="1" applyAlignment="1">
      <alignment horizontal="left" vertical="center"/>
    </xf>
    <xf numFmtId="0" fontId="56" fillId="0" borderId="87" xfId="0" applyFont="1" applyBorder="1" applyAlignment="1">
      <alignment horizontal="left" vertical="center"/>
    </xf>
    <xf numFmtId="0" fontId="56" fillId="0" borderId="100" xfId="0" applyFont="1" applyBorder="1" applyAlignment="1">
      <alignment horizontal="left" vertical="center"/>
    </xf>
    <xf numFmtId="0" fontId="56" fillId="0" borderId="98" xfId="0" applyFont="1" applyBorder="1" applyAlignment="1">
      <alignment horizontal="left" vertical="center"/>
    </xf>
    <xf numFmtId="0" fontId="54" fillId="37" borderId="86" xfId="0" applyFont="1" applyFill="1" applyBorder="1" applyAlignment="1">
      <alignment horizontal="right" vertical="center" wrapText="1"/>
    </xf>
    <xf numFmtId="0" fontId="53" fillId="36" borderId="101" xfId="0" applyFont="1" applyFill="1" applyBorder="1" applyAlignment="1" applyProtection="1">
      <alignment horizontal="center" vertical="center" wrapText="1"/>
      <protection locked="0"/>
    </xf>
    <xf numFmtId="0" fontId="53" fillId="36" borderId="86" xfId="0" applyFont="1" applyFill="1" applyBorder="1" applyAlignment="1" applyProtection="1">
      <alignment horizontal="center" vertical="center" wrapText="1"/>
      <protection locked="0"/>
    </xf>
    <xf numFmtId="0" fontId="54" fillId="37" borderId="86" xfId="0" applyFont="1" applyFill="1" applyBorder="1" applyAlignment="1" applyProtection="1">
      <alignment horizontal="right" vertical="top" wrapText="1"/>
      <protection locked="0"/>
    </xf>
    <xf numFmtId="0" fontId="56" fillId="0" borderId="87" xfId="0" applyFont="1" applyBorder="1" applyAlignment="1" applyProtection="1">
      <alignment horizontal="left" vertical="center" wrapText="1"/>
      <protection locked="0"/>
    </xf>
    <xf numFmtId="0" fontId="56" fillId="0" borderId="100" xfId="0" applyFont="1" applyBorder="1" applyAlignment="1" applyProtection="1">
      <alignment horizontal="left" vertical="center" wrapText="1"/>
      <protection locked="0"/>
    </xf>
    <xf numFmtId="0" fontId="56" fillId="0" borderId="98" xfId="0" applyFont="1" applyBorder="1" applyAlignment="1" applyProtection="1">
      <alignment horizontal="left" vertical="center" wrapText="1"/>
      <protection locked="0"/>
    </xf>
    <xf numFmtId="0" fontId="45" fillId="31" borderId="88" xfId="0" applyFont="1" applyFill="1" applyBorder="1" applyAlignment="1">
      <alignment horizontal="center" wrapText="1"/>
    </xf>
    <xf numFmtId="0" fontId="54" fillId="29" borderId="86" xfId="0" applyFont="1" applyFill="1" applyBorder="1" applyAlignment="1">
      <alignment horizontal="center" vertical="center" textRotation="90" wrapText="1"/>
    </xf>
    <xf numFmtId="0" fontId="56" fillId="0" borderId="87" xfId="0" applyFont="1" applyBorder="1" applyAlignment="1">
      <alignment horizontal="left" vertical="center" wrapText="1"/>
    </xf>
    <xf numFmtId="0" fontId="56" fillId="0" borderId="100" xfId="0" applyFont="1" applyBorder="1" applyAlignment="1">
      <alignment horizontal="left" vertical="center" wrapText="1"/>
    </xf>
    <xf numFmtId="0" fontId="56" fillId="0" borderId="98" xfId="0" applyFont="1" applyBorder="1" applyAlignment="1">
      <alignment horizontal="left" vertical="center" wrapText="1"/>
    </xf>
    <xf numFmtId="0" fontId="54" fillId="36" borderId="107" xfId="0" applyFont="1" applyFill="1" applyBorder="1" applyAlignment="1">
      <alignment horizontal="center" vertical="center" textRotation="90" wrapText="1"/>
    </xf>
    <xf numFmtId="0" fontId="54" fillId="37" borderId="94" xfId="0" applyFont="1" applyFill="1" applyBorder="1" applyAlignment="1">
      <alignment horizontal="right" vertical="center" wrapText="1"/>
    </xf>
    <xf numFmtId="0" fontId="56" fillId="0" borderId="86" xfId="0" applyFont="1" applyBorder="1" applyAlignment="1" applyProtection="1">
      <alignment horizontal="left" vertical="center" wrapText="1"/>
      <protection locked="0"/>
    </xf>
    <xf numFmtId="0" fontId="58" fillId="38" borderId="86" xfId="0" applyFont="1" applyFill="1" applyBorder="1" applyAlignment="1" applyProtection="1">
      <alignment horizontal="left" vertical="center" wrapText="1"/>
      <protection locked="0"/>
    </xf>
    <xf numFmtId="0" fontId="59" fillId="36" borderId="98" xfId="0" applyFont="1" applyFill="1" applyBorder="1" applyAlignment="1">
      <alignment horizontal="center" vertical="center" wrapText="1"/>
    </xf>
    <xf numFmtId="0" fontId="59" fillId="36" borderId="86" xfId="0" applyFont="1" applyFill="1" applyBorder="1" applyAlignment="1">
      <alignment horizontal="center" vertical="center" wrapText="1"/>
    </xf>
    <xf numFmtId="0" fontId="54" fillId="36" borderId="0" xfId="0" applyFont="1" applyFill="1" applyAlignment="1">
      <alignment horizontal="center" vertical="center" wrapText="1"/>
    </xf>
    <xf numFmtId="0" fontId="54" fillId="36" borderId="116" xfId="0" applyFont="1" applyFill="1" applyBorder="1" applyAlignment="1">
      <alignment horizontal="center" vertical="center" wrapText="1"/>
    </xf>
    <xf numFmtId="0" fontId="45" fillId="31" borderId="0" xfId="0" applyFont="1" applyFill="1" applyAlignment="1">
      <alignment horizontal="center"/>
    </xf>
    <xf numFmtId="0" fontId="9" fillId="0" borderId="0" xfId="0" applyFont="1" applyAlignment="1">
      <alignment horizontal="justify" vertical="center"/>
    </xf>
    <xf numFmtId="0" fontId="0" fillId="0" borderId="0" xfId="0" applyAlignment="1">
      <alignment horizontal="justify" vertical="center"/>
    </xf>
    <xf numFmtId="0" fontId="44" fillId="36" borderId="86" xfId="0" applyFont="1" applyFill="1" applyBorder="1" applyAlignment="1">
      <alignment horizontal="center"/>
    </xf>
    <xf numFmtId="0" fontId="46" fillId="30" borderId="0" xfId="0" applyFont="1" applyFill="1" applyAlignment="1">
      <alignment horizontal="center" wrapText="1"/>
    </xf>
    <xf numFmtId="0" fontId="64" fillId="40" borderId="86" xfId="0" applyFont="1" applyFill="1" applyBorder="1" applyAlignment="1">
      <alignment horizontal="center" vertical="center" wrapText="1"/>
    </xf>
    <xf numFmtId="0" fontId="64" fillId="25" borderId="100" xfId="0" applyFont="1" applyFill="1" applyBorder="1" applyAlignment="1">
      <alignment horizontal="left" vertical="center" wrapText="1"/>
    </xf>
    <xf numFmtId="0" fontId="64" fillId="41" borderId="86" xfId="0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wrapText="1"/>
    </xf>
    <xf numFmtId="0" fontId="64" fillId="36" borderId="87" xfId="0" applyFont="1" applyFill="1" applyBorder="1" applyAlignment="1">
      <alignment horizontal="center" vertical="center" wrapText="1"/>
    </xf>
    <xf numFmtId="0" fontId="64" fillId="36" borderId="100" xfId="0" applyFont="1" applyFill="1" applyBorder="1" applyAlignment="1">
      <alignment horizontal="center" vertical="center" wrapText="1"/>
    </xf>
    <xf numFmtId="0" fontId="64" fillId="36" borderId="98" xfId="0" applyFont="1" applyFill="1" applyBorder="1" applyAlignment="1">
      <alignment horizontal="center" vertical="center" wrapText="1"/>
    </xf>
    <xf numFmtId="0" fontId="38" fillId="29" borderId="87" xfId="0" applyFont="1" applyFill="1" applyBorder="1" applyAlignment="1">
      <alignment horizontal="center"/>
    </xf>
    <xf numFmtId="0" fontId="28" fillId="32" borderId="86" xfId="0" applyFont="1" applyFill="1" applyBorder="1" applyAlignment="1">
      <alignment horizontal="center" vertical="center"/>
    </xf>
    <xf numFmtId="0" fontId="64" fillId="25" borderId="87" xfId="0" applyFont="1" applyFill="1" applyBorder="1" applyAlignment="1">
      <alignment horizontal="left" vertical="center" wrapText="1"/>
    </xf>
    <xf numFmtId="0" fontId="64" fillId="25" borderId="98" xfId="0" applyFont="1" applyFill="1" applyBorder="1" applyAlignment="1">
      <alignment horizontal="left" vertical="center" wrapText="1"/>
    </xf>
    <xf numFmtId="0" fontId="45" fillId="45" borderId="0" xfId="0" applyFont="1" applyFill="1" applyAlignment="1">
      <alignment horizontal="center"/>
    </xf>
  </cellXfs>
  <cellStyles count="1204">
    <cellStyle name="20% - Ênfase1 2" xfId="1"/>
    <cellStyle name="20% - Ênfase1 2 2" xfId="2"/>
    <cellStyle name="20% - Ênfase1 3" xfId="3"/>
    <cellStyle name="20% - Ênfase1 3 2" xfId="4"/>
    <cellStyle name="20% - Ênfase2 2" xfId="5"/>
    <cellStyle name="20% - Ênfase2 2 2" xfId="6"/>
    <cellStyle name="20% - Ênfase2 3" xfId="7"/>
    <cellStyle name="20% - Ênfase2 3 2" xfId="8"/>
    <cellStyle name="20% - Ênfase3 2" xfId="9"/>
    <cellStyle name="20% - Ênfase3 2 2" xfId="10"/>
    <cellStyle name="20% - Ênfase3 3" xfId="11"/>
    <cellStyle name="20% - Ênfase3 3 2" xfId="12"/>
    <cellStyle name="20% - Ênfase4 2" xfId="13"/>
    <cellStyle name="20% - Ênfase4 2 2" xfId="14"/>
    <cellStyle name="20% - Ênfase4 3" xfId="15"/>
    <cellStyle name="20% - Ênfase4 3 2" xfId="16"/>
    <cellStyle name="20% - Ênfase5 2" xfId="17"/>
    <cellStyle name="20% - Ênfase5 2 2" xfId="18"/>
    <cellStyle name="20% - Ênfase5 3" xfId="19"/>
    <cellStyle name="20% - Ênfase5 3 2" xfId="20"/>
    <cellStyle name="20% - Ênfase6 2" xfId="21"/>
    <cellStyle name="20% - Ênfase6 2 2" xfId="22"/>
    <cellStyle name="20% - Ênfase6 3" xfId="23"/>
    <cellStyle name="20% - Ênfase6 3 2" xfId="24"/>
    <cellStyle name="40% - Ênfase1 2" xfId="25"/>
    <cellStyle name="40% - Ênfase1 2 2" xfId="26"/>
    <cellStyle name="40% - Ênfase1 3" xfId="27"/>
    <cellStyle name="40% - Ênfase1 3 2" xfId="28"/>
    <cellStyle name="40% - Ênfase2 2" xfId="29"/>
    <cellStyle name="40% - Ênfase2 2 2" xfId="30"/>
    <cellStyle name="40% - Ênfase2 3" xfId="31"/>
    <cellStyle name="40% - Ênfase2 3 2" xfId="32"/>
    <cellStyle name="40% - Ênfase3 2" xfId="33"/>
    <cellStyle name="40% - Ênfase3 2 2" xfId="34"/>
    <cellStyle name="40% - Ênfase3 3" xfId="35"/>
    <cellStyle name="40% - Ênfase3 3 2" xfId="36"/>
    <cellStyle name="40% - Ênfase4 2" xfId="37"/>
    <cellStyle name="40% - Ênfase4 2 2" xfId="38"/>
    <cellStyle name="40% - Ênfase4 3" xfId="39"/>
    <cellStyle name="40% - Ênfase4 3 2" xfId="40"/>
    <cellStyle name="40% - Ênfase5 2" xfId="41"/>
    <cellStyle name="40% - Ênfase5 2 2" xfId="42"/>
    <cellStyle name="40% - Ênfase5 3" xfId="43"/>
    <cellStyle name="40% - Ênfase5 3 2" xfId="44"/>
    <cellStyle name="40% - Ênfase6 2" xfId="45"/>
    <cellStyle name="40% - Ênfase6 2 2" xfId="46"/>
    <cellStyle name="40% - Ênfase6 3" xfId="47"/>
    <cellStyle name="40% - Ênfase6 3 2" xfId="48"/>
    <cellStyle name="60% - Ênfase1 2" xfId="49"/>
    <cellStyle name="60% - Ênfase1 2 2" xfId="50"/>
    <cellStyle name="60% - Ênfase1 3" xfId="51"/>
    <cellStyle name="60% - Ênfase1 3 2" xfId="52"/>
    <cellStyle name="60% - Ênfase2 2" xfId="53"/>
    <cellStyle name="60% - Ênfase2 2 2" xfId="54"/>
    <cellStyle name="60% - Ênfase2 3" xfId="55"/>
    <cellStyle name="60% - Ênfase2 3 2" xfId="56"/>
    <cellStyle name="60% - Ênfase3 2" xfId="57"/>
    <cellStyle name="60% - Ênfase3 2 2" xfId="58"/>
    <cellStyle name="60% - Ênfase3 3" xfId="59"/>
    <cellStyle name="60% - Ênfase3 3 2" xfId="60"/>
    <cellStyle name="60% - Ênfase4 2" xfId="61"/>
    <cellStyle name="60% - Ênfase4 2 2" xfId="62"/>
    <cellStyle name="60% - Ênfase4 3" xfId="63"/>
    <cellStyle name="60% - Ênfase4 3 2" xfId="64"/>
    <cellStyle name="60% - Ênfase5 2" xfId="65"/>
    <cellStyle name="60% - Ênfase5 2 2" xfId="66"/>
    <cellStyle name="60% - Ênfase5 3" xfId="67"/>
    <cellStyle name="60% - Ênfase5 3 2" xfId="68"/>
    <cellStyle name="60% - Ênfase6 2" xfId="69"/>
    <cellStyle name="60% - Ênfase6 2 2" xfId="70"/>
    <cellStyle name="60% - Ênfase6 3" xfId="71"/>
    <cellStyle name="60% - Ênfase6 3 2" xfId="72"/>
    <cellStyle name="Bom 2" xfId="73"/>
    <cellStyle name="Bom 2 2" xfId="74"/>
    <cellStyle name="Bom 3" xfId="75"/>
    <cellStyle name="Bom 3 2" xfId="76"/>
    <cellStyle name="Cálculo 2" xfId="77"/>
    <cellStyle name="Cálculo 2 2" xfId="78"/>
    <cellStyle name="Cálculo 2 2 2" xfId="339"/>
    <cellStyle name="Cálculo 2 2 2 10" xfId="845"/>
    <cellStyle name="Cálculo 2 2 2 11" xfId="794"/>
    <cellStyle name="Cálculo 2 2 2 12" xfId="637"/>
    <cellStyle name="Cálculo 2 2 2 13" xfId="1007"/>
    <cellStyle name="Cálculo 2 2 2 14" xfId="499"/>
    <cellStyle name="Cálculo 2 2 2 15" xfId="1014"/>
    <cellStyle name="Cálculo 2 2 2 16" xfId="945"/>
    <cellStyle name="Cálculo 2 2 2 17" xfId="1042"/>
    <cellStyle name="Cálculo 2 2 2 18" xfId="1115"/>
    <cellStyle name="Cálculo 2 2 2 19" xfId="1140"/>
    <cellStyle name="Cálculo 2 2 2 2" xfId="723"/>
    <cellStyle name="Cálculo 2 2 2 3" xfId="457"/>
    <cellStyle name="Cálculo 2 2 2 4" xfId="701"/>
    <cellStyle name="Cálculo 2 2 2 5" xfId="596"/>
    <cellStyle name="Cálculo 2 2 2 6" xfId="498"/>
    <cellStyle name="Cálculo 2 2 2 7" xfId="461"/>
    <cellStyle name="Cálculo 2 2 2 8" xfId="660"/>
    <cellStyle name="Cálculo 2 2 2 9" xfId="624"/>
    <cellStyle name="Cálculo 2 2 3" xfId="248"/>
    <cellStyle name="Cálculo 2 2 3 10" xfId="778"/>
    <cellStyle name="Cálculo 2 2 3 11" xfId="586"/>
    <cellStyle name="Cálculo 2 2 3 12" xfId="460"/>
    <cellStyle name="Cálculo 2 2 3 13" xfId="765"/>
    <cellStyle name="Cálculo 2 2 3 14" xfId="817"/>
    <cellStyle name="Cálculo 2 2 3 15" xfId="893"/>
    <cellStyle name="Cálculo 2 2 3 16" xfId="830"/>
    <cellStyle name="Cálculo 2 2 3 17" xfId="907"/>
    <cellStyle name="Cálculo 2 2 3 18" xfId="517"/>
    <cellStyle name="Cálculo 2 2 3 19" xfId="1137"/>
    <cellStyle name="Cálculo 2 2 3 2" xfId="652"/>
    <cellStyle name="Cálculo 2 2 3 3" xfId="532"/>
    <cellStyle name="Cálculo 2 2 3 4" xfId="518"/>
    <cellStyle name="Cálculo 2 2 3 5" xfId="662"/>
    <cellStyle name="Cálculo 2 2 3 6" xfId="736"/>
    <cellStyle name="Cálculo 2 2 3 7" xfId="901"/>
    <cellStyle name="Cálculo 2 2 3 8" xfId="838"/>
    <cellStyle name="Cálculo 2 2 3 9" xfId="484"/>
    <cellStyle name="Cálculo 2 2 4" xfId="1122"/>
    <cellStyle name="Cálculo 2 3" xfId="338"/>
    <cellStyle name="Cálculo 2 3 10" xfId="473"/>
    <cellStyle name="Cálculo 2 3 11" xfId="509"/>
    <cellStyle name="Cálculo 2 3 12" xfId="690"/>
    <cellStyle name="Cálculo 2 3 13" xfId="1026"/>
    <cellStyle name="Cálculo 2 3 14" xfId="1047"/>
    <cellStyle name="Cálculo 2 3 15" xfId="1067"/>
    <cellStyle name="Cálculo 2 3 16" xfId="874"/>
    <cellStyle name="Cálculo 2 3 17" xfId="959"/>
    <cellStyle name="Cálculo 2 3 18" xfId="1004"/>
    <cellStyle name="Cálculo 2 3 19" xfId="1201"/>
    <cellStyle name="Cálculo 2 3 2" xfId="722"/>
    <cellStyle name="Cálculo 2 3 3" xfId="458"/>
    <cellStyle name="Cálculo 2 3 4" xfId="769"/>
    <cellStyle name="Cálculo 2 3 5" xfId="711"/>
    <cellStyle name="Cálculo 2 3 6" xfId="482"/>
    <cellStyle name="Cálculo 2 3 7" xfId="734"/>
    <cellStyle name="Cálculo 2 3 8" xfId="947"/>
    <cellStyle name="Cálculo 2 3 9" xfId="626"/>
    <cellStyle name="Cálculo 2 4" xfId="247"/>
    <cellStyle name="Cálculo 2 4 10" xfId="648"/>
    <cellStyle name="Cálculo 2 4 11" xfId="632"/>
    <cellStyle name="Cálculo 2 4 12" xfId="491"/>
    <cellStyle name="Cálculo 2 4 13" xfId="629"/>
    <cellStyle name="Cálculo 2 4 14" xfId="1035"/>
    <cellStyle name="Cálculo 2 4 15" xfId="1055"/>
    <cellStyle name="Cálculo 2 4 16" xfId="670"/>
    <cellStyle name="Cálculo 2 4 17" xfId="1105"/>
    <cellStyle name="Cálculo 2 4 18" xfId="730"/>
    <cellStyle name="Cálculo 2 4 19" xfId="1144"/>
    <cellStyle name="Cálculo 2 4 2" xfId="651"/>
    <cellStyle name="Cálculo 2 4 3" xfId="533"/>
    <cellStyle name="Cálculo 2 4 4" xfId="582"/>
    <cellStyle name="Cálculo 2 4 5" xfId="755"/>
    <cellStyle name="Cálculo 2 4 6" xfId="587"/>
    <cellStyle name="Cálculo 2 4 7" xfId="501"/>
    <cellStyle name="Cálculo 2 4 8" xfId="886"/>
    <cellStyle name="Cálculo 2 4 9" xfId="691"/>
    <cellStyle name="Cálculo 2 5" xfId="1132"/>
    <cellStyle name="Cálculo 3" xfId="79"/>
    <cellStyle name="Cálculo 3 2" xfId="80"/>
    <cellStyle name="Cálculo 3 2 2" xfId="341"/>
    <cellStyle name="Cálculo 3 2 2 10" xfId="1022"/>
    <cellStyle name="Cálculo 3 2 2 11" xfId="758"/>
    <cellStyle name="Cálculo 3 2 2 12" xfId="922"/>
    <cellStyle name="Cálculo 3 2 2 13" xfId="523"/>
    <cellStyle name="Cálculo 3 2 2 14" xfId="679"/>
    <cellStyle name="Cálculo 3 2 2 15" xfId="619"/>
    <cellStyle name="Cálculo 3 2 2 16" xfId="1108"/>
    <cellStyle name="Cálculo 3 2 2 17" xfId="1063"/>
    <cellStyle name="Cálculo 3 2 2 18" xfId="589"/>
    <cellStyle name="Cálculo 3 2 2 19" xfId="1186"/>
    <cellStyle name="Cálculo 3 2 2 2" xfId="725"/>
    <cellStyle name="Cálculo 3 2 2 3" xfId="455"/>
    <cellStyle name="Cálculo 3 2 2 4" xfId="605"/>
    <cellStyle name="Cálculo 3 2 2 5" xfId="860"/>
    <cellStyle name="Cálculo 3 2 2 6" xfId="668"/>
    <cellStyle name="Cálculo 3 2 2 7" xfId="960"/>
    <cellStyle name="Cálculo 3 2 2 8" xfId="673"/>
    <cellStyle name="Cálculo 3 2 2 9" xfId="732"/>
    <cellStyle name="Cálculo 3 2 3" xfId="250"/>
    <cellStyle name="Cálculo 3 2 3 10" xfId="958"/>
    <cellStyle name="Cálculo 3 2 3 11" xfId="666"/>
    <cellStyle name="Cálculo 3 2 3 12" xfId="620"/>
    <cellStyle name="Cálculo 3 2 3 13" xfId="985"/>
    <cellStyle name="Cálculo 3 2 3 14" xfId="918"/>
    <cellStyle name="Cálculo 3 2 3 15" xfId="968"/>
    <cellStyle name="Cálculo 3 2 3 16" xfId="989"/>
    <cellStyle name="Cálculo 3 2 3 17" xfId="855"/>
    <cellStyle name="Cálculo 3 2 3 18" xfId="470"/>
    <cellStyle name="Cálculo 3 2 3 19" xfId="1145"/>
    <cellStyle name="Cálculo 3 2 3 2" xfId="654"/>
    <cellStyle name="Cálculo 3 2 3 3" xfId="530"/>
    <cellStyle name="Cálculo 3 2 3 4" xfId="583"/>
    <cellStyle name="Cálculo 3 2 3 5" xfId="612"/>
    <cellStyle name="Cálculo 3 2 3 6" xfId="539"/>
    <cellStyle name="Cálculo 3 2 3 7" xfId="831"/>
    <cellStyle name="Cálculo 3 2 3 8" xfId="936"/>
    <cellStyle name="Cálculo 3 2 3 9" xfId="953"/>
    <cellStyle name="Cálculo 3 2 4" xfId="1121"/>
    <cellStyle name="Cálculo 3 3" xfId="340"/>
    <cellStyle name="Cálculo 3 3 10" xfId="866"/>
    <cellStyle name="Cálculo 3 3 11" xfId="1012"/>
    <cellStyle name="Cálculo 3 3 12" xfId="873"/>
    <cellStyle name="Cálculo 3 3 13" xfId="1025"/>
    <cellStyle name="Cálculo 3 3 14" xfId="1046"/>
    <cellStyle name="Cálculo 3 3 15" xfId="1066"/>
    <cellStyle name="Cálculo 3 3 16" xfId="1077"/>
    <cellStyle name="Cálculo 3 3 17" xfId="1080"/>
    <cellStyle name="Cálculo 3 3 18" xfId="1011"/>
    <cellStyle name="Cálculo 3 3 19" xfId="1172"/>
    <cellStyle name="Cálculo 3 3 2" xfId="724"/>
    <cellStyle name="Cálculo 3 3 3" xfId="456"/>
    <cellStyle name="Cálculo 3 3 4" xfId="604"/>
    <cellStyle name="Cálculo 3 3 5" xfId="862"/>
    <cellStyle name="Cálculo 3 3 6" xfId="898"/>
    <cellStyle name="Cálculo 3 3 7" xfId="906"/>
    <cellStyle name="Cálculo 3 3 8" xfId="946"/>
    <cellStyle name="Cálculo 3 3 9" xfId="700"/>
    <cellStyle name="Cálculo 3 4" xfId="249"/>
    <cellStyle name="Cálculo 3 4 10" xfId="889"/>
    <cellStyle name="Cálculo 3 4 11" xfId="631"/>
    <cellStyle name="Cálculo 3 4 12" xfId="819"/>
    <cellStyle name="Cálculo 3 4 13" xfId="1020"/>
    <cellStyle name="Cálculo 3 4 14" xfId="881"/>
    <cellStyle name="Cálculo 3 4 15" xfId="920"/>
    <cellStyle name="Cálculo 3 4 16" xfId="537"/>
    <cellStyle name="Cálculo 3 4 17" xfId="545"/>
    <cellStyle name="Cálculo 3 4 18" xfId="1093"/>
    <cellStyle name="Cálculo 3 4 19" xfId="1128"/>
    <cellStyle name="Cálculo 3 4 2" xfId="653"/>
    <cellStyle name="Cálculo 3 4 3" xfId="531"/>
    <cellStyle name="Cálculo 3 4 4" xfId="810"/>
    <cellStyle name="Cálculo 3 4 5" xfId="822"/>
    <cellStyle name="Cálculo 3 4 6" xfId="676"/>
    <cellStyle name="Cálculo 3 4 7" xfId="708"/>
    <cellStyle name="Cálculo 3 4 8" xfId="515"/>
    <cellStyle name="Cálculo 3 4 9" xfId="777"/>
    <cellStyle name="Cálculo 3 5" xfId="1131"/>
    <cellStyle name="Cancel" xfId="81"/>
    <cellStyle name="Cancel 2" xfId="82"/>
    <cellStyle name="Cancel 3" xfId="83"/>
    <cellStyle name="Célula de Verificação 2" xfId="84"/>
    <cellStyle name="Célula de Verificação 2 2" xfId="85"/>
    <cellStyle name="Célula de Verificação 3" xfId="86"/>
    <cellStyle name="Célula de Verificação 3 2" xfId="87"/>
    <cellStyle name="Célula Vinculada 2" xfId="88"/>
    <cellStyle name="Célula Vinculada 2 2" xfId="89"/>
    <cellStyle name="Célula Vinculada 3" xfId="90"/>
    <cellStyle name="Célula Vinculada 3 2" xfId="91"/>
    <cellStyle name="Currency 2" xfId="440"/>
    <cellStyle name="Currency 2 2" xfId="805"/>
    <cellStyle name="Currency 2 3" xfId="1198"/>
    <cellStyle name="Currency 3" xfId="446"/>
    <cellStyle name="Ênfase1 2" xfId="92"/>
    <cellStyle name="Ênfase1 2 2" xfId="93"/>
    <cellStyle name="Ênfase1 3" xfId="94"/>
    <cellStyle name="Ênfase1 3 2" xfId="95"/>
    <cellStyle name="Ênfase2 2" xfId="96"/>
    <cellStyle name="Ênfase2 2 2" xfId="97"/>
    <cellStyle name="Ênfase2 3" xfId="98"/>
    <cellStyle name="Ênfase2 3 2" xfId="99"/>
    <cellStyle name="Ênfase3 2" xfId="100"/>
    <cellStyle name="Ênfase3 2 2" xfId="101"/>
    <cellStyle name="Ênfase3 3" xfId="102"/>
    <cellStyle name="Ênfase3 3 2" xfId="103"/>
    <cellStyle name="Ênfase4 2" xfId="104"/>
    <cellStyle name="Ênfase4 2 2" xfId="105"/>
    <cellStyle name="Ênfase4 3" xfId="106"/>
    <cellStyle name="Ênfase4 3 2" xfId="107"/>
    <cellStyle name="Ênfase5 2" xfId="108"/>
    <cellStyle name="Ênfase5 2 2" xfId="109"/>
    <cellStyle name="Ênfase5 3" xfId="110"/>
    <cellStyle name="Ênfase5 3 2" xfId="111"/>
    <cellStyle name="Ênfase6 2" xfId="112"/>
    <cellStyle name="Ênfase6 2 2" xfId="113"/>
    <cellStyle name="Ênfase6 3" xfId="114"/>
    <cellStyle name="Ênfase6 3 2" xfId="115"/>
    <cellStyle name="Entrada 2" xfId="116"/>
    <cellStyle name="Entrada 2 2" xfId="117"/>
    <cellStyle name="Entrada 2 2 2" xfId="343"/>
    <cellStyle name="Entrada 2 2 2 10" xfId="486"/>
    <cellStyle name="Entrada 2 2 2 11" xfId="952"/>
    <cellStyle name="Entrada 2 2 2 12" xfId="867"/>
    <cellStyle name="Entrada 2 2 2 13" xfId="1027"/>
    <cellStyle name="Entrada 2 2 2 14" xfId="1048"/>
    <cellStyle name="Entrada 2 2 2 15" xfId="1068"/>
    <cellStyle name="Entrada 2 2 2 16" xfId="1008"/>
    <cellStyle name="Entrada 2 2 2 17" xfId="1089"/>
    <cellStyle name="Entrada 2 2 2 18" xfId="1075"/>
    <cellStyle name="Entrada 2 2 2 19" xfId="1151"/>
    <cellStyle name="Entrada 2 2 2 2" xfId="727"/>
    <cellStyle name="Entrada 2 2 2 3" xfId="453"/>
    <cellStyle name="Entrada 2 2 2 4" xfId="607"/>
    <cellStyle name="Entrada 2 2 2 5" xfId="869"/>
    <cellStyle name="Entrada 2 2 2 6" xfId="621"/>
    <cellStyle name="Entrada 2 2 2 7" xfId="669"/>
    <cellStyle name="Entrada 2 2 2 8" xfId="948"/>
    <cellStyle name="Entrada 2 2 2 9" xfId="471"/>
    <cellStyle name="Entrada 2 2 3" xfId="252"/>
    <cellStyle name="Entrada 2 2 3 10" xfId="580"/>
    <cellStyle name="Entrada 2 2 3 11" xfId="967"/>
    <cellStyle name="Entrada 2 2 3 12" xfId="957"/>
    <cellStyle name="Entrada 2 2 3 13" xfId="522"/>
    <cellStyle name="Entrada 2 2 3 14" xfId="884"/>
    <cellStyle name="Entrada 2 2 3 15" xfId="836"/>
    <cellStyle name="Entrada 2 2 3 16" xfId="625"/>
    <cellStyle name="Entrada 2 2 3 17" xfId="525"/>
    <cellStyle name="Entrada 2 2 3 18" xfId="744"/>
    <cellStyle name="Entrada 2 2 3 19" xfId="1129"/>
    <cellStyle name="Entrada 2 2 3 2" xfId="656"/>
    <cellStyle name="Entrada 2 2 3 3" xfId="528"/>
    <cellStyle name="Entrada 2 2 3 4" xfId="809"/>
    <cellStyle name="Entrada 2 2 3 5" xfId="888"/>
    <cellStyle name="Entrada 2 2 3 6" xfId="536"/>
    <cellStyle name="Entrada 2 2 3 7" xfId="905"/>
    <cellStyle name="Entrada 2 2 3 8" xfId="555"/>
    <cellStyle name="Entrada 2 2 3 9" xfId="618"/>
    <cellStyle name="Entrada 2 2 4" xfId="1134"/>
    <cellStyle name="Entrada 2 3" xfId="342"/>
    <cellStyle name="Entrada 2 3 10" xfId="799"/>
    <cellStyle name="Entrada 2 3 11" xfId="490"/>
    <cellStyle name="Entrada 2 3 12" xfId="746"/>
    <cellStyle name="Entrada 2 3 13" xfId="997"/>
    <cellStyle name="Entrada 2 3 14" xfId="837"/>
    <cellStyle name="Entrada 2 3 15" xfId="557"/>
    <cellStyle name="Entrada 2 3 16" xfId="447"/>
    <cellStyle name="Entrada 2 3 17" xfId="825"/>
    <cellStyle name="Entrada 2 3 18" xfId="1113"/>
    <cellStyle name="Entrada 2 3 19" xfId="1171"/>
    <cellStyle name="Entrada 2 3 2" xfId="726"/>
    <cellStyle name="Entrada 2 3 3" xfId="454"/>
    <cellStyle name="Entrada 2 3 4" xfId="606"/>
    <cellStyle name="Entrada 2 3 5" xfId="718"/>
    <cellStyle name="Entrada 2 3 6" xfId="584"/>
    <cellStyle name="Entrada 2 3 7" xfId="497"/>
    <cellStyle name="Entrada 2 3 8" xfId="577"/>
    <cellStyle name="Entrada 2 3 9" xfId="448"/>
    <cellStyle name="Entrada 2 4" xfId="251"/>
    <cellStyle name="Entrada 2 4 10" xfId="895"/>
    <cellStyle name="Entrada 2 4 11" xfId="970"/>
    <cellStyle name="Entrada 2 4 12" xfId="754"/>
    <cellStyle name="Entrada 2 4 13" xfId="675"/>
    <cellStyle name="Entrada 2 4 14" xfId="524"/>
    <cellStyle name="Entrada 2 4 15" xfId="574"/>
    <cellStyle name="Entrada 2 4 16" xfId="913"/>
    <cellStyle name="Entrada 2 4 17" xfId="1054"/>
    <cellStyle name="Entrada 2 4 18" xfId="1103"/>
    <cellStyle name="Entrada 2 4 19" xfId="1138"/>
    <cellStyle name="Entrada 2 4 2" xfId="655"/>
    <cellStyle name="Entrada 2 4 3" xfId="529"/>
    <cellStyle name="Entrada 2 4 4" xfId="519"/>
    <cellStyle name="Entrada 2 4 5" xfId="735"/>
    <cellStyle name="Entrada 2 4 6" xfId="685"/>
    <cellStyle name="Entrada 2 4 7" xfId="540"/>
    <cellStyle name="Entrada 2 4 8" xfId="449"/>
    <cellStyle name="Entrada 2 4 9" xfId="642"/>
    <cellStyle name="Entrada 2 5" xfId="1143"/>
    <cellStyle name="Entrada 3" xfId="118"/>
    <cellStyle name="Entrada 3 2" xfId="119"/>
    <cellStyle name="Entrada 3 2 2" xfId="345"/>
    <cellStyle name="Entrada 3 2 2 10" xfId="979"/>
    <cellStyle name="Entrada 3 2 2 11" xfId="508"/>
    <cellStyle name="Entrada 3 2 2 12" xfId="780"/>
    <cellStyle name="Entrada 3 2 2 13" xfId="1024"/>
    <cellStyle name="Entrada 3 2 2 14" xfId="1045"/>
    <cellStyle name="Entrada 3 2 2 15" xfId="1065"/>
    <cellStyle name="Entrada 3 2 2 16" xfId="1087"/>
    <cellStyle name="Entrada 3 2 2 17" xfId="1106"/>
    <cellStyle name="Entrada 3 2 2 18" xfId="1116"/>
    <cellStyle name="Entrada 3 2 2 19" xfId="1173"/>
    <cellStyle name="Entrada 3 2 2 2" xfId="729"/>
    <cellStyle name="Entrada 3 2 2 3" xfId="451"/>
    <cellStyle name="Entrada 3 2 2 4" xfId="706"/>
    <cellStyle name="Entrada 3 2 2 5" xfId="764"/>
    <cellStyle name="Entrada 3 2 2 6" xfId="667"/>
    <cellStyle name="Entrada 3 2 2 7" xfId="879"/>
    <cellStyle name="Entrada 3 2 2 8" xfId="573"/>
    <cellStyle name="Entrada 3 2 2 9" xfId="578"/>
    <cellStyle name="Entrada 3 2 3" xfId="254"/>
    <cellStyle name="Entrada 3 2 3 10" xfId="489"/>
    <cellStyle name="Entrada 3 2 3 11" xfId="811"/>
    <cellStyle name="Entrada 3 2 3 12" xfId="742"/>
    <cellStyle name="Entrada 3 2 3 13" xfId="562"/>
    <cellStyle name="Entrada 3 2 3 14" xfId="636"/>
    <cellStyle name="Entrada 3 2 3 15" xfId="998"/>
    <cellStyle name="Entrada 3 2 3 16" xfId="1069"/>
    <cellStyle name="Entrada 3 2 3 17" xfId="816"/>
    <cellStyle name="Entrada 3 2 3 18" xfId="899"/>
    <cellStyle name="Entrada 3 2 3 19" xfId="1139"/>
    <cellStyle name="Entrada 3 2 3 2" xfId="658"/>
    <cellStyle name="Entrada 3 2 3 3" xfId="526"/>
    <cellStyle name="Entrada 3 2 3 4" xfId="520"/>
    <cellStyle name="Entrada 3 2 3 5" xfId="467"/>
    <cellStyle name="Entrada 3 2 3 6" xfId="850"/>
    <cellStyle name="Entrada 3 2 3 7" xfId="585"/>
    <cellStyle name="Entrada 3 2 3 8" xfId="712"/>
    <cellStyle name="Entrada 3 2 3 9" xfId="504"/>
    <cellStyle name="Entrada 3 2 4" xfId="1133"/>
    <cellStyle name="Entrada 3 3" xfId="344"/>
    <cellStyle name="Entrada 3 3 10" xfId="981"/>
    <cellStyle name="Entrada 3 3 11" xfId="1013"/>
    <cellStyle name="Entrada 3 3 12" xfId="882"/>
    <cellStyle name="Entrada 3 3 13" xfId="949"/>
    <cellStyle name="Entrada 3 3 14" xfId="969"/>
    <cellStyle name="Entrada 3 3 15" xfId="908"/>
    <cellStyle name="Entrada 3 3 16" xfId="1088"/>
    <cellStyle name="Entrada 3 3 17" xfId="1016"/>
    <cellStyle name="Entrada 3 3 18" xfId="661"/>
    <cellStyle name="Entrada 3 3 19" xfId="1187"/>
    <cellStyle name="Entrada 3 3 2" xfId="728"/>
    <cellStyle name="Entrada 3 3 3" xfId="452"/>
    <cellStyle name="Entrada 3 3 4" xfId="774"/>
    <cellStyle name="Entrada 3 3 5" xfId="785"/>
    <cellStyle name="Entrada 3 3 6" xfId="900"/>
    <cellStyle name="Entrada 3 3 7" xfId="603"/>
    <cellStyle name="Entrada 3 3 8" xfId="628"/>
    <cellStyle name="Entrada 3 3 9" xfId="870"/>
    <cellStyle name="Entrada 3 4" xfId="253"/>
    <cellStyle name="Entrada 3 4 10" xfId="891"/>
    <cellStyle name="Entrada 3 4 11" xfId="986"/>
    <cellStyle name="Entrada 3 4 12" xfId="902"/>
    <cellStyle name="Entrada 3 4 13" xfId="999"/>
    <cellStyle name="Entrada 3 4 14" xfId="644"/>
    <cellStyle name="Entrada 3 4 15" xfId="996"/>
    <cellStyle name="Entrada 3 4 16" xfId="903"/>
    <cellStyle name="Entrada 3 4 17" xfId="1032"/>
    <cellStyle name="Entrada 3 4 18" xfId="1092"/>
    <cellStyle name="Entrada 3 4 19" xfId="1195"/>
    <cellStyle name="Entrada 3 4 2" xfId="657"/>
    <cellStyle name="Entrada 3 4 3" xfId="527"/>
    <cellStyle name="Entrada 3 4 4" xfId="793"/>
    <cellStyle name="Entrada 3 4 5" xfId="534"/>
    <cellStyle name="Entrada 3 4 6" xfId="865"/>
    <cellStyle name="Entrada 3 4 7" xfId="872"/>
    <cellStyle name="Entrada 3 4 8" xfId="833"/>
    <cellStyle name="Entrada 3 4 9" xfId="779"/>
    <cellStyle name="Entrada 3 5" xfId="1123"/>
    <cellStyle name="Hyperlink 2" xfId="120"/>
    <cellStyle name="Incorreto 2" xfId="121"/>
    <cellStyle name="Incorreto 2 2" xfId="122"/>
    <cellStyle name="Incorreto 3" xfId="123"/>
    <cellStyle name="Incorreto 3 2" xfId="124"/>
    <cellStyle name="Moeda" xfId="1202" builtinId="4"/>
    <cellStyle name="Moeda 10" xfId="125"/>
    <cellStyle name="Moeda 10 2" xfId="126"/>
    <cellStyle name="Moeda 10 2 2" xfId="347"/>
    <cellStyle name="Moeda 10 2 3" xfId="256"/>
    <cellStyle name="Moeda 10 2 4" xfId="548"/>
    <cellStyle name="Moeda 10 3" xfId="346"/>
    <cellStyle name="Moeda 10 4" xfId="255"/>
    <cellStyle name="Moeda 10 5" xfId="547"/>
    <cellStyle name="Moeda 11" xfId="127"/>
    <cellStyle name="Moeda 11 2" xfId="128"/>
    <cellStyle name="Moeda 11 2 2" xfId="349"/>
    <cellStyle name="Moeda 11 2 3" xfId="258"/>
    <cellStyle name="Moeda 11 2 4" xfId="550"/>
    <cellStyle name="Moeda 11 3" xfId="348"/>
    <cellStyle name="Moeda 11 4" xfId="257"/>
    <cellStyle name="Moeda 11 5" xfId="549"/>
    <cellStyle name="Moeda 12" xfId="129"/>
    <cellStyle name="Moeda 12 2" xfId="350"/>
    <cellStyle name="Moeda 12 3" xfId="259"/>
    <cellStyle name="Moeda 12 4" xfId="551"/>
    <cellStyle name="Moeda 13" xfId="130"/>
    <cellStyle name="Moeda 13 2" xfId="351"/>
    <cellStyle name="Moeda 13 3" xfId="260"/>
    <cellStyle name="Moeda 13 4" xfId="552"/>
    <cellStyle name="Moeda 14" xfId="437"/>
    <cellStyle name="Moeda 2" xfId="131"/>
    <cellStyle name="Moeda 2 2" xfId="132"/>
    <cellStyle name="Moeda 2 2 2" xfId="133"/>
    <cellStyle name="Moeda 2 2 2 2" xfId="354"/>
    <cellStyle name="Moeda 2 2 2 3" xfId="263"/>
    <cellStyle name="Moeda 2 2 3" xfId="353"/>
    <cellStyle name="Moeda 2 2 4" xfId="262"/>
    <cellStyle name="Moeda 2 2 5" xfId="554"/>
    <cellStyle name="Moeda 2 3" xfId="134"/>
    <cellStyle name="Moeda 2 3 2" xfId="355"/>
    <cellStyle name="Moeda 2 3 3" xfId="264"/>
    <cellStyle name="Moeda 2 3 4" xfId="556"/>
    <cellStyle name="Moeda 2 4" xfId="135"/>
    <cellStyle name="Moeda 2 4 2" xfId="356"/>
    <cellStyle name="Moeda 2 4 3" xfId="265"/>
    <cellStyle name="Moeda 2 5" xfId="136"/>
    <cellStyle name="Moeda 2 5 2" xfId="357"/>
    <cellStyle name="Moeda 2 5 2 2" xfId="738"/>
    <cellStyle name="Moeda 2 5 2 3" xfId="1178"/>
    <cellStyle name="Moeda 2 5 3" xfId="266"/>
    <cellStyle name="Moeda 2 5 3 2" xfId="664"/>
    <cellStyle name="Moeda 2 5 3 3" xfId="1162"/>
    <cellStyle name="Moeda 2 5 4" xfId="558"/>
    <cellStyle name="Moeda 2 5 5" xfId="1141"/>
    <cellStyle name="Moeda 2 6" xfId="352"/>
    <cellStyle name="Moeda 2 7" xfId="261"/>
    <cellStyle name="Moeda 2 8" xfId="553"/>
    <cellStyle name="Moeda 3" xfId="137"/>
    <cellStyle name="Moeda 3 2" xfId="138"/>
    <cellStyle name="Moeda 3 2 2" xfId="359"/>
    <cellStyle name="Moeda 3 2 3" xfId="268"/>
    <cellStyle name="Moeda 3 3" xfId="358"/>
    <cellStyle name="Moeda 3 3 2" xfId="739"/>
    <cellStyle name="Moeda 3 3 3" xfId="1179"/>
    <cellStyle name="Moeda 3 4" xfId="267"/>
    <cellStyle name="Moeda 3 4 2" xfId="665"/>
    <cellStyle name="Moeda 3 4 3" xfId="1163"/>
    <cellStyle name="Moeda 3 5" xfId="559"/>
    <cellStyle name="Moeda 3 6" xfId="1142"/>
    <cellStyle name="Moeda 4" xfId="139"/>
    <cellStyle name="Moeda 4 2" xfId="360"/>
    <cellStyle name="Moeda 4 3" xfId="269"/>
    <cellStyle name="Moeda 4 4" xfId="560"/>
    <cellStyle name="Moeda 5" xfId="140"/>
    <cellStyle name="Moeda 5 2" xfId="361"/>
    <cellStyle name="Moeda 5 3" xfId="270"/>
    <cellStyle name="Moeda 5 4" xfId="561"/>
    <cellStyle name="Moeda 6" xfId="141"/>
    <cellStyle name="Moeda 6 2" xfId="362"/>
    <cellStyle name="Moeda 6 3" xfId="271"/>
    <cellStyle name="Moeda 7" xfId="142"/>
    <cellStyle name="Moeda 7 2" xfId="143"/>
    <cellStyle name="Moeda 7 2 2" xfId="144"/>
    <cellStyle name="Moeda 7 2 2 2" xfId="364"/>
    <cellStyle name="Moeda 7 2 2 3" xfId="273"/>
    <cellStyle name="Moeda 7 2 2 4" xfId="564"/>
    <cellStyle name="Moeda 7 2 3" xfId="145"/>
    <cellStyle name="Moeda 7 2 3 2" xfId="365"/>
    <cellStyle name="Moeda 7 2 3 3" xfId="274"/>
    <cellStyle name="Moeda 7 2 3 4" xfId="565"/>
    <cellStyle name="Moeda 7 2 4" xfId="363"/>
    <cellStyle name="Moeda 7 2 5" xfId="272"/>
    <cellStyle name="Moeda 7 2 6" xfId="563"/>
    <cellStyle name="Moeda 7 3" xfId="146"/>
    <cellStyle name="Moeda 7 3 2" xfId="366"/>
    <cellStyle name="Moeda 7 3 3" xfId="275"/>
    <cellStyle name="Moeda 7 3 4" xfId="566"/>
    <cellStyle name="Moeda 8" xfId="147"/>
    <cellStyle name="Moeda 8 2" xfId="148"/>
    <cellStyle name="Moeda 8 2 2" xfId="368"/>
    <cellStyle name="Moeda 8 2 3" xfId="277"/>
    <cellStyle name="Moeda 8 2 4" xfId="568"/>
    <cellStyle name="Moeda 8 3" xfId="367"/>
    <cellStyle name="Moeda 8 4" xfId="276"/>
    <cellStyle name="Moeda 8 5" xfId="567"/>
    <cellStyle name="Moeda 9" xfId="149"/>
    <cellStyle name="Moeda 9 2" xfId="150"/>
    <cellStyle name="Moeda 9 2 2" xfId="370"/>
    <cellStyle name="Moeda 9 2 3" xfId="279"/>
    <cellStyle name="Moeda 9 2 4" xfId="570"/>
    <cellStyle name="Moeda 9 3" xfId="369"/>
    <cellStyle name="Moeda 9 4" xfId="278"/>
    <cellStyle name="Moeda 9 5" xfId="569"/>
    <cellStyle name="Neutra 2" xfId="151"/>
    <cellStyle name="Neutra 2 2" xfId="152"/>
    <cellStyle name="Neutra 3" xfId="153"/>
    <cellStyle name="Neutra 3 2" xfId="154"/>
    <cellStyle name="Normal" xfId="0" builtinId="0"/>
    <cellStyle name="Normal 2" xfId="155"/>
    <cellStyle name="Normal 2 10" xfId="441"/>
    <cellStyle name="Normal 2 10 2" xfId="806"/>
    <cellStyle name="Normal 2 10 3" xfId="1199"/>
    <cellStyle name="Normal 2 11" xfId="575"/>
    <cellStyle name="Normal 2 2" xfId="156"/>
    <cellStyle name="Normal 2 2 2" xfId="243"/>
    <cellStyle name="Normal 2 3" xfId="244"/>
    <cellStyle name="Normal 2 3 2" xfId="423"/>
    <cellStyle name="Normal 2 3 2 2" xfId="788"/>
    <cellStyle name="Normal 2 3 2 3" xfId="1189"/>
    <cellStyle name="Normal 2 3 3" xfId="336"/>
    <cellStyle name="Normal 2 3 3 2" xfId="720"/>
    <cellStyle name="Normal 2 3 3 3" xfId="1175"/>
    <cellStyle name="Normal 2 3 4" xfId="442"/>
    <cellStyle name="Normal 2 3 4 2" xfId="1120"/>
    <cellStyle name="Normal 2 3 5" xfId="649"/>
    <cellStyle name="Normal 2 4" xfId="426"/>
    <cellStyle name="Normal 2 4 2" xfId="444"/>
    <cellStyle name="Normal 2 4 3" xfId="791"/>
    <cellStyle name="Normal 2 4 4" xfId="1190"/>
    <cellStyle name="Normal 2 5" xfId="430"/>
    <cellStyle name="Normal 2 5 2" xfId="795"/>
    <cellStyle name="Normal 2 5 3" xfId="1191"/>
    <cellStyle name="Normal 2 6" xfId="433"/>
    <cellStyle name="Normal 2 6 2" xfId="798"/>
    <cellStyle name="Normal 2 6 3" xfId="1194"/>
    <cellStyle name="Normal 2 7" xfId="371"/>
    <cellStyle name="Normal 2 7 2" xfId="748"/>
    <cellStyle name="Normal 2 7 3" xfId="1180"/>
    <cellStyle name="Normal 2 8" xfId="280"/>
    <cellStyle name="Normal 2 8 2" xfId="677"/>
    <cellStyle name="Normal 2 8 3" xfId="1164"/>
    <cellStyle name="Normal 2 9" xfId="438"/>
    <cellStyle name="Normal 2 9 2" xfId="803"/>
    <cellStyle name="Normal 2 9 3" xfId="1196"/>
    <cellStyle name="Normal 3" xfId="157"/>
    <cellStyle name="Normal 3 2" xfId="158"/>
    <cellStyle name="Normal 3 2 2" xfId="159"/>
    <cellStyle name="Normal 3 2 2 2" xfId="374"/>
    <cellStyle name="Normal 3 2 2 3" xfId="283"/>
    <cellStyle name="Normal 3 2 3" xfId="160"/>
    <cellStyle name="Normal 3 2 3 2" xfId="375"/>
    <cellStyle name="Normal 3 2 3 3" xfId="284"/>
    <cellStyle name="Normal 3 2 4" xfId="373"/>
    <cellStyle name="Normal 3 2 5" xfId="282"/>
    <cellStyle name="Normal 3 3" xfId="425"/>
    <cellStyle name="Normal 3 4" xfId="372"/>
    <cellStyle name="Normal 3 5" xfId="281"/>
    <cellStyle name="Normal 4" xfId="161"/>
    <cellStyle name="Normal 4 2" xfId="376"/>
    <cellStyle name="Normal 4 3" xfId="285"/>
    <cellStyle name="Normal 5" xfId="162"/>
    <cellStyle name="Normal 5 2" xfId="429"/>
    <cellStyle name="Normal 5 3" xfId="377"/>
    <cellStyle name="Normal 5 4" xfId="286"/>
    <cellStyle name="Normal 6" xfId="439"/>
    <cellStyle name="Normal 6 2" xfId="163"/>
    <cellStyle name="Normal 6 2 2" xfId="378"/>
    <cellStyle name="Normal 6 2 3" xfId="287"/>
    <cellStyle name="Normal 6 3" xfId="164"/>
    <cellStyle name="Normal 6 3 2" xfId="379"/>
    <cellStyle name="Normal 6 3 3" xfId="288"/>
    <cellStyle name="Normal 6 4" xfId="804"/>
    <cellStyle name="Normal 6 5" xfId="1197"/>
    <cellStyle name="Normal 7" xfId="165"/>
    <cellStyle name="Normal 7 2" xfId="380"/>
    <cellStyle name="Normal 7 3" xfId="289"/>
    <cellStyle name="Normal 8" xfId="166"/>
    <cellStyle name="Normal 8 2" xfId="167"/>
    <cellStyle name="Normal 8 2 2" xfId="428"/>
    <cellStyle name="Normal 8 2 3" xfId="382"/>
    <cellStyle name="Normal 8 2 4" xfId="291"/>
    <cellStyle name="Normal 8 3" xfId="168"/>
    <cellStyle name="Normal 8 3 2" xfId="383"/>
    <cellStyle name="Normal 8 3 3" xfId="292"/>
    <cellStyle name="Normal 8 4" xfId="381"/>
    <cellStyle name="Normal 8 5" xfId="290"/>
    <cellStyle name="Nota 2" xfId="169"/>
    <cellStyle name="Nota 2 2" xfId="170"/>
    <cellStyle name="Nota 2 2 2" xfId="294"/>
    <cellStyle name="Nota 2 2 2 10" xfId="757"/>
    <cellStyle name="Nota 2 2 2 11" xfId="535"/>
    <cellStyle name="Nota 2 2 2 12" xfId="713"/>
    <cellStyle name="Nota 2 2 2 13" xfId="480"/>
    <cellStyle name="Nota 2 2 2 14" xfId="976"/>
    <cellStyle name="Nota 2 2 2 15" xfId="741"/>
    <cellStyle name="Nota 2 2 2 16" xfId="740"/>
    <cellStyle name="Nota 2 2 2 17" xfId="983"/>
    <cellStyle name="Nota 2 2 2 18" xfId="756"/>
    <cellStyle name="Nota 2 2 2 19" xfId="1040"/>
    <cellStyle name="Nota 2 2 2 2" xfId="687"/>
    <cellStyle name="Nota 2 2 2 20" xfId="1130"/>
    <cellStyle name="Nota 2 2 2 3" xfId="495"/>
    <cellStyle name="Nota 2 2 2 4" xfId="650"/>
    <cellStyle name="Nota 2 2 2 5" xfId="488"/>
    <cellStyle name="Nota 2 2 2 6" xfId="634"/>
    <cellStyle name="Nota 2 2 2 7" xfId="459"/>
    <cellStyle name="Nota 2 2 2 8" xfId="829"/>
    <cellStyle name="Nota 2 2 2 9" xfId="503"/>
    <cellStyle name="Nota 2 2 3" xfId="1200"/>
    <cellStyle name="Nota 2 3" xfId="293"/>
    <cellStyle name="Nota 2 3 10" xfId="921"/>
    <cellStyle name="Nota 2 3 11" xfId="1000"/>
    <cellStyle name="Nota 2 3 12" xfId="1001"/>
    <cellStyle name="Nota 2 3 13" xfId="937"/>
    <cellStyle name="Nota 2 3 14" xfId="910"/>
    <cellStyle name="Nota 2 3 15" xfId="600"/>
    <cellStyle name="Nota 2 3 16" xfId="767"/>
    <cellStyle name="Nota 2 3 17" xfId="1100"/>
    <cellStyle name="Nota 2 3 18" xfId="572"/>
    <cellStyle name="Nota 2 3 19" xfId="659"/>
    <cellStyle name="Nota 2 3 2" xfId="686"/>
    <cellStyle name="Nota 2 3 20" xfId="1161"/>
    <cellStyle name="Nota 2 3 3" xfId="496"/>
    <cellStyle name="Nota 2 3 4" xfId="590"/>
    <cellStyle name="Nota 2 3 5" xfId="834"/>
    <cellStyle name="Nota 2 3 6" xfId="737"/>
    <cellStyle name="Nota 2 3 7" xfId="887"/>
    <cellStyle name="Nota 2 3 8" xfId="932"/>
    <cellStyle name="Nota 2 3 9" xfId="931"/>
    <cellStyle name="Nota 2 4" xfId="1124"/>
    <cellStyle name="Nota 3" xfId="171"/>
    <cellStyle name="Nota 3 2" xfId="172"/>
    <cellStyle name="Nota 3 2 2" xfId="296"/>
    <cellStyle name="Nota 3 2 2 10" xfId="481"/>
    <cellStyle name="Nota 3 2 2 11" xfId="684"/>
    <cellStyle name="Nota 3 2 2 12" xfId="978"/>
    <cellStyle name="Nota 3 2 2 13" xfId="1021"/>
    <cellStyle name="Nota 3 2 2 14" xfId="698"/>
    <cellStyle name="Nota 3 2 2 15" xfId="912"/>
    <cellStyle name="Nota 3 2 2 16" xfId="801"/>
    <cellStyle name="Nota 3 2 2 17" xfId="812"/>
    <cellStyle name="Nota 3 2 2 18" xfId="1037"/>
    <cellStyle name="Nota 3 2 2 19" xfId="630"/>
    <cellStyle name="Nota 3 2 2 2" xfId="689"/>
    <cellStyle name="Nota 3 2 2 20" xfId="1168"/>
    <cellStyle name="Nota 3 2 2 3" xfId="493"/>
    <cellStyle name="Nota 3 2 2 4" xfId="593"/>
    <cellStyle name="Nota 3 2 2 5" xfId="672"/>
    <cellStyle name="Nota 3 2 2 6" xfId="824"/>
    <cellStyle name="Nota 3 2 2 7" xfId="858"/>
    <cellStyle name="Nota 3 2 2 8" xfId="847"/>
    <cellStyle name="Nota 3 2 2 9" xfId="768"/>
    <cellStyle name="Nota 3 2 3" xfId="1165"/>
    <cellStyle name="Nota 3 3" xfId="295"/>
    <cellStyle name="Nota 3 3 10" xfId="506"/>
    <cellStyle name="Nota 3 3 11" xfId="597"/>
    <cellStyle name="Nota 3 3 12" xfId="516"/>
    <cellStyle name="Nota 3 3 13" xfId="871"/>
    <cellStyle name="Nota 3 3 14" xfId="927"/>
    <cellStyle name="Nota 3 3 15" xfId="933"/>
    <cellStyle name="Nota 3 3 16" xfId="846"/>
    <cellStyle name="Nota 3 3 17" xfId="820"/>
    <cellStyle name="Nota 3 3 18" xfId="776"/>
    <cellStyle name="Nota 3 3 19" xfId="1098"/>
    <cellStyle name="Nota 3 3 2" xfId="688"/>
    <cellStyle name="Nota 3 3 20" xfId="1183"/>
    <cellStyle name="Nota 3 3 3" xfId="494"/>
    <cellStyle name="Nota 3 3 4" xfId="592"/>
    <cellStyle name="Nota 3 3 5" xfId="743"/>
    <cellStyle name="Nota 3 3 6" xfId="760"/>
    <cellStyle name="Nota 3 3 7" xfId="483"/>
    <cellStyle name="Nota 3 3 8" xfId="640"/>
    <cellStyle name="Nota 3 3 9" xfId="938"/>
    <cellStyle name="Nota 3 4" xfId="1181"/>
    <cellStyle name="Porcentagem" xfId="173" builtinId="5"/>
    <cellStyle name="Porcentagem 10 2" xfId="174"/>
    <cellStyle name="Porcentagem 10 2 2" xfId="434"/>
    <cellStyle name="Porcentagem 10 2 3" xfId="384"/>
    <cellStyle name="Porcentagem 10 2 4" xfId="297"/>
    <cellStyle name="Porcentagem 10 3" xfId="175"/>
    <cellStyle name="Porcentagem 10 3 2" xfId="385"/>
    <cellStyle name="Porcentagem 10 3 3" xfId="298"/>
    <cellStyle name="Porcentagem 11" xfId="176"/>
    <cellStyle name="Porcentagem 11 2" xfId="386"/>
    <cellStyle name="Porcentagem 11 3" xfId="299"/>
    <cellStyle name="Porcentagem 12" xfId="177"/>
    <cellStyle name="Porcentagem 12 2" xfId="246"/>
    <cellStyle name="Porcentagem 13" xfId="178"/>
    <cellStyle name="Porcentagem 13 2" xfId="432"/>
    <cellStyle name="Porcentagem 13 2 2" xfId="797"/>
    <cellStyle name="Porcentagem 13 2 3" xfId="1193"/>
    <cellStyle name="Porcentagem 13 3" xfId="387"/>
    <cellStyle name="Porcentagem 13 3 2" xfId="759"/>
    <cellStyle name="Porcentagem 13 3 3" xfId="1182"/>
    <cellStyle name="Porcentagem 13 4" xfId="300"/>
    <cellStyle name="Porcentagem 13 4 2" xfId="692"/>
    <cellStyle name="Porcentagem 13 4 3" xfId="1167"/>
    <cellStyle name="Porcentagem 13 5" xfId="591"/>
    <cellStyle name="Porcentagem 13 6" xfId="1146"/>
    <cellStyle name="Porcentagem 2" xfId="179"/>
    <cellStyle name="Porcentagem 2 2" xfId="180"/>
    <cellStyle name="Porcentagem 2 2 2" xfId="389"/>
    <cellStyle name="Porcentagem 2 2 3" xfId="302"/>
    <cellStyle name="Porcentagem 2 3" xfId="181"/>
    <cellStyle name="Porcentagem 2 3 2" xfId="390"/>
    <cellStyle name="Porcentagem 2 3 3" xfId="303"/>
    <cellStyle name="Porcentagem 2 4" xfId="388"/>
    <cellStyle name="Porcentagem 2 5" xfId="301"/>
    <cellStyle name="Porcentagem 3" xfId="182"/>
    <cellStyle name="Porcentagem 3 2" xfId="391"/>
    <cellStyle name="Porcentagem 3 3" xfId="304"/>
    <cellStyle name="Porcentagem 4" xfId="183"/>
    <cellStyle name="Porcentagem 4 2" xfId="392"/>
    <cellStyle name="Porcentagem 4 3" xfId="305"/>
    <cellStyle name="Porcentagem 5" xfId="184"/>
    <cellStyle name="Porcentagem 5 2" xfId="185"/>
    <cellStyle name="Porcentagem 5 2 2" xfId="394"/>
    <cellStyle name="Porcentagem 5 2 3" xfId="307"/>
    <cellStyle name="Porcentagem 5 3" xfId="393"/>
    <cellStyle name="Porcentagem 5 4" xfId="306"/>
    <cellStyle name="Porcentagem 6" xfId="186"/>
    <cellStyle name="Porcentagem 6 2" xfId="187"/>
    <cellStyle name="Porcentagem 6 2 2" xfId="436"/>
    <cellStyle name="Porcentagem 6 2 3" xfId="396"/>
    <cellStyle name="Porcentagem 6 2 4" xfId="309"/>
    <cellStyle name="Porcentagem 6 3" xfId="395"/>
    <cellStyle name="Porcentagem 6 4" xfId="308"/>
    <cellStyle name="Porcentagem 7" xfId="188"/>
    <cellStyle name="Porcentagem 7 2" xfId="189"/>
    <cellStyle name="Porcentagem 7 2 2" xfId="398"/>
    <cellStyle name="Porcentagem 7 2 3" xfId="311"/>
    <cellStyle name="Porcentagem 7 3" xfId="397"/>
    <cellStyle name="Porcentagem 7 4" xfId="310"/>
    <cellStyle name="Porcentagem 8" xfId="190"/>
    <cellStyle name="Porcentagem 8 2" xfId="191"/>
    <cellStyle name="Porcentagem 8 2 2" xfId="400"/>
    <cellStyle name="Porcentagem 8 2 3" xfId="313"/>
    <cellStyle name="Porcentagem 8 3" xfId="399"/>
    <cellStyle name="Porcentagem 8 4" xfId="312"/>
    <cellStyle name="Porcentagem 9" xfId="192"/>
    <cellStyle name="Porcentagem 9 2" xfId="401"/>
    <cellStyle name="Porcentagem 9 3" xfId="314"/>
    <cellStyle name="Saída 2" xfId="193"/>
    <cellStyle name="Saída 2 2" xfId="194"/>
    <cellStyle name="Saída 2 2 2" xfId="403"/>
    <cellStyle name="Saída 2 2 2 10" xfId="472"/>
    <cellStyle name="Saída 2 2 2 11" xfId="818"/>
    <cellStyle name="Saída 2 2 2 12" xfId="934"/>
    <cellStyle name="Saída 2 2 2 13" xfId="693"/>
    <cellStyle name="Saída 2 2 2 14" xfId="485"/>
    <cellStyle name="Saída 2 2 2 15" xfId="955"/>
    <cellStyle name="Saída 2 2 2 16" xfId="588"/>
    <cellStyle name="Saída 2 2 2 17" xfId="1070"/>
    <cellStyle name="Saída 2 2 2 18" xfId="1041"/>
    <cellStyle name="Saída 2 2 2 19" xfId="1153"/>
    <cellStyle name="Saída 2 2 2 2" xfId="771"/>
    <cellStyle name="Saída 2 2 2 3" xfId="842"/>
    <cellStyle name="Saída 2 2 2 4" xfId="721"/>
    <cellStyle name="Saída 2 2 2 5" xfId="512"/>
    <cellStyle name="Saída 2 2 2 6" xfId="492"/>
    <cellStyle name="Saída 2 2 2 7" xfId="835"/>
    <cellStyle name="Saída 2 2 2 8" xfId="964"/>
    <cellStyle name="Saída 2 2 2 9" xfId="678"/>
    <cellStyle name="Saída 2 2 3" xfId="316"/>
    <cellStyle name="Saída 2 2 3 10" xfId="747"/>
    <cellStyle name="Saída 2 2 3 11" xfId="635"/>
    <cellStyle name="Saída 2 2 3 12" xfId="707"/>
    <cellStyle name="Saída 2 2 3 13" xfId="994"/>
    <cellStyle name="Saída 2 2 3 14" xfId="1038"/>
    <cellStyle name="Saída 2 2 3 15" xfId="1057"/>
    <cellStyle name="Saída 2 2 3 16" xfId="1061"/>
    <cellStyle name="Saída 2 2 3 17" xfId="709"/>
    <cellStyle name="Saída 2 2 3 18" xfId="1060"/>
    <cellStyle name="Saída 2 2 3 19" xfId="1147"/>
    <cellStyle name="Saída 2 2 3 2" xfId="703"/>
    <cellStyle name="Saída 2 2 3 3" xfId="478"/>
    <cellStyle name="Saída 2 2 3 4" xfId="763"/>
    <cellStyle name="Saída 2 2 3 5" xfId="751"/>
    <cellStyle name="Saída 2 2 3 6" xfId="500"/>
    <cellStyle name="Saída 2 2 3 7" xfId="892"/>
    <cellStyle name="Saída 2 2 3 8" xfId="885"/>
    <cellStyle name="Saída 2 2 3 9" xfId="954"/>
    <cellStyle name="Saída 2 2 4" xfId="1126"/>
    <cellStyle name="Saída 2 3" xfId="402"/>
    <cellStyle name="Saída 2 3 10" xfId="733"/>
    <cellStyle name="Saída 2 3 11" xfId="940"/>
    <cellStyle name="Saída 2 3 12" xfId="502"/>
    <cellStyle name="Saída 2 3 13" xfId="750"/>
    <cellStyle name="Saída 2 3 14" xfId="849"/>
    <cellStyle name="Saída 2 3 15" xfId="982"/>
    <cellStyle name="Saída 2 3 16" xfId="674"/>
    <cellStyle name="Saída 2 3 17" xfId="1091"/>
    <cellStyle name="Saída 2 3 18" xfId="1034"/>
    <cellStyle name="Saída 2 3 19" xfId="1152"/>
    <cellStyle name="Saída 2 3 2" xfId="770"/>
    <cellStyle name="Saída 2 3 3" xfId="841"/>
    <cellStyle name="Saída 2 3 4" xfId="789"/>
    <cellStyle name="Saída 2 3 5" xfId="680"/>
    <cellStyle name="Saída 2 3 6" xfId="475"/>
    <cellStyle name="Saída 2 3 7" xfId="542"/>
    <cellStyle name="Saída 2 3 8" xfId="963"/>
    <cellStyle name="Saída 2 3 9" xfId="848"/>
    <cellStyle name="Saída 2 4" xfId="315"/>
    <cellStyle name="Saída 2 4 10" xfId="859"/>
    <cellStyle name="Saída 2 4 11" xfId="507"/>
    <cellStyle name="Saída 2 4 12" xfId="576"/>
    <cellStyle name="Saída 2 4 13" xfId="571"/>
    <cellStyle name="Saída 2 4 14" xfId="663"/>
    <cellStyle name="Saída 2 4 15" xfId="863"/>
    <cellStyle name="Saída 2 4 16" xfId="623"/>
    <cellStyle name="Saída 2 4 17" xfId="1112"/>
    <cellStyle name="Saída 2 4 18" xfId="1119"/>
    <cellStyle name="Saída 2 4 19" xfId="1169"/>
    <cellStyle name="Saída 2 4 2" xfId="702"/>
    <cellStyle name="Saída 2 4 3" xfId="479"/>
    <cellStyle name="Saída 2 4 4" xfId="697"/>
    <cellStyle name="Saída 2 4 5" xfId="595"/>
    <cellStyle name="Saída 2 4 6" xfId="521"/>
    <cellStyle name="Saída 2 4 7" xfId="474"/>
    <cellStyle name="Saída 2 4 8" xfId="939"/>
    <cellStyle name="Saída 2 4 9" xfId="511"/>
    <cellStyle name="Saída 2 5" xfId="1176"/>
    <cellStyle name="Saída 3" xfId="195"/>
    <cellStyle name="Saída 3 2" xfId="196"/>
    <cellStyle name="Saída 3 2 2" xfId="405"/>
    <cellStyle name="Saída 3 2 2 10" xfId="745"/>
    <cellStyle name="Saída 3 2 2 11" xfId="1015"/>
    <cellStyle name="Saída 3 2 2 12" xfId="546"/>
    <cellStyle name="Saída 3 2 2 13" xfId="1033"/>
    <cellStyle name="Saída 3 2 2 14" xfId="1053"/>
    <cellStyle name="Saída 3 2 2 15" xfId="1076"/>
    <cellStyle name="Saída 3 2 2 16" xfId="864"/>
    <cellStyle name="Saída 3 2 2 17" xfId="988"/>
    <cellStyle name="Saída 3 2 2 18" xfId="868"/>
    <cellStyle name="Saída 3 2 2 19" xfId="1155"/>
    <cellStyle name="Saída 3 2 2 2" xfId="773"/>
    <cellStyle name="Saída 3 2 2 3" xfId="844"/>
    <cellStyle name="Saída 3 2 2 4" xfId="786"/>
    <cellStyle name="Saída 3 2 2 5" xfId="510"/>
    <cellStyle name="Saída 3 2 2 6" xfId="904"/>
    <cellStyle name="Saída 3 2 2 7" xfId="599"/>
    <cellStyle name="Saída 3 2 2 8" xfId="966"/>
    <cellStyle name="Saída 3 2 2 9" xfId="469"/>
    <cellStyle name="Saída 3 2 3" xfId="318"/>
    <cellStyle name="Saída 3 2 3 10" xfId="826"/>
    <cellStyle name="Saída 3 2 3 11" xfId="961"/>
    <cellStyle name="Saída 3 2 3 12" xfId="683"/>
    <cellStyle name="Saída 3 2 3 13" xfId="581"/>
    <cellStyle name="Saída 3 2 3 14" xfId="505"/>
    <cellStyle name="Saída 3 2 3 15" xfId="731"/>
    <cellStyle name="Saída 3 2 3 16" xfId="916"/>
    <cellStyle name="Saída 3 2 3 17" xfId="1081"/>
    <cellStyle name="Saída 3 2 3 18" xfId="975"/>
    <cellStyle name="Saída 3 2 3 19" xfId="1184"/>
    <cellStyle name="Saída 3 2 3 2" xfId="705"/>
    <cellStyle name="Saída 3 2 3 3" xfId="476"/>
    <cellStyle name="Saída 3 2 3 4" xfId="598"/>
    <cellStyle name="Saída 3 2 3 5" xfId="761"/>
    <cellStyle name="Saída 3 2 3 6" xfId="839"/>
    <cellStyle name="Saída 3 2 3 7" xfId="643"/>
    <cellStyle name="Saída 3 2 3 8" xfId="752"/>
    <cellStyle name="Saída 3 2 3 9" xfId="594"/>
    <cellStyle name="Saída 3 2 4" xfId="1125"/>
    <cellStyle name="Saída 3 3" xfId="404"/>
    <cellStyle name="Saída 3 3 10" xfId="813"/>
    <cellStyle name="Saída 3 3 11" xfId="1018"/>
    <cellStyle name="Saída 3 3 12" xfId="951"/>
    <cellStyle name="Saída 3 3 13" xfId="1039"/>
    <cellStyle name="Saída 3 3 14" xfId="1058"/>
    <cellStyle name="Saída 3 3 15" xfId="1079"/>
    <cellStyle name="Saída 3 3 16" xfId="1005"/>
    <cellStyle name="Saída 3 3 17" xfId="808"/>
    <cellStyle name="Saída 3 3 18" xfId="1082"/>
    <cellStyle name="Saída 3 3 19" xfId="1154"/>
    <cellStyle name="Saída 3 3 2" xfId="772"/>
    <cellStyle name="Saída 3 3 3" xfId="843"/>
    <cellStyle name="Saída 3 3 4" xfId="792"/>
    <cellStyle name="Saída 3 3 5" xfId="815"/>
    <cellStyle name="Saída 3 3 6" xfId="909"/>
    <cellStyle name="Saída 3 3 7" xfId="633"/>
    <cellStyle name="Saída 3 3 8" xfId="965"/>
    <cellStyle name="Saída 3 3 9" xfId="880"/>
    <cellStyle name="Saída 3 4" xfId="317"/>
    <cellStyle name="Saída 3 4 10" xfId="450"/>
    <cellStyle name="Saída 3 4 11" xfId="977"/>
    <cellStyle name="Saída 3 4 12" xfId="890"/>
    <cellStyle name="Saída 3 4 13" xfId="802"/>
    <cellStyle name="Saída 3 4 14" xfId="1036"/>
    <cellStyle name="Saída 3 4 15" xfId="1056"/>
    <cellStyle name="Saída 3 4 16" xfId="928"/>
    <cellStyle name="Saída 3 4 17" xfId="544"/>
    <cellStyle name="Saída 3 4 18" xfId="1109"/>
    <cellStyle name="Saída 3 4 19" xfId="1148"/>
    <cellStyle name="Saída 3 4 2" xfId="704"/>
    <cellStyle name="Saída 3 4 3" xfId="477"/>
    <cellStyle name="Saída 3 4 4" xfId="696"/>
    <cellStyle name="Saída 3 4 5" xfId="639"/>
    <cellStyle name="Saída 3 4 6" xfId="856"/>
    <cellStyle name="Saída 3 4 7" xfId="579"/>
    <cellStyle name="Saída 3 4 8" xfId="941"/>
    <cellStyle name="Saída 3 4 9" xfId="911"/>
    <cellStyle name="Saída 3 5" xfId="1135"/>
    <cellStyle name="Separador de milhares 10" xfId="197"/>
    <cellStyle name="Separador de milhares 10 2" xfId="198"/>
    <cellStyle name="Separador de milhares 10 2 2" xfId="407"/>
    <cellStyle name="Separador de milhares 10 2 3" xfId="320"/>
    <cellStyle name="Separador de milhares 10 2 4" xfId="609"/>
    <cellStyle name="Separador de milhares 10 3" xfId="406"/>
    <cellStyle name="Separador de milhares 10 4" xfId="319"/>
    <cellStyle name="Separador de milhares 10 5" xfId="608"/>
    <cellStyle name="Separador de milhares 2" xfId="199"/>
    <cellStyle name="Separador de milhares 2 2" xfId="200"/>
    <cellStyle name="Separador de milhares 2 2 2" xfId="201"/>
    <cellStyle name="Separador de milhares 2 2 2 2" xfId="410"/>
    <cellStyle name="Separador de milhares 2 2 2 3" xfId="323"/>
    <cellStyle name="Separador de milhares 2 2 3" xfId="409"/>
    <cellStyle name="Separador de milhares 2 2 4" xfId="322"/>
    <cellStyle name="Separador de milhares 2 2 5" xfId="611"/>
    <cellStyle name="Separador de milhares 2 3" xfId="202"/>
    <cellStyle name="Separador de milhares 2 3 2" xfId="411"/>
    <cellStyle name="Separador de milhares 2 3 3" xfId="324"/>
    <cellStyle name="Separador de milhares 2 3 4" xfId="613"/>
    <cellStyle name="Separador de milhares 2 4" xfId="408"/>
    <cellStyle name="Separador de milhares 2 5" xfId="321"/>
    <cellStyle name="Separador de milhares 2 6" xfId="610"/>
    <cellStyle name="Separador de milhares 3" xfId="203"/>
    <cellStyle name="Separador de milhares 3 2" xfId="412"/>
    <cellStyle name="Separador de milhares 3 3" xfId="325"/>
    <cellStyle name="Separador de milhares 3 4" xfId="614"/>
    <cellStyle name="Separador de milhares 4" xfId="204"/>
    <cellStyle name="Separador de milhares 4 2" xfId="205"/>
    <cellStyle name="Separador de milhares 4 2 2" xfId="414"/>
    <cellStyle name="Separador de milhares 4 2 3" xfId="327"/>
    <cellStyle name="Separador de milhares 4 2 4" xfId="616"/>
    <cellStyle name="Separador de milhares 4 3" xfId="413"/>
    <cellStyle name="Separador de milhares 4 4" xfId="326"/>
    <cellStyle name="Separador de milhares 4 5" xfId="615"/>
    <cellStyle name="Separador de milhares 5" xfId="206"/>
    <cellStyle name="Separador de milhares 5 2" xfId="415"/>
    <cellStyle name="Separador de milhares 5 3" xfId="328"/>
    <cellStyle name="Separador de milhares 5 4" xfId="617"/>
    <cellStyle name="Texto de Aviso 2" xfId="207"/>
    <cellStyle name="Texto de Aviso 2 2" xfId="208"/>
    <cellStyle name="Texto de Aviso 3" xfId="209"/>
    <cellStyle name="Texto de Aviso 3 2" xfId="210"/>
    <cellStyle name="Texto Explicativo 2" xfId="211"/>
    <cellStyle name="Texto Explicativo 2 2" xfId="212"/>
    <cellStyle name="Texto Explicativo 3" xfId="213"/>
    <cellStyle name="Texto Explicativo 3 2" xfId="214"/>
    <cellStyle name="Título 1 2" xfId="215"/>
    <cellStyle name="Título 1 2 2" xfId="216"/>
    <cellStyle name="Título 1 3" xfId="217"/>
    <cellStyle name="Título 1 3 2" xfId="218"/>
    <cellStyle name="Título 2 2" xfId="219"/>
    <cellStyle name="Título 2 2 2" xfId="220"/>
    <cellStyle name="Título 2 3" xfId="221"/>
    <cellStyle name="Título 2 3 2" xfId="222"/>
    <cellStyle name="Título 3 2" xfId="223"/>
    <cellStyle name="Título 3 2 2" xfId="224"/>
    <cellStyle name="Título 3 3" xfId="225"/>
    <cellStyle name="Título 3 3 2" xfId="226"/>
    <cellStyle name="Título 4 2" xfId="227"/>
    <cellStyle name="Título 4 2 2" xfId="228"/>
    <cellStyle name="Título 4 3" xfId="229"/>
    <cellStyle name="Título 4 3 2" xfId="230"/>
    <cellStyle name="Título 5" xfId="231"/>
    <cellStyle name="Título 5 2" xfId="232"/>
    <cellStyle name="Título 6" xfId="233"/>
    <cellStyle name="Título 6 2" xfId="234"/>
    <cellStyle name="Total 2" xfId="235"/>
    <cellStyle name="Total 2 2" xfId="236"/>
    <cellStyle name="Total 2 2 2" xfId="417"/>
    <cellStyle name="Total 2 2 2 10" xfId="917"/>
    <cellStyle name="Total 2 2 2 11" xfId="1029"/>
    <cellStyle name="Total 2 2 2 12" xfId="1050"/>
    <cellStyle name="Total 2 2 2 13" xfId="1072"/>
    <cellStyle name="Total 2 2 2 14" xfId="1084"/>
    <cellStyle name="Total 2 2 2 15" xfId="1095"/>
    <cellStyle name="Total 2 2 2 16" xfId="1006"/>
    <cellStyle name="Total 2 2 2 17" xfId="1111"/>
    <cellStyle name="Total 2 2 2 18" xfId="1118"/>
    <cellStyle name="Total 2 2 2 19" xfId="1157"/>
    <cellStyle name="Total 2 2 2 2" xfId="782"/>
    <cellStyle name="Total 2 2 2 3" xfId="852"/>
    <cellStyle name="Total 2 2 2 4" xfId="876"/>
    <cellStyle name="Total 2 2 2 5" xfId="814"/>
    <cellStyle name="Total 2 2 2 6" xfId="924"/>
    <cellStyle name="Total 2 2 2 7" xfId="468"/>
    <cellStyle name="Total 2 2 2 8" xfId="972"/>
    <cellStyle name="Total 2 2 2 9" xfId="991"/>
    <cellStyle name="Total 2 2 3" xfId="330"/>
    <cellStyle name="Total 2 2 3 10" xfId="827"/>
    <cellStyle name="Total 2 2 3 11" xfId="1010"/>
    <cellStyle name="Total 2 2 3 12" xfId="883"/>
    <cellStyle name="Total 2 2 3 13" xfId="1019"/>
    <cellStyle name="Total 2 2 3 14" xfId="950"/>
    <cellStyle name="Total 2 2 3 15" xfId="622"/>
    <cellStyle name="Total 2 2 3 16" xfId="894"/>
    <cellStyle name="Total 2 2 3 17" xfId="1107"/>
    <cellStyle name="Total 2 2 3 18" xfId="1114"/>
    <cellStyle name="Total 2 2 3 19" xfId="1150"/>
    <cellStyle name="Total 2 2 3 2" xfId="715"/>
    <cellStyle name="Total 2 2 3 3" xfId="465"/>
    <cellStyle name="Total 2 2 3 4" xfId="699"/>
    <cellStyle name="Total 2 2 3 5" xfId="641"/>
    <cellStyle name="Total 2 2 3 6" xfId="897"/>
    <cellStyle name="Total 2 2 3 7" xfId="823"/>
    <cellStyle name="Total 2 2 3 8" xfId="638"/>
    <cellStyle name="Total 2 2 3 9" xfId="681"/>
    <cellStyle name="Total 2 2 4" xfId="1136"/>
    <cellStyle name="Total 2 3" xfId="416"/>
    <cellStyle name="Total 2 3 10" xfId="710"/>
    <cellStyle name="Total 2 3 11" xfId="1028"/>
    <cellStyle name="Total 2 3 12" xfId="1049"/>
    <cellStyle name="Total 2 3 13" xfId="1071"/>
    <cellStyle name="Total 2 3 14" xfId="1083"/>
    <cellStyle name="Total 2 3 15" xfId="1094"/>
    <cellStyle name="Total 2 3 16" xfId="800"/>
    <cellStyle name="Total 2 3 17" xfId="1078"/>
    <cellStyle name="Total 2 3 18" xfId="1104"/>
    <cellStyle name="Total 2 3 19" xfId="1156"/>
    <cellStyle name="Total 2 3 2" xfId="781"/>
    <cellStyle name="Total 2 3 3" xfId="851"/>
    <cellStyle name="Total 2 3 4" xfId="875"/>
    <cellStyle name="Total 2 3 5" xfId="513"/>
    <cellStyle name="Total 2 3 6" xfId="923"/>
    <cellStyle name="Total 2 3 7" xfId="541"/>
    <cellStyle name="Total 2 3 8" xfId="971"/>
    <cellStyle name="Total 2 3 9" xfId="990"/>
    <cellStyle name="Total 2 4" xfId="329"/>
    <cellStyle name="Total 2 4 10" xfId="987"/>
    <cellStyle name="Total 2 4 11" xfId="980"/>
    <cellStyle name="Total 2 4 12" xfId="956"/>
    <cellStyle name="Total 2 4 13" xfId="995"/>
    <cellStyle name="Total 2 4 14" xfId="1043"/>
    <cellStyle name="Total 2 4 15" xfId="1062"/>
    <cellStyle name="Total 2 4 16" xfId="1090"/>
    <cellStyle name="Total 2 4 17" xfId="1099"/>
    <cellStyle name="Total 2 4 18" xfId="828"/>
    <cellStyle name="Total 2 4 19" xfId="1149"/>
    <cellStyle name="Total 2 4 2" xfId="714"/>
    <cellStyle name="Total 2 4 3" xfId="466"/>
    <cellStyle name="Total 2 4 4" xfId="766"/>
    <cellStyle name="Total 2 4 5" xfId="695"/>
    <cellStyle name="Total 2 4 6" xfId="861"/>
    <cellStyle name="Total 2 4 7" xfId="915"/>
    <cellStyle name="Total 2 4 8" xfId="944"/>
    <cellStyle name="Total 2 4 9" xfId="749"/>
    <cellStyle name="Total 2 5" xfId="1166"/>
    <cellStyle name="Total 3" xfId="237"/>
    <cellStyle name="Total 3 2" xfId="238"/>
    <cellStyle name="Total 3 2 2" xfId="419"/>
    <cellStyle name="Total 3 2 2 10" xfId="919"/>
    <cellStyle name="Total 3 2 2 11" xfId="1031"/>
    <cellStyle name="Total 3 2 2 12" xfId="1052"/>
    <cellStyle name="Total 3 2 2 13" xfId="1074"/>
    <cellStyle name="Total 3 2 2 14" xfId="1086"/>
    <cellStyle name="Total 3 2 2 15" xfId="1097"/>
    <cellStyle name="Total 3 2 2 16" xfId="753"/>
    <cellStyle name="Total 3 2 2 17" xfId="1110"/>
    <cellStyle name="Total 3 2 2 18" xfId="1117"/>
    <cellStyle name="Total 3 2 2 19" xfId="1159"/>
    <cellStyle name="Total 3 2 2 2" xfId="784"/>
    <cellStyle name="Total 3 2 2 3" xfId="854"/>
    <cellStyle name="Total 3 2 2 4" xfId="878"/>
    <cellStyle name="Total 3 2 2 5" xfId="514"/>
    <cellStyle name="Total 3 2 2 6" xfId="926"/>
    <cellStyle name="Total 3 2 2 7" xfId="487"/>
    <cellStyle name="Total 3 2 2 8" xfId="974"/>
    <cellStyle name="Total 3 2 2 9" xfId="993"/>
    <cellStyle name="Total 3 2 3" xfId="332"/>
    <cellStyle name="Total 3 2 3 10" xfId="462"/>
    <cellStyle name="Total 3 2 3 11" xfId="1009"/>
    <cellStyle name="Total 3 2 3 12" xfId="671"/>
    <cellStyle name="Total 3 2 3 13" xfId="929"/>
    <cellStyle name="Total 3 2 3 14" xfId="857"/>
    <cellStyle name="Total 3 2 3 15" xfId="1017"/>
    <cellStyle name="Total 3 2 3 16" xfId="930"/>
    <cellStyle name="Total 3 2 3 17" xfId="914"/>
    <cellStyle name="Total 3 2 3 18" xfId="1059"/>
    <cellStyle name="Total 3 2 3 19" xfId="1170"/>
    <cellStyle name="Total 3 2 3 2" xfId="717"/>
    <cellStyle name="Total 3 2 3 3" xfId="463"/>
    <cellStyle name="Total 3 2 3 4" xfId="602"/>
    <cellStyle name="Total 3 2 3 5" xfId="821"/>
    <cellStyle name="Total 3 2 3 6" xfId="896"/>
    <cellStyle name="Total 3 2 3 7" xfId="807"/>
    <cellStyle name="Total 3 2 3 8" xfId="694"/>
    <cellStyle name="Total 3 2 3 9" xfId="832"/>
    <cellStyle name="Total 3 2 4" xfId="1177"/>
    <cellStyle name="Total 3 3" xfId="418"/>
    <cellStyle name="Total 3 3 10" xfId="538"/>
    <cellStyle name="Total 3 3 11" xfId="1030"/>
    <cellStyle name="Total 3 3 12" xfId="1051"/>
    <cellStyle name="Total 3 3 13" xfId="1073"/>
    <cellStyle name="Total 3 3 14" xfId="1085"/>
    <cellStyle name="Total 3 3 15" xfId="1096"/>
    <cellStyle name="Total 3 3 16" xfId="1002"/>
    <cellStyle name="Total 3 3 17" xfId="1102"/>
    <cellStyle name="Total 3 3 18" xfId="943"/>
    <cellStyle name="Total 3 3 19" xfId="1158"/>
    <cellStyle name="Total 3 3 2" xfId="783"/>
    <cellStyle name="Total 3 3 3" xfId="853"/>
    <cellStyle name="Total 3 3 4" xfId="877"/>
    <cellStyle name="Total 3 3 5" xfId="682"/>
    <cellStyle name="Total 3 3 6" xfId="925"/>
    <cellStyle name="Total 3 3 7" xfId="790"/>
    <cellStyle name="Total 3 3 8" xfId="973"/>
    <cellStyle name="Total 3 3 9" xfId="992"/>
    <cellStyle name="Total 3 4" xfId="331"/>
    <cellStyle name="Total 3 4 10" xfId="1003"/>
    <cellStyle name="Total 3 4 11" xfId="962"/>
    <cellStyle name="Total 3 4 12" xfId="775"/>
    <cellStyle name="Total 3 4 13" xfId="1023"/>
    <cellStyle name="Total 3 4 14" xfId="1044"/>
    <cellStyle name="Total 3 4 15" xfId="1064"/>
    <cellStyle name="Total 3 4 16" xfId="1101"/>
    <cellStyle name="Total 3 4 17" xfId="984"/>
    <cellStyle name="Total 3 4 18" xfId="543"/>
    <cellStyle name="Total 3 4 19" xfId="1185"/>
    <cellStyle name="Total 3 4 2" xfId="716"/>
    <cellStyle name="Total 3 4 3" xfId="464"/>
    <cellStyle name="Total 3 4 4" xfId="601"/>
    <cellStyle name="Total 3 4 5" xfId="762"/>
    <cellStyle name="Total 3 4 6" xfId="840"/>
    <cellStyle name="Total 3 4 7" xfId="935"/>
    <cellStyle name="Total 3 4 8" xfId="942"/>
    <cellStyle name="Total 3 4 9" xfId="627"/>
    <cellStyle name="Total 3 5" xfId="1127"/>
    <cellStyle name="Vírgula" xfId="1203" builtinId="3"/>
    <cellStyle name="Vírgula 2" xfId="239"/>
    <cellStyle name="Vírgula 2 2" xfId="240"/>
    <cellStyle name="Vírgula 2 2 2" xfId="435"/>
    <cellStyle name="Vírgula 2 2 3" xfId="420"/>
    <cellStyle name="Vírgula 2 2 4" xfId="333"/>
    <cellStyle name="Vírgula 2 2 5" xfId="645"/>
    <cellStyle name="Vírgula 2 3" xfId="245"/>
    <cellStyle name="Vírgula 2 3 2" xfId="424"/>
    <cellStyle name="Vírgula 2 3 3" xfId="337"/>
    <cellStyle name="Vírgula 2 3 4" xfId="445"/>
    <cellStyle name="Vírgula 2 4" xfId="427"/>
    <cellStyle name="Vírgula 2 5" xfId="443"/>
    <cellStyle name="Vírgula 3" xfId="241"/>
    <cellStyle name="Vírgula 3 2" xfId="421"/>
    <cellStyle name="Vírgula 3 3" xfId="334"/>
    <cellStyle name="Vírgula 3 4" xfId="646"/>
    <cellStyle name="Vírgula 4" xfId="242"/>
    <cellStyle name="Vírgula 4 2" xfId="431"/>
    <cellStyle name="Vírgula 4 2 2" xfId="796"/>
    <cellStyle name="Vírgula 4 2 3" xfId="1192"/>
    <cellStyle name="Vírgula 4 3" xfId="422"/>
    <cellStyle name="Vírgula 4 3 2" xfId="787"/>
    <cellStyle name="Vírgula 4 3 3" xfId="1188"/>
    <cellStyle name="Vírgula 4 4" xfId="335"/>
    <cellStyle name="Vírgula 4 4 2" xfId="719"/>
    <cellStyle name="Vírgula 4 4 3" xfId="1174"/>
    <cellStyle name="Vírgula 4 5" xfId="647"/>
    <cellStyle name="Vírgula 4 6" xfId="1160"/>
  </cellStyles>
  <dxfs count="44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CC0066"/>
      <color rgb="FFFF5050"/>
      <color rgb="FFFFCCFF"/>
      <color rgb="FFFF99CC"/>
      <color rgb="FFFF6699"/>
      <color rgb="FFE08ED6"/>
      <color rgb="FFCC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</xdr:row>
      <xdr:rowOff>133350</xdr:rowOff>
    </xdr:from>
    <xdr:to>
      <xdr:col>0</xdr:col>
      <xdr:colOff>1257365</xdr:colOff>
      <xdr:row>13</xdr:row>
      <xdr:rowOff>133382</xdr:rowOff>
    </xdr:to>
    <xdr:pic>
      <xdr:nvPicPr>
        <xdr:cNvPr id="4" name="Imagem 2">
          <a:extLst>
            <a:ext uri="{FF2B5EF4-FFF2-40B4-BE49-F238E27FC236}">
              <a16:creationId xmlns:a16="http://schemas.microsoft.com/office/drawing/2014/main" id="{014DA420-9CE6-4969-952C-53119A8529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2639675"/>
          <a:ext cx="1257365" cy="64773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612774</xdr:colOff>
      <xdr:row>0</xdr:row>
      <xdr:rowOff>41275</xdr:rowOff>
    </xdr:from>
    <xdr:to>
      <xdr:col>7</xdr:col>
      <xdr:colOff>202914</xdr:colOff>
      <xdr:row>1</xdr:row>
      <xdr:rowOff>66675</xdr:rowOff>
    </xdr:to>
    <xdr:pic>
      <xdr:nvPicPr>
        <xdr:cNvPr id="7" name="Imagem 1">
          <a:extLst>
            <a:ext uri="{FF2B5EF4-FFF2-40B4-BE49-F238E27FC236}">
              <a16:creationId xmlns:a16="http://schemas.microsoft.com/office/drawing/2014/main" id="{CCF864D8-6000-4DC6-B2A3-5FA201026D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53424" y="41275"/>
          <a:ext cx="701390" cy="6731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775759</xdr:colOff>
      <xdr:row>0</xdr:row>
      <xdr:rowOff>48683</xdr:rowOff>
    </xdr:from>
    <xdr:to>
      <xdr:col>4</xdr:col>
      <xdr:colOff>175329</xdr:colOff>
      <xdr:row>0</xdr:row>
      <xdr:rowOff>603732</xdr:rowOff>
    </xdr:to>
    <xdr:pic>
      <xdr:nvPicPr>
        <xdr:cNvPr id="4" name="Imagem 1">
          <a:extLst>
            <a:ext uri="{FF2B5EF4-FFF2-40B4-BE49-F238E27FC236}">
              <a16:creationId xmlns:a16="http://schemas.microsoft.com/office/drawing/2014/main" id="{862C4FAE-0C23-442E-985B-6ADA70086E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17092" y="48683"/>
          <a:ext cx="595487" cy="5550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352425</xdr:colOff>
      <xdr:row>0</xdr:row>
      <xdr:rowOff>133350</xdr:rowOff>
    </xdr:from>
    <xdr:to>
      <xdr:col>5</xdr:col>
      <xdr:colOff>903462</xdr:colOff>
      <xdr:row>0</xdr:row>
      <xdr:rowOff>678874</xdr:rowOff>
    </xdr:to>
    <xdr:pic>
      <xdr:nvPicPr>
        <xdr:cNvPr id="9" name="Imagem 1">
          <a:extLst>
            <a:ext uri="{FF2B5EF4-FFF2-40B4-BE49-F238E27FC236}">
              <a16:creationId xmlns:a16="http://schemas.microsoft.com/office/drawing/2014/main" id="{08F07829-71F2-4475-8003-F700893A70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43650" y="133350"/>
          <a:ext cx="551037" cy="54552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622300</xdr:colOff>
      <xdr:row>0</xdr:row>
      <xdr:rowOff>107951</xdr:rowOff>
    </xdr:from>
    <xdr:to>
      <xdr:col>7</xdr:col>
      <xdr:colOff>228600</xdr:colOff>
      <xdr:row>1</xdr:row>
      <xdr:rowOff>6351</xdr:rowOff>
    </xdr:to>
    <xdr:pic>
      <xdr:nvPicPr>
        <xdr:cNvPr id="3" name="Imagem 1">
          <a:extLst>
            <a:ext uri="{FF2B5EF4-FFF2-40B4-BE49-F238E27FC236}">
              <a16:creationId xmlns:a16="http://schemas.microsoft.com/office/drawing/2014/main" id="{1CDC308E-63EA-4B22-A8C4-04E70A0598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24850" y="107951"/>
          <a:ext cx="673100" cy="6223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542925</xdr:colOff>
      <xdr:row>0</xdr:row>
      <xdr:rowOff>114301</xdr:rowOff>
    </xdr:from>
    <xdr:to>
      <xdr:col>7</xdr:col>
      <xdr:colOff>152400</xdr:colOff>
      <xdr:row>0</xdr:row>
      <xdr:rowOff>720726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61AC66D-2AE7-4DCC-ACF9-7CD77652B1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0" y="114301"/>
          <a:ext cx="723900" cy="6064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622300</xdr:colOff>
      <xdr:row>0</xdr:row>
      <xdr:rowOff>107951</xdr:rowOff>
    </xdr:from>
    <xdr:to>
      <xdr:col>7</xdr:col>
      <xdr:colOff>228600</xdr:colOff>
      <xdr:row>0</xdr:row>
      <xdr:rowOff>714376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23B6444-D8C0-4E1E-873D-D7FC3B096B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58200" y="107951"/>
          <a:ext cx="673100" cy="6223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622300</xdr:colOff>
      <xdr:row>0</xdr:row>
      <xdr:rowOff>107951</xdr:rowOff>
    </xdr:from>
    <xdr:to>
      <xdr:col>7</xdr:col>
      <xdr:colOff>228600</xdr:colOff>
      <xdr:row>0</xdr:row>
      <xdr:rowOff>714376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7493957-F59E-47BA-9F64-4CED147F4E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58200" y="107951"/>
          <a:ext cx="673100" cy="62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B2:N16"/>
  <sheetViews>
    <sheetView tabSelected="1" zoomScale="85" zoomScaleNormal="85" zoomScaleSheetLayoutView="85" workbookViewId="0">
      <selection activeCell="A27" sqref="A27"/>
    </sheetView>
  </sheetViews>
  <sheetFormatPr defaultColWidth="8.7109375" defaultRowHeight="12.75"/>
  <cols>
    <col min="3" max="3" width="3" customWidth="1"/>
    <col min="4" max="4" width="2" customWidth="1"/>
    <col min="5" max="5" width="7.140625" customWidth="1"/>
    <col min="6" max="6" width="47" customWidth="1"/>
    <col min="7" max="7" width="10.85546875" customWidth="1"/>
    <col min="8" max="8" width="15.140625" customWidth="1"/>
    <col min="9" max="9" width="11.7109375" customWidth="1"/>
    <col min="10" max="11" width="16.42578125" customWidth="1"/>
    <col min="12" max="12" width="7" customWidth="1"/>
    <col min="13" max="13" width="15.5703125" bestFit="1" customWidth="1"/>
    <col min="14" max="14" width="14.42578125" bestFit="1" customWidth="1"/>
  </cols>
  <sheetData>
    <row r="2" spans="2:14" ht="13.5" thickBot="1"/>
    <row r="3" spans="2:14" ht="15" customHeight="1">
      <c r="B3" s="133" t="s">
        <v>211</v>
      </c>
      <c r="C3" s="134"/>
      <c r="D3" s="134"/>
      <c r="E3" s="134"/>
      <c r="F3" s="134"/>
      <c r="G3" s="134"/>
      <c r="H3" s="134"/>
      <c r="I3" s="134"/>
      <c r="J3" s="134"/>
      <c r="K3" s="135"/>
      <c r="L3" s="11"/>
    </row>
    <row r="4" spans="2:14" ht="15" customHeight="1">
      <c r="B4" s="136"/>
      <c r="C4" s="137"/>
      <c r="D4" s="137"/>
      <c r="E4" s="137"/>
      <c r="F4" s="137"/>
      <c r="G4" s="137"/>
      <c r="H4" s="137"/>
      <c r="I4" s="137"/>
      <c r="J4" s="137"/>
      <c r="K4" s="138"/>
      <c r="L4" s="11"/>
    </row>
    <row r="5" spans="2:14" ht="45">
      <c r="B5" s="158" t="s">
        <v>0</v>
      </c>
      <c r="C5" s="159" t="s">
        <v>1</v>
      </c>
      <c r="D5" s="159"/>
      <c r="E5" s="159" t="s">
        <v>206</v>
      </c>
      <c r="F5" s="158" t="s">
        <v>2</v>
      </c>
      <c r="G5" s="159" t="s">
        <v>3</v>
      </c>
      <c r="H5" s="158" t="s">
        <v>4</v>
      </c>
      <c r="I5" s="158" t="s">
        <v>5</v>
      </c>
      <c r="J5" s="127" t="s">
        <v>200</v>
      </c>
      <c r="K5" s="127" t="s">
        <v>201</v>
      </c>
      <c r="L5" s="157"/>
    </row>
    <row r="6" spans="2:14" ht="15">
      <c r="B6" s="158"/>
      <c r="C6" s="159"/>
      <c r="D6" s="159"/>
      <c r="E6" s="159"/>
      <c r="F6" s="158"/>
      <c r="G6" s="159"/>
      <c r="H6" s="158"/>
      <c r="I6" s="158"/>
      <c r="J6" s="127" t="s">
        <v>202</v>
      </c>
      <c r="K6" s="127" t="s">
        <v>203</v>
      </c>
      <c r="L6" s="157"/>
    </row>
    <row r="7" spans="2:14" ht="15.75" customHeight="1">
      <c r="B7" s="153">
        <v>1</v>
      </c>
      <c r="C7" s="144">
        <v>1</v>
      </c>
      <c r="D7" s="145"/>
      <c r="E7" s="150">
        <v>15008</v>
      </c>
      <c r="F7" s="156" t="s">
        <v>6</v>
      </c>
      <c r="G7" s="156"/>
      <c r="H7" s="156"/>
      <c r="I7" s="156"/>
      <c r="J7" s="156"/>
      <c r="K7" s="156"/>
      <c r="L7" s="11"/>
      <c r="M7" s="6"/>
    </row>
    <row r="8" spans="2:14" ht="45.6" customHeight="1">
      <c r="B8" s="154"/>
      <c r="C8" s="146"/>
      <c r="D8" s="147"/>
      <c r="E8" s="151"/>
      <c r="F8" s="13" t="s">
        <v>204</v>
      </c>
      <c r="G8" s="101" t="s">
        <v>7</v>
      </c>
      <c r="H8" s="14">
        <f>'Locação - Veículo Cat I'!H34</f>
        <v>0</v>
      </c>
      <c r="I8" s="104">
        <v>4</v>
      </c>
      <c r="J8" s="15">
        <f>H8*12</f>
        <v>0</v>
      </c>
      <c r="K8" s="105">
        <f>J8*I8</f>
        <v>0</v>
      </c>
      <c r="L8" s="11"/>
    </row>
    <row r="9" spans="2:14" ht="15">
      <c r="B9" s="155"/>
      <c r="C9" s="148"/>
      <c r="D9" s="149"/>
      <c r="E9" s="152"/>
      <c r="F9" s="143" t="s">
        <v>8</v>
      </c>
      <c r="G9" s="143"/>
      <c r="H9" s="128">
        <f>H8</f>
        <v>0</v>
      </c>
      <c r="I9" s="129"/>
      <c r="J9" s="128">
        <f>J8</f>
        <v>0</v>
      </c>
      <c r="K9" s="128">
        <f>K8</f>
        <v>0</v>
      </c>
      <c r="L9" s="11"/>
    </row>
    <row r="10" spans="2:14" ht="15.75" customHeight="1">
      <c r="B10" s="140" t="s">
        <v>207</v>
      </c>
      <c r="C10" s="140"/>
      <c r="D10" s="140"/>
      <c r="E10" s="140"/>
      <c r="F10" s="140"/>
      <c r="G10" s="140"/>
      <c r="H10" s="140"/>
      <c r="I10" s="140"/>
      <c r="J10" s="140"/>
      <c r="K10" s="132">
        <f>K8</f>
        <v>0</v>
      </c>
      <c r="L10" s="11"/>
      <c r="M10" s="6"/>
      <c r="N10" s="6"/>
    </row>
    <row r="11" spans="2:14" ht="15.75" customHeight="1" thickBot="1">
      <c r="B11" s="141" t="s">
        <v>9</v>
      </c>
      <c r="C11" s="142"/>
      <c r="D11" s="142"/>
      <c r="E11" s="142"/>
      <c r="F11" s="142"/>
      <c r="G11" s="142"/>
      <c r="H11" s="142"/>
      <c r="I11" s="142"/>
      <c r="J11" s="142"/>
      <c r="K11" s="12" t="s">
        <v>205</v>
      </c>
      <c r="L11" s="11"/>
    </row>
    <row r="12" spans="2:14" ht="59.1" customHeight="1">
      <c r="B12" s="139" t="s">
        <v>212</v>
      </c>
      <c r="C12" s="139"/>
      <c r="D12" s="139"/>
      <c r="E12" s="139"/>
      <c r="F12" s="139"/>
      <c r="G12" s="139"/>
      <c r="H12" s="139"/>
      <c r="I12" s="139"/>
      <c r="J12" s="139"/>
      <c r="K12" s="139"/>
      <c r="L12" s="11"/>
    </row>
    <row r="13" spans="2:14">
      <c r="J13" s="1"/>
      <c r="K13" s="1"/>
      <c r="L13" s="1"/>
    </row>
    <row r="14" spans="2:14">
      <c r="K14" s="102"/>
      <c r="L14" s="1"/>
      <c r="M14" s="3"/>
    </row>
    <row r="15" spans="2:14">
      <c r="K15" s="103"/>
      <c r="L15" s="1"/>
      <c r="M15" s="3"/>
    </row>
    <row r="16" spans="2:14">
      <c r="M16" s="3"/>
    </row>
  </sheetData>
  <mergeCells count="18">
    <mergeCell ref="L5:L6"/>
    <mergeCell ref="B5:B6"/>
    <mergeCell ref="C5:D6"/>
    <mergeCell ref="F5:F6"/>
    <mergeCell ref="E5:E6"/>
    <mergeCell ref="G5:G6"/>
    <mergeCell ref="H5:H6"/>
    <mergeCell ref="I5:I6"/>
    <mergeCell ref="B3:K3"/>
    <mergeCell ref="B4:K4"/>
    <mergeCell ref="B12:K12"/>
    <mergeCell ref="B10:J10"/>
    <mergeCell ref="B11:J11"/>
    <mergeCell ref="F9:G9"/>
    <mergeCell ref="C7:D9"/>
    <mergeCell ref="E7:E9"/>
    <mergeCell ref="B7:B9"/>
    <mergeCell ref="F7:K7"/>
  </mergeCells>
  <pageMargins left="0.511811024" right="0.511811024" top="0.78740157499999996" bottom="0.78740157499999996" header="0.31496062000000002" footer="0.31496062000000002"/>
  <pageSetup paperSize="9" scale="6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0"/>
  <sheetViews>
    <sheetView zoomScaleNormal="100" workbookViewId="0">
      <selection activeCell="H7" sqref="H7"/>
    </sheetView>
  </sheetViews>
  <sheetFormatPr defaultRowHeight="12.75"/>
  <cols>
    <col min="1" max="1" width="5.85546875" customWidth="1"/>
    <col min="3" max="3" width="47.28515625" customWidth="1"/>
    <col min="5" max="5" width="32.7109375" customWidth="1"/>
    <col min="6" max="6" width="23.42578125" customWidth="1"/>
    <col min="7" max="7" width="16.140625" customWidth="1"/>
    <col min="8" max="8" width="21.85546875" customWidth="1"/>
    <col min="10" max="10" width="9.5703125" bestFit="1" customWidth="1"/>
  </cols>
  <sheetData>
    <row r="2" spans="1:10" ht="14.1" customHeight="1">
      <c r="A2" s="180" t="s">
        <v>12</v>
      </c>
      <c r="B2" s="180"/>
      <c r="C2" s="180"/>
      <c r="D2" s="180"/>
      <c r="E2" s="180"/>
      <c r="F2" s="180"/>
      <c r="G2" s="180"/>
      <c r="H2" s="180"/>
    </row>
    <row r="4" spans="1:10" ht="33" customHeight="1">
      <c r="A4" s="174" t="s">
        <v>151</v>
      </c>
      <c r="B4" s="175"/>
      <c r="C4" s="175"/>
      <c r="D4" s="175"/>
      <c r="E4" s="175"/>
      <c r="F4" s="175"/>
      <c r="G4" s="175"/>
      <c r="H4" s="175"/>
    </row>
    <row r="5" spans="1:10" ht="15.75">
      <c r="A5" s="181" t="s">
        <v>13</v>
      </c>
      <c r="B5" s="165" t="s">
        <v>14</v>
      </c>
      <c r="C5" s="186" t="s">
        <v>15</v>
      </c>
      <c r="D5" s="186"/>
      <c r="E5" s="186"/>
      <c r="F5" s="186"/>
      <c r="G5" s="186"/>
      <c r="H5" s="87"/>
    </row>
    <row r="6" spans="1:10" ht="15.75">
      <c r="A6" s="181"/>
      <c r="B6" s="165"/>
      <c r="C6" s="173" t="s">
        <v>16</v>
      </c>
      <c r="D6" s="173"/>
      <c r="E6" s="173"/>
      <c r="F6" s="173"/>
      <c r="G6" s="173"/>
      <c r="H6" s="17">
        <v>0</v>
      </c>
      <c r="J6" s="18"/>
    </row>
    <row r="7" spans="1:10" ht="63" customHeight="1">
      <c r="A7" s="181"/>
      <c r="B7" s="165"/>
      <c r="C7" s="182" t="s">
        <v>17</v>
      </c>
      <c r="D7" s="183"/>
      <c r="E7" s="183"/>
      <c r="F7" s="183"/>
      <c r="G7" s="184"/>
      <c r="H7" s="130">
        <f>'Composição - Depreciação'!E6</f>
        <v>0</v>
      </c>
    </row>
    <row r="8" spans="1:10" ht="15.75">
      <c r="A8" s="181"/>
      <c r="B8" s="165"/>
      <c r="C8" s="182" t="s">
        <v>18</v>
      </c>
      <c r="D8" s="183"/>
      <c r="E8" s="184"/>
      <c r="F8" s="19" t="s">
        <v>19</v>
      </c>
      <c r="G8" s="20">
        <v>0</v>
      </c>
      <c r="H8" s="21">
        <f>ROUND(G8/12,2)</f>
        <v>0</v>
      </c>
      <c r="I8" s="3"/>
      <c r="J8" s="18"/>
    </row>
    <row r="9" spans="1:10" ht="29.1" customHeight="1">
      <c r="A9" s="181"/>
      <c r="B9" s="165"/>
      <c r="C9" s="182" t="s">
        <v>20</v>
      </c>
      <c r="D9" s="183"/>
      <c r="E9" s="184"/>
      <c r="F9" s="19" t="s">
        <v>21</v>
      </c>
      <c r="G9" s="20">
        <v>0</v>
      </c>
      <c r="H9" s="21">
        <f>ROUND(G9/60,2)</f>
        <v>0</v>
      </c>
    </row>
    <row r="10" spans="1:10" ht="33" customHeight="1">
      <c r="A10" s="181"/>
      <c r="B10" s="165"/>
      <c r="C10" s="182" t="s">
        <v>22</v>
      </c>
      <c r="D10" s="183"/>
      <c r="E10" s="184"/>
      <c r="F10" s="19" t="s">
        <v>23</v>
      </c>
      <c r="G10" s="20">
        <v>0</v>
      </c>
      <c r="H10" s="21">
        <f>ROUND(G10/60,2)</f>
        <v>0</v>
      </c>
    </row>
    <row r="11" spans="1:10" ht="15.75">
      <c r="A11" s="181"/>
      <c r="B11" s="165"/>
      <c r="C11" s="169" t="s">
        <v>24</v>
      </c>
      <c r="D11" s="169"/>
      <c r="E11" s="169"/>
      <c r="F11" s="22" t="s">
        <v>25</v>
      </c>
      <c r="G11" s="20">
        <v>0</v>
      </c>
      <c r="H11" s="21">
        <f>ROUND(G11/12,2)</f>
        <v>0</v>
      </c>
    </row>
    <row r="12" spans="1:10" ht="15.75">
      <c r="A12" s="181"/>
      <c r="B12" s="165"/>
      <c r="C12" s="169" t="s">
        <v>26</v>
      </c>
      <c r="D12" s="169"/>
      <c r="E12" s="169"/>
      <c r="F12" s="22" t="s">
        <v>27</v>
      </c>
      <c r="G12" s="23">
        <f>H6*1%</f>
        <v>0</v>
      </c>
      <c r="H12" s="21">
        <f>ROUND(G12/12,2)</f>
        <v>0</v>
      </c>
    </row>
    <row r="13" spans="1:10" ht="15.75">
      <c r="A13" s="181"/>
      <c r="B13" s="165"/>
      <c r="C13" s="170" t="s">
        <v>28</v>
      </c>
      <c r="D13" s="171"/>
      <c r="E13" s="171"/>
      <c r="F13" s="171"/>
      <c r="G13" s="172"/>
      <c r="H13" s="24">
        <v>0</v>
      </c>
    </row>
    <row r="14" spans="1:10" ht="15.75">
      <c r="A14" s="181"/>
      <c r="B14" s="165"/>
      <c r="C14" s="170" t="s">
        <v>210</v>
      </c>
      <c r="D14" s="171"/>
      <c r="E14" s="171"/>
      <c r="F14" s="172"/>
      <c r="G14" s="97">
        <v>0</v>
      </c>
      <c r="H14" s="131">
        <f>(G14*H6)/12</f>
        <v>0</v>
      </c>
    </row>
    <row r="15" spans="1:10" ht="18.75">
      <c r="A15" s="181"/>
      <c r="B15" s="185"/>
      <c r="C15" s="173" t="s">
        <v>29</v>
      </c>
      <c r="D15" s="173"/>
      <c r="E15" s="173"/>
      <c r="F15" s="173"/>
      <c r="G15" s="173"/>
      <c r="H15" s="25">
        <f>SUM(H7:H14)</f>
        <v>0</v>
      </c>
    </row>
    <row r="16" spans="1:10" ht="15.75">
      <c r="A16" s="181"/>
      <c r="B16" s="164" t="s">
        <v>30</v>
      </c>
      <c r="C16" s="187" t="s">
        <v>31</v>
      </c>
      <c r="D16" s="187"/>
      <c r="E16" s="187"/>
      <c r="F16" s="187"/>
      <c r="G16" s="187"/>
      <c r="H16" s="17">
        <v>0</v>
      </c>
    </row>
    <row r="17" spans="1:8" ht="15.75">
      <c r="A17" s="181"/>
      <c r="B17" s="165"/>
      <c r="C17" s="177" t="s">
        <v>148</v>
      </c>
      <c r="D17" s="178"/>
      <c r="E17" s="178"/>
      <c r="F17" s="179"/>
      <c r="G17" s="26">
        <v>0</v>
      </c>
      <c r="H17" s="21">
        <f>ROUND(G17/12,2)</f>
        <v>0</v>
      </c>
    </row>
    <row r="18" spans="1:8" ht="47.25" customHeight="1">
      <c r="A18" s="181"/>
      <c r="B18" s="165"/>
      <c r="C18" s="177" t="s">
        <v>196</v>
      </c>
      <c r="D18" s="178"/>
      <c r="E18" s="178"/>
      <c r="F18" s="179"/>
      <c r="G18" s="26">
        <v>0</v>
      </c>
      <c r="H18" s="27">
        <f>G18*3</f>
        <v>0</v>
      </c>
    </row>
    <row r="19" spans="1:8" ht="47.25" customHeight="1">
      <c r="A19" s="181"/>
      <c r="B19" s="165"/>
      <c r="C19" s="177" t="s">
        <v>32</v>
      </c>
      <c r="D19" s="178"/>
      <c r="E19" s="178"/>
      <c r="F19" s="179"/>
      <c r="G19" s="26">
        <v>0</v>
      </c>
      <c r="H19" s="27">
        <f>(G19*2)/12</f>
        <v>0</v>
      </c>
    </row>
    <row r="20" spans="1:8" ht="15.75">
      <c r="A20" s="181"/>
      <c r="B20" s="165"/>
      <c r="C20" s="188" t="s">
        <v>33</v>
      </c>
      <c r="D20" s="188"/>
      <c r="E20" s="188"/>
      <c r="F20" s="188"/>
      <c r="G20" s="188"/>
      <c r="H20" s="27">
        <v>0</v>
      </c>
    </row>
    <row r="21" spans="1:8" ht="21.6" customHeight="1">
      <c r="A21" s="181"/>
      <c r="B21" s="185"/>
      <c r="C21" s="176" t="s">
        <v>34</v>
      </c>
      <c r="D21" s="176"/>
      <c r="E21" s="176"/>
      <c r="F21" s="176"/>
      <c r="G21" s="176"/>
      <c r="H21" s="28">
        <f>SUM(H16:H20)</f>
        <v>0</v>
      </c>
    </row>
    <row r="22" spans="1:8" ht="26.1" customHeight="1">
      <c r="A22" s="181"/>
      <c r="B22" s="92"/>
      <c r="C22" s="162" t="s">
        <v>35</v>
      </c>
      <c r="D22" s="162"/>
      <c r="E22" s="162"/>
      <c r="F22" s="162"/>
      <c r="G22" s="162"/>
      <c r="H22" s="28">
        <f>H15+H21</f>
        <v>0</v>
      </c>
    </row>
    <row r="23" spans="1:8" ht="51">
      <c r="A23" s="181"/>
      <c r="B23" s="91" t="s">
        <v>36</v>
      </c>
      <c r="C23" s="163" t="s">
        <v>209</v>
      </c>
      <c r="D23" s="163"/>
      <c r="E23" s="163"/>
      <c r="F23" s="163"/>
      <c r="G23" s="163"/>
      <c r="H23" s="28">
        <f>ROUND(((H22/30)*3)/12,2)</f>
        <v>0</v>
      </c>
    </row>
    <row r="24" spans="1:8" ht="25.5" customHeight="1">
      <c r="A24" s="181"/>
      <c r="B24" s="92"/>
      <c r="C24" s="162" t="s">
        <v>37</v>
      </c>
      <c r="D24" s="162"/>
      <c r="E24" s="162"/>
      <c r="F24" s="162"/>
      <c r="G24" s="162"/>
      <c r="H24" s="28">
        <f>H22+H23</f>
        <v>0</v>
      </c>
    </row>
    <row r="25" spans="1:8" ht="15.75">
      <c r="A25" s="181"/>
      <c r="B25" s="164" t="s">
        <v>38</v>
      </c>
      <c r="C25" s="163" t="s">
        <v>39</v>
      </c>
      <c r="D25" s="163"/>
      <c r="E25" s="163"/>
      <c r="F25" s="163"/>
      <c r="G25" s="29">
        <v>0</v>
      </c>
      <c r="H25" s="30">
        <f>ROUND((H24)*G25,2)</f>
        <v>0</v>
      </c>
    </row>
    <row r="26" spans="1:8" ht="15.75">
      <c r="A26" s="181"/>
      <c r="B26" s="165"/>
      <c r="C26" s="163" t="s">
        <v>40</v>
      </c>
      <c r="D26" s="163"/>
      <c r="E26" s="163"/>
      <c r="F26" s="163"/>
      <c r="G26" s="29">
        <v>0</v>
      </c>
      <c r="H26" s="30">
        <f>ROUND((H24+H25)*G26,2)</f>
        <v>0</v>
      </c>
    </row>
    <row r="27" spans="1:8" ht="15.75">
      <c r="A27" s="181"/>
      <c r="B27" s="165"/>
      <c r="C27" s="166" t="s">
        <v>41</v>
      </c>
      <c r="D27" s="163" t="s">
        <v>42</v>
      </c>
      <c r="E27" s="163"/>
      <c r="F27" s="163"/>
      <c r="G27" s="31">
        <f>SUM(G28:G29)</f>
        <v>0</v>
      </c>
      <c r="H27" s="32">
        <f>SUM(H28:H29)</f>
        <v>0</v>
      </c>
    </row>
    <row r="28" spans="1:8" ht="15.75">
      <c r="A28" s="181"/>
      <c r="B28" s="165"/>
      <c r="C28" s="166"/>
      <c r="D28" s="163" t="s">
        <v>43</v>
      </c>
      <c r="E28" s="163"/>
      <c r="F28" s="163"/>
      <c r="G28" s="33">
        <v>0</v>
      </c>
      <c r="H28" s="30">
        <f>ROUND((H24+H25+H26)/(1-G32)*G28,2)</f>
        <v>0</v>
      </c>
    </row>
    <row r="29" spans="1:8" ht="15.75">
      <c r="A29" s="181"/>
      <c r="B29" s="165"/>
      <c r="C29" s="166"/>
      <c r="D29" s="163" t="s">
        <v>44</v>
      </c>
      <c r="E29" s="163"/>
      <c r="F29" s="163"/>
      <c r="G29" s="33">
        <v>0</v>
      </c>
      <c r="H29" s="30">
        <f>ROUND((H24+H25+H26)/(1-G32)*G29,2)</f>
        <v>0</v>
      </c>
    </row>
    <row r="30" spans="1:8" ht="15.75">
      <c r="A30" s="181"/>
      <c r="B30" s="165"/>
      <c r="C30" s="166"/>
      <c r="D30" s="163" t="s">
        <v>45</v>
      </c>
      <c r="E30" s="163"/>
      <c r="F30" s="163"/>
      <c r="G30" s="34">
        <v>0</v>
      </c>
      <c r="H30" s="30">
        <f>ROUND((H15+H25+H26)/(1-G32)*G30,2)</f>
        <v>0</v>
      </c>
    </row>
    <row r="31" spans="1:8" ht="15.75">
      <c r="A31" s="181"/>
      <c r="B31" s="165"/>
      <c r="C31" s="166"/>
      <c r="D31" s="163" t="s">
        <v>46</v>
      </c>
      <c r="E31" s="163"/>
      <c r="F31" s="163"/>
      <c r="G31" s="100">
        <v>0</v>
      </c>
      <c r="H31" s="30">
        <f>ROUND((H24+H25+H26)/(1-G32)*G31,2)</f>
        <v>0</v>
      </c>
    </row>
    <row r="32" spans="1:8" ht="15.75">
      <c r="A32" s="181"/>
      <c r="B32" s="165"/>
      <c r="C32" s="166"/>
      <c r="D32" s="167" t="s">
        <v>11</v>
      </c>
      <c r="E32" s="167"/>
      <c r="F32" s="167"/>
      <c r="G32" s="35">
        <f>SUM(G27,G31)</f>
        <v>0</v>
      </c>
      <c r="H32" s="32">
        <f>SUM(H27+H30+H31)</f>
        <v>0</v>
      </c>
    </row>
    <row r="33" spans="1:8" ht="18.75">
      <c r="A33" s="181"/>
      <c r="B33" s="165"/>
      <c r="C33" s="168" t="s">
        <v>47</v>
      </c>
      <c r="D33" s="168"/>
      <c r="E33" s="168"/>
      <c r="F33" s="168"/>
      <c r="G33" s="168"/>
      <c r="H33" s="25">
        <f>H32+H25+H26</f>
        <v>0</v>
      </c>
    </row>
    <row r="34" spans="1:8" ht="15.75">
      <c r="A34" s="181"/>
      <c r="B34" s="160" t="s">
        <v>48</v>
      </c>
      <c r="C34" s="161"/>
      <c r="D34" s="161"/>
      <c r="E34" s="161"/>
      <c r="F34" s="161"/>
      <c r="G34" s="161"/>
      <c r="H34" s="36">
        <f>ROUND(H24+H33,2)</f>
        <v>0</v>
      </c>
    </row>
    <row r="37" spans="1:8" ht="21">
      <c r="A37" s="181" t="s">
        <v>49</v>
      </c>
      <c r="B37" s="160" t="s">
        <v>197</v>
      </c>
      <c r="C37" s="161"/>
      <c r="D37" s="161"/>
      <c r="E37" s="161"/>
      <c r="F37" s="161"/>
      <c r="G37" s="161"/>
      <c r="H37" s="88">
        <f>H34</f>
        <v>0</v>
      </c>
    </row>
    <row r="38" spans="1:8" ht="21">
      <c r="A38" s="181"/>
      <c r="B38" s="189" t="s">
        <v>50</v>
      </c>
      <c r="C38" s="190"/>
      <c r="D38" s="190"/>
      <c r="E38" s="190"/>
      <c r="F38" s="190"/>
      <c r="G38" s="190"/>
      <c r="H38" s="89">
        <v>4</v>
      </c>
    </row>
    <row r="39" spans="1:8" ht="15.75">
      <c r="A39" s="181"/>
      <c r="B39" s="160" t="s">
        <v>198</v>
      </c>
      <c r="C39" s="161"/>
      <c r="D39" s="161"/>
      <c r="E39" s="161"/>
      <c r="F39" s="161"/>
      <c r="G39" s="161"/>
      <c r="H39" s="90">
        <f>H37*H38</f>
        <v>0</v>
      </c>
    </row>
    <row r="40" spans="1:8" ht="15.75">
      <c r="A40" s="181"/>
      <c r="B40" s="191" t="s">
        <v>199</v>
      </c>
      <c r="C40" s="191"/>
      <c r="D40" s="191"/>
      <c r="E40" s="191"/>
      <c r="F40" s="191"/>
      <c r="G40" s="192"/>
      <c r="H40" s="36">
        <f>H39*12</f>
        <v>0</v>
      </c>
    </row>
  </sheetData>
  <mergeCells count="42">
    <mergeCell ref="A37:A40"/>
    <mergeCell ref="B37:G37"/>
    <mergeCell ref="B38:G38"/>
    <mergeCell ref="B39:G39"/>
    <mergeCell ref="B40:G40"/>
    <mergeCell ref="A2:H2"/>
    <mergeCell ref="C11:E11"/>
    <mergeCell ref="A5:A34"/>
    <mergeCell ref="C19:F19"/>
    <mergeCell ref="C14:F14"/>
    <mergeCell ref="C7:G7"/>
    <mergeCell ref="B5:B15"/>
    <mergeCell ref="B16:B21"/>
    <mergeCell ref="C5:G5"/>
    <mergeCell ref="C6:G6"/>
    <mergeCell ref="C8:E8"/>
    <mergeCell ref="C9:E9"/>
    <mergeCell ref="C10:E10"/>
    <mergeCell ref="C16:G16"/>
    <mergeCell ref="C17:F17"/>
    <mergeCell ref="C20:G20"/>
    <mergeCell ref="C12:E12"/>
    <mergeCell ref="C13:G13"/>
    <mergeCell ref="C15:G15"/>
    <mergeCell ref="A4:H4"/>
    <mergeCell ref="C21:G21"/>
    <mergeCell ref="C18:F18"/>
    <mergeCell ref="B34:G34"/>
    <mergeCell ref="C22:G22"/>
    <mergeCell ref="C23:G23"/>
    <mergeCell ref="C24:G24"/>
    <mergeCell ref="B25:B33"/>
    <mergeCell ref="C25:F25"/>
    <mergeCell ref="C26:F26"/>
    <mergeCell ref="C27:C32"/>
    <mergeCell ref="D27:F27"/>
    <mergeCell ref="D28:F28"/>
    <mergeCell ref="D29:F29"/>
    <mergeCell ref="D30:F30"/>
    <mergeCell ref="D32:F32"/>
    <mergeCell ref="C33:G33"/>
    <mergeCell ref="D31:F31"/>
  </mergeCells>
  <pageMargins left="0.511811024" right="0.511811024" top="0.78740157499999996" bottom="0.78740157499999996" header="0.31496062000000002" footer="0.31496062000000002"/>
  <pageSetup paperSize="9" scale="5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zoomScaleNormal="100" workbookViewId="0">
      <selection activeCell="E6" sqref="E6"/>
    </sheetView>
  </sheetViews>
  <sheetFormatPr defaultRowHeight="12.75"/>
  <cols>
    <col min="1" max="1" width="31" customWidth="1"/>
    <col min="2" max="2" width="18.140625" customWidth="1"/>
    <col min="3" max="3" width="15.42578125" customWidth="1"/>
    <col min="4" max="4" width="16" customWidth="1"/>
    <col min="5" max="5" width="16.5703125" customWidth="1"/>
    <col min="6" max="6" width="14" customWidth="1"/>
    <col min="7" max="7" width="17.85546875" customWidth="1"/>
    <col min="8" max="8" width="15" customWidth="1"/>
    <col min="9" max="9" width="15.5703125" customWidth="1"/>
    <col min="10" max="10" width="14.42578125" customWidth="1"/>
    <col min="11" max="11" width="14.28515625" customWidth="1"/>
    <col min="12" max="12" width="16.7109375" customWidth="1"/>
    <col min="13" max="248" width="8.7109375" bestFit="1" customWidth="1"/>
    <col min="249" max="249" width="30" customWidth="1"/>
    <col min="250" max="250" width="8.5703125" customWidth="1"/>
    <col min="251" max="251" width="15.85546875" customWidth="1"/>
    <col min="252" max="253" width="17.42578125" customWidth="1"/>
    <col min="254" max="254" width="19.28515625" customWidth="1"/>
    <col min="255" max="504" width="8.7109375" bestFit="1" customWidth="1"/>
    <col min="505" max="505" width="30" customWidth="1"/>
    <col min="506" max="506" width="8.5703125" customWidth="1"/>
    <col min="507" max="507" width="15.85546875" customWidth="1"/>
    <col min="508" max="509" width="17.42578125" customWidth="1"/>
    <col min="510" max="510" width="19.28515625" customWidth="1"/>
    <col min="511" max="760" width="8.7109375" bestFit="1" customWidth="1"/>
    <col min="761" max="761" width="30" customWidth="1"/>
    <col min="762" max="762" width="8.5703125" customWidth="1"/>
    <col min="763" max="763" width="15.85546875" customWidth="1"/>
    <col min="764" max="765" width="17.42578125" customWidth="1"/>
    <col min="766" max="766" width="19.28515625" customWidth="1"/>
    <col min="767" max="1016" width="8.7109375" bestFit="1" customWidth="1"/>
    <col min="1017" max="1017" width="30" customWidth="1"/>
    <col min="1018" max="1018" width="8.5703125" customWidth="1"/>
    <col min="1019" max="1019" width="15.85546875" customWidth="1"/>
    <col min="1020" max="1021" width="17.42578125" customWidth="1"/>
    <col min="1022" max="1022" width="19.28515625" customWidth="1"/>
    <col min="1023" max="1272" width="8.7109375" bestFit="1" customWidth="1"/>
    <col min="1273" max="1273" width="30" customWidth="1"/>
    <col min="1274" max="1274" width="8.5703125" customWidth="1"/>
    <col min="1275" max="1275" width="15.85546875" customWidth="1"/>
    <col min="1276" max="1277" width="17.42578125" customWidth="1"/>
    <col min="1278" max="1278" width="19.28515625" customWidth="1"/>
    <col min="1279" max="1528" width="8.7109375" bestFit="1" customWidth="1"/>
    <col min="1529" max="1529" width="30" customWidth="1"/>
    <col min="1530" max="1530" width="8.5703125" customWidth="1"/>
    <col min="1531" max="1531" width="15.85546875" customWidth="1"/>
    <col min="1532" max="1533" width="17.42578125" customWidth="1"/>
    <col min="1534" max="1534" width="19.28515625" customWidth="1"/>
    <col min="1535" max="1784" width="8.7109375" bestFit="1" customWidth="1"/>
    <col min="1785" max="1785" width="30" customWidth="1"/>
    <col min="1786" max="1786" width="8.5703125" customWidth="1"/>
    <col min="1787" max="1787" width="15.85546875" customWidth="1"/>
    <col min="1788" max="1789" width="17.42578125" customWidth="1"/>
    <col min="1790" max="1790" width="19.28515625" customWidth="1"/>
    <col min="1791" max="2040" width="8.7109375" bestFit="1" customWidth="1"/>
    <col min="2041" max="2041" width="30" customWidth="1"/>
    <col min="2042" max="2042" width="8.5703125" customWidth="1"/>
    <col min="2043" max="2043" width="15.85546875" customWidth="1"/>
    <col min="2044" max="2045" width="17.42578125" customWidth="1"/>
    <col min="2046" max="2046" width="19.28515625" customWidth="1"/>
    <col min="2047" max="2296" width="8.7109375" bestFit="1" customWidth="1"/>
    <col min="2297" max="2297" width="30" customWidth="1"/>
    <col min="2298" max="2298" width="8.5703125" customWidth="1"/>
    <col min="2299" max="2299" width="15.85546875" customWidth="1"/>
    <col min="2300" max="2301" width="17.42578125" customWidth="1"/>
    <col min="2302" max="2302" width="19.28515625" customWidth="1"/>
    <col min="2303" max="2552" width="8.7109375" bestFit="1" customWidth="1"/>
    <col min="2553" max="2553" width="30" customWidth="1"/>
    <col min="2554" max="2554" width="8.5703125" customWidth="1"/>
    <col min="2555" max="2555" width="15.85546875" customWidth="1"/>
    <col min="2556" max="2557" width="17.42578125" customWidth="1"/>
    <col min="2558" max="2558" width="19.28515625" customWidth="1"/>
    <col min="2559" max="2808" width="8.7109375" bestFit="1" customWidth="1"/>
    <col min="2809" max="2809" width="30" customWidth="1"/>
    <col min="2810" max="2810" width="8.5703125" customWidth="1"/>
    <col min="2811" max="2811" width="15.85546875" customWidth="1"/>
    <col min="2812" max="2813" width="17.42578125" customWidth="1"/>
    <col min="2814" max="2814" width="19.28515625" customWidth="1"/>
    <col min="2815" max="3064" width="8.7109375" bestFit="1" customWidth="1"/>
    <col min="3065" max="3065" width="30" customWidth="1"/>
    <col min="3066" max="3066" width="8.5703125" customWidth="1"/>
    <col min="3067" max="3067" width="15.85546875" customWidth="1"/>
    <col min="3068" max="3069" width="17.42578125" customWidth="1"/>
    <col min="3070" max="3070" width="19.28515625" customWidth="1"/>
    <col min="3071" max="3320" width="8.7109375" bestFit="1" customWidth="1"/>
    <col min="3321" max="3321" width="30" customWidth="1"/>
    <col min="3322" max="3322" width="8.5703125" customWidth="1"/>
    <col min="3323" max="3323" width="15.85546875" customWidth="1"/>
    <col min="3324" max="3325" width="17.42578125" customWidth="1"/>
    <col min="3326" max="3326" width="19.28515625" customWidth="1"/>
    <col min="3327" max="3576" width="8.7109375" bestFit="1" customWidth="1"/>
    <col min="3577" max="3577" width="30" customWidth="1"/>
    <col min="3578" max="3578" width="8.5703125" customWidth="1"/>
    <col min="3579" max="3579" width="15.85546875" customWidth="1"/>
    <col min="3580" max="3581" width="17.42578125" customWidth="1"/>
    <col min="3582" max="3582" width="19.28515625" customWidth="1"/>
    <col min="3583" max="3832" width="8.7109375" bestFit="1" customWidth="1"/>
    <col min="3833" max="3833" width="30" customWidth="1"/>
    <col min="3834" max="3834" width="8.5703125" customWidth="1"/>
    <col min="3835" max="3835" width="15.85546875" customWidth="1"/>
    <col min="3836" max="3837" width="17.42578125" customWidth="1"/>
    <col min="3838" max="3838" width="19.28515625" customWidth="1"/>
    <col min="3839" max="4088" width="8.7109375" bestFit="1" customWidth="1"/>
    <col min="4089" max="4089" width="30" customWidth="1"/>
    <col min="4090" max="4090" width="8.5703125" customWidth="1"/>
    <col min="4091" max="4091" width="15.85546875" customWidth="1"/>
    <col min="4092" max="4093" width="17.42578125" customWidth="1"/>
    <col min="4094" max="4094" width="19.28515625" customWidth="1"/>
    <col min="4095" max="4344" width="8.7109375" bestFit="1" customWidth="1"/>
    <col min="4345" max="4345" width="30" customWidth="1"/>
    <col min="4346" max="4346" width="8.5703125" customWidth="1"/>
    <col min="4347" max="4347" width="15.85546875" customWidth="1"/>
    <col min="4348" max="4349" width="17.42578125" customWidth="1"/>
    <col min="4350" max="4350" width="19.28515625" customWidth="1"/>
    <col min="4351" max="4600" width="8.7109375" bestFit="1" customWidth="1"/>
    <col min="4601" max="4601" width="30" customWidth="1"/>
    <col min="4602" max="4602" width="8.5703125" customWidth="1"/>
    <col min="4603" max="4603" width="15.85546875" customWidth="1"/>
    <col min="4604" max="4605" width="17.42578125" customWidth="1"/>
    <col min="4606" max="4606" width="19.28515625" customWidth="1"/>
    <col min="4607" max="4856" width="8.7109375" bestFit="1" customWidth="1"/>
    <col min="4857" max="4857" width="30" customWidth="1"/>
    <col min="4858" max="4858" width="8.5703125" customWidth="1"/>
    <col min="4859" max="4859" width="15.85546875" customWidth="1"/>
    <col min="4860" max="4861" width="17.42578125" customWidth="1"/>
    <col min="4862" max="4862" width="19.28515625" customWidth="1"/>
    <col min="4863" max="5112" width="8.7109375" bestFit="1" customWidth="1"/>
    <col min="5113" max="5113" width="30" customWidth="1"/>
    <col min="5114" max="5114" width="8.5703125" customWidth="1"/>
    <col min="5115" max="5115" width="15.85546875" customWidth="1"/>
    <col min="5116" max="5117" width="17.42578125" customWidth="1"/>
    <col min="5118" max="5118" width="19.28515625" customWidth="1"/>
    <col min="5119" max="5368" width="8.7109375" bestFit="1" customWidth="1"/>
    <col min="5369" max="5369" width="30" customWidth="1"/>
    <col min="5370" max="5370" width="8.5703125" customWidth="1"/>
    <col min="5371" max="5371" width="15.85546875" customWidth="1"/>
    <col min="5372" max="5373" width="17.42578125" customWidth="1"/>
    <col min="5374" max="5374" width="19.28515625" customWidth="1"/>
    <col min="5375" max="5624" width="8.7109375" bestFit="1" customWidth="1"/>
    <col min="5625" max="5625" width="30" customWidth="1"/>
    <col min="5626" max="5626" width="8.5703125" customWidth="1"/>
    <col min="5627" max="5627" width="15.85546875" customWidth="1"/>
    <col min="5628" max="5629" width="17.42578125" customWidth="1"/>
    <col min="5630" max="5630" width="19.28515625" customWidth="1"/>
    <col min="5631" max="5880" width="8.7109375" bestFit="1" customWidth="1"/>
    <col min="5881" max="5881" width="30" customWidth="1"/>
    <col min="5882" max="5882" width="8.5703125" customWidth="1"/>
    <col min="5883" max="5883" width="15.85546875" customWidth="1"/>
    <col min="5884" max="5885" width="17.42578125" customWidth="1"/>
    <col min="5886" max="5886" width="19.28515625" customWidth="1"/>
    <col min="5887" max="6136" width="8.7109375" bestFit="1" customWidth="1"/>
    <col min="6137" max="6137" width="30" customWidth="1"/>
    <col min="6138" max="6138" width="8.5703125" customWidth="1"/>
    <col min="6139" max="6139" width="15.85546875" customWidth="1"/>
    <col min="6140" max="6141" width="17.42578125" customWidth="1"/>
    <col min="6142" max="6142" width="19.28515625" customWidth="1"/>
    <col min="6143" max="6392" width="8.7109375" bestFit="1" customWidth="1"/>
    <col min="6393" max="6393" width="30" customWidth="1"/>
    <col min="6394" max="6394" width="8.5703125" customWidth="1"/>
    <col min="6395" max="6395" width="15.85546875" customWidth="1"/>
    <col min="6396" max="6397" width="17.42578125" customWidth="1"/>
    <col min="6398" max="6398" width="19.28515625" customWidth="1"/>
    <col min="6399" max="6648" width="8.7109375" bestFit="1" customWidth="1"/>
    <col min="6649" max="6649" width="30" customWidth="1"/>
    <col min="6650" max="6650" width="8.5703125" customWidth="1"/>
    <col min="6651" max="6651" width="15.85546875" customWidth="1"/>
    <col min="6652" max="6653" width="17.42578125" customWidth="1"/>
    <col min="6654" max="6654" width="19.28515625" customWidth="1"/>
    <col min="6655" max="6904" width="8.7109375" bestFit="1" customWidth="1"/>
    <col min="6905" max="6905" width="30" customWidth="1"/>
    <col min="6906" max="6906" width="8.5703125" customWidth="1"/>
    <col min="6907" max="6907" width="15.85546875" customWidth="1"/>
    <col min="6908" max="6909" width="17.42578125" customWidth="1"/>
    <col min="6910" max="6910" width="19.28515625" customWidth="1"/>
    <col min="6911" max="7160" width="8.7109375" bestFit="1" customWidth="1"/>
    <col min="7161" max="7161" width="30" customWidth="1"/>
    <col min="7162" max="7162" width="8.5703125" customWidth="1"/>
    <col min="7163" max="7163" width="15.85546875" customWidth="1"/>
    <col min="7164" max="7165" width="17.42578125" customWidth="1"/>
    <col min="7166" max="7166" width="19.28515625" customWidth="1"/>
    <col min="7167" max="7416" width="8.7109375" bestFit="1" customWidth="1"/>
    <col min="7417" max="7417" width="30" customWidth="1"/>
    <col min="7418" max="7418" width="8.5703125" customWidth="1"/>
    <col min="7419" max="7419" width="15.85546875" customWidth="1"/>
    <col min="7420" max="7421" width="17.42578125" customWidth="1"/>
    <col min="7422" max="7422" width="19.28515625" customWidth="1"/>
    <col min="7423" max="7672" width="8.7109375" bestFit="1" customWidth="1"/>
    <col min="7673" max="7673" width="30" customWidth="1"/>
    <col min="7674" max="7674" width="8.5703125" customWidth="1"/>
    <col min="7675" max="7675" width="15.85546875" customWidth="1"/>
    <col min="7676" max="7677" width="17.42578125" customWidth="1"/>
    <col min="7678" max="7678" width="19.28515625" customWidth="1"/>
    <col min="7679" max="7928" width="8.7109375" bestFit="1" customWidth="1"/>
    <col min="7929" max="7929" width="30" customWidth="1"/>
    <col min="7930" max="7930" width="8.5703125" customWidth="1"/>
    <col min="7931" max="7931" width="15.85546875" customWidth="1"/>
    <col min="7932" max="7933" width="17.42578125" customWidth="1"/>
    <col min="7934" max="7934" width="19.28515625" customWidth="1"/>
    <col min="7935" max="8184" width="8.7109375" bestFit="1" customWidth="1"/>
    <col min="8185" max="8185" width="30" customWidth="1"/>
    <col min="8186" max="8186" width="8.5703125" customWidth="1"/>
    <col min="8187" max="8187" width="15.85546875" customWidth="1"/>
    <col min="8188" max="8189" width="17.42578125" customWidth="1"/>
    <col min="8190" max="8190" width="19.28515625" customWidth="1"/>
    <col min="8191" max="8440" width="8.7109375" bestFit="1" customWidth="1"/>
    <col min="8441" max="8441" width="30" customWidth="1"/>
    <col min="8442" max="8442" width="8.5703125" customWidth="1"/>
    <col min="8443" max="8443" width="15.85546875" customWidth="1"/>
    <col min="8444" max="8445" width="17.42578125" customWidth="1"/>
    <col min="8446" max="8446" width="19.28515625" customWidth="1"/>
    <col min="8447" max="8696" width="8.7109375" bestFit="1" customWidth="1"/>
    <col min="8697" max="8697" width="30" customWidth="1"/>
    <col min="8698" max="8698" width="8.5703125" customWidth="1"/>
    <col min="8699" max="8699" width="15.85546875" customWidth="1"/>
    <col min="8700" max="8701" width="17.42578125" customWidth="1"/>
    <col min="8702" max="8702" width="19.28515625" customWidth="1"/>
    <col min="8703" max="8952" width="8.7109375" bestFit="1" customWidth="1"/>
    <col min="8953" max="8953" width="30" customWidth="1"/>
    <col min="8954" max="8954" width="8.5703125" customWidth="1"/>
    <col min="8955" max="8955" width="15.85546875" customWidth="1"/>
    <col min="8956" max="8957" width="17.42578125" customWidth="1"/>
    <col min="8958" max="8958" width="19.28515625" customWidth="1"/>
    <col min="8959" max="9208" width="8.7109375" bestFit="1" customWidth="1"/>
    <col min="9209" max="9209" width="30" customWidth="1"/>
    <col min="9210" max="9210" width="8.5703125" customWidth="1"/>
    <col min="9211" max="9211" width="15.85546875" customWidth="1"/>
    <col min="9212" max="9213" width="17.42578125" customWidth="1"/>
    <col min="9214" max="9214" width="19.28515625" customWidth="1"/>
    <col min="9215" max="9464" width="8.7109375" bestFit="1" customWidth="1"/>
    <col min="9465" max="9465" width="30" customWidth="1"/>
    <col min="9466" max="9466" width="8.5703125" customWidth="1"/>
    <col min="9467" max="9467" width="15.85546875" customWidth="1"/>
    <col min="9468" max="9469" width="17.42578125" customWidth="1"/>
    <col min="9470" max="9470" width="19.28515625" customWidth="1"/>
    <col min="9471" max="9720" width="8.7109375" bestFit="1" customWidth="1"/>
    <col min="9721" max="9721" width="30" customWidth="1"/>
    <col min="9722" max="9722" width="8.5703125" customWidth="1"/>
    <col min="9723" max="9723" width="15.85546875" customWidth="1"/>
    <col min="9724" max="9725" width="17.42578125" customWidth="1"/>
    <col min="9726" max="9726" width="19.28515625" customWidth="1"/>
    <col min="9727" max="9976" width="8.7109375" bestFit="1" customWidth="1"/>
    <col min="9977" max="9977" width="30" customWidth="1"/>
    <col min="9978" max="9978" width="8.5703125" customWidth="1"/>
    <col min="9979" max="9979" width="15.85546875" customWidth="1"/>
    <col min="9980" max="9981" width="17.42578125" customWidth="1"/>
    <col min="9982" max="9982" width="19.28515625" customWidth="1"/>
    <col min="9983" max="10232" width="8.7109375" bestFit="1" customWidth="1"/>
    <col min="10233" max="10233" width="30" customWidth="1"/>
    <col min="10234" max="10234" width="8.5703125" customWidth="1"/>
    <col min="10235" max="10235" width="15.85546875" customWidth="1"/>
    <col min="10236" max="10237" width="17.42578125" customWidth="1"/>
    <col min="10238" max="10238" width="19.28515625" customWidth="1"/>
    <col min="10239" max="10488" width="8.7109375" bestFit="1" customWidth="1"/>
    <col min="10489" max="10489" width="30" customWidth="1"/>
    <col min="10490" max="10490" width="8.5703125" customWidth="1"/>
    <col min="10491" max="10491" width="15.85546875" customWidth="1"/>
    <col min="10492" max="10493" width="17.42578125" customWidth="1"/>
    <col min="10494" max="10494" width="19.28515625" customWidth="1"/>
    <col min="10495" max="10744" width="8.7109375" bestFit="1" customWidth="1"/>
    <col min="10745" max="10745" width="30" customWidth="1"/>
    <col min="10746" max="10746" width="8.5703125" customWidth="1"/>
    <col min="10747" max="10747" width="15.85546875" customWidth="1"/>
    <col min="10748" max="10749" width="17.42578125" customWidth="1"/>
    <col min="10750" max="10750" width="19.28515625" customWidth="1"/>
    <col min="10751" max="11000" width="8.7109375" bestFit="1" customWidth="1"/>
    <col min="11001" max="11001" width="30" customWidth="1"/>
    <col min="11002" max="11002" width="8.5703125" customWidth="1"/>
    <col min="11003" max="11003" width="15.85546875" customWidth="1"/>
    <col min="11004" max="11005" width="17.42578125" customWidth="1"/>
    <col min="11006" max="11006" width="19.28515625" customWidth="1"/>
    <col min="11007" max="11256" width="8.7109375" bestFit="1" customWidth="1"/>
    <col min="11257" max="11257" width="30" customWidth="1"/>
    <col min="11258" max="11258" width="8.5703125" customWidth="1"/>
    <col min="11259" max="11259" width="15.85546875" customWidth="1"/>
    <col min="11260" max="11261" width="17.42578125" customWidth="1"/>
    <col min="11262" max="11262" width="19.28515625" customWidth="1"/>
    <col min="11263" max="11512" width="8.7109375" bestFit="1" customWidth="1"/>
    <col min="11513" max="11513" width="30" customWidth="1"/>
    <col min="11514" max="11514" width="8.5703125" customWidth="1"/>
    <col min="11515" max="11515" width="15.85546875" customWidth="1"/>
    <col min="11516" max="11517" width="17.42578125" customWidth="1"/>
    <col min="11518" max="11518" width="19.28515625" customWidth="1"/>
    <col min="11519" max="11768" width="8.7109375" bestFit="1" customWidth="1"/>
    <col min="11769" max="11769" width="30" customWidth="1"/>
    <col min="11770" max="11770" width="8.5703125" customWidth="1"/>
    <col min="11771" max="11771" width="15.85546875" customWidth="1"/>
    <col min="11772" max="11773" width="17.42578125" customWidth="1"/>
    <col min="11774" max="11774" width="19.28515625" customWidth="1"/>
    <col min="11775" max="12024" width="8.7109375" bestFit="1" customWidth="1"/>
    <col min="12025" max="12025" width="30" customWidth="1"/>
    <col min="12026" max="12026" width="8.5703125" customWidth="1"/>
    <col min="12027" max="12027" width="15.85546875" customWidth="1"/>
    <col min="12028" max="12029" width="17.42578125" customWidth="1"/>
    <col min="12030" max="12030" width="19.28515625" customWidth="1"/>
    <col min="12031" max="12280" width="8.7109375" bestFit="1" customWidth="1"/>
    <col min="12281" max="12281" width="30" customWidth="1"/>
    <col min="12282" max="12282" width="8.5703125" customWidth="1"/>
    <col min="12283" max="12283" width="15.85546875" customWidth="1"/>
    <col min="12284" max="12285" width="17.42578125" customWidth="1"/>
    <col min="12286" max="12286" width="19.28515625" customWidth="1"/>
    <col min="12287" max="12536" width="8.7109375" bestFit="1" customWidth="1"/>
    <col min="12537" max="12537" width="30" customWidth="1"/>
    <col min="12538" max="12538" width="8.5703125" customWidth="1"/>
    <col min="12539" max="12539" width="15.85546875" customWidth="1"/>
    <col min="12540" max="12541" width="17.42578125" customWidth="1"/>
    <col min="12542" max="12542" width="19.28515625" customWidth="1"/>
    <col min="12543" max="12792" width="8.7109375" bestFit="1" customWidth="1"/>
    <col min="12793" max="12793" width="30" customWidth="1"/>
    <col min="12794" max="12794" width="8.5703125" customWidth="1"/>
    <col min="12795" max="12795" width="15.85546875" customWidth="1"/>
    <col min="12796" max="12797" width="17.42578125" customWidth="1"/>
    <col min="12798" max="12798" width="19.28515625" customWidth="1"/>
    <col min="12799" max="13048" width="8.7109375" bestFit="1" customWidth="1"/>
    <col min="13049" max="13049" width="30" customWidth="1"/>
    <col min="13050" max="13050" width="8.5703125" customWidth="1"/>
    <col min="13051" max="13051" width="15.85546875" customWidth="1"/>
    <col min="13052" max="13053" width="17.42578125" customWidth="1"/>
    <col min="13054" max="13054" width="19.28515625" customWidth="1"/>
    <col min="13055" max="13304" width="8.7109375" bestFit="1" customWidth="1"/>
    <col min="13305" max="13305" width="30" customWidth="1"/>
    <col min="13306" max="13306" width="8.5703125" customWidth="1"/>
    <col min="13307" max="13307" width="15.85546875" customWidth="1"/>
    <col min="13308" max="13309" width="17.42578125" customWidth="1"/>
    <col min="13310" max="13310" width="19.28515625" customWidth="1"/>
    <col min="13311" max="13560" width="8.7109375" bestFit="1" customWidth="1"/>
    <col min="13561" max="13561" width="30" customWidth="1"/>
    <col min="13562" max="13562" width="8.5703125" customWidth="1"/>
    <col min="13563" max="13563" width="15.85546875" customWidth="1"/>
    <col min="13564" max="13565" width="17.42578125" customWidth="1"/>
    <col min="13566" max="13566" width="19.28515625" customWidth="1"/>
    <col min="13567" max="13816" width="8.7109375" bestFit="1" customWidth="1"/>
    <col min="13817" max="13817" width="30" customWidth="1"/>
    <col min="13818" max="13818" width="8.5703125" customWidth="1"/>
    <col min="13819" max="13819" width="15.85546875" customWidth="1"/>
    <col min="13820" max="13821" width="17.42578125" customWidth="1"/>
    <col min="13822" max="13822" width="19.28515625" customWidth="1"/>
    <col min="13823" max="14072" width="8.7109375" bestFit="1" customWidth="1"/>
    <col min="14073" max="14073" width="30" customWidth="1"/>
    <col min="14074" max="14074" width="8.5703125" customWidth="1"/>
    <col min="14075" max="14075" width="15.85546875" customWidth="1"/>
    <col min="14076" max="14077" width="17.42578125" customWidth="1"/>
    <col min="14078" max="14078" width="19.28515625" customWidth="1"/>
    <col min="14079" max="14328" width="8.7109375" bestFit="1" customWidth="1"/>
    <col min="14329" max="14329" width="30" customWidth="1"/>
    <col min="14330" max="14330" width="8.5703125" customWidth="1"/>
    <col min="14331" max="14331" width="15.85546875" customWidth="1"/>
    <col min="14332" max="14333" width="17.42578125" customWidth="1"/>
    <col min="14334" max="14334" width="19.28515625" customWidth="1"/>
    <col min="14335" max="14584" width="8.7109375" bestFit="1" customWidth="1"/>
    <col min="14585" max="14585" width="30" customWidth="1"/>
    <col min="14586" max="14586" width="8.5703125" customWidth="1"/>
    <col min="14587" max="14587" width="15.85546875" customWidth="1"/>
    <col min="14588" max="14589" width="17.42578125" customWidth="1"/>
    <col min="14590" max="14590" width="19.28515625" customWidth="1"/>
    <col min="14591" max="14840" width="8.7109375" bestFit="1" customWidth="1"/>
    <col min="14841" max="14841" width="30" customWidth="1"/>
    <col min="14842" max="14842" width="8.5703125" customWidth="1"/>
    <col min="14843" max="14843" width="15.85546875" customWidth="1"/>
    <col min="14844" max="14845" width="17.42578125" customWidth="1"/>
    <col min="14846" max="14846" width="19.28515625" customWidth="1"/>
    <col min="14847" max="15096" width="8.7109375" bestFit="1" customWidth="1"/>
    <col min="15097" max="15097" width="30" customWidth="1"/>
    <col min="15098" max="15098" width="8.5703125" customWidth="1"/>
    <col min="15099" max="15099" width="15.85546875" customWidth="1"/>
    <col min="15100" max="15101" width="17.42578125" customWidth="1"/>
    <col min="15102" max="15102" width="19.28515625" customWidth="1"/>
    <col min="15103" max="15352" width="8.7109375" bestFit="1" customWidth="1"/>
    <col min="15353" max="15353" width="30" customWidth="1"/>
    <col min="15354" max="15354" width="8.5703125" customWidth="1"/>
    <col min="15355" max="15355" width="15.85546875" customWidth="1"/>
    <col min="15356" max="15357" width="17.42578125" customWidth="1"/>
    <col min="15358" max="15358" width="19.28515625" customWidth="1"/>
    <col min="15359" max="15608" width="8.7109375" bestFit="1" customWidth="1"/>
    <col min="15609" max="15609" width="30" customWidth="1"/>
    <col min="15610" max="15610" width="8.5703125" customWidth="1"/>
    <col min="15611" max="15611" width="15.85546875" customWidth="1"/>
    <col min="15612" max="15613" width="17.42578125" customWidth="1"/>
    <col min="15614" max="15614" width="19.28515625" customWidth="1"/>
    <col min="15615" max="15864" width="8.7109375" bestFit="1" customWidth="1"/>
    <col min="15865" max="15865" width="30" customWidth="1"/>
    <col min="15866" max="15866" width="8.5703125" customWidth="1"/>
    <col min="15867" max="15867" width="15.85546875" customWidth="1"/>
    <col min="15868" max="15869" width="17.42578125" customWidth="1"/>
    <col min="15870" max="15870" width="19.28515625" customWidth="1"/>
    <col min="15871" max="16120" width="8.7109375" bestFit="1" customWidth="1"/>
    <col min="16121" max="16121" width="30" customWidth="1"/>
    <col min="16122" max="16122" width="8.5703125" customWidth="1"/>
    <col min="16123" max="16123" width="15.85546875" customWidth="1"/>
    <col min="16124" max="16125" width="17.42578125" customWidth="1"/>
    <col min="16126" max="16126" width="19.28515625" customWidth="1"/>
    <col min="16127" max="16131" width="8.7109375" bestFit="1" customWidth="1"/>
  </cols>
  <sheetData>
    <row r="1" spans="1:7" ht="14.25">
      <c r="A1" s="9"/>
      <c r="B1" s="9"/>
      <c r="C1" s="9"/>
      <c r="D1" s="9"/>
    </row>
    <row r="2" spans="1:7" ht="14.25">
      <c r="A2" s="193" t="s">
        <v>90</v>
      </c>
      <c r="B2" s="193"/>
      <c r="C2" s="193"/>
      <c r="D2" s="193"/>
      <c r="E2" s="193"/>
      <c r="F2" s="193"/>
    </row>
    <row r="3" spans="1:7" ht="12.6" customHeight="1"/>
    <row r="4" spans="1:7" ht="14.25">
      <c r="A4" s="196" t="s">
        <v>91</v>
      </c>
      <c r="B4" s="196"/>
      <c r="C4" s="196"/>
      <c r="D4" s="196"/>
      <c r="E4" s="196"/>
    </row>
    <row r="5" spans="1:7" ht="51">
      <c r="A5" s="55" t="s">
        <v>92</v>
      </c>
      <c r="B5" s="55" t="s">
        <v>93</v>
      </c>
      <c r="C5" s="55" t="s">
        <v>94</v>
      </c>
      <c r="D5" s="55" t="s">
        <v>95</v>
      </c>
      <c r="E5" s="94" t="s">
        <v>96</v>
      </c>
    </row>
    <row r="6" spans="1:7">
      <c r="A6" s="52" t="s">
        <v>174</v>
      </c>
      <c r="B6" s="77">
        <f>'Locação - Veículo Cat I'!H6</f>
        <v>0</v>
      </c>
      <c r="C6" s="77">
        <f>(B6*20%*2.5)</f>
        <v>0</v>
      </c>
      <c r="D6" s="96">
        <v>30</v>
      </c>
      <c r="E6" s="95">
        <f>(B6-C6)/D6</f>
        <v>0</v>
      </c>
      <c r="G6" s="3"/>
    </row>
    <row r="8" spans="1:7">
      <c r="A8" s="99" t="s">
        <v>97</v>
      </c>
    </row>
    <row r="9" spans="1:7" ht="27.6" customHeight="1">
      <c r="A9" s="194" t="s">
        <v>98</v>
      </c>
      <c r="B9" s="195"/>
      <c r="C9" s="195"/>
      <c r="D9" s="195"/>
      <c r="E9" s="195"/>
      <c r="F9" s="195"/>
    </row>
    <row r="15" spans="1:7">
      <c r="A15" s="1" t="s">
        <v>99</v>
      </c>
    </row>
    <row r="16" spans="1:7">
      <c r="A16" s="1" t="s">
        <v>100</v>
      </c>
    </row>
    <row r="17" spans="1:1">
      <c r="A17" s="1" t="s">
        <v>101</v>
      </c>
    </row>
    <row r="18" spans="1:1">
      <c r="A18" s="1" t="s">
        <v>102</v>
      </c>
    </row>
    <row r="19" spans="1:1">
      <c r="A19" s="1" t="s">
        <v>103</v>
      </c>
    </row>
  </sheetData>
  <mergeCells count="3">
    <mergeCell ref="A2:F2"/>
    <mergeCell ref="A9:F9"/>
    <mergeCell ref="A4:E4"/>
  </mergeCells>
  <pageMargins left="0.511811024" right="0.511811024" top="0.78740157499999996" bottom="0.78740157499999996" header="0.31496062000000002" footer="0.31496062000000002"/>
  <pageSetup paperSize="9" scale="84" orientation="portrait" r:id="rId1"/>
  <colBreaks count="1" manualBreakCount="1">
    <brk id="7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7"/>
  <sheetViews>
    <sheetView zoomScaleNormal="100" workbookViewId="0">
      <selection activeCell="A4" sqref="A4:O4"/>
    </sheetView>
  </sheetViews>
  <sheetFormatPr defaultRowHeight="12.75"/>
  <cols>
    <col min="1" max="1" width="9.140625" style="1"/>
    <col min="2" max="2" width="10.140625" style="1" customWidth="1"/>
    <col min="3" max="3" width="49.42578125" style="1" customWidth="1"/>
    <col min="4" max="4" width="13.28515625" style="51" customWidth="1"/>
    <col min="5" max="5" width="14" style="98" customWidth="1"/>
    <col min="6" max="6" width="14.7109375" style="1" customWidth="1"/>
    <col min="7" max="7" width="16" style="1" customWidth="1"/>
    <col min="8" max="8" width="14.7109375" style="1" customWidth="1"/>
    <col min="9" max="9" width="14" style="1" customWidth="1"/>
    <col min="10" max="10" width="17.85546875" style="1" customWidth="1"/>
    <col min="11" max="11" width="15" style="1" customWidth="1"/>
    <col min="12" max="12" width="15.5703125" style="1" customWidth="1"/>
    <col min="13" max="13" width="14.42578125" style="1" customWidth="1"/>
    <col min="14" max="14" width="14.28515625" style="1" customWidth="1"/>
    <col min="15" max="15" width="16.7109375" style="1" customWidth="1"/>
    <col min="16" max="251" width="8.7109375" style="1" bestFit="1" customWidth="1"/>
    <col min="252" max="252" width="30" style="1" customWidth="1"/>
    <col min="253" max="253" width="8.5703125" style="1" customWidth="1"/>
    <col min="254" max="254" width="15.85546875" style="1" customWidth="1"/>
    <col min="255" max="256" width="17.42578125" style="1" customWidth="1"/>
    <col min="257" max="257" width="19.28515625" style="1" customWidth="1"/>
    <col min="258" max="507" width="8.7109375" style="1" bestFit="1" customWidth="1"/>
    <col min="508" max="508" width="30" style="1" customWidth="1"/>
    <col min="509" max="509" width="8.5703125" style="1" customWidth="1"/>
    <col min="510" max="510" width="15.85546875" style="1" customWidth="1"/>
    <col min="511" max="512" width="17.42578125" style="1" customWidth="1"/>
    <col min="513" max="513" width="19.28515625" style="1" customWidth="1"/>
    <col min="514" max="763" width="8.7109375" style="1" bestFit="1" customWidth="1"/>
    <col min="764" max="764" width="30" style="1" customWidth="1"/>
    <col min="765" max="765" width="8.5703125" style="1" customWidth="1"/>
    <col min="766" max="766" width="15.85546875" style="1" customWidth="1"/>
    <col min="767" max="768" width="17.42578125" style="1" customWidth="1"/>
    <col min="769" max="769" width="19.28515625" style="1" customWidth="1"/>
    <col min="770" max="1019" width="8.7109375" style="1" bestFit="1" customWidth="1"/>
    <col min="1020" max="1020" width="30" style="1" customWidth="1"/>
    <col min="1021" max="1021" width="8.5703125" style="1" customWidth="1"/>
    <col min="1022" max="1022" width="15.85546875" style="1" customWidth="1"/>
    <col min="1023" max="1024" width="17.42578125" style="1" customWidth="1"/>
    <col min="1025" max="1025" width="19.28515625" style="1" customWidth="1"/>
    <col min="1026" max="1275" width="8.7109375" style="1" bestFit="1" customWidth="1"/>
    <col min="1276" max="1276" width="30" style="1" customWidth="1"/>
    <col min="1277" max="1277" width="8.5703125" style="1" customWidth="1"/>
    <col min="1278" max="1278" width="15.85546875" style="1" customWidth="1"/>
    <col min="1279" max="1280" width="17.42578125" style="1" customWidth="1"/>
    <col min="1281" max="1281" width="19.28515625" style="1" customWidth="1"/>
    <col min="1282" max="1531" width="8.7109375" style="1" bestFit="1" customWidth="1"/>
    <col min="1532" max="1532" width="30" style="1" customWidth="1"/>
    <col min="1533" max="1533" width="8.5703125" style="1" customWidth="1"/>
    <col min="1534" max="1534" width="15.85546875" style="1" customWidth="1"/>
    <col min="1535" max="1536" width="17.42578125" style="1" customWidth="1"/>
    <col min="1537" max="1537" width="19.28515625" style="1" customWidth="1"/>
    <col min="1538" max="1787" width="8.7109375" style="1" bestFit="1" customWidth="1"/>
    <col min="1788" max="1788" width="30" style="1" customWidth="1"/>
    <col min="1789" max="1789" width="8.5703125" style="1" customWidth="1"/>
    <col min="1790" max="1790" width="15.85546875" style="1" customWidth="1"/>
    <col min="1791" max="1792" width="17.42578125" style="1" customWidth="1"/>
    <col min="1793" max="1793" width="19.28515625" style="1" customWidth="1"/>
    <col min="1794" max="2043" width="8.7109375" style="1" bestFit="1" customWidth="1"/>
    <col min="2044" max="2044" width="30" style="1" customWidth="1"/>
    <col min="2045" max="2045" width="8.5703125" style="1" customWidth="1"/>
    <col min="2046" max="2046" width="15.85546875" style="1" customWidth="1"/>
    <col min="2047" max="2048" width="17.42578125" style="1" customWidth="1"/>
    <col min="2049" max="2049" width="19.28515625" style="1" customWidth="1"/>
    <col min="2050" max="2299" width="8.7109375" style="1" bestFit="1" customWidth="1"/>
    <col min="2300" max="2300" width="30" style="1" customWidth="1"/>
    <col min="2301" max="2301" width="8.5703125" style="1" customWidth="1"/>
    <col min="2302" max="2302" width="15.85546875" style="1" customWidth="1"/>
    <col min="2303" max="2304" width="17.42578125" style="1" customWidth="1"/>
    <col min="2305" max="2305" width="19.28515625" style="1" customWidth="1"/>
    <col min="2306" max="2555" width="8.7109375" style="1" bestFit="1" customWidth="1"/>
    <col min="2556" max="2556" width="30" style="1" customWidth="1"/>
    <col min="2557" max="2557" width="8.5703125" style="1" customWidth="1"/>
    <col min="2558" max="2558" width="15.85546875" style="1" customWidth="1"/>
    <col min="2559" max="2560" width="17.42578125" style="1" customWidth="1"/>
    <col min="2561" max="2561" width="19.28515625" style="1" customWidth="1"/>
    <col min="2562" max="2811" width="8.7109375" style="1" bestFit="1" customWidth="1"/>
    <col min="2812" max="2812" width="30" style="1" customWidth="1"/>
    <col min="2813" max="2813" width="8.5703125" style="1" customWidth="1"/>
    <col min="2814" max="2814" width="15.85546875" style="1" customWidth="1"/>
    <col min="2815" max="2816" width="17.42578125" style="1" customWidth="1"/>
    <col min="2817" max="2817" width="19.28515625" style="1" customWidth="1"/>
    <col min="2818" max="3067" width="8.7109375" style="1" bestFit="1" customWidth="1"/>
    <col min="3068" max="3068" width="30" style="1" customWidth="1"/>
    <col min="3069" max="3069" width="8.5703125" style="1" customWidth="1"/>
    <col min="3070" max="3070" width="15.85546875" style="1" customWidth="1"/>
    <col min="3071" max="3072" width="17.42578125" style="1" customWidth="1"/>
    <col min="3073" max="3073" width="19.28515625" style="1" customWidth="1"/>
    <col min="3074" max="3323" width="8.7109375" style="1" bestFit="1" customWidth="1"/>
    <col min="3324" max="3324" width="30" style="1" customWidth="1"/>
    <col min="3325" max="3325" width="8.5703125" style="1" customWidth="1"/>
    <col min="3326" max="3326" width="15.85546875" style="1" customWidth="1"/>
    <col min="3327" max="3328" width="17.42578125" style="1" customWidth="1"/>
    <col min="3329" max="3329" width="19.28515625" style="1" customWidth="1"/>
    <col min="3330" max="3579" width="8.7109375" style="1" bestFit="1" customWidth="1"/>
    <col min="3580" max="3580" width="30" style="1" customWidth="1"/>
    <col min="3581" max="3581" width="8.5703125" style="1" customWidth="1"/>
    <col min="3582" max="3582" width="15.85546875" style="1" customWidth="1"/>
    <col min="3583" max="3584" width="17.42578125" style="1" customWidth="1"/>
    <col min="3585" max="3585" width="19.28515625" style="1" customWidth="1"/>
    <col min="3586" max="3835" width="8.7109375" style="1" bestFit="1" customWidth="1"/>
    <col min="3836" max="3836" width="30" style="1" customWidth="1"/>
    <col min="3837" max="3837" width="8.5703125" style="1" customWidth="1"/>
    <col min="3838" max="3838" width="15.85546875" style="1" customWidth="1"/>
    <col min="3839" max="3840" width="17.42578125" style="1" customWidth="1"/>
    <col min="3841" max="3841" width="19.28515625" style="1" customWidth="1"/>
    <col min="3842" max="4091" width="8.7109375" style="1" bestFit="1" customWidth="1"/>
    <col min="4092" max="4092" width="30" style="1" customWidth="1"/>
    <col min="4093" max="4093" width="8.5703125" style="1" customWidth="1"/>
    <col min="4094" max="4094" width="15.85546875" style="1" customWidth="1"/>
    <col min="4095" max="4096" width="17.42578125" style="1" customWidth="1"/>
    <col min="4097" max="4097" width="19.28515625" style="1" customWidth="1"/>
    <col min="4098" max="4347" width="8.7109375" style="1" bestFit="1" customWidth="1"/>
    <col min="4348" max="4348" width="30" style="1" customWidth="1"/>
    <col min="4349" max="4349" width="8.5703125" style="1" customWidth="1"/>
    <col min="4350" max="4350" width="15.85546875" style="1" customWidth="1"/>
    <col min="4351" max="4352" width="17.42578125" style="1" customWidth="1"/>
    <col min="4353" max="4353" width="19.28515625" style="1" customWidth="1"/>
    <col min="4354" max="4603" width="8.7109375" style="1" bestFit="1" customWidth="1"/>
    <col min="4604" max="4604" width="30" style="1" customWidth="1"/>
    <col min="4605" max="4605" width="8.5703125" style="1" customWidth="1"/>
    <col min="4606" max="4606" width="15.85546875" style="1" customWidth="1"/>
    <col min="4607" max="4608" width="17.42578125" style="1" customWidth="1"/>
    <col min="4609" max="4609" width="19.28515625" style="1" customWidth="1"/>
    <col min="4610" max="4859" width="8.7109375" style="1" bestFit="1" customWidth="1"/>
    <col min="4860" max="4860" width="30" style="1" customWidth="1"/>
    <col min="4861" max="4861" width="8.5703125" style="1" customWidth="1"/>
    <col min="4862" max="4862" width="15.85546875" style="1" customWidth="1"/>
    <col min="4863" max="4864" width="17.42578125" style="1" customWidth="1"/>
    <col min="4865" max="4865" width="19.28515625" style="1" customWidth="1"/>
    <col min="4866" max="5115" width="8.7109375" style="1" bestFit="1" customWidth="1"/>
    <col min="5116" max="5116" width="30" style="1" customWidth="1"/>
    <col min="5117" max="5117" width="8.5703125" style="1" customWidth="1"/>
    <col min="5118" max="5118" width="15.85546875" style="1" customWidth="1"/>
    <col min="5119" max="5120" width="17.42578125" style="1" customWidth="1"/>
    <col min="5121" max="5121" width="19.28515625" style="1" customWidth="1"/>
    <col min="5122" max="5371" width="8.7109375" style="1" bestFit="1" customWidth="1"/>
    <col min="5372" max="5372" width="30" style="1" customWidth="1"/>
    <col min="5373" max="5373" width="8.5703125" style="1" customWidth="1"/>
    <col min="5374" max="5374" width="15.85546875" style="1" customWidth="1"/>
    <col min="5375" max="5376" width="17.42578125" style="1" customWidth="1"/>
    <col min="5377" max="5377" width="19.28515625" style="1" customWidth="1"/>
    <col min="5378" max="5627" width="8.7109375" style="1" bestFit="1" customWidth="1"/>
    <col min="5628" max="5628" width="30" style="1" customWidth="1"/>
    <col min="5629" max="5629" width="8.5703125" style="1" customWidth="1"/>
    <col min="5630" max="5630" width="15.85546875" style="1" customWidth="1"/>
    <col min="5631" max="5632" width="17.42578125" style="1" customWidth="1"/>
    <col min="5633" max="5633" width="19.28515625" style="1" customWidth="1"/>
    <col min="5634" max="5883" width="8.7109375" style="1" bestFit="1" customWidth="1"/>
    <col min="5884" max="5884" width="30" style="1" customWidth="1"/>
    <col min="5885" max="5885" width="8.5703125" style="1" customWidth="1"/>
    <col min="5886" max="5886" width="15.85546875" style="1" customWidth="1"/>
    <col min="5887" max="5888" width="17.42578125" style="1" customWidth="1"/>
    <col min="5889" max="5889" width="19.28515625" style="1" customWidth="1"/>
    <col min="5890" max="6139" width="8.7109375" style="1" bestFit="1" customWidth="1"/>
    <col min="6140" max="6140" width="30" style="1" customWidth="1"/>
    <col min="6141" max="6141" width="8.5703125" style="1" customWidth="1"/>
    <col min="6142" max="6142" width="15.85546875" style="1" customWidth="1"/>
    <col min="6143" max="6144" width="17.42578125" style="1" customWidth="1"/>
    <col min="6145" max="6145" width="19.28515625" style="1" customWidth="1"/>
    <col min="6146" max="6395" width="8.7109375" style="1" bestFit="1" customWidth="1"/>
    <col min="6396" max="6396" width="30" style="1" customWidth="1"/>
    <col min="6397" max="6397" width="8.5703125" style="1" customWidth="1"/>
    <col min="6398" max="6398" width="15.85546875" style="1" customWidth="1"/>
    <col min="6399" max="6400" width="17.42578125" style="1" customWidth="1"/>
    <col min="6401" max="6401" width="19.28515625" style="1" customWidth="1"/>
    <col min="6402" max="6651" width="8.7109375" style="1" bestFit="1" customWidth="1"/>
    <col min="6652" max="6652" width="30" style="1" customWidth="1"/>
    <col min="6653" max="6653" width="8.5703125" style="1" customWidth="1"/>
    <col min="6654" max="6654" width="15.85546875" style="1" customWidth="1"/>
    <col min="6655" max="6656" width="17.42578125" style="1" customWidth="1"/>
    <col min="6657" max="6657" width="19.28515625" style="1" customWidth="1"/>
    <col min="6658" max="6907" width="8.7109375" style="1" bestFit="1" customWidth="1"/>
    <col min="6908" max="6908" width="30" style="1" customWidth="1"/>
    <col min="6909" max="6909" width="8.5703125" style="1" customWidth="1"/>
    <col min="6910" max="6910" width="15.85546875" style="1" customWidth="1"/>
    <col min="6911" max="6912" width="17.42578125" style="1" customWidth="1"/>
    <col min="6913" max="6913" width="19.28515625" style="1" customWidth="1"/>
    <col min="6914" max="7163" width="8.7109375" style="1" bestFit="1" customWidth="1"/>
    <col min="7164" max="7164" width="30" style="1" customWidth="1"/>
    <col min="7165" max="7165" width="8.5703125" style="1" customWidth="1"/>
    <col min="7166" max="7166" width="15.85546875" style="1" customWidth="1"/>
    <col min="7167" max="7168" width="17.42578125" style="1" customWidth="1"/>
    <col min="7169" max="7169" width="19.28515625" style="1" customWidth="1"/>
    <col min="7170" max="7419" width="8.7109375" style="1" bestFit="1" customWidth="1"/>
    <col min="7420" max="7420" width="30" style="1" customWidth="1"/>
    <col min="7421" max="7421" width="8.5703125" style="1" customWidth="1"/>
    <col min="7422" max="7422" width="15.85546875" style="1" customWidth="1"/>
    <col min="7423" max="7424" width="17.42578125" style="1" customWidth="1"/>
    <col min="7425" max="7425" width="19.28515625" style="1" customWidth="1"/>
    <col min="7426" max="7675" width="8.7109375" style="1" bestFit="1" customWidth="1"/>
    <col min="7676" max="7676" width="30" style="1" customWidth="1"/>
    <col min="7677" max="7677" width="8.5703125" style="1" customWidth="1"/>
    <col min="7678" max="7678" width="15.85546875" style="1" customWidth="1"/>
    <col min="7679" max="7680" width="17.42578125" style="1" customWidth="1"/>
    <col min="7681" max="7681" width="19.28515625" style="1" customWidth="1"/>
    <col min="7682" max="7931" width="8.7109375" style="1" bestFit="1" customWidth="1"/>
    <col min="7932" max="7932" width="30" style="1" customWidth="1"/>
    <col min="7933" max="7933" width="8.5703125" style="1" customWidth="1"/>
    <col min="7934" max="7934" width="15.85546875" style="1" customWidth="1"/>
    <col min="7935" max="7936" width="17.42578125" style="1" customWidth="1"/>
    <col min="7937" max="7937" width="19.28515625" style="1" customWidth="1"/>
    <col min="7938" max="8187" width="8.7109375" style="1" bestFit="1" customWidth="1"/>
    <col min="8188" max="8188" width="30" style="1" customWidth="1"/>
    <col min="8189" max="8189" width="8.5703125" style="1" customWidth="1"/>
    <col min="8190" max="8190" width="15.85546875" style="1" customWidth="1"/>
    <col min="8191" max="8192" width="17.42578125" style="1" customWidth="1"/>
    <col min="8193" max="8193" width="19.28515625" style="1" customWidth="1"/>
    <col min="8194" max="8443" width="8.7109375" style="1" bestFit="1" customWidth="1"/>
    <col min="8444" max="8444" width="30" style="1" customWidth="1"/>
    <col min="8445" max="8445" width="8.5703125" style="1" customWidth="1"/>
    <col min="8446" max="8446" width="15.85546875" style="1" customWidth="1"/>
    <col min="8447" max="8448" width="17.42578125" style="1" customWidth="1"/>
    <col min="8449" max="8449" width="19.28515625" style="1" customWidth="1"/>
    <col min="8450" max="8699" width="8.7109375" style="1" bestFit="1" customWidth="1"/>
    <col min="8700" max="8700" width="30" style="1" customWidth="1"/>
    <col min="8701" max="8701" width="8.5703125" style="1" customWidth="1"/>
    <col min="8702" max="8702" width="15.85546875" style="1" customWidth="1"/>
    <col min="8703" max="8704" width="17.42578125" style="1" customWidth="1"/>
    <col min="8705" max="8705" width="19.28515625" style="1" customWidth="1"/>
    <col min="8706" max="8955" width="8.7109375" style="1" bestFit="1" customWidth="1"/>
    <col min="8956" max="8956" width="30" style="1" customWidth="1"/>
    <col min="8957" max="8957" width="8.5703125" style="1" customWidth="1"/>
    <col min="8958" max="8958" width="15.85546875" style="1" customWidth="1"/>
    <col min="8959" max="8960" width="17.42578125" style="1" customWidth="1"/>
    <col min="8961" max="8961" width="19.28515625" style="1" customWidth="1"/>
    <col min="8962" max="9211" width="8.7109375" style="1" bestFit="1" customWidth="1"/>
    <col min="9212" max="9212" width="30" style="1" customWidth="1"/>
    <col min="9213" max="9213" width="8.5703125" style="1" customWidth="1"/>
    <col min="9214" max="9214" width="15.85546875" style="1" customWidth="1"/>
    <col min="9215" max="9216" width="17.42578125" style="1" customWidth="1"/>
    <col min="9217" max="9217" width="19.28515625" style="1" customWidth="1"/>
    <col min="9218" max="9467" width="8.7109375" style="1" bestFit="1" customWidth="1"/>
    <col min="9468" max="9468" width="30" style="1" customWidth="1"/>
    <col min="9469" max="9469" width="8.5703125" style="1" customWidth="1"/>
    <col min="9470" max="9470" width="15.85546875" style="1" customWidth="1"/>
    <col min="9471" max="9472" width="17.42578125" style="1" customWidth="1"/>
    <col min="9473" max="9473" width="19.28515625" style="1" customWidth="1"/>
    <col min="9474" max="9723" width="8.7109375" style="1" bestFit="1" customWidth="1"/>
    <col min="9724" max="9724" width="30" style="1" customWidth="1"/>
    <col min="9725" max="9725" width="8.5703125" style="1" customWidth="1"/>
    <col min="9726" max="9726" width="15.85546875" style="1" customWidth="1"/>
    <col min="9727" max="9728" width="17.42578125" style="1" customWidth="1"/>
    <col min="9729" max="9729" width="19.28515625" style="1" customWidth="1"/>
    <col min="9730" max="9979" width="8.7109375" style="1" bestFit="1" customWidth="1"/>
    <col min="9980" max="9980" width="30" style="1" customWidth="1"/>
    <col min="9981" max="9981" width="8.5703125" style="1" customWidth="1"/>
    <col min="9982" max="9982" width="15.85546875" style="1" customWidth="1"/>
    <col min="9983" max="9984" width="17.42578125" style="1" customWidth="1"/>
    <col min="9985" max="9985" width="19.28515625" style="1" customWidth="1"/>
    <col min="9986" max="10235" width="8.7109375" style="1" bestFit="1" customWidth="1"/>
    <col min="10236" max="10236" width="30" style="1" customWidth="1"/>
    <col min="10237" max="10237" width="8.5703125" style="1" customWidth="1"/>
    <col min="10238" max="10238" width="15.85546875" style="1" customWidth="1"/>
    <col min="10239" max="10240" width="17.42578125" style="1" customWidth="1"/>
    <col min="10241" max="10241" width="19.28515625" style="1" customWidth="1"/>
    <col min="10242" max="10491" width="8.7109375" style="1" bestFit="1" customWidth="1"/>
    <col min="10492" max="10492" width="30" style="1" customWidth="1"/>
    <col min="10493" max="10493" width="8.5703125" style="1" customWidth="1"/>
    <col min="10494" max="10494" width="15.85546875" style="1" customWidth="1"/>
    <col min="10495" max="10496" width="17.42578125" style="1" customWidth="1"/>
    <col min="10497" max="10497" width="19.28515625" style="1" customWidth="1"/>
    <col min="10498" max="10747" width="8.7109375" style="1" bestFit="1" customWidth="1"/>
    <col min="10748" max="10748" width="30" style="1" customWidth="1"/>
    <col min="10749" max="10749" width="8.5703125" style="1" customWidth="1"/>
    <col min="10750" max="10750" width="15.85546875" style="1" customWidth="1"/>
    <col min="10751" max="10752" width="17.42578125" style="1" customWidth="1"/>
    <col min="10753" max="10753" width="19.28515625" style="1" customWidth="1"/>
    <col min="10754" max="11003" width="8.7109375" style="1" bestFit="1" customWidth="1"/>
    <col min="11004" max="11004" width="30" style="1" customWidth="1"/>
    <col min="11005" max="11005" width="8.5703125" style="1" customWidth="1"/>
    <col min="11006" max="11006" width="15.85546875" style="1" customWidth="1"/>
    <col min="11007" max="11008" width="17.42578125" style="1" customWidth="1"/>
    <col min="11009" max="11009" width="19.28515625" style="1" customWidth="1"/>
    <col min="11010" max="11259" width="8.7109375" style="1" bestFit="1" customWidth="1"/>
    <col min="11260" max="11260" width="30" style="1" customWidth="1"/>
    <col min="11261" max="11261" width="8.5703125" style="1" customWidth="1"/>
    <col min="11262" max="11262" width="15.85546875" style="1" customWidth="1"/>
    <col min="11263" max="11264" width="17.42578125" style="1" customWidth="1"/>
    <col min="11265" max="11265" width="19.28515625" style="1" customWidth="1"/>
    <col min="11266" max="11515" width="8.7109375" style="1" bestFit="1" customWidth="1"/>
    <col min="11516" max="11516" width="30" style="1" customWidth="1"/>
    <col min="11517" max="11517" width="8.5703125" style="1" customWidth="1"/>
    <col min="11518" max="11518" width="15.85546875" style="1" customWidth="1"/>
    <col min="11519" max="11520" width="17.42578125" style="1" customWidth="1"/>
    <col min="11521" max="11521" width="19.28515625" style="1" customWidth="1"/>
    <col min="11522" max="11771" width="8.7109375" style="1" bestFit="1" customWidth="1"/>
    <col min="11772" max="11772" width="30" style="1" customWidth="1"/>
    <col min="11773" max="11773" width="8.5703125" style="1" customWidth="1"/>
    <col min="11774" max="11774" width="15.85546875" style="1" customWidth="1"/>
    <col min="11775" max="11776" width="17.42578125" style="1" customWidth="1"/>
    <col min="11777" max="11777" width="19.28515625" style="1" customWidth="1"/>
    <col min="11778" max="12027" width="8.7109375" style="1" bestFit="1" customWidth="1"/>
    <col min="12028" max="12028" width="30" style="1" customWidth="1"/>
    <col min="12029" max="12029" width="8.5703125" style="1" customWidth="1"/>
    <col min="12030" max="12030" width="15.85546875" style="1" customWidth="1"/>
    <col min="12031" max="12032" width="17.42578125" style="1" customWidth="1"/>
    <col min="12033" max="12033" width="19.28515625" style="1" customWidth="1"/>
    <col min="12034" max="12283" width="8.7109375" style="1" bestFit="1" customWidth="1"/>
    <col min="12284" max="12284" width="30" style="1" customWidth="1"/>
    <col min="12285" max="12285" width="8.5703125" style="1" customWidth="1"/>
    <col min="12286" max="12286" width="15.85546875" style="1" customWidth="1"/>
    <col min="12287" max="12288" width="17.42578125" style="1" customWidth="1"/>
    <col min="12289" max="12289" width="19.28515625" style="1" customWidth="1"/>
    <col min="12290" max="12539" width="8.7109375" style="1" bestFit="1" customWidth="1"/>
    <col min="12540" max="12540" width="30" style="1" customWidth="1"/>
    <col min="12541" max="12541" width="8.5703125" style="1" customWidth="1"/>
    <col min="12542" max="12542" width="15.85546875" style="1" customWidth="1"/>
    <col min="12543" max="12544" width="17.42578125" style="1" customWidth="1"/>
    <col min="12545" max="12545" width="19.28515625" style="1" customWidth="1"/>
    <col min="12546" max="12795" width="8.7109375" style="1" bestFit="1" customWidth="1"/>
    <col min="12796" max="12796" width="30" style="1" customWidth="1"/>
    <col min="12797" max="12797" width="8.5703125" style="1" customWidth="1"/>
    <col min="12798" max="12798" width="15.85546875" style="1" customWidth="1"/>
    <col min="12799" max="12800" width="17.42578125" style="1" customWidth="1"/>
    <col min="12801" max="12801" width="19.28515625" style="1" customWidth="1"/>
    <col min="12802" max="13051" width="8.7109375" style="1" bestFit="1" customWidth="1"/>
    <col min="13052" max="13052" width="30" style="1" customWidth="1"/>
    <col min="13053" max="13053" width="8.5703125" style="1" customWidth="1"/>
    <col min="13054" max="13054" width="15.85546875" style="1" customWidth="1"/>
    <col min="13055" max="13056" width="17.42578125" style="1" customWidth="1"/>
    <col min="13057" max="13057" width="19.28515625" style="1" customWidth="1"/>
    <col min="13058" max="13307" width="8.7109375" style="1" bestFit="1" customWidth="1"/>
    <col min="13308" max="13308" width="30" style="1" customWidth="1"/>
    <col min="13309" max="13309" width="8.5703125" style="1" customWidth="1"/>
    <col min="13310" max="13310" width="15.85546875" style="1" customWidth="1"/>
    <col min="13311" max="13312" width="17.42578125" style="1" customWidth="1"/>
    <col min="13313" max="13313" width="19.28515625" style="1" customWidth="1"/>
    <col min="13314" max="13563" width="8.7109375" style="1" bestFit="1" customWidth="1"/>
    <col min="13564" max="13564" width="30" style="1" customWidth="1"/>
    <col min="13565" max="13565" width="8.5703125" style="1" customWidth="1"/>
    <col min="13566" max="13566" width="15.85546875" style="1" customWidth="1"/>
    <col min="13567" max="13568" width="17.42578125" style="1" customWidth="1"/>
    <col min="13569" max="13569" width="19.28515625" style="1" customWidth="1"/>
    <col min="13570" max="13819" width="8.7109375" style="1" bestFit="1" customWidth="1"/>
    <col min="13820" max="13820" width="30" style="1" customWidth="1"/>
    <col min="13821" max="13821" width="8.5703125" style="1" customWidth="1"/>
    <col min="13822" max="13822" width="15.85546875" style="1" customWidth="1"/>
    <col min="13823" max="13824" width="17.42578125" style="1" customWidth="1"/>
    <col min="13825" max="13825" width="19.28515625" style="1" customWidth="1"/>
    <col min="13826" max="14075" width="8.7109375" style="1" bestFit="1" customWidth="1"/>
    <col min="14076" max="14076" width="30" style="1" customWidth="1"/>
    <col min="14077" max="14077" width="8.5703125" style="1" customWidth="1"/>
    <col min="14078" max="14078" width="15.85546875" style="1" customWidth="1"/>
    <col min="14079" max="14080" width="17.42578125" style="1" customWidth="1"/>
    <col min="14081" max="14081" width="19.28515625" style="1" customWidth="1"/>
    <col min="14082" max="14331" width="8.7109375" style="1" bestFit="1" customWidth="1"/>
    <col min="14332" max="14332" width="30" style="1" customWidth="1"/>
    <col min="14333" max="14333" width="8.5703125" style="1" customWidth="1"/>
    <col min="14334" max="14334" width="15.85546875" style="1" customWidth="1"/>
    <col min="14335" max="14336" width="17.42578125" style="1" customWidth="1"/>
    <col min="14337" max="14337" width="19.28515625" style="1" customWidth="1"/>
    <col min="14338" max="14587" width="8.7109375" style="1" bestFit="1" customWidth="1"/>
    <col min="14588" max="14588" width="30" style="1" customWidth="1"/>
    <col min="14589" max="14589" width="8.5703125" style="1" customWidth="1"/>
    <col min="14590" max="14590" width="15.85546875" style="1" customWidth="1"/>
    <col min="14591" max="14592" width="17.42578125" style="1" customWidth="1"/>
    <col min="14593" max="14593" width="19.28515625" style="1" customWidth="1"/>
    <col min="14594" max="14843" width="8.7109375" style="1" bestFit="1" customWidth="1"/>
    <col min="14844" max="14844" width="30" style="1" customWidth="1"/>
    <col min="14845" max="14845" width="8.5703125" style="1" customWidth="1"/>
    <col min="14846" max="14846" width="15.85546875" style="1" customWidth="1"/>
    <col min="14847" max="14848" width="17.42578125" style="1" customWidth="1"/>
    <col min="14849" max="14849" width="19.28515625" style="1" customWidth="1"/>
    <col min="14850" max="15099" width="8.7109375" style="1" bestFit="1" customWidth="1"/>
    <col min="15100" max="15100" width="30" style="1" customWidth="1"/>
    <col min="15101" max="15101" width="8.5703125" style="1" customWidth="1"/>
    <col min="15102" max="15102" width="15.85546875" style="1" customWidth="1"/>
    <col min="15103" max="15104" width="17.42578125" style="1" customWidth="1"/>
    <col min="15105" max="15105" width="19.28515625" style="1" customWidth="1"/>
    <col min="15106" max="15355" width="8.7109375" style="1" bestFit="1" customWidth="1"/>
    <col min="15356" max="15356" width="30" style="1" customWidth="1"/>
    <col min="15357" max="15357" width="8.5703125" style="1" customWidth="1"/>
    <col min="15358" max="15358" width="15.85546875" style="1" customWidth="1"/>
    <col min="15359" max="15360" width="17.42578125" style="1" customWidth="1"/>
    <col min="15361" max="15361" width="19.28515625" style="1" customWidth="1"/>
    <col min="15362" max="15611" width="8.7109375" style="1" bestFit="1" customWidth="1"/>
    <col min="15612" max="15612" width="30" style="1" customWidth="1"/>
    <col min="15613" max="15613" width="8.5703125" style="1" customWidth="1"/>
    <col min="15614" max="15614" width="15.85546875" style="1" customWidth="1"/>
    <col min="15615" max="15616" width="17.42578125" style="1" customWidth="1"/>
    <col min="15617" max="15617" width="19.28515625" style="1" customWidth="1"/>
    <col min="15618" max="15867" width="8.7109375" style="1" bestFit="1" customWidth="1"/>
    <col min="15868" max="15868" width="30" style="1" customWidth="1"/>
    <col min="15869" max="15869" width="8.5703125" style="1" customWidth="1"/>
    <col min="15870" max="15870" width="15.85546875" style="1" customWidth="1"/>
    <col min="15871" max="15872" width="17.42578125" style="1" customWidth="1"/>
    <col min="15873" max="15873" width="19.28515625" style="1" customWidth="1"/>
    <col min="15874" max="16123" width="8.7109375" style="1" bestFit="1" customWidth="1"/>
    <col min="16124" max="16124" width="30" style="1" customWidth="1"/>
    <col min="16125" max="16125" width="8.5703125" style="1" customWidth="1"/>
    <col min="16126" max="16126" width="15.85546875" style="1" customWidth="1"/>
    <col min="16127" max="16128" width="17.42578125" style="1" customWidth="1"/>
    <col min="16129" max="16129" width="19.28515625" style="1" customWidth="1"/>
    <col min="16130" max="16384" width="9.140625" style="1"/>
  </cols>
  <sheetData>
    <row r="1" spans="1:16" ht="51.6" customHeight="1">
      <c r="A1" s="8"/>
      <c r="B1" s="8"/>
      <c r="C1" s="8"/>
      <c r="D1"/>
      <c r="E1" s="84"/>
      <c r="F1"/>
      <c r="G1"/>
    </row>
    <row r="2" spans="1:16" ht="21" customHeight="1">
      <c r="A2" s="197" t="s">
        <v>149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</row>
    <row r="3" spans="1:16" ht="15.75" customHeight="1">
      <c r="A3" s="197" t="s">
        <v>213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</row>
    <row r="4" spans="1:16" ht="15" customHeight="1">
      <c r="A4" s="201" t="s">
        <v>214</v>
      </c>
      <c r="B4" s="201"/>
      <c r="C4" s="201"/>
      <c r="D4" s="201"/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</row>
    <row r="5" spans="1:16" ht="14.25">
      <c r="A5" s="9"/>
      <c r="B5" s="9"/>
      <c r="C5" s="9"/>
      <c r="D5" s="9"/>
      <c r="E5" s="85"/>
      <c r="F5" s="9"/>
      <c r="G5" s="9"/>
    </row>
    <row r="6" spans="1:16" ht="14.25">
      <c r="A6" s="193" t="s">
        <v>51</v>
      </c>
      <c r="B6" s="193"/>
      <c r="C6" s="193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</row>
    <row r="9" spans="1:16" ht="30" customHeight="1">
      <c r="A9" s="198" t="s">
        <v>52</v>
      </c>
      <c r="B9" s="198"/>
      <c r="C9" s="199" t="s">
        <v>163</v>
      </c>
      <c r="D9" s="199"/>
      <c r="E9" s="199"/>
      <c r="F9" s="199"/>
      <c r="G9" s="199"/>
      <c r="H9" s="200" t="s">
        <v>53</v>
      </c>
      <c r="I9" s="200"/>
      <c r="J9" s="200"/>
      <c r="K9" s="202" t="s">
        <v>54</v>
      </c>
      <c r="L9" s="203"/>
      <c r="M9" s="203"/>
      <c r="N9" s="204"/>
      <c r="O9" s="7"/>
      <c r="P9" s="7"/>
    </row>
    <row r="10" spans="1:16" ht="51">
      <c r="A10" s="78" t="s">
        <v>55</v>
      </c>
      <c r="B10" s="78" t="s">
        <v>56</v>
      </c>
      <c r="C10" s="55" t="s">
        <v>57</v>
      </c>
      <c r="D10" s="55" t="s">
        <v>58</v>
      </c>
      <c r="E10" s="106" t="s">
        <v>59</v>
      </c>
      <c r="F10" s="55" t="s">
        <v>60</v>
      </c>
      <c r="G10" s="56" t="s">
        <v>61</v>
      </c>
      <c r="H10" s="57" t="s">
        <v>62</v>
      </c>
      <c r="I10" s="57" t="s">
        <v>63</v>
      </c>
      <c r="J10" s="57" t="s">
        <v>64</v>
      </c>
      <c r="K10" s="56" t="s">
        <v>61</v>
      </c>
      <c r="L10" s="57" t="s">
        <v>62</v>
      </c>
      <c r="M10" s="57" t="s">
        <v>63</v>
      </c>
      <c r="N10" s="57" t="s">
        <v>64</v>
      </c>
      <c r="O10" s="58" t="s">
        <v>65</v>
      </c>
      <c r="P10" s="59"/>
    </row>
    <row r="11" spans="1:16" ht="15">
      <c r="A11" s="4" t="s">
        <v>66</v>
      </c>
      <c r="B11" s="4">
        <v>981779</v>
      </c>
      <c r="C11" s="52" t="s">
        <v>152</v>
      </c>
      <c r="D11" s="4" t="s">
        <v>67</v>
      </c>
      <c r="E11" s="125" t="s">
        <v>153</v>
      </c>
      <c r="F11" s="54">
        <v>45358</v>
      </c>
      <c r="G11" s="5">
        <v>237995</v>
      </c>
      <c r="H11" s="109">
        <f>ROUND(AVERAGE(G12:G38),2)</f>
        <v>226233.88</v>
      </c>
      <c r="I11" s="110">
        <f>(((G11-H11)*100)/H11)/100</f>
        <v>5.1986554798954046E-2</v>
      </c>
      <c r="J11" s="111" t="str">
        <f>IF(I11&gt;25%,"EXCESSIVAMENTE ELEVADO","VÁLIDO")</f>
        <v>VÁLIDO</v>
      </c>
      <c r="K11" s="108">
        <f>IF(J11="EXCESSIVAMENTE ELEVADO","-",G11)</f>
        <v>237995</v>
      </c>
      <c r="L11" s="109">
        <f>IF(J11="EXCESSIVAMENTE ELEVADO","-",(ROUND(AVERAGE(K12:K38),2)))</f>
        <v>226233.88</v>
      </c>
      <c r="M11" s="110">
        <f>IF(J11="EXCESSIVAMENTE ELEVADO","-",((K11*100)/L11)/100)</f>
        <v>1.051986554798954</v>
      </c>
      <c r="N11" s="111" t="str">
        <f>IF(J11="EXCESSIVAMENTE ELEVADO","EXCLUÍDO", IF(M11&lt;75%,"INEXEQUÍVEL","EXEQUÍVEL"))</f>
        <v>EXEQUÍVEL</v>
      </c>
      <c r="O11" s="119">
        <f>IF(OR(J11="EXCESSIVAMENTE ELEVADO",N11="INEXEQUÍVEL"),"-",G11)</f>
        <v>237995</v>
      </c>
      <c r="P11" s="7"/>
    </row>
    <row r="12" spans="1:16" ht="13.5" customHeight="1">
      <c r="A12" s="4" t="s">
        <v>66</v>
      </c>
      <c r="B12" s="4">
        <v>194028</v>
      </c>
      <c r="C12" s="52" t="s">
        <v>154</v>
      </c>
      <c r="D12" s="4" t="s">
        <v>67</v>
      </c>
      <c r="E12" s="125" t="s">
        <v>81</v>
      </c>
      <c r="F12" s="54">
        <v>45289</v>
      </c>
      <c r="G12" s="5">
        <v>202900</v>
      </c>
      <c r="H12" s="109">
        <f>ROUND(AVERAGE(G13:G38,G11),2)</f>
        <v>228427.31</v>
      </c>
      <c r="I12" s="110">
        <f t="shared" ref="I12:I27" si="0">(((G12-H12)*100)/H12)/100</f>
        <v>-0.11175244326083426</v>
      </c>
      <c r="J12" s="111" t="str">
        <f t="shared" ref="J12:J27" si="1">IF(I12&gt;25%,"EXCESSIVAMENTE ELEVADO","VÁLIDO")</f>
        <v>VÁLIDO</v>
      </c>
      <c r="K12" s="108">
        <f t="shared" ref="K12:K26" si="2">IF(J12="EXCESSIVAMENTE ELEVADO","-",G12)</f>
        <v>202900</v>
      </c>
      <c r="L12" s="109">
        <f>IF(J12="EXCESSIVAMENTE ELEVADO","-",(ROUND(AVERAGE(K11,K13:K38),2)))</f>
        <v>228427.31</v>
      </c>
      <c r="M12" s="110">
        <f t="shared" ref="M12:M27" si="3">IF(J12="EXCESSIVAMENTE ELEVADO","-",((K12*100)/L12)/100)</f>
        <v>0.88824755673916567</v>
      </c>
      <c r="N12" s="111" t="str">
        <f t="shared" ref="N12:N27" si="4">IF(J12="EXCESSIVAMENTE ELEVADO","EXCLUÍDO", IF(M12&lt;75%,"INEXEQUÍVEL","EXEQUÍVEL"))</f>
        <v>EXEQUÍVEL</v>
      </c>
      <c r="O12" s="119">
        <f t="shared" ref="O12:O27" si="5">IF(OR(J12="EXCESSIVAMENTE ELEVADO",N12="INEXEQUÍVEL"),"-",G12)</f>
        <v>202900</v>
      </c>
      <c r="P12" s="7"/>
    </row>
    <row r="13" spans="1:16" ht="15">
      <c r="A13" s="4" t="s">
        <v>66</v>
      </c>
      <c r="B13" s="4">
        <v>929331</v>
      </c>
      <c r="C13" s="52" t="s">
        <v>155</v>
      </c>
      <c r="D13" s="4" t="s">
        <v>67</v>
      </c>
      <c r="E13" s="125" t="s">
        <v>85</v>
      </c>
      <c r="F13" s="54">
        <v>45331</v>
      </c>
      <c r="G13" s="5">
        <v>199500</v>
      </c>
      <c r="H13" s="109">
        <f>ROUND(AVERAGE(G14:G38,G11:G12),2)</f>
        <v>228639.81</v>
      </c>
      <c r="I13" s="110">
        <f t="shared" si="0"/>
        <v>-0.12744854012956011</v>
      </c>
      <c r="J13" s="111" t="str">
        <f t="shared" si="1"/>
        <v>VÁLIDO</v>
      </c>
      <c r="K13" s="108">
        <f t="shared" si="2"/>
        <v>199500</v>
      </c>
      <c r="L13" s="109">
        <f>IF(J13="EXCESSIVAMENTE ELEVADO","-",(ROUND(AVERAGE(K11:K12,K14:K38),2)))</f>
        <v>228639.81</v>
      </c>
      <c r="M13" s="110">
        <f t="shared" si="3"/>
        <v>0.87255145987043992</v>
      </c>
      <c r="N13" s="111" t="str">
        <f t="shared" si="4"/>
        <v>EXEQUÍVEL</v>
      </c>
      <c r="O13" s="119">
        <f t="shared" si="5"/>
        <v>199500</v>
      </c>
      <c r="P13" s="7"/>
    </row>
    <row r="14" spans="1:16" ht="15">
      <c r="A14" s="4" t="s">
        <v>66</v>
      </c>
      <c r="B14" s="4">
        <v>983525</v>
      </c>
      <c r="C14" s="52" t="s">
        <v>156</v>
      </c>
      <c r="D14" s="4" t="s">
        <v>67</v>
      </c>
      <c r="E14" s="125" t="s">
        <v>86</v>
      </c>
      <c r="F14" s="54">
        <v>45343</v>
      </c>
      <c r="G14" s="5">
        <v>225899</v>
      </c>
      <c r="H14" s="109">
        <f>ROUND(AVERAGE(G15:G38,G11:G13),2)</f>
        <v>226989.88</v>
      </c>
      <c r="I14" s="110">
        <f t="shared" si="0"/>
        <v>-4.805853018645609E-3</v>
      </c>
      <c r="J14" s="111" t="str">
        <f t="shared" si="1"/>
        <v>VÁLIDO</v>
      </c>
      <c r="K14" s="108">
        <f t="shared" si="2"/>
        <v>225899</v>
      </c>
      <c r="L14" s="109">
        <f>IF(J14="EXCESSIVAMENTE ELEVADO","-",(ROUND(AVERAGE(K11:K13,K15:K38),2)))</f>
        <v>226989.88</v>
      </c>
      <c r="M14" s="110">
        <f t="shared" si="3"/>
        <v>0.99519414698135433</v>
      </c>
      <c r="N14" s="111" t="str">
        <f t="shared" si="4"/>
        <v>EXEQUÍVEL</v>
      </c>
      <c r="O14" s="119">
        <f t="shared" si="5"/>
        <v>225899</v>
      </c>
      <c r="P14" s="7"/>
    </row>
    <row r="15" spans="1:16" ht="15">
      <c r="A15" s="4" t="s">
        <v>66</v>
      </c>
      <c r="B15" s="4">
        <v>160001</v>
      </c>
      <c r="C15" s="52" t="s">
        <v>157</v>
      </c>
      <c r="D15" s="4" t="s">
        <v>67</v>
      </c>
      <c r="E15" s="125" t="s">
        <v>83</v>
      </c>
      <c r="F15" s="54">
        <v>45231</v>
      </c>
      <c r="G15" s="5">
        <v>229000</v>
      </c>
      <c r="H15" s="109">
        <f>ROUND(AVERAGE(G16:G38,G11:G14),2)</f>
        <v>226796.06</v>
      </c>
      <c r="I15" s="110">
        <f t="shared" si="0"/>
        <v>9.7177173183696508E-3</v>
      </c>
      <c r="J15" s="111" t="str">
        <f t="shared" si="1"/>
        <v>VÁLIDO</v>
      </c>
      <c r="K15" s="108">
        <f t="shared" si="2"/>
        <v>229000</v>
      </c>
      <c r="L15" s="109">
        <f>IF(J15="EXCESSIVAMENTE ELEVADO","-",(ROUND(AVERAGE(K11:K14,K16:K38),2)))</f>
        <v>226796.06</v>
      </c>
      <c r="M15" s="110">
        <f t="shared" si="3"/>
        <v>1.0097177173183696</v>
      </c>
      <c r="N15" s="111" t="str">
        <f t="shared" si="4"/>
        <v>EXEQUÍVEL</v>
      </c>
      <c r="O15" s="119">
        <f t="shared" si="5"/>
        <v>229000</v>
      </c>
      <c r="P15" s="7"/>
    </row>
    <row r="16" spans="1:16" ht="15">
      <c r="A16" s="4" t="s">
        <v>66</v>
      </c>
      <c r="B16" s="4">
        <v>160069</v>
      </c>
      <c r="C16" s="52" t="s">
        <v>158</v>
      </c>
      <c r="D16" s="4" t="s">
        <v>67</v>
      </c>
      <c r="E16" s="125" t="s">
        <v>83</v>
      </c>
      <c r="F16" s="54">
        <v>45341</v>
      </c>
      <c r="G16" s="5">
        <v>219999</v>
      </c>
      <c r="H16" s="109">
        <f>ROUND(AVERAGE(G17:G38,G11:G15),2)</f>
        <v>227358.63</v>
      </c>
      <c r="I16" s="110">
        <f t="shared" si="0"/>
        <v>-3.2370136994579905E-2</v>
      </c>
      <c r="J16" s="111" t="str">
        <f t="shared" si="1"/>
        <v>VÁLIDO</v>
      </c>
      <c r="K16" s="108">
        <f t="shared" si="2"/>
        <v>219999</v>
      </c>
      <c r="L16" s="109">
        <f>IF(J16="EXCESSIVAMENTE ELEVADO","-",(ROUND(AVERAGE(K11:K15,K17:K38),2)))</f>
        <v>227358.63</v>
      </c>
      <c r="M16" s="110">
        <f t="shared" si="3"/>
        <v>0.96762986300542009</v>
      </c>
      <c r="N16" s="111" t="str">
        <f t="shared" si="4"/>
        <v>EXEQUÍVEL</v>
      </c>
      <c r="O16" s="119">
        <f t="shared" si="5"/>
        <v>219999</v>
      </c>
      <c r="P16" s="7"/>
    </row>
    <row r="17" spans="1:16" ht="15">
      <c r="A17" s="4" t="s">
        <v>66</v>
      </c>
      <c r="B17" s="4">
        <v>984975</v>
      </c>
      <c r="C17" s="52" t="s">
        <v>160</v>
      </c>
      <c r="D17" s="4" t="s">
        <v>67</v>
      </c>
      <c r="E17" s="125" t="s">
        <v>159</v>
      </c>
      <c r="F17" s="54">
        <v>45343</v>
      </c>
      <c r="G17" s="5">
        <v>234999</v>
      </c>
      <c r="H17" s="109">
        <f>ROUND(AVERAGE(G18:G38,G11:G16),2)</f>
        <v>226421.13</v>
      </c>
      <c r="I17" s="110">
        <f t="shared" si="0"/>
        <v>3.7884582591739539E-2</v>
      </c>
      <c r="J17" s="111" t="str">
        <f t="shared" si="1"/>
        <v>VÁLIDO</v>
      </c>
      <c r="K17" s="108">
        <f t="shared" si="2"/>
        <v>234999</v>
      </c>
      <c r="L17" s="109">
        <f>IF(J17="EXCESSIVAMENTE ELEVADO","-",(ROUND(AVERAGE(K11:K16,K18:K38),2)))</f>
        <v>226421.13</v>
      </c>
      <c r="M17" s="110">
        <f t="shared" si="3"/>
        <v>1.0378845825917395</v>
      </c>
      <c r="N17" s="111" t="str">
        <f t="shared" si="4"/>
        <v>EXEQUÍVEL</v>
      </c>
      <c r="O17" s="119">
        <f t="shared" si="5"/>
        <v>234999</v>
      </c>
      <c r="P17" s="7"/>
    </row>
    <row r="18" spans="1:16" ht="18.75" customHeight="1">
      <c r="A18" s="4" t="s">
        <v>66</v>
      </c>
      <c r="B18" s="4">
        <v>980107</v>
      </c>
      <c r="C18" s="52" t="s">
        <v>161</v>
      </c>
      <c r="D18" s="4" t="s">
        <v>67</v>
      </c>
      <c r="E18" s="125" t="s">
        <v>162</v>
      </c>
      <c r="F18" s="54">
        <v>45357</v>
      </c>
      <c r="G18" s="5">
        <v>226800</v>
      </c>
      <c r="H18" s="109">
        <f>ROUND(AVERAGE(G19:G38,G11:G17),2)</f>
        <v>226933.56</v>
      </c>
      <c r="I18" s="110">
        <f t="shared" si="0"/>
        <v>-5.8854230286607971E-4</v>
      </c>
      <c r="J18" s="111" t="str">
        <f t="shared" si="1"/>
        <v>VÁLIDO</v>
      </c>
      <c r="K18" s="108">
        <f t="shared" si="2"/>
        <v>226800</v>
      </c>
      <c r="L18" s="109">
        <f>IF(J18="EXCESSIVAMENTE ELEVADO","-",(ROUND(AVERAGE(K11:K17,K19:K38),2)))</f>
        <v>226933.56</v>
      </c>
      <c r="M18" s="110">
        <f t="shared" si="3"/>
        <v>0.99941145769713391</v>
      </c>
      <c r="N18" s="111" t="str">
        <f t="shared" si="4"/>
        <v>EXEQUÍVEL</v>
      </c>
      <c r="O18" s="119">
        <f t="shared" si="5"/>
        <v>226800</v>
      </c>
      <c r="P18" s="7"/>
    </row>
    <row r="19" spans="1:16" ht="15">
      <c r="A19" s="4" t="s">
        <v>66</v>
      </c>
      <c r="B19" s="4">
        <v>925718</v>
      </c>
      <c r="C19" s="52" t="s">
        <v>164</v>
      </c>
      <c r="D19" s="4" t="s">
        <v>67</v>
      </c>
      <c r="E19" s="125" t="s">
        <v>165</v>
      </c>
      <c r="F19" s="54">
        <v>45313</v>
      </c>
      <c r="G19" s="5">
        <v>235045</v>
      </c>
      <c r="H19" s="109">
        <f>ROUND(AVERAGE(G20:G38,G11:G18),2)</f>
        <v>226418.25</v>
      </c>
      <c r="I19" s="110">
        <f t="shared" si="0"/>
        <v>3.8100948134702037E-2</v>
      </c>
      <c r="J19" s="111" t="str">
        <f t="shared" si="1"/>
        <v>VÁLIDO</v>
      </c>
      <c r="K19" s="108">
        <f t="shared" si="2"/>
        <v>235045</v>
      </c>
      <c r="L19" s="109">
        <f>IF(J19="EXCESSIVAMENTE ELEVADO","-",(ROUND(AVERAGE(K11:K18,K20:K38),2)))</f>
        <v>226418.25</v>
      </c>
      <c r="M19" s="110">
        <f t="shared" si="3"/>
        <v>1.0381009481347021</v>
      </c>
      <c r="N19" s="111" t="str">
        <f t="shared" si="4"/>
        <v>EXEQUÍVEL</v>
      </c>
      <c r="O19" s="119">
        <f t="shared" si="5"/>
        <v>235045</v>
      </c>
      <c r="P19" s="7"/>
    </row>
    <row r="20" spans="1:16" ht="15">
      <c r="A20" s="4" t="s">
        <v>66</v>
      </c>
      <c r="B20" s="4">
        <v>926164</v>
      </c>
      <c r="C20" s="52" t="s">
        <v>166</v>
      </c>
      <c r="D20" s="4" t="s">
        <v>67</v>
      </c>
      <c r="E20" s="125" t="s">
        <v>84</v>
      </c>
      <c r="F20" s="54">
        <v>45352</v>
      </c>
      <c r="G20" s="5">
        <v>210400</v>
      </c>
      <c r="H20" s="109">
        <f>ROUND(AVERAGE(G21:G38,G11:G19),2)</f>
        <v>227958.56</v>
      </c>
      <c r="I20" s="110">
        <f t="shared" si="0"/>
        <v>-7.7025227743147684E-2</v>
      </c>
      <c r="J20" s="111" t="str">
        <f t="shared" si="1"/>
        <v>VÁLIDO</v>
      </c>
      <c r="K20" s="108">
        <f t="shared" si="2"/>
        <v>210400</v>
      </c>
      <c r="L20" s="109">
        <f>IF(J20="EXCESSIVAMENTE ELEVADO","-",(ROUND(AVERAGE(K11:K19,K21:K38),2)))</f>
        <v>227958.56</v>
      </c>
      <c r="M20" s="110">
        <f t="shared" si="3"/>
        <v>0.92297477225685232</v>
      </c>
      <c r="N20" s="111" t="str">
        <f t="shared" si="4"/>
        <v>EXEQUÍVEL</v>
      </c>
      <c r="O20" s="119">
        <f t="shared" si="5"/>
        <v>210400</v>
      </c>
      <c r="P20" s="7"/>
    </row>
    <row r="21" spans="1:16" ht="15">
      <c r="A21" s="4" t="s">
        <v>66</v>
      </c>
      <c r="B21" s="4">
        <v>195006</v>
      </c>
      <c r="C21" s="52" t="s">
        <v>167</v>
      </c>
      <c r="D21" s="4" t="s">
        <v>67</v>
      </c>
      <c r="E21" s="125" t="s">
        <v>88</v>
      </c>
      <c r="F21" s="54">
        <v>45301</v>
      </c>
      <c r="G21" s="5">
        <v>240000</v>
      </c>
      <c r="H21" s="109">
        <f>ROUND(AVERAGE(G22:G38,G11:G20),2)</f>
        <v>226108.56</v>
      </c>
      <c r="I21" s="110">
        <f t="shared" si="0"/>
        <v>6.1437037147111996E-2</v>
      </c>
      <c r="J21" s="111" t="str">
        <f t="shared" si="1"/>
        <v>VÁLIDO</v>
      </c>
      <c r="K21" s="108">
        <f t="shared" si="2"/>
        <v>240000</v>
      </c>
      <c r="L21" s="109">
        <f>IF(J21="EXCESSIVAMENTE ELEVADO","-",(ROUND(AVERAGE(K11:K20,K22:K38),2)))</f>
        <v>226108.56</v>
      </c>
      <c r="M21" s="110">
        <f t="shared" si="3"/>
        <v>1.061437037147112</v>
      </c>
      <c r="N21" s="111" t="str">
        <f t="shared" si="4"/>
        <v>EXEQUÍVEL</v>
      </c>
      <c r="O21" s="119">
        <f t="shared" si="5"/>
        <v>240000</v>
      </c>
      <c r="P21" s="7"/>
    </row>
    <row r="22" spans="1:16" ht="15">
      <c r="A22" s="4" t="s">
        <v>66</v>
      </c>
      <c r="B22" s="4">
        <v>195006</v>
      </c>
      <c r="C22" s="52" t="s">
        <v>167</v>
      </c>
      <c r="D22" s="4" t="s">
        <v>67</v>
      </c>
      <c r="E22" s="125" t="s">
        <v>168</v>
      </c>
      <c r="F22" s="54">
        <v>45296</v>
      </c>
      <c r="G22" s="5">
        <v>208400</v>
      </c>
      <c r="H22" s="109">
        <f>ROUND(AVERAGE(G23:G38,G11:G21),2)</f>
        <v>228083.56</v>
      </c>
      <c r="I22" s="110">
        <f t="shared" si="0"/>
        <v>-8.6299775398104087E-2</v>
      </c>
      <c r="J22" s="111" t="str">
        <f t="shared" si="1"/>
        <v>VÁLIDO</v>
      </c>
      <c r="K22" s="108">
        <f t="shared" si="2"/>
        <v>208400</v>
      </c>
      <c r="L22" s="109">
        <f>IF(J22="EXCESSIVAMENTE ELEVADO","-",(ROUND(AVERAGE(K11:K21,K23:K38),2)))</f>
        <v>228083.56</v>
      </c>
      <c r="M22" s="110">
        <f t="shared" si="3"/>
        <v>0.91370022460189593</v>
      </c>
      <c r="N22" s="111" t="str">
        <f t="shared" si="4"/>
        <v>EXEQUÍVEL</v>
      </c>
      <c r="O22" s="119">
        <f t="shared" si="5"/>
        <v>208400</v>
      </c>
      <c r="P22" s="7"/>
    </row>
    <row r="23" spans="1:16" ht="15">
      <c r="A23" s="4" t="s">
        <v>66</v>
      </c>
      <c r="B23" s="4">
        <v>195006</v>
      </c>
      <c r="C23" s="52" t="s">
        <v>167</v>
      </c>
      <c r="D23" s="4" t="s">
        <v>67</v>
      </c>
      <c r="E23" s="125" t="s">
        <v>168</v>
      </c>
      <c r="F23" s="54">
        <v>45296</v>
      </c>
      <c r="G23" s="5">
        <v>242000</v>
      </c>
      <c r="H23" s="109">
        <f>ROUND(AVERAGE(G24:G38,G11:G22),2)</f>
        <v>225983.56</v>
      </c>
      <c r="I23" s="110">
        <f t="shared" si="0"/>
        <v>7.087435917904826E-2</v>
      </c>
      <c r="J23" s="111" t="str">
        <f t="shared" si="1"/>
        <v>VÁLIDO</v>
      </c>
      <c r="K23" s="108">
        <f t="shared" si="2"/>
        <v>242000</v>
      </c>
      <c r="L23" s="109">
        <f>IF(J23="EXCESSIVAMENTE ELEVADO","-",(ROUND(AVERAGE(K11:K22,K24:K38),2)))</f>
        <v>225983.56</v>
      </c>
      <c r="M23" s="110">
        <f t="shared" si="3"/>
        <v>1.0708743591790482</v>
      </c>
      <c r="N23" s="111" t="str">
        <f t="shared" si="4"/>
        <v>EXEQUÍVEL</v>
      </c>
      <c r="O23" s="119">
        <f t="shared" si="5"/>
        <v>242000</v>
      </c>
      <c r="P23" s="7"/>
    </row>
    <row r="24" spans="1:16" ht="15">
      <c r="A24" s="4" t="s">
        <v>66</v>
      </c>
      <c r="B24" s="4">
        <v>195006</v>
      </c>
      <c r="C24" s="52" t="s">
        <v>167</v>
      </c>
      <c r="D24" s="4" t="s">
        <v>67</v>
      </c>
      <c r="E24" s="125" t="s">
        <v>169</v>
      </c>
      <c r="F24" s="54">
        <v>45300</v>
      </c>
      <c r="G24" s="5">
        <v>239900</v>
      </c>
      <c r="H24" s="109">
        <f>ROUND(AVERAGE(G25:G38,G11:G23),2)</f>
        <v>226114.81</v>
      </c>
      <c r="I24" s="110">
        <f t="shared" si="0"/>
        <v>6.096544494365496E-2</v>
      </c>
      <c r="J24" s="111" t="str">
        <f t="shared" si="1"/>
        <v>VÁLIDO</v>
      </c>
      <c r="K24" s="108">
        <f t="shared" si="2"/>
        <v>239900</v>
      </c>
      <c r="L24" s="109">
        <f>IF(J24="EXCESSIVAMENTE ELEVADO","-",(ROUND(AVERAGE(K11:K23,K25:K38),2)))</f>
        <v>226114.81</v>
      </c>
      <c r="M24" s="110">
        <f t="shared" si="3"/>
        <v>1.060965444943655</v>
      </c>
      <c r="N24" s="111" t="str">
        <f t="shared" si="4"/>
        <v>EXEQUÍVEL</v>
      </c>
      <c r="O24" s="119">
        <f t="shared" si="5"/>
        <v>239900</v>
      </c>
      <c r="P24" s="7"/>
    </row>
    <row r="25" spans="1:16" ht="15">
      <c r="A25" s="4" t="s">
        <v>66</v>
      </c>
      <c r="B25" s="4">
        <v>195006</v>
      </c>
      <c r="C25" s="52" t="s">
        <v>167</v>
      </c>
      <c r="D25" s="4" t="s">
        <v>67</v>
      </c>
      <c r="E25" s="125" t="s">
        <v>170</v>
      </c>
      <c r="F25" s="54">
        <v>45330</v>
      </c>
      <c r="G25" s="5">
        <v>236000</v>
      </c>
      <c r="H25" s="109">
        <f>ROUND(AVERAGE(G26:G38,G11:G24),2)</f>
        <v>226358.56</v>
      </c>
      <c r="I25" s="110">
        <f t="shared" si="0"/>
        <v>4.2593662020115358E-2</v>
      </c>
      <c r="J25" s="111" t="str">
        <f t="shared" si="1"/>
        <v>VÁLIDO</v>
      </c>
      <c r="K25" s="108">
        <f t="shared" si="2"/>
        <v>236000</v>
      </c>
      <c r="L25" s="109">
        <f>IF(J25="EXCESSIVAMENTE ELEVADO","-",(ROUND(AVERAGE(K11:K24,K26:K38),2)))</f>
        <v>226358.56</v>
      </c>
      <c r="M25" s="110">
        <f t="shared" si="3"/>
        <v>1.0425936620201153</v>
      </c>
      <c r="N25" s="111" t="str">
        <f t="shared" si="4"/>
        <v>EXEQUÍVEL</v>
      </c>
      <c r="O25" s="119">
        <f t="shared" si="5"/>
        <v>236000</v>
      </c>
      <c r="P25" s="7"/>
    </row>
    <row r="26" spans="1:16" ht="15">
      <c r="A26" s="4" t="s">
        <v>66</v>
      </c>
      <c r="B26" s="4">
        <v>987691</v>
      </c>
      <c r="C26" s="52" t="s">
        <v>171</v>
      </c>
      <c r="D26" s="4" t="s">
        <v>67</v>
      </c>
      <c r="E26" s="125" t="s">
        <v>172</v>
      </c>
      <c r="F26" s="54">
        <v>45295</v>
      </c>
      <c r="G26" s="5">
        <v>234900</v>
      </c>
      <c r="H26" s="109">
        <f>ROUND(AVERAGE(G27:G38,G11:G25),2)</f>
        <v>226427.31</v>
      </c>
      <c r="I26" s="110">
        <f t="shared" si="0"/>
        <v>3.741902864985678E-2</v>
      </c>
      <c r="J26" s="111" t="str">
        <f t="shared" si="1"/>
        <v>VÁLIDO</v>
      </c>
      <c r="K26" s="108">
        <f t="shared" si="2"/>
        <v>234900</v>
      </c>
      <c r="L26" s="109">
        <f>IF(J26="EXCESSIVAMENTE ELEVADO","-",(ROUND(AVERAGE(K11:K25,K27:K38),2)))</f>
        <v>226427.31</v>
      </c>
      <c r="M26" s="110">
        <f t="shared" si="3"/>
        <v>1.0374190286498568</v>
      </c>
      <c r="N26" s="111" t="str">
        <f t="shared" si="4"/>
        <v>EXEQUÍVEL</v>
      </c>
      <c r="O26" s="119">
        <f t="shared" si="5"/>
        <v>234900</v>
      </c>
      <c r="P26" s="7"/>
    </row>
    <row r="27" spans="1:16" ht="15">
      <c r="A27" s="4" t="s">
        <v>66</v>
      </c>
      <c r="B27" s="4">
        <v>987619</v>
      </c>
      <c r="C27" s="52" t="s">
        <v>173</v>
      </c>
      <c r="D27" s="4" t="s">
        <v>67</v>
      </c>
      <c r="E27" s="125" t="s">
        <v>150</v>
      </c>
      <c r="F27" s="54">
        <v>45377</v>
      </c>
      <c r="G27" s="5">
        <v>234000</v>
      </c>
      <c r="H27" s="109">
        <f>ROUND(AVERAGE(G11:G26),2)</f>
        <v>226483.56</v>
      </c>
      <c r="I27" s="110">
        <f t="shared" si="0"/>
        <v>3.3187574409374358E-2</v>
      </c>
      <c r="J27" s="111" t="str">
        <f t="shared" si="1"/>
        <v>VÁLIDO</v>
      </c>
      <c r="K27" s="108">
        <f>IF(J27="EXCESSIVAMENTE ELEVADO","-",G27)</f>
        <v>234000</v>
      </c>
      <c r="L27" s="109">
        <f>IF(J27="EXCESSIVAMENTE ELEVADO","-",(ROUND(AVERAGE(K11:K26),2)))</f>
        <v>226483.56</v>
      </c>
      <c r="M27" s="110">
        <f t="shared" si="3"/>
        <v>1.0331875744093744</v>
      </c>
      <c r="N27" s="111" t="str">
        <f t="shared" si="4"/>
        <v>EXEQUÍVEL</v>
      </c>
      <c r="O27" s="119">
        <f t="shared" si="5"/>
        <v>234000</v>
      </c>
    </row>
    <row r="28" spans="1:16" ht="15" thickBot="1">
      <c r="H28" s="113"/>
      <c r="I28" s="112"/>
      <c r="J28" s="112"/>
      <c r="K28" s="112"/>
      <c r="L28" s="112"/>
      <c r="M28" s="112"/>
      <c r="N28" s="112"/>
      <c r="O28" s="112"/>
    </row>
    <row r="29" spans="1:16" ht="14.25">
      <c r="A29" s="64" t="s">
        <v>70</v>
      </c>
      <c r="H29" s="112"/>
      <c r="I29" s="112"/>
      <c r="J29" s="112"/>
      <c r="K29" s="112"/>
      <c r="L29" s="112"/>
      <c r="M29" s="112"/>
      <c r="N29" s="114" t="s">
        <v>71</v>
      </c>
      <c r="O29" s="120">
        <f>ROUND(AVERAGE(O11:O27),2)</f>
        <v>226925.71</v>
      </c>
    </row>
    <row r="30" spans="1:16" ht="14.25">
      <c r="A30" s="67" t="s">
        <v>72</v>
      </c>
      <c r="H30" s="112"/>
      <c r="I30" s="112"/>
      <c r="J30" s="112"/>
      <c r="K30" s="112"/>
      <c r="L30" s="112"/>
      <c r="M30" s="112"/>
      <c r="N30" s="115" t="s">
        <v>73</v>
      </c>
      <c r="O30" s="121">
        <f>_xlfn.STDEV.P(O11:O27)</f>
        <v>13317.764384746131</v>
      </c>
    </row>
    <row r="31" spans="1:16" ht="14.25">
      <c r="A31" s="67"/>
      <c r="H31" s="112"/>
      <c r="I31" s="112"/>
      <c r="J31" s="112"/>
      <c r="K31" s="112"/>
      <c r="L31" s="112"/>
      <c r="M31" s="112"/>
      <c r="N31" s="115" t="s">
        <v>74</v>
      </c>
      <c r="O31" s="122">
        <f>O30/O29</f>
        <v>5.8687772243815529E-2</v>
      </c>
    </row>
    <row r="32" spans="1:16" ht="15" thickBot="1">
      <c r="A32" s="7"/>
      <c r="H32" s="112"/>
      <c r="I32" s="112"/>
      <c r="J32" s="112"/>
      <c r="K32" s="112"/>
      <c r="L32" s="112"/>
      <c r="M32" s="112"/>
      <c r="N32" s="116" t="s">
        <v>75</v>
      </c>
      <c r="O32" s="123">
        <f>ROUND(MEDIAN(O11:O27),2)</f>
        <v>234000</v>
      </c>
    </row>
    <row r="33" spans="1:15" ht="15" thickBot="1">
      <c r="A33" s="73" t="s">
        <v>76</v>
      </c>
      <c r="H33" s="112"/>
      <c r="I33" s="112"/>
      <c r="J33" s="112"/>
      <c r="K33" s="112"/>
      <c r="L33" s="112"/>
      <c r="M33" s="117" t="s">
        <v>147</v>
      </c>
      <c r="N33" s="118" t="str">
        <f>IF(O31&gt;25%,"MEDIANA","MÉDIA")</f>
        <v>MÉDIA</v>
      </c>
      <c r="O33" s="124">
        <f>IF(O31&gt;25%,O32,O29)</f>
        <v>226925.71</v>
      </c>
    </row>
    <row r="34" spans="1:15">
      <c r="A34" s="7" t="s">
        <v>77</v>
      </c>
    </row>
    <row r="35" spans="1:15">
      <c r="A35" s="7" t="s">
        <v>78</v>
      </c>
    </row>
    <row r="36" spans="1:15">
      <c r="A36" s="7" t="s">
        <v>79</v>
      </c>
    </row>
    <row r="37" spans="1:15">
      <c r="A37" s="7" t="s">
        <v>80</v>
      </c>
    </row>
  </sheetData>
  <mergeCells count="8">
    <mergeCell ref="A2:O2"/>
    <mergeCell ref="A9:B9"/>
    <mergeCell ref="C9:G9"/>
    <mergeCell ref="H9:J9"/>
    <mergeCell ref="A3:O3"/>
    <mergeCell ref="A4:O4"/>
    <mergeCell ref="A6:O6"/>
    <mergeCell ref="K9:N9"/>
  </mergeCells>
  <conditionalFormatting sqref="J11:J26">
    <cfRule type="containsText" dxfId="43" priority="9" operator="containsText" text="VÁLIDO">
      <formula>NOT(ISERROR(SEARCH("VÁLIDO",J11)))</formula>
    </cfRule>
    <cfRule type="containsText" dxfId="42" priority="10" operator="containsText" text="EXCESSIVAMENTE ELEVADO">
      <formula>NOT(ISERROR(SEARCH("EXCESSIVAMENTE ELEVADO",J11)))</formula>
    </cfRule>
  </conditionalFormatting>
  <conditionalFormatting sqref="N11:N26">
    <cfRule type="beginsWith" dxfId="41" priority="6" operator="beginsWith" text="EXCLUÍDO">
      <formula>LEFT(N11,LEN("EXCLUÍDO"))="EXCLUÍDO"</formula>
    </cfRule>
    <cfRule type="beginsWith" dxfId="40" priority="7" operator="beginsWith" text="EXEQUÍVEL">
      <formula>LEFT(N11,LEN("EXEQUÍVEL"))="EXEQUÍVEL"</formula>
    </cfRule>
    <cfRule type="beginsWith" dxfId="39" priority="8" operator="beginsWith" text="INEXEQUÍVEL">
      <formula>LEFT(N11,LEN("INEXEQUÍVEL"))="INEXEQUÍVEL"</formula>
    </cfRule>
  </conditionalFormatting>
  <conditionalFormatting sqref="J27">
    <cfRule type="containsText" dxfId="38" priority="4" operator="containsText" text="VÁLIDO">
      <formula>NOT(ISERROR(SEARCH("VÁLIDO",J27)))</formula>
    </cfRule>
    <cfRule type="containsText" dxfId="37" priority="5" operator="containsText" text="EXCESSIVAMENTE ELEVADO">
      <formula>NOT(ISERROR(SEARCH("EXCESSIVAMENTE ELEVADO",J27)))</formula>
    </cfRule>
  </conditionalFormatting>
  <conditionalFormatting sqref="N27">
    <cfRule type="beginsWith" dxfId="36" priority="1" operator="beginsWith" text="EXCLUÍDO">
      <formula>LEFT(N27,LEN("EXCLUÍDO"))="EXCLUÍDO"</formula>
    </cfRule>
    <cfRule type="beginsWith" dxfId="35" priority="2" operator="beginsWith" text="EXEQUÍVEL">
      <formula>LEFT(N27,LEN("EXEQUÍVEL"))="EXEQUÍVEL"</formula>
    </cfRule>
    <cfRule type="beginsWith" dxfId="34" priority="3" operator="beginsWith" text="INEXEQUÍVEL">
      <formula>LEFT(N27,LEN("INEXEQUÍVEL"))="INEXEQUÍVEL"</formula>
    </cfRule>
  </conditionalFormatting>
  <pageMargins left="0.511811024" right="0.511811024" top="0.78740157499999996" bottom="0.78740157499999996" header="0.31496062000000002" footer="0.31496062000000002"/>
  <pageSetup paperSize="9" scale="55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showGridLines="0" zoomScaleNormal="100" workbookViewId="0">
      <selection activeCell="A4" sqref="A4:I4"/>
    </sheetView>
  </sheetViews>
  <sheetFormatPr defaultRowHeight="12.75"/>
  <cols>
    <col min="1" max="1" width="32" customWidth="1"/>
    <col min="2" max="2" width="18.85546875" customWidth="1"/>
    <col min="3" max="7" width="17.140625" customWidth="1"/>
    <col min="8" max="8" width="15.7109375" customWidth="1"/>
    <col min="9" max="9" width="14.140625" customWidth="1"/>
    <col min="10" max="258" width="8.7109375" bestFit="1" customWidth="1"/>
    <col min="259" max="259" width="30" customWidth="1"/>
    <col min="260" max="260" width="8.5703125" customWidth="1"/>
    <col min="261" max="261" width="15.85546875" customWidth="1"/>
    <col min="262" max="263" width="17.42578125" customWidth="1"/>
    <col min="264" max="264" width="19.28515625" customWidth="1"/>
    <col min="265" max="514" width="8.7109375" bestFit="1" customWidth="1"/>
    <col min="515" max="515" width="30" customWidth="1"/>
    <col min="516" max="516" width="8.5703125" customWidth="1"/>
    <col min="517" max="517" width="15.85546875" customWidth="1"/>
    <col min="518" max="519" width="17.42578125" customWidth="1"/>
    <col min="520" max="520" width="19.28515625" customWidth="1"/>
    <col min="521" max="770" width="8.7109375" bestFit="1" customWidth="1"/>
    <col min="771" max="771" width="30" customWidth="1"/>
    <col min="772" max="772" width="8.5703125" customWidth="1"/>
    <col min="773" max="773" width="15.85546875" customWidth="1"/>
    <col min="774" max="775" width="17.42578125" customWidth="1"/>
    <col min="776" max="776" width="19.28515625" customWidth="1"/>
    <col min="777" max="1026" width="8.7109375" bestFit="1" customWidth="1"/>
    <col min="1027" max="1027" width="30" customWidth="1"/>
    <col min="1028" max="1028" width="8.5703125" customWidth="1"/>
    <col min="1029" max="1029" width="15.85546875" customWidth="1"/>
    <col min="1030" max="1031" width="17.42578125" customWidth="1"/>
    <col min="1032" max="1032" width="19.28515625" customWidth="1"/>
    <col min="1033" max="1282" width="8.7109375" bestFit="1" customWidth="1"/>
    <col min="1283" max="1283" width="30" customWidth="1"/>
    <col min="1284" max="1284" width="8.5703125" customWidth="1"/>
    <col min="1285" max="1285" width="15.85546875" customWidth="1"/>
    <col min="1286" max="1287" width="17.42578125" customWidth="1"/>
    <col min="1288" max="1288" width="19.28515625" customWidth="1"/>
    <col min="1289" max="1538" width="8.7109375" bestFit="1" customWidth="1"/>
    <col min="1539" max="1539" width="30" customWidth="1"/>
    <col min="1540" max="1540" width="8.5703125" customWidth="1"/>
    <col min="1541" max="1541" width="15.85546875" customWidth="1"/>
    <col min="1542" max="1543" width="17.42578125" customWidth="1"/>
    <col min="1544" max="1544" width="19.28515625" customWidth="1"/>
    <col min="1545" max="1794" width="8.7109375" bestFit="1" customWidth="1"/>
    <col min="1795" max="1795" width="30" customWidth="1"/>
    <col min="1796" max="1796" width="8.5703125" customWidth="1"/>
    <col min="1797" max="1797" width="15.85546875" customWidth="1"/>
    <col min="1798" max="1799" width="17.42578125" customWidth="1"/>
    <col min="1800" max="1800" width="19.28515625" customWidth="1"/>
    <col min="1801" max="2050" width="8.7109375" bestFit="1" customWidth="1"/>
    <col min="2051" max="2051" width="30" customWidth="1"/>
    <col min="2052" max="2052" width="8.5703125" customWidth="1"/>
    <col min="2053" max="2053" width="15.85546875" customWidth="1"/>
    <col min="2054" max="2055" width="17.42578125" customWidth="1"/>
    <col min="2056" max="2056" width="19.28515625" customWidth="1"/>
    <col min="2057" max="2306" width="8.7109375" bestFit="1" customWidth="1"/>
    <col min="2307" max="2307" width="30" customWidth="1"/>
    <col min="2308" max="2308" width="8.5703125" customWidth="1"/>
    <col min="2309" max="2309" width="15.85546875" customWidth="1"/>
    <col min="2310" max="2311" width="17.42578125" customWidth="1"/>
    <col min="2312" max="2312" width="19.28515625" customWidth="1"/>
    <col min="2313" max="2562" width="8.7109375" bestFit="1" customWidth="1"/>
    <col min="2563" max="2563" width="30" customWidth="1"/>
    <col min="2564" max="2564" width="8.5703125" customWidth="1"/>
    <col min="2565" max="2565" width="15.85546875" customWidth="1"/>
    <col min="2566" max="2567" width="17.42578125" customWidth="1"/>
    <col min="2568" max="2568" width="19.28515625" customWidth="1"/>
    <col min="2569" max="2818" width="8.7109375" bestFit="1" customWidth="1"/>
    <col min="2819" max="2819" width="30" customWidth="1"/>
    <col min="2820" max="2820" width="8.5703125" customWidth="1"/>
    <col min="2821" max="2821" width="15.85546875" customWidth="1"/>
    <col min="2822" max="2823" width="17.42578125" customWidth="1"/>
    <col min="2824" max="2824" width="19.28515625" customWidth="1"/>
    <col min="2825" max="3074" width="8.7109375" bestFit="1" customWidth="1"/>
    <col min="3075" max="3075" width="30" customWidth="1"/>
    <col min="3076" max="3076" width="8.5703125" customWidth="1"/>
    <col min="3077" max="3077" width="15.85546875" customWidth="1"/>
    <col min="3078" max="3079" width="17.42578125" customWidth="1"/>
    <col min="3080" max="3080" width="19.28515625" customWidth="1"/>
    <col min="3081" max="3330" width="8.7109375" bestFit="1" customWidth="1"/>
    <col min="3331" max="3331" width="30" customWidth="1"/>
    <col min="3332" max="3332" width="8.5703125" customWidth="1"/>
    <col min="3333" max="3333" width="15.85546875" customWidth="1"/>
    <col min="3334" max="3335" width="17.42578125" customWidth="1"/>
    <col min="3336" max="3336" width="19.28515625" customWidth="1"/>
    <col min="3337" max="3586" width="8.7109375" bestFit="1" customWidth="1"/>
    <col min="3587" max="3587" width="30" customWidth="1"/>
    <col min="3588" max="3588" width="8.5703125" customWidth="1"/>
    <col min="3589" max="3589" width="15.85546875" customWidth="1"/>
    <col min="3590" max="3591" width="17.42578125" customWidth="1"/>
    <col min="3592" max="3592" width="19.28515625" customWidth="1"/>
    <col min="3593" max="3842" width="8.7109375" bestFit="1" customWidth="1"/>
    <col min="3843" max="3843" width="30" customWidth="1"/>
    <col min="3844" max="3844" width="8.5703125" customWidth="1"/>
    <col min="3845" max="3845" width="15.85546875" customWidth="1"/>
    <col min="3846" max="3847" width="17.42578125" customWidth="1"/>
    <col min="3848" max="3848" width="19.28515625" customWidth="1"/>
    <col min="3849" max="4098" width="8.7109375" bestFit="1" customWidth="1"/>
    <col min="4099" max="4099" width="30" customWidth="1"/>
    <col min="4100" max="4100" width="8.5703125" customWidth="1"/>
    <col min="4101" max="4101" width="15.85546875" customWidth="1"/>
    <col min="4102" max="4103" width="17.42578125" customWidth="1"/>
    <col min="4104" max="4104" width="19.28515625" customWidth="1"/>
    <col min="4105" max="4354" width="8.7109375" bestFit="1" customWidth="1"/>
    <col min="4355" max="4355" width="30" customWidth="1"/>
    <col min="4356" max="4356" width="8.5703125" customWidth="1"/>
    <col min="4357" max="4357" width="15.85546875" customWidth="1"/>
    <col min="4358" max="4359" width="17.42578125" customWidth="1"/>
    <col min="4360" max="4360" width="19.28515625" customWidth="1"/>
    <col min="4361" max="4610" width="8.7109375" bestFit="1" customWidth="1"/>
    <col min="4611" max="4611" width="30" customWidth="1"/>
    <col min="4612" max="4612" width="8.5703125" customWidth="1"/>
    <col min="4613" max="4613" width="15.85546875" customWidth="1"/>
    <col min="4614" max="4615" width="17.42578125" customWidth="1"/>
    <col min="4616" max="4616" width="19.28515625" customWidth="1"/>
    <col min="4617" max="4866" width="8.7109375" bestFit="1" customWidth="1"/>
    <col min="4867" max="4867" width="30" customWidth="1"/>
    <col min="4868" max="4868" width="8.5703125" customWidth="1"/>
    <col min="4869" max="4869" width="15.85546875" customWidth="1"/>
    <col min="4870" max="4871" width="17.42578125" customWidth="1"/>
    <col min="4872" max="4872" width="19.28515625" customWidth="1"/>
    <col min="4873" max="5122" width="8.7109375" bestFit="1" customWidth="1"/>
    <col min="5123" max="5123" width="30" customWidth="1"/>
    <col min="5124" max="5124" width="8.5703125" customWidth="1"/>
    <col min="5125" max="5125" width="15.85546875" customWidth="1"/>
    <col min="5126" max="5127" width="17.42578125" customWidth="1"/>
    <col min="5128" max="5128" width="19.28515625" customWidth="1"/>
    <col min="5129" max="5378" width="8.7109375" bestFit="1" customWidth="1"/>
    <col min="5379" max="5379" width="30" customWidth="1"/>
    <col min="5380" max="5380" width="8.5703125" customWidth="1"/>
    <col min="5381" max="5381" width="15.85546875" customWidth="1"/>
    <col min="5382" max="5383" width="17.42578125" customWidth="1"/>
    <col min="5384" max="5384" width="19.28515625" customWidth="1"/>
    <col min="5385" max="5634" width="8.7109375" bestFit="1" customWidth="1"/>
    <col min="5635" max="5635" width="30" customWidth="1"/>
    <col min="5636" max="5636" width="8.5703125" customWidth="1"/>
    <col min="5637" max="5637" width="15.85546875" customWidth="1"/>
    <col min="5638" max="5639" width="17.42578125" customWidth="1"/>
    <col min="5640" max="5640" width="19.28515625" customWidth="1"/>
    <col min="5641" max="5890" width="8.7109375" bestFit="1" customWidth="1"/>
    <col min="5891" max="5891" width="30" customWidth="1"/>
    <col min="5892" max="5892" width="8.5703125" customWidth="1"/>
    <col min="5893" max="5893" width="15.85546875" customWidth="1"/>
    <col min="5894" max="5895" width="17.42578125" customWidth="1"/>
    <col min="5896" max="5896" width="19.28515625" customWidth="1"/>
    <col min="5897" max="6146" width="8.7109375" bestFit="1" customWidth="1"/>
    <col min="6147" max="6147" width="30" customWidth="1"/>
    <col min="6148" max="6148" width="8.5703125" customWidth="1"/>
    <col min="6149" max="6149" width="15.85546875" customWidth="1"/>
    <col min="6150" max="6151" width="17.42578125" customWidth="1"/>
    <col min="6152" max="6152" width="19.28515625" customWidth="1"/>
    <col min="6153" max="6402" width="8.7109375" bestFit="1" customWidth="1"/>
    <col min="6403" max="6403" width="30" customWidth="1"/>
    <col min="6404" max="6404" width="8.5703125" customWidth="1"/>
    <col min="6405" max="6405" width="15.85546875" customWidth="1"/>
    <col min="6406" max="6407" width="17.42578125" customWidth="1"/>
    <col min="6408" max="6408" width="19.28515625" customWidth="1"/>
    <col min="6409" max="6658" width="8.7109375" bestFit="1" customWidth="1"/>
    <col min="6659" max="6659" width="30" customWidth="1"/>
    <col min="6660" max="6660" width="8.5703125" customWidth="1"/>
    <col min="6661" max="6661" width="15.85546875" customWidth="1"/>
    <col min="6662" max="6663" width="17.42578125" customWidth="1"/>
    <col min="6664" max="6664" width="19.28515625" customWidth="1"/>
    <col min="6665" max="6914" width="8.7109375" bestFit="1" customWidth="1"/>
    <col min="6915" max="6915" width="30" customWidth="1"/>
    <col min="6916" max="6916" width="8.5703125" customWidth="1"/>
    <col min="6917" max="6917" width="15.85546875" customWidth="1"/>
    <col min="6918" max="6919" width="17.42578125" customWidth="1"/>
    <col min="6920" max="6920" width="19.28515625" customWidth="1"/>
    <col min="6921" max="7170" width="8.7109375" bestFit="1" customWidth="1"/>
    <col min="7171" max="7171" width="30" customWidth="1"/>
    <col min="7172" max="7172" width="8.5703125" customWidth="1"/>
    <col min="7173" max="7173" width="15.85546875" customWidth="1"/>
    <col min="7174" max="7175" width="17.42578125" customWidth="1"/>
    <col min="7176" max="7176" width="19.28515625" customWidth="1"/>
    <col min="7177" max="7426" width="8.7109375" bestFit="1" customWidth="1"/>
    <col min="7427" max="7427" width="30" customWidth="1"/>
    <col min="7428" max="7428" width="8.5703125" customWidth="1"/>
    <col min="7429" max="7429" width="15.85546875" customWidth="1"/>
    <col min="7430" max="7431" width="17.42578125" customWidth="1"/>
    <col min="7432" max="7432" width="19.28515625" customWidth="1"/>
    <col min="7433" max="7682" width="8.7109375" bestFit="1" customWidth="1"/>
    <col min="7683" max="7683" width="30" customWidth="1"/>
    <col min="7684" max="7684" width="8.5703125" customWidth="1"/>
    <col min="7685" max="7685" width="15.85546875" customWidth="1"/>
    <col min="7686" max="7687" width="17.42578125" customWidth="1"/>
    <col min="7688" max="7688" width="19.28515625" customWidth="1"/>
    <col min="7689" max="7938" width="8.7109375" bestFit="1" customWidth="1"/>
    <col min="7939" max="7939" width="30" customWidth="1"/>
    <col min="7940" max="7940" width="8.5703125" customWidth="1"/>
    <col min="7941" max="7941" width="15.85546875" customWidth="1"/>
    <col min="7942" max="7943" width="17.42578125" customWidth="1"/>
    <col min="7944" max="7944" width="19.28515625" customWidth="1"/>
    <col min="7945" max="8194" width="8.7109375" bestFit="1" customWidth="1"/>
    <col min="8195" max="8195" width="30" customWidth="1"/>
    <col min="8196" max="8196" width="8.5703125" customWidth="1"/>
    <col min="8197" max="8197" width="15.85546875" customWidth="1"/>
    <col min="8198" max="8199" width="17.42578125" customWidth="1"/>
    <col min="8200" max="8200" width="19.28515625" customWidth="1"/>
    <col min="8201" max="8450" width="8.7109375" bestFit="1" customWidth="1"/>
    <col min="8451" max="8451" width="30" customWidth="1"/>
    <col min="8452" max="8452" width="8.5703125" customWidth="1"/>
    <col min="8453" max="8453" width="15.85546875" customWidth="1"/>
    <col min="8454" max="8455" width="17.42578125" customWidth="1"/>
    <col min="8456" max="8456" width="19.28515625" customWidth="1"/>
    <col min="8457" max="8706" width="8.7109375" bestFit="1" customWidth="1"/>
    <col min="8707" max="8707" width="30" customWidth="1"/>
    <col min="8708" max="8708" width="8.5703125" customWidth="1"/>
    <col min="8709" max="8709" width="15.85546875" customWidth="1"/>
    <col min="8710" max="8711" width="17.42578125" customWidth="1"/>
    <col min="8712" max="8712" width="19.28515625" customWidth="1"/>
    <col min="8713" max="8962" width="8.7109375" bestFit="1" customWidth="1"/>
    <col min="8963" max="8963" width="30" customWidth="1"/>
    <col min="8964" max="8964" width="8.5703125" customWidth="1"/>
    <col min="8965" max="8965" width="15.85546875" customWidth="1"/>
    <col min="8966" max="8967" width="17.42578125" customWidth="1"/>
    <col min="8968" max="8968" width="19.28515625" customWidth="1"/>
    <col min="8969" max="9218" width="8.7109375" bestFit="1" customWidth="1"/>
    <col min="9219" max="9219" width="30" customWidth="1"/>
    <col min="9220" max="9220" width="8.5703125" customWidth="1"/>
    <col min="9221" max="9221" width="15.85546875" customWidth="1"/>
    <col min="9222" max="9223" width="17.42578125" customWidth="1"/>
    <col min="9224" max="9224" width="19.28515625" customWidth="1"/>
    <col min="9225" max="9474" width="8.7109375" bestFit="1" customWidth="1"/>
    <col min="9475" max="9475" width="30" customWidth="1"/>
    <col min="9476" max="9476" width="8.5703125" customWidth="1"/>
    <col min="9477" max="9477" width="15.85546875" customWidth="1"/>
    <col min="9478" max="9479" width="17.42578125" customWidth="1"/>
    <col min="9480" max="9480" width="19.28515625" customWidth="1"/>
    <col min="9481" max="9730" width="8.7109375" bestFit="1" customWidth="1"/>
    <col min="9731" max="9731" width="30" customWidth="1"/>
    <col min="9732" max="9732" width="8.5703125" customWidth="1"/>
    <col min="9733" max="9733" width="15.85546875" customWidth="1"/>
    <col min="9734" max="9735" width="17.42578125" customWidth="1"/>
    <col min="9736" max="9736" width="19.28515625" customWidth="1"/>
    <col min="9737" max="9986" width="8.7109375" bestFit="1" customWidth="1"/>
    <col min="9987" max="9987" width="30" customWidth="1"/>
    <col min="9988" max="9988" width="8.5703125" customWidth="1"/>
    <col min="9989" max="9989" width="15.85546875" customWidth="1"/>
    <col min="9990" max="9991" width="17.42578125" customWidth="1"/>
    <col min="9992" max="9992" width="19.28515625" customWidth="1"/>
    <col min="9993" max="10242" width="8.7109375" bestFit="1" customWidth="1"/>
    <col min="10243" max="10243" width="30" customWidth="1"/>
    <col min="10244" max="10244" width="8.5703125" customWidth="1"/>
    <col min="10245" max="10245" width="15.85546875" customWidth="1"/>
    <col min="10246" max="10247" width="17.42578125" customWidth="1"/>
    <col min="10248" max="10248" width="19.28515625" customWidth="1"/>
    <col min="10249" max="10498" width="8.7109375" bestFit="1" customWidth="1"/>
    <col min="10499" max="10499" width="30" customWidth="1"/>
    <col min="10500" max="10500" width="8.5703125" customWidth="1"/>
    <col min="10501" max="10501" width="15.85546875" customWidth="1"/>
    <col min="10502" max="10503" width="17.42578125" customWidth="1"/>
    <col min="10504" max="10504" width="19.28515625" customWidth="1"/>
    <col min="10505" max="10754" width="8.7109375" bestFit="1" customWidth="1"/>
    <col min="10755" max="10755" width="30" customWidth="1"/>
    <col min="10756" max="10756" width="8.5703125" customWidth="1"/>
    <col min="10757" max="10757" width="15.85546875" customWidth="1"/>
    <col min="10758" max="10759" width="17.42578125" customWidth="1"/>
    <col min="10760" max="10760" width="19.28515625" customWidth="1"/>
    <col min="10761" max="11010" width="8.7109375" bestFit="1" customWidth="1"/>
    <col min="11011" max="11011" width="30" customWidth="1"/>
    <col min="11012" max="11012" width="8.5703125" customWidth="1"/>
    <col min="11013" max="11013" width="15.85546875" customWidth="1"/>
    <col min="11014" max="11015" width="17.42578125" customWidth="1"/>
    <col min="11016" max="11016" width="19.28515625" customWidth="1"/>
    <col min="11017" max="11266" width="8.7109375" bestFit="1" customWidth="1"/>
    <col min="11267" max="11267" width="30" customWidth="1"/>
    <col min="11268" max="11268" width="8.5703125" customWidth="1"/>
    <col min="11269" max="11269" width="15.85546875" customWidth="1"/>
    <col min="11270" max="11271" width="17.42578125" customWidth="1"/>
    <col min="11272" max="11272" width="19.28515625" customWidth="1"/>
    <col min="11273" max="11522" width="8.7109375" bestFit="1" customWidth="1"/>
    <col min="11523" max="11523" width="30" customWidth="1"/>
    <col min="11524" max="11524" width="8.5703125" customWidth="1"/>
    <col min="11525" max="11525" width="15.85546875" customWidth="1"/>
    <col min="11526" max="11527" width="17.42578125" customWidth="1"/>
    <col min="11528" max="11528" width="19.28515625" customWidth="1"/>
    <col min="11529" max="11778" width="8.7109375" bestFit="1" customWidth="1"/>
    <col min="11779" max="11779" width="30" customWidth="1"/>
    <col min="11780" max="11780" width="8.5703125" customWidth="1"/>
    <col min="11781" max="11781" width="15.85546875" customWidth="1"/>
    <col min="11782" max="11783" width="17.42578125" customWidth="1"/>
    <col min="11784" max="11784" width="19.28515625" customWidth="1"/>
    <col min="11785" max="12034" width="8.7109375" bestFit="1" customWidth="1"/>
    <col min="12035" max="12035" width="30" customWidth="1"/>
    <col min="12036" max="12036" width="8.5703125" customWidth="1"/>
    <col min="12037" max="12037" width="15.85546875" customWidth="1"/>
    <col min="12038" max="12039" width="17.42578125" customWidth="1"/>
    <col min="12040" max="12040" width="19.28515625" customWidth="1"/>
    <col min="12041" max="12290" width="8.7109375" bestFit="1" customWidth="1"/>
    <col min="12291" max="12291" width="30" customWidth="1"/>
    <col min="12292" max="12292" width="8.5703125" customWidth="1"/>
    <col min="12293" max="12293" width="15.85546875" customWidth="1"/>
    <col min="12294" max="12295" width="17.42578125" customWidth="1"/>
    <col min="12296" max="12296" width="19.28515625" customWidth="1"/>
    <col min="12297" max="12546" width="8.7109375" bestFit="1" customWidth="1"/>
    <col min="12547" max="12547" width="30" customWidth="1"/>
    <col min="12548" max="12548" width="8.5703125" customWidth="1"/>
    <col min="12549" max="12549" width="15.85546875" customWidth="1"/>
    <col min="12550" max="12551" width="17.42578125" customWidth="1"/>
    <col min="12552" max="12552" width="19.28515625" customWidth="1"/>
    <col min="12553" max="12802" width="8.7109375" bestFit="1" customWidth="1"/>
    <col min="12803" max="12803" width="30" customWidth="1"/>
    <col min="12804" max="12804" width="8.5703125" customWidth="1"/>
    <col min="12805" max="12805" width="15.85546875" customWidth="1"/>
    <col min="12806" max="12807" width="17.42578125" customWidth="1"/>
    <col min="12808" max="12808" width="19.28515625" customWidth="1"/>
    <col min="12809" max="13058" width="8.7109375" bestFit="1" customWidth="1"/>
    <col min="13059" max="13059" width="30" customWidth="1"/>
    <col min="13060" max="13060" width="8.5703125" customWidth="1"/>
    <col min="13061" max="13061" width="15.85546875" customWidth="1"/>
    <col min="13062" max="13063" width="17.42578125" customWidth="1"/>
    <col min="13064" max="13064" width="19.28515625" customWidth="1"/>
    <col min="13065" max="13314" width="8.7109375" bestFit="1" customWidth="1"/>
    <col min="13315" max="13315" width="30" customWidth="1"/>
    <col min="13316" max="13316" width="8.5703125" customWidth="1"/>
    <col min="13317" max="13317" width="15.85546875" customWidth="1"/>
    <col min="13318" max="13319" width="17.42578125" customWidth="1"/>
    <col min="13320" max="13320" width="19.28515625" customWidth="1"/>
    <col min="13321" max="13570" width="8.7109375" bestFit="1" customWidth="1"/>
    <col min="13571" max="13571" width="30" customWidth="1"/>
    <col min="13572" max="13572" width="8.5703125" customWidth="1"/>
    <col min="13573" max="13573" width="15.85546875" customWidth="1"/>
    <col min="13574" max="13575" width="17.42578125" customWidth="1"/>
    <col min="13576" max="13576" width="19.28515625" customWidth="1"/>
    <col min="13577" max="13826" width="8.7109375" bestFit="1" customWidth="1"/>
    <col min="13827" max="13827" width="30" customWidth="1"/>
    <col min="13828" max="13828" width="8.5703125" customWidth="1"/>
    <col min="13829" max="13829" width="15.85546875" customWidth="1"/>
    <col min="13830" max="13831" width="17.42578125" customWidth="1"/>
    <col min="13832" max="13832" width="19.28515625" customWidth="1"/>
    <col min="13833" max="14082" width="8.7109375" bestFit="1" customWidth="1"/>
    <col min="14083" max="14083" width="30" customWidth="1"/>
    <col min="14084" max="14084" width="8.5703125" customWidth="1"/>
    <col min="14085" max="14085" width="15.85546875" customWidth="1"/>
    <col min="14086" max="14087" width="17.42578125" customWidth="1"/>
    <col min="14088" max="14088" width="19.28515625" customWidth="1"/>
    <col min="14089" max="14338" width="8.7109375" bestFit="1" customWidth="1"/>
    <col min="14339" max="14339" width="30" customWidth="1"/>
    <col min="14340" max="14340" width="8.5703125" customWidth="1"/>
    <col min="14341" max="14341" width="15.85546875" customWidth="1"/>
    <col min="14342" max="14343" width="17.42578125" customWidth="1"/>
    <col min="14344" max="14344" width="19.28515625" customWidth="1"/>
    <col min="14345" max="14594" width="8.7109375" bestFit="1" customWidth="1"/>
    <col min="14595" max="14595" width="30" customWidth="1"/>
    <col min="14596" max="14596" width="8.5703125" customWidth="1"/>
    <col min="14597" max="14597" width="15.85546875" customWidth="1"/>
    <col min="14598" max="14599" width="17.42578125" customWidth="1"/>
    <col min="14600" max="14600" width="19.28515625" customWidth="1"/>
    <col min="14601" max="14850" width="8.7109375" bestFit="1" customWidth="1"/>
    <col min="14851" max="14851" width="30" customWidth="1"/>
    <col min="14852" max="14852" width="8.5703125" customWidth="1"/>
    <col min="14853" max="14853" width="15.85546875" customWidth="1"/>
    <col min="14854" max="14855" width="17.42578125" customWidth="1"/>
    <col min="14856" max="14856" width="19.28515625" customWidth="1"/>
    <col min="14857" max="15106" width="8.7109375" bestFit="1" customWidth="1"/>
    <col min="15107" max="15107" width="30" customWidth="1"/>
    <col min="15108" max="15108" width="8.5703125" customWidth="1"/>
    <col min="15109" max="15109" width="15.85546875" customWidth="1"/>
    <col min="15110" max="15111" width="17.42578125" customWidth="1"/>
    <col min="15112" max="15112" width="19.28515625" customWidth="1"/>
    <col min="15113" max="15362" width="8.7109375" bestFit="1" customWidth="1"/>
    <col min="15363" max="15363" width="30" customWidth="1"/>
    <col min="15364" max="15364" width="8.5703125" customWidth="1"/>
    <col min="15365" max="15365" width="15.85546875" customWidth="1"/>
    <col min="15366" max="15367" width="17.42578125" customWidth="1"/>
    <col min="15368" max="15368" width="19.28515625" customWidth="1"/>
    <col min="15369" max="15618" width="8.7109375" bestFit="1" customWidth="1"/>
    <col min="15619" max="15619" width="30" customWidth="1"/>
    <col min="15620" max="15620" width="8.5703125" customWidth="1"/>
    <col min="15621" max="15621" width="15.85546875" customWidth="1"/>
    <col min="15622" max="15623" width="17.42578125" customWidth="1"/>
    <col min="15624" max="15624" width="19.28515625" customWidth="1"/>
    <col min="15625" max="15874" width="8.7109375" bestFit="1" customWidth="1"/>
    <col min="15875" max="15875" width="30" customWidth="1"/>
    <col min="15876" max="15876" width="8.5703125" customWidth="1"/>
    <col min="15877" max="15877" width="15.85546875" customWidth="1"/>
    <col min="15878" max="15879" width="17.42578125" customWidth="1"/>
    <col min="15880" max="15880" width="19.28515625" customWidth="1"/>
    <col min="15881" max="16130" width="8.7109375" bestFit="1" customWidth="1"/>
    <col min="16131" max="16131" width="30" customWidth="1"/>
    <col min="16132" max="16132" width="8.5703125" customWidth="1"/>
    <col min="16133" max="16133" width="15.85546875" customWidth="1"/>
    <col min="16134" max="16135" width="17.42578125" customWidth="1"/>
    <col min="16136" max="16136" width="19.28515625" customWidth="1"/>
  </cols>
  <sheetData>
    <row r="1" spans="1:9" ht="48.95" customHeight="1">
      <c r="A1" s="8"/>
      <c r="B1" s="8"/>
      <c r="C1" s="8"/>
    </row>
    <row r="2" spans="1:9" ht="14.25">
      <c r="A2" s="197" t="s">
        <v>149</v>
      </c>
      <c r="B2" s="197"/>
      <c r="C2" s="197"/>
      <c r="D2" s="197"/>
      <c r="E2" s="197"/>
      <c r="F2" s="197"/>
      <c r="G2" s="197"/>
      <c r="H2" s="197"/>
      <c r="I2" s="197"/>
    </row>
    <row r="3" spans="1:9" ht="14.25">
      <c r="A3" s="197" t="s">
        <v>213</v>
      </c>
      <c r="B3" s="197"/>
      <c r="C3" s="197"/>
      <c r="D3" s="197"/>
      <c r="E3" s="197"/>
      <c r="F3" s="197"/>
      <c r="G3" s="197"/>
      <c r="H3" s="197"/>
      <c r="I3" s="197"/>
    </row>
    <row r="4" spans="1:9" ht="14.25">
      <c r="A4" s="201" t="s">
        <v>214</v>
      </c>
      <c r="B4" s="201"/>
      <c r="C4" s="201"/>
      <c r="D4" s="201"/>
      <c r="E4" s="201"/>
      <c r="F4" s="201"/>
      <c r="G4" s="201"/>
      <c r="H4" s="201"/>
      <c r="I4" s="201"/>
    </row>
    <row r="5" spans="1:9" ht="14.25">
      <c r="A5" s="9"/>
      <c r="B5" s="9"/>
      <c r="C5" s="9"/>
      <c r="D5" s="9"/>
      <c r="E5" s="9"/>
      <c r="F5" s="9"/>
      <c r="G5" s="9"/>
      <c r="H5" s="9"/>
      <c r="I5" s="9"/>
    </row>
    <row r="6" spans="1:9" ht="14.25">
      <c r="A6" s="193" t="s">
        <v>104</v>
      </c>
      <c r="B6" s="193"/>
      <c r="C6" s="193"/>
      <c r="D6" s="193"/>
      <c r="E6" s="193"/>
      <c r="F6" s="193"/>
      <c r="G6" s="193"/>
      <c r="H6" s="193"/>
      <c r="I6" s="193"/>
    </row>
    <row r="8" spans="1:9" ht="15.75">
      <c r="C8" s="10"/>
      <c r="D8" s="10"/>
      <c r="E8" s="10"/>
      <c r="F8" s="10"/>
      <c r="G8" s="10"/>
      <c r="H8" s="10"/>
    </row>
    <row r="9" spans="1:9" ht="15">
      <c r="B9" s="206" t="s">
        <v>175</v>
      </c>
      <c r="C9" s="206"/>
      <c r="D9" s="206"/>
      <c r="E9" s="206"/>
      <c r="F9" s="206"/>
      <c r="G9" s="206"/>
    </row>
    <row r="10" spans="1:9" ht="30">
      <c r="A10" s="37" t="s">
        <v>105</v>
      </c>
      <c r="B10" s="38" t="s">
        <v>176</v>
      </c>
      <c r="C10" s="38" t="s">
        <v>177</v>
      </c>
      <c r="D10" s="38" t="s">
        <v>178</v>
      </c>
      <c r="E10" s="38" t="s">
        <v>180</v>
      </c>
      <c r="F10" s="38" t="s">
        <v>181</v>
      </c>
      <c r="G10" s="38" t="s">
        <v>179</v>
      </c>
      <c r="H10" s="38" t="s">
        <v>106</v>
      </c>
    </row>
    <row r="11" spans="1:9" ht="15">
      <c r="A11" s="39">
        <v>10000</v>
      </c>
      <c r="B11" s="40">
        <v>1173.21</v>
      </c>
      <c r="C11" s="40">
        <f>4*209</f>
        <v>836</v>
      </c>
      <c r="D11" s="40">
        <v>1125</v>
      </c>
      <c r="E11" s="40">
        <f>4*406.25</f>
        <v>1625</v>
      </c>
      <c r="F11" s="40">
        <v>1649.55</v>
      </c>
      <c r="G11" s="40">
        <v>1463</v>
      </c>
      <c r="H11" s="41">
        <f t="shared" ref="H11:H21" si="0">AVERAGE(B11:G11)</f>
        <v>1311.96</v>
      </c>
    </row>
    <row r="12" spans="1:9" ht="15">
      <c r="A12" s="39">
        <v>20000</v>
      </c>
      <c r="B12" s="40">
        <v>1785</v>
      </c>
      <c r="C12" s="40">
        <f>4*440</f>
        <v>1760</v>
      </c>
      <c r="D12" s="40">
        <v>2253</v>
      </c>
      <c r="E12" s="40">
        <v>1625</v>
      </c>
      <c r="F12" s="40">
        <v>2411.4299999999998</v>
      </c>
      <c r="G12" s="40">
        <v>1463</v>
      </c>
      <c r="H12" s="41">
        <f t="shared" si="0"/>
        <v>1882.905</v>
      </c>
    </row>
    <row r="13" spans="1:9" ht="15">
      <c r="A13" s="39">
        <v>30000</v>
      </c>
      <c r="B13" s="40">
        <v>1839</v>
      </c>
      <c r="C13" s="40">
        <f>4*460</f>
        <v>1840</v>
      </c>
      <c r="D13" s="40">
        <v>1125</v>
      </c>
      <c r="E13" s="40">
        <v>2283</v>
      </c>
      <c r="F13" s="40">
        <v>1649.55</v>
      </c>
      <c r="G13" s="40">
        <v>1463</v>
      </c>
      <c r="H13" s="41">
        <f t="shared" si="0"/>
        <v>1699.925</v>
      </c>
    </row>
    <row r="14" spans="1:9" ht="15">
      <c r="A14" s="39">
        <v>40000</v>
      </c>
      <c r="B14" s="40">
        <v>2964</v>
      </c>
      <c r="C14" s="40">
        <f>4*447</f>
        <v>1788</v>
      </c>
      <c r="D14" s="40">
        <v>2253</v>
      </c>
      <c r="E14" s="40">
        <v>1625</v>
      </c>
      <c r="F14" s="40">
        <v>2411.4299999999998</v>
      </c>
      <c r="G14" s="40">
        <v>2361</v>
      </c>
      <c r="H14" s="41">
        <f t="shared" si="0"/>
        <v>2233.7383333333332</v>
      </c>
    </row>
    <row r="15" spans="1:9" ht="15">
      <c r="A15" s="39">
        <v>50000</v>
      </c>
      <c r="B15" s="40">
        <v>1554</v>
      </c>
      <c r="C15" s="40">
        <f>4*317</f>
        <v>1268</v>
      </c>
      <c r="D15" s="40">
        <v>1125</v>
      </c>
      <c r="E15" s="40">
        <v>1625</v>
      </c>
      <c r="F15" s="40">
        <v>1649.55</v>
      </c>
      <c r="G15" s="40">
        <v>1463</v>
      </c>
      <c r="H15" s="41">
        <f t="shared" si="0"/>
        <v>1447.425</v>
      </c>
    </row>
    <row r="16" spans="1:9" ht="15">
      <c r="A16" s="39">
        <v>60000</v>
      </c>
      <c r="B16" s="40">
        <v>1947</v>
      </c>
      <c r="C16" s="40">
        <f>4*590</f>
        <v>2360</v>
      </c>
      <c r="D16" s="40">
        <v>2253</v>
      </c>
      <c r="E16" s="40">
        <v>2283</v>
      </c>
      <c r="F16" s="40">
        <v>2411.4299999999998</v>
      </c>
      <c r="G16" s="40">
        <v>1463</v>
      </c>
      <c r="H16" s="41">
        <f t="shared" si="0"/>
        <v>2119.5716666666667</v>
      </c>
    </row>
    <row r="17" spans="1:8" ht="15">
      <c r="A17" s="39">
        <v>70000</v>
      </c>
      <c r="B17" s="40">
        <v>1473</v>
      </c>
      <c r="C17" s="40">
        <f>4*317</f>
        <v>1268</v>
      </c>
      <c r="D17" s="40">
        <v>1125</v>
      </c>
      <c r="E17" s="40">
        <v>1625</v>
      </c>
      <c r="F17" s="40">
        <v>1649.55</v>
      </c>
      <c r="G17" s="126" t="s">
        <v>10</v>
      </c>
      <c r="H17" s="41">
        <f t="shared" si="0"/>
        <v>1428.1100000000001</v>
      </c>
    </row>
    <row r="18" spans="1:8" ht="15">
      <c r="A18" s="39">
        <v>80000</v>
      </c>
      <c r="B18" s="40">
        <v>2838</v>
      </c>
      <c r="C18" s="40">
        <f>4*510</f>
        <v>2040</v>
      </c>
      <c r="D18" s="40">
        <v>2253</v>
      </c>
      <c r="E18" s="40">
        <v>1625</v>
      </c>
      <c r="F18" s="40">
        <v>2411.4299999999998</v>
      </c>
      <c r="G18" s="126" t="s">
        <v>10</v>
      </c>
      <c r="H18" s="41">
        <f t="shared" si="0"/>
        <v>2233.4859999999999</v>
      </c>
    </row>
    <row r="19" spans="1:8" ht="15">
      <c r="A19" s="39">
        <v>90000</v>
      </c>
      <c r="B19" s="40">
        <v>1731</v>
      </c>
      <c r="C19" s="40">
        <f>4*460</f>
        <v>1840</v>
      </c>
      <c r="D19" s="40">
        <v>1125</v>
      </c>
      <c r="E19" s="40">
        <v>2283</v>
      </c>
      <c r="F19" s="40">
        <v>1649.55</v>
      </c>
      <c r="G19" s="126" t="s">
        <v>10</v>
      </c>
      <c r="H19" s="41">
        <f t="shared" si="0"/>
        <v>1725.7099999999998</v>
      </c>
    </row>
    <row r="20" spans="1:8" ht="15">
      <c r="A20" s="39">
        <v>100000</v>
      </c>
      <c r="B20" s="40">
        <v>1674</v>
      </c>
      <c r="C20" s="40">
        <f>4*976</f>
        <v>3904</v>
      </c>
      <c r="D20" s="40">
        <v>2253</v>
      </c>
      <c r="E20" s="40">
        <v>1625</v>
      </c>
      <c r="F20" s="40">
        <v>2411.4299999999998</v>
      </c>
      <c r="G20" s="126" t="s">
        <v>10</v>
      </c>
      <c r="H20" s="41">
        <f t="shared" si="0"/>
        <v>2373.4859999999999</v>
      </c>
    </row>
    <row r="21" spans="1:8" ht="15">
      <c r="A21" s="42" t="s">
        <v>107</v>
      </c>
      <c r="B21" s="43">
        <f t="shared" ref="B21:G21" si="1">SUM(B11:B20)</f>
        <v>18978.21</v>
      </c>
      <c r="C21" s="43">
        <f t="shared" si="1"/>
        <v>18904</v>
      </c>
      <c r="D21" s="43">
        <f t="shared" si="1"/>
        <v>16890</v>
      </c>
      <c r="E21" s="43">
        <f t="shared" si="1"/>
        <v>18224</v>
      </c>
      <c r="F21" s="43">
        <f t="shared" si="1"/>
        <v>20304.899999999998</v>
      </c>
      <c r="G21" s="43">
        <f t="shared" si="1"/>
        <v>9676</v>
      </c>
      <c r="H21" s="43">
        <f t="shared" si="0"/>
        <v>17162.851666666666</v>
      </c>
    </row>
    <row r="22" spans="1:8" ht="15">
      <c r="A22" s="42" t="s">
        <v>182</v>
      </c>
      <c r="B22" s="44">
        <f>ROUND(B21/100000,2)</f>
        <v>0.19</v>
      </c>
      <c r="C22" s="44">
        <f>ROUND(C21/100000,2)</f>
        <v>0.19</v>
      </c>
      <c r="D22" s="44">
        <f>ROUND(D21/100000,2)</f>
        <v>0.17</v>
      </c>
      <c r="E22" s="44">
        <f>ROUND(E21/100000,2)</f>
        <v>0.18</v>
      </c>
      <c r="F22" s="44">
        <f>ROUND(F21/100000,2)</f>
        <v>0.2</v>
      </c>
      <c r="G22" s="44">
        <f>ROUND(G21/60000,2)</f>
        <v>0.16</v>
      </c>
      <c r="H22" s="43">
        <f>ROUND(AVERAGE(B22:G22),2)</f>
        <v>0.18</v>
      </c>
    </row>
    <row r="23" spans="1:8" ht="15">
      <c r="A23" s="205" t="s">
        <v>108</v>
      </c>
      <c r="B23" s="205"/>
      <c r="C23" s="205"/>
      <c r="D23" s="205"/>
      <c r="E23" s="205"/>
      <c r="F23" s="205"/>
      <c r="G23" s="205"/>
      <c r="H23" s="45">
        <v>30000</v>
      </c>
    </row>
    <row r="24" spans="1:8" ht="15">
      <c r="A24" s="205" t="s">
        <v>109</v>
      </c>
      <c r="B24" s="205"/>
      <c r="C24" s="205"/>
      <c r="D24" s="205"/>
      <c r="E24" s="205"/>
      <c r="F24" s="205"/>
      <c r="G24" s="205"/>
      <c r="H24" s="46">
        <f>H22</f>
        <v>0.18</v>
      </c>
    </row>
    <row r="25" spans="1:8" ht="15">
      <c r="A25" s="205" t="s">
        <v>110</v>
      </c>
      <c r="B25" s="205"/>
      <c r="C25" s="205"/>
      <c r="D25" s="205"/>
      <c r="E25" s="205"/>
      <c r="F25" s="205"/>
      <c r="G25" s="205"/>
      <c r="H25" s="46">
        <f>H23*H24</f>
        <v>5400</v>
      </c>
    </row>
    <row r="26" spans="1:8" ht="15">
      <c r="A26" s="205" t="s">
        <v>111</v>
      </c>
      <c r="B26" s="205"/>
      <c r="C26" s="205"/>
      <c r="D26" s="205"/>
      <c r="E26" s="205"/>
      <c r="F26" s="205"/>
      <c r="G26" s="205"/>
      <c r="H26" s="46">
        <f>H25/12</f>
        <v>450</v>
      </c>
    </row>
    <row r="28" spans="1:8" ht="2.4500000000000002" customHeight="1"/>
    <row r="29" spans="1:8">
      <c r="A29" t="s">
        <v>112</v>
      </c>
    </row>
    <row r="30" spans="1:8">
      <c r="A30" s="1" t="s">
        <v>208</v>
      </c>
    </row>
  </sheetData>
  <mergeCells count="9">
    <mergeCell ref="A23:G23"/>
    <mergeCell ref="A24:G24"/>
    <mergeCell ref="A25:G25"/>
    <mergeCell ref="A26:G26"/>
    <mergeCell ref="A2:I2"/>
    <mergeCell ref="A3:I3"/>
    <mergeCell ref="A4:I4"/>
    <mergeCell ref="A6:I6"/>
    <mergeCell ref="B9:G9"/>
  </mergeCells>
  <pageMargins left="0.70866141732283472" right="0.70866141732283472" top="0.19685039370078741" bottom="0.74803149606299213" header="0.31496062992125984" footer="0.31496062992125984"/>
  <pageSetup paperSize="9" scale="53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zoomScaleNormal="100" workbookViewId="0">
      <selection activeCell="A4" sqref="A4:L4"/>
    </sheetView>
  </sheetViews>
  <sheetFormatPr defaultRowHeight="12.75"/>
  <cols>
    <col min="1" max="1" width="8.7109375" bestFit="1" customWidth="1"/>
    <col min="2" max="2" width="29.5703125" bestFit="1" customWidth="1"/>
    <col min="3" max="3" width="16.7109375" customWidth="1"/>
    <col min="4" max="4" width="16" customWidth="1"/>
    <col min="5" max="5" width="14.7109375" customWidth="1"/>
    <col min="6" max="6" width="14" customWidth="1"/>
    <col min="7" max="7" width="17.85546875" customWidth="1"/>
    <col min="8" max="8" width="15" customWidth="1"/>
    <col min="9" max="9" width="15.5703125" customWidth="1"/>
    <col min="10" max="10" width="14.42578125" customWidth="1"/>
    <col min="11" max="11" width="14.28515625" customWidth="1"/>
    <col min="12" max="12" width="16.7109375" customWidth="1"/>
    <col min="13" max="248" width="8.7109375" bestFit="1" customWidth="1"/>
    <col min="249" max="249" width="30" customWidth="1"/>
    <col min="250" max="250" width="8.5703125" customWidth="1"/>
    <col min="251" max="251" width="15.85546875" customWidth="1"/>
    <col min="252" max="253" width="17.42578125" customWidth="1"/>
    <col min="254" max="254" width="19.28515625" customWidth="1"/>
    <col min="255" max="504" width="8.7109375" bestFit="1" customWidth="1"/>
    <col min="505" max="505" width="30" customWidth="1"/>
    <col min="506" max="506" width="8.5703125" customWidth="1"/>
    <col min="507" max="507" width="15.85546875" customWidth="1"/>
    <col min="508" max="509" width="17.42578125" customWidth="1"/>
    <col min="510" max="510" width="19.28515625" customWidth="1"/>
    <col min="511" max="760" width="8.7109375" bestFit="1" customWidth="1"/>
    <col min="761" max="761" width="30" customWidth="1"/>
    <col min="762" max="762" width="8.5703125" customWidth="1"/>
    <col min="763" max="763" width="15.85546875" customWidth="1"/>
    <col min="764" max="765" width="17.42578125" customWidth="1"/>
    <col min="766" max="766" width="19.28515625" customWidth="1"/>
    <col min="767" max="1016" width="8.7109375" bestFit="1" customWidth="1"/>
    <col min="1017" max="1017" width="30" customWidth="1"/>
    <col min="1018" max="1018" width="8.5703125" customWidth="1"/>
    <col min="1019" max="1019" width="15.85546875" customWidth="1"/>
    <col min="1020" max="1021" width="17.42578125" customWidth="1"/>
    <col min="1022" max="1022" width="19.28515625" customWidth="1"/>
    <col min="1023" max="1272" width="8.7109375" bestFit="1" customWidth="1"/>
    <col min="1273" max="1273" width="30" customWidth="1"/>
    <col min="1274" max="1274" width="8.5703125" customWidth="1"/>
    <col min="1275" max="1275" width="15.85546875" customWidth="1"/>
    <col min="1276" max="1277" width="17.42578125" customWidth="1"/>
    <col min="1278" max="1278" width="19.28515625" customWidth="1"/>
    <col min="1279" max="1528" width="8.7109375" bestFit="1" customWidth="1"/>
    <col min="1529" max="1529" width="30" customWidth="1"/>
    <col min="1530" max="1530" width="8.5703125" customWidth="1"/>
    <col min="1531" max="1531" width="15.85546875" customWidth="1"/>
    <col min="1532" max="1533" width="17.42578125" customWidth="1"/>
    <col min="1534" max="1534" width="19.28515625" customWidth="1"/>
    <col min="1535" max="1784" width="8.7109375" bestFit="1" customWidth="1"/>
    <col min="1785" max="1785" width="30" customWidth="1"/>
    <col min="1786" max="1786" width="8.5703125" customWidth="1"/>
    <col min="1787" max="1787" width="15.85546875" customWidth="1"/>
    <col min="1788" max="1789" width="17.42578125" customWidth="1"/>
    <col min="1790" max="1790" width="19.28515625" customWidth="1"/>
    <col min="1791" max="2040" width="8.7109375" bestFit="1" customWidth="1"/>
    <col min="2041" max="2041" width="30" customWidth="1"/>
    <col min="2042" max="2042" width="8.5703125" customWidth="1"/>
    <col min="2043" max="2043" width="15.85546875" customWidth="1"/>
    <col min="2044" max="2045" width="17.42578125" customWidth="1"/>
    <col min="2046" max="2046" width="19.28515625" customWidth="1"/>
    <col min="2047" max="2296" width="8.7109375" bestFit="1" customWidth="1"/>
    <col min="2297" max="2297" width="30" customWidth="1"/>
    <col min="2298" max="2298" width="8.5703125" customWidth="1"/>
    <col min="2299" max="2299" width="15.85546875" customWidth="1"/>
    <col min="2300" max="2301" width="17.42578125" customWidth="1"/>
    <col min="2302" max="2302" width="19.28515625" customWidth="1"/>
    <col min="2303" max="2552" width="8.7109375" bestFit="1" customWidth="1"/>
    <col min="2553" max="2553" width="30" customWidth="1"/>
    <col min="2554" max="2554" width="8.5703125" customWidth="1"/>
    <col min="2555" max="2555" width="15.85546875" customWidth="1"/>
    <col min="2556" max="2557" width="17.42578125" customWidth="1"/>
    <col min="2558" max="2558" width="19.28515625" customWidth="1"/>
    <col min="2559" max="2808" width="8.7109375" bestFit="1" customWidth="1"/>
    <col min="2809" max="2809" width="30" customWidth="1"/>
    <col min="2810" max="2810" width="8.5703125" customWidth="1"/>
    <col min="2811" max="2811" width="15.85546875" customWidth="1"/>
    <col min="2812" max="2813" width="17.42578125" customWidth="1"/>
    <col min="2814" max="2814" width="19.28515625" customWidth="1"/>
    <col min="2815" max="3064" width="8.7109375" bestFit="1" customWidth="1"/>
    <col min="3065" max="3065" width="30" customWidth="1"/>
    <col min="3066" max="3066" width="8.5703125" customWidth="1"/>
    <col min="3067" max="3067" width="15.85546875" customWidth="1"/>
    <col min="3068" max="3069" width="17.42578125" customWidth="1"/>
    <col min="3070" max="3070" width="19.28515625" customWidth="1"/>
    <col min="3071" max="3320" width="8.7109375" bestFit="1" customWidth="1"/>
    <col min="3321" max="3321" width="30" customWidth="1"/>
    <col min="3322" max="3322" width="8.5703125" customWidth="1"/>
    <col min="3323" max="3323" width="15.85546875" customWidth="1"/>
    <col min="3324" max="3325" width="17.42578125" customWidth="1"/>
    <col min="3326" max="3326" width="19.28515625" customWidth="1"/>
    <col min="3327" max="3576" width="8.7109375" bestFit="1" customWidth="1"/>
    <col min="3577" max="3577" width="30" customWidth="1"/>
    <col min="3578" max="3578" width="8.5703125" customWidth="1"/>
    <col min="3579" max="3579" width="15.85546875" customWidth="1"/>
    <col min="3580" max="3581" width="17.42578125" customWidth="1"/>
    <col min="3582" max="3582" width="19.28515625" customWidth="1"/>
    <col min="3583" max="3832" width="8.7109375" bestFit="1" customWidth="1"/>
    <col min="3833" max="3833" width="30" customWidth="1"/>
    <col min="3834" max="3834" width="8.5703125" customWidth="1"/>
    <col min="3835" max="3835" width="15.85546875" customWidth="1"/>
    <col min="3836" max="3837" width="17.42578125" customWidth="1"/>
    <col min="3838" max="3838" width="19.28515625" customWidth="1"/>
    <col min="3839" max="4088" width="8.7109375" bestFit="1" customWidth="1"/>
    <col min="4089" max="4089" width="30" customWidth="1"/>
    <col min="4090" max="4090" width="8.5703125" customWidth="1"/>
    <col min="4091" max="4091" width="15.85546875" customWidth="1"/>
    <col min="4092" max="4093" width="17.42578125" customWidth="1"/>
    <col min="4094" max="4094" width="19.28515625" customWidth="1"/>
    <col min="4095" max="4344" width="8.7109375" bestFit="1" customWidth="1"/>
    <col min="4345" max="4345" width="30" customWidth="1"/>
    <col min="4346" max="4346" width="8.5703125" customWidth="1"/>
    <col min="4347" max="4347" width="15.85546875" customWidth="1"/>
    <col min="4348" max="4349" width="17.42578125" customWidth="1"/>
    <col min="4350" max="4350" width="19.28515625" customWidth="1"/>
    <col min="4351" max="4600" width="8.7109375" bestFit="1" customWidth="1"/>
    <col min="4601" max="4601" width="30" customWidth="1"/>
    <col min="4602" max="4602" width="8.5703125" customWidth="1"/>
    <col min="4603" max="4603" width="15.85546875" customWidth="1"/>
    <col min="4604" max="4605" width="17.42578125" customWidth="1"/>
    <col min="4606" max="4606" width="19.28515625" customWidth="1"/>
    <col min="4607" max="4856" width="8.7109375" bestFit="1" customWidth="1"/>
    <col min="4857" max="4857" width="30" customWidth="1"/>
    <col min="4858" max="4858" width="8.5703125" customWidth="1"/>
    <col min="4859" max="4859" width="15.85546875" customWidth="1"/>
    <col min="4860" max="4861" width="17.42578125" customWidth="1"/>
    <col min="4862" max="4862" width="19.28515625" customWidth="1"/>
    <col min="4863" max="5112" width="8.7109375" bestFit="1" customWidth="1"/>
    <col min="5113" max="5113" width="30" customWidth="1"/>
    <col min="5114" max="5114" width="8.5703125" customWidth="1"/>
    <col min="5115" max="5115" width="15.85546875" customWidth="1"/>
    <col min="5116" max="5117" width="17.42578125" customWidth="1"/>
    <col min="5118" max="5118" width="19.28515625" customWidth="1"/>
    <col min="5119" max="5368" width="8.7109375" bestFit="1" customWidth="1"/>
    <col min="5369" max="5369" width="30" customWidth="1"/>
    <col min="5370" max="5370" width="8.5703125" customWidth="1"/>
    <col min="5371" max="5371" width="15.85546875" customWidth="1"/>
    <col min="5372" max="5373" width="17.42578125" customWidth="1"/>
    <col min="5374" max="5374" width="19.28515625" customWidth="1"/>
    <col min="5375" max="5624" width="8.7109375" bestFit="1" customWidth="1"/>
    <col min="5625" max="5625" width="30" customWidth="1"/>
    <col min="5626" max="5626" width="8.5703125" customWidth="1"/>
    <col min="5627" max="5627" width="15.85546875" customWidth="1"/>
    <col min="5628" max="5629" width="17.42578125" customWidth="1"/>
    <col min="5630" max="5630" width="19.28515625" customWidth="1"/>
    <col min="5631" max="5880" width="8.7109375" bestFit="1" customWidth="1"/>
    <col min="5881" max="5881" width="30" customWidth="1"/>
    <col min="5882" max="5882" width="8.5703125" customWidth="1"/>
    <col min="5883" max="5883" width="15.85546875" customWidth="1"/>
    <col min="5884" max="5885" width="17.42578125" customWidth="1"/>
    <col min="5886" max="5886" width="19.28515625" customWidth="1"/>
    <col min="5887" max="6136" width="8.7109375" bestFit="1" customWidth="1"/>
    <col min="6137" max="6137" width="30" customWidth="1"/>
    <col min="6138" max="6138" width="8.5703125" customWidth="1"/>
    <col min="6139" max="6139" width="15.85546875" customWidth="1"/>
    <col min="6140" max="6141" width="17.42578125" customWidth="1"/>
    <col min="6142" max="6142" width="19.28515625" customWidth="1"/>
    <col min="6143" max="6392" width="8.7109375" bestFit="1" customWidth="1"/>
    <col min="6393" max="6393" width="30" customWidth="1"/>
    <col min="6394" max="6394" width="8.5703125" customWidth="1"/>
    <col min="6395" max="6395" width="15.85546875" customWidth="1"/>
    <col min="6396" max="6397" width="17.42578125" customWidth="1"/>
    <col min="6398" max="6398" width="19.28515625" customWidth="1"/>
    <col min="6399" max="6648" width="8.7109375" bestFit="1" customWidth="1"/>
    <col min="6649" max="6649" width="30" customWidth="1"/>
    <col min="6650" max="6650" width="8.5703125" customWidth="1"/>
    <col min="6651" max="6651" width="15.85546875" customWidth="1"/>
    <col min="6652" max="6653" width="17.42578125" customWidth="1"/>
    <col min="6654" max="6654" width="19.28515625" customWidth="1"/>
    <col min="6655" max="6904" width="8.7109375" bestFit="1" customWidth="1"/>
    <col min="6905" max="6905" width="30" customWidth="1"/>
    <col min="6906" max="6906" width="8.5703125" customWidth="1"/>
    <col min="6907" max="6907" width="15.85546875" customWidth="1"/>
    <col min="6908" max="6909" width="17.42578125" customWidth="1"/>
    <col min="6910" max="6910" width="19.28515625" customWidth="1"/>
    <col min="6911" max="7160" width="8.7109375" bestFit="1" customWidth="1"/>
    <col min="7161" max="7161" width="30" customWidth="1"/>
    <col min="7162" max="7162" width="8.5703125" customWidth="1"/>
    <col min="7163" max="7163" width="15.85546875" customWidth="1"/>
    <col min="7164" max="7165" width="17.42578125" customWidth="1"/>
    <col min="7166" max="7166" width="19.28515625" customWidth="1"/>
    <col min="7167" max="7416" width="8.7109375" bestFit="1" customWidth="1"/>
    <col min="7417" max="7417" width="30" customWidth="1"/>
    <col min="7418" max="7418" width="8.5703125" customWidth="1"/>
    <col min="7419" max="7419" width="15.85546875" customWidth="1"/>
    <col min="7420" max="7421" width="17.42578125" customWidth="1"/>
    <col min="7422" max="7422" width="19.28515625" customWidth="1"/>
    <col min="7423" max="7672" width="8.7109375" bestFit="1" customWidth="1"/>
    <col min="7673" max="7673" width="30" customWidth="1"/>
    <col min="7674" max="7674" width="8.5703125" customWidth="1"/>
    <col min="7675" max="7675" width="15.85546875" customWidth="1"/>
    <col min="7676" max="7677" width="17.42578125" customWidth="1"/>
    <col min="7678" max="7678" width="19.28515625" customWidth="1"/>
    <col min="7679" max="7928" width="8.7109375" bestFit="1" customWidth="1"/>
    <col min="7929" max="7929" width="30" customWidth="1"/>
    <col min="7930" max="7930" width="8.5703125" customWidth="1"/>
    <col min="7931" max="7931" width="15.85546875" customWidth="1"/>
    <col min="7932" max="7933" width="17.42578125" customWidth="1"/>
    <col min="7934" max="7934" width="19.28515625" customWidth="1"/>
    <col min="7935" max="8184" width="8.7109375" bestFit="1" customWidth="1"/>
    <col min="8185" max="8185" width="30" customWidth="1"/>
    <col min="8186" max="8186" width="8.5703125" customWidth="1"/>
    <col min="8187" max="8187" width="15.85546875" customWidth="1"/>
    <col min="8188" max="8189" width="17.42578125" customWidth="1"/>
    <col min="8190" max="8190" width="19.28515625" customWidth="1"/>
    <col min="8191" max="8440" width="8.7109375" bestFit="1" customWidth="1"/>
    <col min="8441" max="8441" width="30" customWidth="1"/>
    <col min="8442" max="8442" width="8.5703125" customWidth="1"/>
    <col min="8443" max="8443" width="15.85546875" customWidth="1"/>
    <col min="8444" max="8445" width="17.42578125" customWidth="1"/>
    <col min="8446" max="8446" width="19.28515625" customWidth="1"/>
    <col min="8447" max="8696" width="8.7109375" bestFit="1" customWidth="1"/>
    <col min="8697" max="8697" width="30" customWidth="1"/>
    <col min="8698" max="8698" width="8.5703125" customWidth="1"/>
    <col min="8699" max="8699" width="15.85546875" customWidth="1"/>
    <col min="8700" max="8701" width="17.42578125" customWidth="1"/>
    <col min="8702" max="8702" width="19.28515625" customWidth="1"/>
    <col min="8703" max="8952" width="8.7109375" bestFit="1" customWidth="1"/>
    <col min="8953" max="8953" width="30" customWidth="1"/>
    <col min="8954" max="8954" width="8.5703125" customWidth="1"/>
    <col min="8955" max="8955" width="15.85546875" customWidth="1"/>
    <col min="8956" max="8957" width="17.42578125" customWidth="1"/>
    <col min="8958" max="8958" width="19.28515625" customWidth="1"/>
    <col min="8959" max="9208" width="8.7109375" bestFit="1" customWidth="1"/>
    <col min="9209" max="9209" width="30" customWidth="1"/>
    <col min="9210" max="9210" width="8.5703125" customWidth="1"/>
    <col min="9211" max="9211" width="15.85546875" customWidth="1"/>
    <col min="9212" max="9213" width="17.42578125" customWidth="1"/>
    <col min="9214" max="9214" width="19.28515625" customWidth="1"/>
    <col min="9215" max="9464" width="8.7109375" bestFit="1" customWidth="1"/>
    <col min="9465" max="9465" width="30" customWidth="1"/>
    <col min="9466" max="9466" width="8.5703125" customWidth="1"/>
    <col min="9467" max="9467" width="15.85546875" customWidth="1"/>
    <col min="9468" max="9469" width="17.42578125" customWidth="1"/>
    <col min="9470" max="9470" width="19.28515625" customWidth="1"/>
    <col min="9471" max="9720" width="8.7109375" bestFit="1" customWidth="1"/>
    <col min="9721" max="9721" width="30" customWidth="1"/>
    <col min="9722" max="9722" width="8.5703125" customWidth="1"/>
    <col min="9723" max="9723" width="15.85546875" customWidth="1"/>
    <col min="9724" max="9725" width="17.42578125" customWidth="1"/>
    <col min="9726" max="9726" width="19.28515625" customWidth="1"/>
    <col min="9727" max="9976" width="8.7109375" bestFit="1" customWidth="1"/>
    <col min="9977" max="9977" width="30" customWidth="1"/>
    <col min="9978" max="9978" width="8.5703125" customWidth="1"/>
    <col min="9979" max="9979" width="15.85546875" customWidth="1"/>
    <col min="9980" max="9981" width="17.42578125" customWidth="1"/>
    <col min="9982" max="9982" width="19.28515625" customWidth="1"/>
    <col min="9983" max="10232" width="8.7109375" bestFit="1" customWidth="1"/>
    <col min="10233" max="10233" width="30" customWidth="1"/>
    <col min="10234" max="10234" width="8.5703125" customWidth="1"/>
    <col min="10235" max="10235" width="15.85546875" customWidth="1"/>
    <col min="10236" max="10237" width="17.42578125" customWidth="1"/>
    <col min="10238" max="10238" width="19.28515625" customWidth="1"/>
    <col min="10239" max="10488" width="8.7109375" bestFit="1" customWidth="1"/>
    <col min="10489" max="10489" width="30" customWidth="1"/>
    <col min="10490" max="10490" width="8.5703125" customWidth="1"/>
    <col min="10491" max="10491" width="15.85546875" customWidth="1"/>
    <col min="10492" max="10493" width="17.42578125" customWidth="1"/>
    <col min="10494" max="10494" width="19.28515625" customWidth="1"/>
    <col min="10495" max="10744" width="8.7109375" bestFit="1" customWidth="1"/>
    <col min="10745" max="10745" width="30" customWidth="1"/>
    <col min="10746" max="10746" width="8.5703125" customWidth="1"/>
    <col min="10747" max="10747" width="15.85546875" customWidth="1"/>
    <col min="10748" max="10749" width="17.42578125" customWidth="1"/>
    <col min="10750" max="10750" width="19.28515625" customWidth="1"/>
    <col min="10751" max="11000" width="8.7109375" bestFit="1" customWidth="1"/>
    <col min="11001" max="11001" width="30" customWidth="1"/>
    <col min="11002" max="11002" width="8.5703125" customWidth="1"/>
    <col min="11003" max="11003" width="15.85546875" customWidth="1"/>
    <col min="11004" max="11005" width="17.42578125" customWidth="1"/>
    <col min="11006" max="11006" width="19.28515625" customWidth="1"/>
    <col min="11007" max="11256" width="8.7109375" bestFit="1" customWidth="1"/>
    <col min="11257" max="11257" width="30" customWidth="1"/>
    <col min="11258" max="11258" width="8.5703125" customWidth="1"/>
    <col min="11259" max="11259" width="15.85546875" customWidth="1"/>
    <col min="11260" max="11261" width="17.42578125" customWidth="1"/>
    <col min="11262" max="11262" width="19.28515625" customWidth="1"/>
    <col min="11263" max="11512" width="8.7109375" bestFit="1" customWidth="1"/>
    <col min="11513" max="11513" width="30" customWidth="1"/>
    <col min="11514" max="11514" width="8.5703125" customWidth="1"/>
    <col min="11515" max="11515" width="15.85546875" customWidth="1"/>
    <col min="11516" max="11517" width="17.42578125" customWidth="1"/>
    <col min="11518" max="11518" width="19.28515625" customWidth="1"/>
    <col min="11519" max="11768" width="8.7109375" bestFit="1" customWidth="1"/>
    <col min="11769" max="11769" width="30" customWidth="1"/>
    <col min="11770" max="11770" width="8.5703125" customWidth="1"/>
    <col min="11771" max="11771" width="15.85546875" customWidth="1"/>
    <col min="11772" max="11773" width="17.42578125" customWidth="1"/>
    <col min="11774" max="11774" width="19.28515625" customWidth="1"/>
    <col min="11775" max="12024" width="8.7109375" bestFit="1" customWidth="1"/>
    <col min="12025" max="12025" width="30" customWidth="1"/>
    <col min="12026" max="12026" width="8.5703125" customWidth="1"/>
    <col min="12027" max="12027" width="15.85546875" customWidth="1"/>
    <col min="12028" max="12029" width="17.42578125" customWidth="1"/>
    <col min="12030" max="12030" width="19.28515625" customWidth="1"/>
    <col min="12031" max="12280" width="8.7109375" bestFit="1" customWidth="1"/>
    <col min="12281" max="12281" width="30" customWidth="1"/>
    <col min="12282" max="12282" width="8.5703125" customWidth="1"/>
    <col min="12283" max="12283" width="15.85546875" customWidth="1"/>
    <col min="12284" max="12285" width="17.42578125" customWidth="1"/>
    <col min="12286" max="12286" width="19.28515625" customWidth="1"/>
    <col min="12287" max="12536" width="8.7109375" bestFit="1" customWidth="1"/>
    <col min="12537" max="12537" width="30" customWidth="1"/>
    <col min="12538" max="12538" width="8.5703125" customWidth="1"/>
    <col min="12539" max="12539" width="15.85546875" customWidth="1"/>
    <col min="12540" max="12541" width="17.42578125" customWidth="1"/>
    <col min="12542" max="12542" width="19.28515625" customWidth="1"/>
    <col min="12543" max="12792" width="8.7109375" bestFit="1" customWidth="1"/>
    <col min="12793" max="12793" width="30" customWidth="1"/>
    <col min="12794" max="12794" width="8.5703125" customWidth="1"/>
    <col min="12795" max="12795" width="15.85546875" customWidth="1"/>
    <col min="12796" max="12797" width="17.42578125" customWidth="1"/>
    <col min="12798" max="12798" width="19.28515625" customWidth="1"/>
    <col min="12799" max="13048" width="8.7109375" bestFit="1" customWidth="1"/>
    <col min="13049" max="13049" width="30" customWidth="1"/>
    <col min="13050" max="13050" width="8.5703125" customWidth="1"/>
    <col min="13051" max="13051" width="15.85546875" customWidth="1"/>
    <col min="13052" max="13053" width="17.42578125" customWidth="1"/>
    <col min="13054" max="13054" width="19.28515625" customWidth="1"/>
    <col min="13055" max="13304" width="8.7109375" bestFit="1" customWidth="1"/>
    <col min="13305" max="13305" width="30" customWidth="1"/>
    <col min="13306" max="13306" width="8.5703125" customWidth="1"/>
    <col min="13307" max="13307" width="15.85546875" customWidth="1"/>
    <col min="13308" max="13309" width="17.42578125" customWidth="1"/>
    <col min="13310" max="13310" width="19.28515625" customWidth="1"/>
    <col min="13311" max="13560" width="8.7109375" bestFit="1" customWidth="1"/>
    <col min="13561" max="13561" width="30" customWidth="1"/>
    <col min="13562" max="13562" width="8.5703125" customWidth="1"/>
    <col min="13563" max="13563" width="15.85546875" customWidth="1"/>
    <col min="13564" max="13565" width="17.42578125" customWidth="1"/>
    <col min="13566" max="13566" width="19.28515625" customWidth="1"/>
    <col min="13567" max="13816" width="8.7109375" bestFit="1" customWidth="1"/>
    <col min="13817" max="13817" width="30" customWidth="1"/>
    <col min="13818" max="13818" width="8.5703125" customWidth="1"/>
    <col min="13819" max="13819" width="15.85546875" customWidth="1"/>
    <col min="13820" max="13821" width="17.42578125" customWidth="1"/>
    <col min="13822" max="13822" width="19.28515625" customWidth="1"/>
    <col min="13823" max="14072" width="8.7109375" bestFit="1" customWidth="1"/>
    <col min="14073" max="14073" width="30" customWidth="1"/>
    <col min="14074" max="14074" width="8.5703125" customWidth="1"/>
    <col min="14075" max="14075" width="15.85546875" customWidth="1"/>
    <col min="14076" max="14077" width="17.42578125" customWidth="1"/>
    <col min="14078" max="14078" width="19.28515625" customWidth="1"/>
    <col min="14079" max="14328" width="8.7109375" bestFit="1" customWidth="1"/>
    <col min="14329" max="14329" width="30" customWidth="1"/>
    <col min="14330" max="14330" width="8.5703125" customWidth="1"/>
    <col min="14331" max="14331" width="15.85546875" customWidth="1"/>
    <col min="14332" max="14333" width="17.42578125" customWidth="1"/>
    <col min="14334" max="14334" width="19.28515625" customWidth="1"/>
    <col min="14335" max="14584" width="8.7109375" bestFit="1" customWidth="1"/>
    <col min="14585" max="14585" width="30" customWidth="1"/>
    <col min="14586" max="14586" width="8.5703125" customWidth="1"/>
    <col min="14587" max="14587" width="15.85546875" customWidth="1"/>
    <col min="14588" max="14589" width="17.42578125" customWidth="1"/>
    <col min="14590" max="14590" width="19.28515625" customWidth="1"/>
    <col min="14591" max="14840" width="8.7109375" bestFit="1" customWidth="1"/>
    <col min="14841" max="14841" width="30" customWidth="1"/>
    <col min="14842" max="14842" width="8.5703125" customWidth="1"/>
    <col min="14843" max="14843" width="15.85546875" customWidth="1"/>
    <col min="14844" max="14845" width="17.42578125" customWidth="1"/>
    <col min="14846" max="14846" width="19.28515625" customWidth="1"/>
    <col min="14847" max="15096" width="8.7109375" bestFit="1" customWidth="1"/>
    <col min="15097" max="15097" width="30" customWidth="1"/>
    <col min="15098" max="15098" width="8.5703125" customWidth="1"/>
    <col min="15099" max="15099" width="15.85546875" customWidth="1"/>
    <col min="15100" max="15101" width="17.42578125" customWidth="1"/>
    <col min="15102" max="15102" width="19.28515625" customWidth="1"/>
    <col min="15103" max="15352" width="8.7109375" bestFit="1" customWidth="1"/>
    <col min="15353" max="15353" width="30" customWidth="1"/>
    <col min="15354" max="15354" width="8.5703125" customWidth="1"/>
    <col min="15355" max="15355" width="15.85546875" customWidth="1"/>
    <col min="15356" max="15357" width="17.42578125" customWidth="1"/>
    <col min="15358" max="15358" width="19.28515625" customWidth="1"/>
    <col min="15359" max="15608" width="8.7109375" bestFit="1" customWidth="1"/>
    <col min="15609" max="15609" width="30" customWidth="1"/>
    <col min="15610" max="15610" width="8.5703125" customWidth="1"/>
    <col min="15611" max="15611" width="15.85546875" customWidth="1"/>
    <col min="15612" max="15613" width="17.42578125" customWidth="1"/>
    <col min="15614" max="15614" width="19.28515625" customWidth="1"/>
    <col min="15615" max="15864" width="8.7109375" bestFit="1" customWidth="1"/>
    <col min="15865" max="15865" width="30" customWidth="1"/>
    <col min="15866" max="15866" width="8.5703125" customWidth="1"/>
    <col min="15867" max="15867" width="15.85546875" customWidth="1"/>
    <col min="15868" max="15869" width="17.42578125" customWidth="1"/>
    <col min="15870" max="15870" width="19.28515625" customWidth="1"/>
    <col min="15871" max="16120" width="8.7109375" bestFit="1" customWidth="1"/>
    <col min="16121" max="16121" width="30" customWidth="1"/>
    <col min="16122" max="16122" width="8.5703125" customWidth="1"/>
    <col min="16123" max="16123" width="15.85546875" customWidth="1"/>
    <col min="16124" max="16125" width="17.42578125" customWidth="1"/>
    <col min="16126" max="16126" width="19.28515625" customWidth="1"/>
    <col min="16127" max="16131" width="8.7109375" bestFit="1" customWidth="1"/>
  </cols>
  <sheetData>
    <row r="1" spans="1:13" ht="55.5" customHeight="1">
      <c r="A1" s="8"/>
      <c r="B1" s="8"/>
    </row>
    <row r="2" spans="1:13" ht="14.25">
      <c r="A2" s="197" t="s">
        <v>149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</row>
    <row r="3" spans="1:13" ht="14.25">
      <c r="A3" s="197" t="s">
        <v>213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</row>
    <row r="4" spans="1:13" ht="14.25">
      <c r="A4" s="201" t="s">
        <v>214</v>
      </c>
      <c r="B4" s="201"/>
      <c r="C4" s="201"/>
      <c r="D4" s="201"/>
      <c r="E4" s="201"/>
      <c r="F4" s="201"/>
      <c r="G4" s="201"/>
      <c r="H4" s="201"/>
      <c r="I4" s="201"/>
      <c r="J4" s="201"/>
      <c r="K4" s="201"/>
      <c r="L4" s="201"/>
    </row>
    <row r="5" spans="1:13" ht="14.25">
      <c r="A5" s="9"/>
      <c r="B5" s="9"/>
      <c r="C5" s="9"/>
      <c r="D5" s="9"/>
    </row>
    <row r="6" spans="1:13" ht="14.25">
      <c r="A6" s="193" t="s">
        <v>113</v>
      </c>
      <c r="B6" s="193"/>
      <c r="C6" s="193"/>
      <c r="D6" s="193"/>
      <c r="E6" s="193"/>
      <c r="F6" s="193"/>
      <c r="G6" s="193"/>
      <c r="H6" s="193"/>
      <c r="I6" s="193"/>
      <c r="J6" s="193"/>
      <c r="K6" s="193"/>
      <c r="L6" s="193"/>
    </row>
    <row r="8" spans="1:13" ht="14.25">
      <c r="A8" s="209" t="s">
        <v>163</v>
      </c>
      <c r="B8" s="209"/>
      <c r="C8" s="209"/>
      <c r="D8" s="209"/>
      <c r="E8" s="209"/>
      <c r="F8" s="209"/>
      <c r="G8" s="209"/>
      <c r="H8" s="209"/>
      <c r="I8" s="209"/>
      <c r="J8" s="209"/>
      <c r="K8" s="209"/>
      <c r="L8" s="209"/>
    </row>
    <row r="9" spans="1:13" s="82" customFormat="1" ht="14.25">
      <c r="A9" s="81"/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</row>
    <row r="10" spans="1:13" ht="51" customHeight="1">
      <c r="A10" s="79" t="s">
        <v>52</v>
      </c>
      <c r="B10" s="207" t="s">
        <v>183</v>
      </c>
      <c r="C10" s="199"/>
      <c r="D10" s="208"/>
      <c r="E10" s="200" t="s">
        <v>53</v>
      </c>
      <c r="F10" s="200"/>
      <c r="G10" s="200"/>
      <c r="H10" s="202" t="s">
        <v>54</v>
      </c>
      <c r="I10" s="203"/>
      <c r="J10" s="203"/>
      <c r="K10" s="204"/>
      <c r="L10" s="7"/>
      <c r="M10" s="7"/>
    </row>
    <row r="11" spans="1:13" ht="51">
      <c r="A11" s="55" t="s">
        <v>55</v>
      </c>
      <c r="B11" s="55" t="s">
        <v>114</v>
      </c>
      <c r="C11" s="55" t="s">
        <v>115</v>
      </c>
      <c r="D11" s="56" t="s">
        <v>61</v>
      </c>
      <c r="E11" s="57" t="s">
        <v>62</v>
      </c>
      <c r="F11" s="57" t="s">
        <v>63</v>
      </c>
      <c r="G11" s="57" t="s">
        <v>64</v>
      </c>
      <c r="H11" s="56" t="s">
        <v>61</v>
      </c>
      <c r="I11" s="57" t="s">
        <v>62</v>
      </c>
      <c r="J11" s="57" t="s">
        <v>63</v>
      </c>
      <c r="K11" s="57" t="s">
        <v>64</v>
      </c>
      <c r="L11" s="58" t="s">
        <v>65</v>
      </c>
      <c r="M11" s="59"/>
    </row>
    <row r="12" spans="1:13" ht="15">
      <c r="A12" s="2" t="s">
        <v>68</v>
      </c>
      <c r="B12" s="52" t="s">
        <v>184</v>
      </c>
      <c r="C12" s="48">
        <v>45443</v>
      </c>
      <c r="D12" s="49">
        <v>11177.27</v>
      </c>
      <c r="E12" s="109">
        <f>ROUND(AVERAGE(D13:D24),2)</f>
        <v>11171.82</v>
      </c>
      <c r="F12" s="110">
        <f>(((D12-E12)*100)/E12)/100</f>
        <v>4.878345694793443E-4</v>
      </c>
      <c r="G12" s="111" t="str">
        <f>IF(F12&gt;25%,"EXCESSIVAMENTE ELEVADO","VÁLIDO")</f>
        <v>VÁLIDO</v>
      </c>
      <c r="H12" s="108">
        <f>IF(G12="EXCESSIVAMENTE ELEVADO","-",D12)</f>
        <v>11177.27</v>
      </c>
      <c r="I12" s="109">
        <f>IF(G12="EXCESSIVAMENTE ELEVADO","-",(ROUND(AVERAGE(H13:H24),2)))</f>
        <v>10222.59</v>
      </c>
      <c r="J12" s="110">
        <f>IF(G12="EXCESSIVAMENTE ELEVADO","-",((H12*100)/I12)/100)</f>
        <v>1.0933892487128996</v>
      </c>
      <c r="K12" s="111" t="str">
        <f>IF(G12="EXCESSIVAMENTE ELEVADO","EXCLUÍDO", IF(J12&lt;75%,"INEXEQUÍVEL","EXEQUÍVEL"))</f>
        <v>EXEQUÍVEL</v>
      </c>
      <c r="L12" s="119">
        <f>IF(OR(G12="EXCESSIVAMENTE ELEVADO",K12="INEXEQUÍVEL"),"-",D12)</f>
        <v>11177.27</v>
      </c>
      <c r="M12" s="7"/>
    </row>
    <row r="13" spans="1:13" ht="30">
      <c r="A13" s="2" t="s">
        <v>68</v>
      </c>
      <c r="B13" s="52" t="s">
        <v>185</v>
      </c>
      <c r="C13" s="48">
        <v>45443</v>
      </c>
      <c r="D13" s="49">
        <v>14019.51</v>
      </c>
      <c r="E13" s="109">
        <f>ROUND(AVERAGE(D14:D24,D12),2)</f>
        <v>10461.26</v>
      </c>
      <c r="F13" s="110">
        <f t="shared" ref="F13:F16" si="0">(((D13-E13)*100)/E13)/100</f>
        <v>0.3401358918524155</v>
      </c>
      <c r="G13" s="111" t="str">
        <f t="shared" ref="G13:G16" si="1">IF(F13&gt;25%,"EXCESSIVAMENTE ELEVADO","VÁLIDO")</f>
        <v>EXCESSIVAMENTE ELEVADO</v>
      </c>
      <c r="H13" s="108" t="str">
        <f t="shared" ref="H13:H15" si="2">IF(G13="EXCESSIVAMENTE ELEVADO","-",D13)</f>
        <v>-</v>
      </c>
      <c r="I13" s="109" t="str">
        <f>IF(G13="EXCESSIVAMENTE ELEVADO","-",(ROUND(AVERAGE(H12,H14:H24),2)))</f>
        <v>-</v>
      </c>
      <c r="J13" s="110" t="str">
        <f t="shared" ref="J13:J16" si="3">IF(G13="EXCESSIVAMENTE ELEVADO","-",((H13*100)/I13)/100)</f>
        <v>-</v>
      </c>
      <c r="K13" s="111" t="str">
        <f t="shared" ref="K13:K16" si="4">IF(G13="EXCESSIVAMENTE ELEVADO","EXCLUÍDO", IF(J13&lt;75%,"INEXEQUÍVEL","EXEQUÍVEL"))</f>
        <v>EXCLUÍDO</v>
      </c>
      <c r="L13" s="119" t="str">
        <f t="shared" ref="L13:L16" si="5">IF(OR(G13="EXCESSIVAMENTE ELEVADO",K13="INEXEQUÍVEL"),"-",D13)</f>
        <v>-</v>
      </c>
      <c r="M13" s="7"/>
    </row>
    <row r="14" spans="1:13" ht="15">
      <c r="A14" s="107" t="s">
        <v>68</v>
      </c>
      <c r="B14" s="52" t="s">
        <v>186</v>
      </c>
      <c r="C14" s="48">
        <v>45443</v>
      </c>
      <c r="D14" s="49">
        <v>8258.81</v>
      </c>
      <c r="E14" s="109">
        <f>ROUND(AVERAGE(D15:D24,D12:D13),2)</f>
        <v>11901.43</v>
      </c>
      <c r="F14" s="110">
        <f t="shared" si="0"/>
        <v>-0.3060657416797814</v>
      </c>
      <c r="G14" s="111" t="str">
        <f t="shared" si="1"/>
        <v>VÁLIDO</v>
      </c>
      <c r="H14" s="108">
        <f t="shared" si="2"/>
        <v>8258.81</v>
      </c>
      <c r="I14" s="109">
        <f>IF(G14="EXCESSIVAMENTE ELEVADO","-",(ROUND(AVERAGE(H12:H13,H15:H24),2)))</f>
        <v>11195.41</v>
      </c>
      <c r="J14" s="110">
        <f t="shared" si="3"/>
        <v>0.73769607365875844</v>
      </c>
      <c r="K14" s="111" t="str">
        <f t="shared" si="4"/>
        <v>INEXEQUÍVEL</v>
      </c>
      <c r="L14" s="119" t="str">
        <f t="shared" si="5"/>
        <v>-</v>
      </c>
      <c r="M14" s="7"/>
    </row>
    <row r="15" spans="1:13" ht="15">
      <c r="A15" s="107" t="s">
        <v>68</v>
      </c>
      <c r="B15" s="52" t="s">
        <v>187</v>
      </c>
      <c r="C15" s="48">
        <v>45443</v>
      </c>
      <c r="D15" s="49">
        <v>10341.950000000001</v>
      </c>
      <c r="E15" s="109">
        <f>ROUND(AVERAGE(D16:D24,D12:D14),2)</f>
        <v>11380.65</v>
      </c>
      <c r="F15" s="110">
        <f t="shared" si="0"/>
        <v>-9.1268952124878525E-2</v>
      </c>
      <c r="G15" s="111" t="str">
        <f t="shared" si="1"/>
        <v>VÁLIDO</v>
      </c>
      <c r="H15" s="108">
        <f t="shared" si="2"/>
        <v>10341.950000000001</v>
      </c>
      <c r="I15" s="109">
        <f>IF(G15="EXCESSIVAMENTE ELEVADO","-",(ROUND(AVERAGE(H12:H14,H16:H24),2)))</f>
        <v>10501.03</v>
      </c>
      <c r="J15" s="110">
        <f t="shared" si="3"/>
        <v>0.9848510098533193</v>
      </c>
      <c r="K15" s="111" t="str">
        <f t="shared" si="4"/>
        <v>EXEQUÍVEL</v>
      </c>
      <c r="L15" s="119">
        <f t="shared" si="5"/>
        <v>10341.950000000001</v>
      </c>
      <c r="M15" s="7"/>
    </row>
    <row r="16" spans="1:13" ht="15">
      <c r="A16" s="2" t="s">
        <v>68</v>
      </c>
      <c r="B16" s="52" t="s">
        <v>188</v>
      </c>
      <c r="C16" s="48">
        <v>45443</v>
      </c>
      <c r="D16" s="49">
        <v>12067</v>
      </c>
      <c r="E16" s="109">
        <f>ROUND(AVERAGE(D12:D15),2)</f>
        <v>10949.39</v>
      </c>
      <c r="F16" s="110">
        <f t="shared" si="0"/>
        <v>0.10207052630329183</v>
      </c>
      <c r="G16" s="111" t="str">
        <f t="shared" si="1"/>
        <v>VÁLIDO</v>
      </c>
      <c r="H16" s="108">
        <f>IF(G16="EXCESSIVAMENTE ELEVADO","-",D16)</f>
        <v>12067</v>
      </c>
      <c r="I16" s="109">
        <f>IF(G16="EXCESSIVAMENTE ELEVADO","-",(ROUND(AVERAGE(H12:H15),2)))</f>
        <v>9926.01</v>
      </c>
      <c r="J16" s="110">
        <f t="shared" si="3"/>
        <v>1.2156949267631203</v>
      </c>
      <c r="K16" s="111" t="str">
        <f t="shared" si="4"/>
        <v>EXEQUÍVEL</v>
      </c>
      <c r="L16" s="119">
        <f t="shared" si="5"/>
        <v>12067</v>
      </c>
    </row>
    <row r="17" spans="1:12" ht="13.5" thickBot="1"/>
    <row r="18" spans="1:12">
      <c r="K18" s="65" t="s">
        <v>71</v>
      </c>
      <c r="L18" s="66">
        <f>ROUND(AVERAGE(L12:L16),2)</f>
        <v>11195.41</v>
      </c>
    </row>
    <row r="19" spans="1:12">
      <c r="K19" s="68" t="s">
        <v>73</v>
      </c>
      <c r="L19" s="69">
        <f>_xlfn.STDEV.P(L12:L16)</f>
        <v>704.36547314271093</v>
      </c>
    </row>
    <row r="20" spans="1:12">
      <c r="K20" s="68" t="s">
        <v>74</v>
      </c>
      <c r="L20" s="70">
        <f>L19/L18</f>
        <v>6.2915558531818933E-2</v>
      </c>
    </row>
    <row r="21" spans="1:12" ht="13.5" thickBot="1">
      <c r="K21" s="71" t="s">
        <v>75</v>
      </c>
      <c r="L21" s="72">
        <f>ROUND(MEDIAN(L12:L16),2)</f>
        <v>11177.27</v>
      </c>
    </row>
    <row r="22" spans="1:12" ht="13.5" thickBot="1">
      <c r="K22" s="74" t="str">
        <f>IF(L20&gt;25%,"PREÇO MEDIANA","PREÇO MÉDIA")</f>
        <v>PREÇO MÉDIA</v>
      </c>
      <c r="L22" s="75">
        <f>IF(L20&gt;25%,L21,L18)</f>
        <v>11195.41</v>
      </c>
    </row>
    <row r="25" spans="1:12">
      <c r="A25" s="80" t="s">
        <v>70</v>
      </c>
    </row>
    <row r="26" spans="1:12">
      <c r="A26" s="67" t="s">
        <v>72</v>
      </c>
    </row>
    <row r="27" spans="1:12">
      <c r="A27" s="7"/>
    </row>
    <row r="28" spans="1:12">
      <c r="A28" s="73" t="s">
        <v>76</v>
      </c>
    </row>
    <row r="29" spans="1:12">
      <c r="A29" s="7" t="s">
        <v>77</v>
      </c>
    </row>
    <row r="30" spans="1:12">
      <c r="A30" s="7" t="s">
        <v>78</v>
      </c>
    </row>
    <row r="31" spans="1:12">
      <c r="A31" s="7" t="s">
        <v>79</v>
      </c>
    </row>
    <row r="32" spans="1:12">
      <c r="A32" s="7" t="s">
        <v>80</v>
      </c>
    </row>
  </sheetData>
  <mergeCells count="8">
    <mergeCell ref="A2:L2"/>
    <mergeCell ref="A3:L3"/>
    <mergeCell ref="A4:L4"/>
    <mergeCell ref="A6:L6"/>
    <mergeCell ref="B10:D10"/>
    <mergeCell ref="E10:G10"/>
    <mergeCell ref="A8:L8"/>
    <mergeCell ref="H10:K10"/>
  </mergeCells>
  <conditionalFormatting sqref="G12:G15">
    <cfRule type="containsText" dxfId="33" priority="9" operator="containsText" text="VÁLIDO">
      <formula>NOT(ISERROR(SEARCH("VÁLIDO",G12)))</formula>
    </cfRule>
    <cfRule type="containsText" dxfId="32" priority="10" operator="containsText" text="EXCESSIVAMENTE ELEVADO">
      <formula>NOT(ISERROR(SEARCH("EXCESSIVAMENTE ELEVADO",G12)))</formula>
    </cfRule>
  </conditionalFormatting>
  <conditionalFormatting sqref="K12:K15">
    <cfRule type="beginsWith" dxfId="31" priority="6" operator="beginsWith" text="EXCLUÍDO">
      <formula>LEFT(K12,LEN("EXCLUÍDO"))="EXCLUÍDO"</formula>
    </cfRule>
    <cfRule type="beginsWith" dxfId="30" priority="7" operator="beginsWith" text="EXEQUÍVEL">
      <formula>LEFT(K12,LEN("EXEQUÍVEL"))="EXEQUÍVEL"</formula>
    </cfRule>
    <cfRule type="beginsWith" dxfId="29" priority="8" operator="beginsWith" text="INEXEQUÍVEL">
      <formula>LEFT(K12,LEN("INEXEQUÍVEL"))="INEXEQUÍVEL"</formula>
    </cfRule>
  </conditionalFormatting>
  <conditionalFormatting sqref="G16">
    <cfRule type="containsText" dxfId="28" priority="4" operator="containsText" text="VÁLIDO">
      <formula>NOT(ISERROR(SEARCH("VÁLIDO",G16)))</formula>
    </cfRule>
    <cfRule type="containsText" dxfId="27" priority="5" operator="containsText" text="EXCESSIVAMENTE ELEVADO">
      <formula>NOT(ISERROR(SEARCH("EXCESSIVAMENTE ELEVADO",G16)))</formula>
    </cfRule>
  </conditionalFormatting>
  <conditionalFormatting sqref="K16">
    <cfRule type="beginsWith" dxfId="26" priority="1" operator="beginsWith" text="EXCLUÍDO">
      <formula>LEFT(K16,LEN("EXCLUÍDO"))="EXCLUÍDO"</formula>
    </cfRule>
    <cfRule type="beginsWith" dxfId="25" priority="2" operator="beginsWith" text="EXEQUÍVEL">
      <formula>LEFT(K16,LEN("EXEQUÍVEL"))="EXEQUÍVEL"</formula>
    </cfRule>
    <cfRule type="beginsWith" dxfId="24" priority="3" operator="beginsWith" text="INEXEQUÍVEL">
      <formula>LEFT(K16,LEN("INEXEQUÍVEL"))="INEXEQUÍVEL"</formula>
    </cfRule>
  </conditionalFormatting>
  <pageMargins left="0.511811024" right="0.511811024" top="0.78740157499999996" bottom="0.78740157499999996" header="0.31496062000000002" footer="0.31496062000000002"/>
  <pageSetup paperSize="9" scale="71" orientation="landscape" r:id="rId1"/>
  <colBreaks count="1" manualBreakCount="1">
    <brk id="12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zoomScaleNormal="100" workbookViewId="0">
      <selection activeCell="A4" sqref="A4:O4"/>
    </sheetView>
  </sheetViews>
  <sheetFormatPr defaultRowHeight="12.75"/>
  <cols>
    <col min="2" max="2" width="10.140625" customWidth="1"/>
    <col min="3" max="3" width="51.28515625" customWidth="1"/>
    <col min="4" max="4" width="13.28515625" style="16" customWidth="1"/>
    <col min="5" max="5" width="14" customWidth="1"/>
    <col min="6" max="6" width="14.7109375" customWidth="1"/>
    <col min="7" max="7" width="16" customWidth="1"/>
    <col min="8" max="8" width="14.7109375" customWidth="1"/>
    <col min="9" max="9" width="14" customWidth="1"/>
    <col min="10" max="10" width="17.85546875" customWidth="1"/>
    <col min="11" max="11" width="15" customWidth="1"/>
    <col min="12" max="12" width="15.5703125" customWidth="1"/>
    <col min="13" max="13" width="14.42578125" customWidth="1"/>
    <col min="14" max="14" width="14.28515625" customWidth="1"/>
    <col min="15" max="15" width="16.7109375" customWidth="1"/>
    <col min="16" max="251" width="8.7109375" bestFit="1" customWidth="1"/>
    <col min="252" max="252" width="30" customWidth="1"/>
    <col min="253" max="253" width="8.5703125" customWidth="1"/>
    <col min="254" max="254" width="15.85546875" customWidth="1"/>
    <col min="255" max="256" width="17.42578125" customWidth="1"/>
    <col min="257" max="257" width="19.28515625" customWidth="1"/>
    <col min="258" max="507" width="8.7109375" bestFit="1" customWidth="1"/>
    <col min="508" max="508" width="30" customWidth="1"/>
    <col min="509" max="509" width="8.5703125" customWidth="1"/>
    <col min="510" max="510" width="15.85546875" customWidth="1"/>
    <col min="511" max="512" width="17.42578125" customWidth="1"/>
    <col min="513" max="513" width="19.28515625" customWidth="1"/>
    <col min="514" max="763" width="8.7109375" bestFit="1" customWidth="1"/>
    <col min="764" max="764" width="30" customWidth="1"/>
    <col min="765" max="765" width="8.5703125" customWidth="1"/>
    <col min="766" max="766" width="15.85546875" customWidth="1"/>
    <col min="767" max="768" width="17.42578125" customWidth="1"/>
    <col min="769" max="769" width="19.28515625" customWidth="1"/>
    <col min="770" max="1019" width="8.7109375" bestFit="1" customWidth="1"/>
    <col min="1020" max="1020" width="30" customWidth="1"/>
    <col min="1021" max="1021" width="8.5703125" customWidth="1"/>
    <col min="1022" max="1022" width="15.85546875" customWidth="1"/>
    <col min="1023" max="1024" width="17.42578125" customWidth="1"/>
    <col min="1025" max="1025" width="19.28515625" customWidth="1"/>
    <col min="1026" max="1275" width="8.7109375" bestFit="1" customWidth="1"/>
    <col min="1276" max="1276" width="30" customWidth="1"/>
    <col min="1277" max="1277" width="8.5703125" customWidth="1"/>
    <col min="1278" max="1278" width="15.85546875" customWidth="1"/>
    <col min="1279" max="1280" width="17.42578125" customWidth="1"/>
    <col min="1281" max="1281" width="19.28515625" customWidth="1"/>
    <col min="1282" max="1531" width="8.7109375" bestFit="1" customWidth="1"/>
    <col min="1532" max="1532" width="30" customWidth="1"/>
    <col min="1533" max="1533" width="8.5703125" customWidth="1"/>
    <col min="1534" max="1534" width="15.85546875" customWidth="1"/>
    <col min="1535" max="1536" width="17.42578125" customWidth="1"/>
    <col min="1537" max="1537" width="19.28515625" customWidth="1"/>
    <col min="1538" max="1787" width="8.7109375" bestFit="1" customWidth="1"/>
    <col min="1788" max="1788" width="30" customWidth="1"/>
    <col min="1789" max="1789" width="8.5703125" customWidth="1"/>
    <col min="1790" max="1790" width="15.85546875" customWidth="1"/>
    <col min="1791" max="1792" width="17.42578125" customWidth="1"/>
    <col min="1793" max="1793" width="19.28515625" customWidth="1"/>
    <col min="1794" max="2043" width="8.7109375" bestFit="1" customWidth="1"/>
    <col min="2044" max="2044" width="30" customWidth="1"/>
    <col min="2045" max="2045" width="8.5703125" customWidth="1"/>
    <col min="2046" max="2046" width="15.85546875" customWidth="1"/>
    <col min="2047" max="2048" width="17.42578125" customWidth="1"/>
    <col min="2049" max="2049" width="19.28515625" customWidth="1"/>
    <col min="2050" max="2299" width="8.7109375" bestFit="1" customWidth="1"/>
    <col min="2300" max="2300" width="30" customWidth="1"/>
    <col min="2301" max="2301" width="8.5703125" customWidth="1"/>
    <col min="2302" max="2302" width="15.85546875" customWidth="1"/>
    <col min="2303" max="2304" width="17.42578125" customWidth="1"/>
    <col min="2305" max="2305" width="19.28515625" customWidth="1"/>
    <col min="2306" max="2555" width="8.7109375" bestFit="1" customWidth="1"/>
    <col min="2556" max="2556" width="30" customWidth="1"/>
    <col min="2557" max="2557" width="8.5703125" customWidth="1"/>
    <col min="2558" max="2558" width="15.85546875" customWidth="1"/>
    <col min="2559" max="2560" width="17.42578125" customWidth="1"/>
    <col min="2561" max="2561" width="19.28515625" customWidth="1"/>
    <col min="2562" max="2811" width="8.7109375" bestFit="1" customWidth="1"/>
    <col min="2812" max="2812" width="30" customWidth="1"/>
    <col min="2813" max="2813" width="8.5703125" customWidth="1"/>
    <col min="2814" max="2814" width="15.85546875" customWidth="1"/>
    <col min="2815" max="2816" width="17.42578125" customWidth="1"/>
    <col min="2817" max="2817" width="19.28515625" customWidth="1"/>
    <col min="2818" max="3067" width="8.7109375" bestFit="1" customWidth="1"/>
    <col min="3068" max="3068" width="30" customWidth="1"/>
    <col min="3069" max="3069" width="8.5703125" customWidth="1"/>
    <col min="3070" max="3070" width="15.85546875" customWidth="1"/>
    <col min="3071" max="3072" width="17.42578125" customWidth="1"/>
    <col min="3073" max="3073" width="19.28515625" customWidth="1"/>
    <col min="3074" max="3323" width="8.7109375" bestFit="1" customWidth="1"/>
    <col min="3324" max="3324" width="30" customWidth="1"/>
    <col min="3325" max="3325" width="8.5703125" customWidth="1"/>
    <col min="3326" max="3326" width="15.85546875" customWidth="1"/>
    <col min="3327" max="3328" width="17.42578125" customWidth="1"/>
    <col min="3329" max="3329" width="19.28515625" customWidth="1"/>
    <col min="3330" max="3579" width="8.7109375" bestFit="1" customWidth="1"/>
    <col min="3580" max="3580" width="30" customWidth="1"/>
    <col min="3581" max="3581" width="8.5703125" customWidth="1"/>
    <col min="3582" max="3582" width="15.85546875" customWidth="1"/>
    <col min="3583" max="3584" width="17.42578125" customWidth="1"/>
    <col min="3585" max="3585" width="19.28515625" customWidth="1"/>
    <col min="3586" max="3835" width="8.7109375" bestFit="1" customWidth="1"/>
    <col min="3836" max="3836" width="30" customWidth="1"/>
    <col min="3837" max="3837" width="8.5703125" customWidth="1"/>
    <col min="3838" max="3838" width="15.85546875" customWidth="1"/>
    <col min="3839" max="3840" width="17.42578125" customWidth="1"/>
    <col min="3841" max="3841" width="19.28515625" customWidth="1"/>
    <col min="3842" max="4091" width="8.7109375" bestFit="1" customWidth="1"/>
    <col min="4092" max="4092" width="30" customWidth="1"/>
    <col min="4093" max="4093" width="8.5703125" customWidth="1"/>
    <col min="4094" max="4094" width="15.85546875" customWidth="1"/>
    <col min="4095" max="4096" width="17.42578125" customWidth="1"/>
    <col min="4097" max="4097" width="19.28515625" customWidth="1"/>
    <col min="4098" max="4347" width="8.7109375" bestFit="1" customWidth="1"/>
    <col min="4348" max="4348" width="30" customWidth="1"/>
    <col min="4349" max="4349" width="8.5703125" customWidth="1"/>
    <col min="4350" max="4350" width="15.85546875" customWidth="1"/>
    <col min="4351" max="4352" width="17.42578125" customWidth="1"/>
    <col min="4353" max="4353" width="19.28515625" customWidth="1"/>
    <col min="4354" max="4603" width="8.7109375" bestFit="1" customWidth="1"/>
    <col min="4604" max="4604" width="30" customWidth="1"/>
    <col min="4605" max="4605" width="8.5703125" customWidth="1"/>
    <col min="4606" max="4606" width="15.85546875" customWidth="1"/>
    <col min="4607" max="4608" width="17.42578125" customWidth="1"/>
    <col min="4609" max="4609" width="19.28515625" customWidth="1"/>
    <col min="4610" max="4859" width="8.7109375" bestFit="1" customWidth="1"/>
    <col min="4860" max="4860" width="30" customWidth="1"/>
    <col min="4861" max="4861" width="8.5703125" customWidth="1"/>
    <col min="4862" max="4862" width="15.85546875" customWidth="1"/>
    <col min="4863" max="4864" width="17.42578125" customWidth="1"/>
    <col min="4865" max="4865" width="19.28515625" customWidth="1"/>
    <col min="4866" max="5115" width="8.7109375" bestFit="1" customWidth="1"/>
    <col min="5116" max="5116" width="30" customWidth="1"/>
    <col min="5117" max="5117" width="8.5703125" customWidth="1"/>
    <col min="5118" max="5118" width="15.85546875" customWidth="1"/>
    <col min="5119" max="5120" width="17.42578125" customWidth="1"/>
    <col min="5121" max="5121" width="19.28515625" customWidth="1"/>
    <col min="5122" max="5371" width="8.7109375" bestFit="1" customWidth="1"/>
    <col min="5372" max="5372" width="30" customWidth="1"/>
    <col min="5373" max="5373" width="8.5703125" customWidth="1"/>
    <col min="5374" max="5374" width="15.85546875" customWidth="1"/>
    <col min="5375" max="5376" width="17.42578125" customWidth="1"/>
    <col min="5377" max="5377" width="19.28515625" customWidth="1"/>
    <col min="5378" max="5627" width="8.7109375" bestFit="1" customWidth="1"/>
    <col min="5628" max="5628" width="30" customWidth="1"/>
    <col min="5629" max="5629" width="8.5703125" customWidth="1"/>
    <col min="5630" max="5630" width="15.85546875" customWidth="1"/>
    <col min="5631" max="5632" width="17.42578125" customWidth="1"/>
    <col min="5633" max="5633" width="19.28515625" customWidth="1"/>
    <col min="5634" max="5883" width="8.7109375" bestFit="1" customWidth="1"/>
    <col min="5884" max="5884" width="30" customWidth="1"/>
    <col min="5885" max="5885" width="8.5703125" customWidth="1"/>
    <col min="5886" max="5886" width="15.85546875" customWidth="1"/>
    <col min="5887" max="5888" width="17.42578125" customWidth="1"/>
    <col min="5889" max="5889" width="19.28515625" customWidth="1"/>
    <col min="5890" max="6139" width="8.7109375" bestFit="1" customWidth="1"/>
    <col min="6140" max="6140" width="30" customWidth="1"/>
    <col min="6141" max="6141" width="8.5703125" customWidth="1"/>
    <col min="6142" max="6142" width="15.85546875" customWidth="1"/>
    <col min="6143" max="6144" width="17.42578125" customWidth="1"/>
    <col min="6145" max="6145" width="19.28515625" customWidth="1"/>
    <col min="6146" max="6395" width="8.7109375" bestFit="1" customWidth="1"/>
    <col min="6396" max="6396" width="30" customWidth="1"/>
    <col min="6397" max="6397" width="8.5703125" customWidth="1"/>
    <col min="6398" max="6398" width="15.85546875" customWidth="1"/>
    <col min="6399" max="6400" width="17.42578125" customWidth="1"/>
    <col min="6401" max="6401" width="19.28515625" customWidth="1"/>
    <col min="6402" max="6651" width="8.7109375" bestFit="1" customWidth="1"/>
    <col min="6652" max="6652" width="30" customWidth="1"/>
    <col min="6653" max="6653" width="8.5703125" customWidth="1"/>
    <col min="6654" max="6654" width="15.85546875" customWidth="1"/>
    <col min="6655" max="6656" width="17.42578125" customWidth="1"/>
    <col min="6657" max="6657" width="19.28515625" customWidth="1"/>
    <col min="6658" max="6907" width="8.7109375" bestFit="1" customWidth="1"/>
    <col min="6908" max="6908" width="30" customWidth="1"/>
    <col min="6909" max="6909" width="8.5703125" customWidth="1"/>
    <col min="6910" max="6910" width="15.85546875" customWidth="1"/>
    <col min="6911" max="6912" width="17.42578125" customWidth="1"/>
    <col min="6913" max="6913" width="19.28515625" customWidth="1"/>
    <col min="6914" max="7163" width="8.7109375" bestFit="1" customWidth="1"/>
    <col min="7164" max="7164" width="30" customWidth="1"/>
    <col min="7165" max="7165" width="8.5703125" customWidth="1"/>
    <col min="7166" max="7166" width="15.85546875" customWidth="1"/>
    <col min="7167" max="7168" width="17.42578125" customWidth="1"/>
    <col min="7169" max="7169" width="19.28515625" customWidth="1"/>
    <col min="7170" max="7419" width="8.7109375" bestFit="1" customWidth="1"/>
    <col min="7420" max="7420" width="30" customWidth="1"/>
    <col min="7421" max="7421" width="8.5703125" customWidth="1"/>
    <col min="7422" max="7422" width="15.85546875" customWidth="1"/>
    <col min="7423" max="7424" width="17.42578125" customWidth="1"/>
    <col min="7425" max="7425" width="19.28515625" customWidth="1"/>
    <col min="7426" max="7675" width="8.7109375" bestFit="1" customWidth="1"/>
    <col min="7676" max="7676" width="30" customWidth="1"/>
    <col min="7677" max="7677" width="8.5703125" customWidth="1"/>
    <col min="7678" max="7678" width="15.85546875" customWidth="1"/>
    <col min="7679" max="7680" width="17.42578125" customWidth="1"/>
    <col min="7681" max="7681" width="19.28515625" customWidth="1"/>
    <col min="7682" max="7931" width="8.7109375" bestFit="1" customWidth="1"/>
    <col min="7932" max="7932" width="30" customWidth="1"/>
    <col min="7933" max="7933" width="8.5703125" customWidth="1"/>
    <col min="7934" max="7934" width="15.85546875" customWidth="1"/>
    <col min="7935" max="7936" width="17.42578125" customWidth="1"/>
    <col min="7937" max="7937" width="19.28515625" customWidth="1"/>
    <col min="7938" max="8187" width="8.7109375" bestFit="1" customWidth="1"/>
    <col min="8188" max="8188" width="30" customWidth="1"/>
    <col min="8189" max="8189" width="8.5703125" customWidth="1"/>
    <col min="8190" max="8190" width="15.85546875" customWidth="1"/>
    <col min="8191" max="8192" width="17.42578125" customWidth="1"/>
    <col min="8193" max="8193" width="19.28515625" customWidth="1"/>
    <col min="8194" max="8443" width="8.7109375" bestFit="1" customWidth="1"/>
    <col min="8444" max="8444" width="30" customWidth="1"/>
    <col min="8445" max="8445" width="8.5703125" customWidth="1"/>
    <col min="8446" max="8446" width="15.85546875" customWidth="1"/>
    <col min="8447" max="8448" width="17.42578125" customWidth="1"/>
    <col min="8449" max="8449" width="19.28515625" customWidth="1"/>
    <col min="8450" max="8699" width="8.7109375" bestFit="1" customWidth="1"/>
    <col min="8700" max="8700" width="30" customWidth="1"/>
    <col min="8701" max="8701" width="8.5703125" customWidth="1"/>
    <col min="8702" max="8702" width="15.85546875" customWidth="1"/>
    <col min="8703" max="8704" width="17.42578125" customWidth="1"/>
    <col min="8705" max="8705" width="19.28515625" customWidth="1"/>
    <col min="8706" max="8955" width="8.7109375" bestFit="1" customWidth="1"/>
    <col min="8956" max="8956" width="30" customWidth="1"/>
    <col min="8957" max="8957" width="8.5703125" customWidth="1"/>
    <col min="8958" max="8958" width="15.85546875" customWidth="1"/>
    <col min="8959" max="8960" width="17.42578125" customWidth="1"/>
    <col min="8961" max="8961" width="19.28515625" customWidth="1"/>
    <col min="8962" max="9211" width="8.7109375" bestFit="1" customWidth="1"/>
    <col min="9212" max="9212" width="30" customWidth="1"/>
    <col min="9213" max="9213" width="8.5703125" customWidth="1"/>
    <col min="9214" max="9214" width="15.85546875" customWidth="1"/>
    <col min="9215" max="9216" width="17.42578125" customWidth="1"/>
    <col min="9217" max="9217" width="19.28515625" customWidth="1"/>
    <col min="9218" max="9467" width="8.7109375" bestFit="1" customWidth="1"/>
    <col min="9468" max="9468" width="30" customWidth="1"/>
    <col min="9469" max="9469" width="8.5703125" customWidth="1"/>
    <col min="9470" max="9470" width="15.85546875" customWidth="1"/>
    <col min="9471" max="9472" width="17.42578125" customWidth="1"/>
    <col min="9473" max="9473" width="19.28515625" customWidth="1"/>
    <col min="9474" max="9723" width="8.7109375" bestFit="1" customWidth="1"/>
    <col min="9724" max="9724" width="30" customWidth="1"/>
    <col min="9725" max="9725" width="8.5703125" customWidth="1"/>
    <col min="9726" max="9726" width="15.85546875" customWidth="1"/>
    <col min="9727" max="9728" width="17.42578125" customWidth="1"/>
    <col min="9729" max="9729" width="19.28515625" customWidth="1"/>
    <col min="9730" max="9979" width="8.7109375" bestFit="1" customWidth="1"/>
    <col min="9980" max="9980" width="30" customWidth="1"/>
    <col min="9981" max="9981" width="8.5703125" customWidth="1"/>
    <col min="9982" max="9982" width="15.85546875" customWidth="1"/>
    <col min="9983" max="9984" width="17.42578125" customWidth="1"/>
    <col min="9985" max="9985" width="19.28515625" customWidth="1"/>
    <col min="9986" max="10235" width="8.7109375" bestFit="1" customWidth="1"/>
    <col min="10236" max="10236" width="30" customWidth="1"/>
    <col min="10237" max="10237" width="8.5703125" customWidth="1"/>
    <col min="10238" max="10238" width="15.85546875" customWidth="1"/>
    <col min="10239" max="10240" width="17.42578125" customWidth="1"/>
    <col min="10241" max="10241" width="19.28515625" customWidth="1"/>
    <col min="10242" max="10491" width="8.7109375" bestFit="1" customWidth="1"/>
    <col min="10492" max="10492" width="30" customWidth="1"/>
    <col min="10493" max="10493" width="8.5703125" customWidth="1"/>
    <col min="10494" max="10494" width="15.85546875" customWidth="1"/>
    <col min="10495" max="10496" width="17.42578125" customWidth="1"/>
    <col min="10497" max="10497" width="19.28515625" customWidth="1"/>
    <col min="10498" max="10747" width="8.7109375" bestFit="1" customWidth="1"/>
    <col min="10748" max="10748" width="30" customWidth="1"/>
    <col min="10749" max="10749" width="8.5703125" customWidth="1"/>
    <col min="10750" max="10750" width="15.85546875" customWidth="1"/>
    <col min="10751" max="10752" width="17.42578125" customWidth="1"/>
    <col min="10753" max="10753" width="19.28515625" customWidth="1"/>
    <col min="10754" max="11003" width="8.7109375" bestFit="1" customWidth="1"/>
    <col min="11004" max="11004" width="30" customWidth="1"/>
    <col min="11005" max="11005" width="8.5703125" customWidth="1"/>
    <col min="11006" max="11006" width="15.85546875" customWidth="1"/>
    <col min="11007" max="11008" width="17.42578125" customWidth="1"/>
    <col min="11009" max="11009" width="19.28515625" customWidth="1"/>
    <col min="11010" max="11259" width="8.7109375" bestFit="1" customWidth="1"/>
    <col min="11260" max="11260" width="30" customWidth="1"/>
    <col min="11261" max="11261" width="8.5703125" customWidth="1"/>
    <col min="11262" max="11262" width="15.85546875" customWidth="1"/>
    <col min="11263" max="11264" width="17.42578125" customWidth="1"/>
    <col min="11265" max="11265" width="19.28515625" customWidth="1"/>
    <col min="11266" max="11515" width="8.7109375" bestFit="1" customWidth="1"/>
    <col min="11516" max="11516" width="30" customWidth="1"/>
    <col min="11517" max="11517" width="8.5703125" customWidth="1"/>
    <col min="11518" max="11518" width="15.85546875" customWidth="1"/>
    <col min="11519" max="11520" width="17.42578125" customWidth="1"/>
    <col min="11521" max="11521" width="19.28515625" customWidth="1"/>
    <col min="11522" max="11771" width="8.7109375" bestFit="1" customWidth="1"/>
    <col min="11772" max="11772" width="30" customWidth="1"/>
    <col min="11773" max="11773" width="8.5703125" customWidth="1"/>
    <col min="11774" max="11774" width="15.85546875" customWidth="1"/>
    <col min="11775" max="11776" width="17.42578125" customWidth="1"/>
    <col min="11777" max="11777" width="19.28515625" customWidth="1"/>
    <col min="11778" max="12027" width="8.7109375" bestFit="1" customWidth="1"/>
    <col min="12028" max="12028" width="30" customWidth="1"/>
    <col min="12029" max="12029" width="8.5703125" customWidth="1"/>
    <col min="12030" max="12030" width="15.85546875" customWidth="1"/>
    <col min="12031" max="12032" width="17.42578125" customWidth="1"/>
    <col min="12033" max="12033" width="19.28515625" customWidth="1"/>
    <col min="12034" max="12283" width="8.7109375" bestFit="1" customWidth="1"/>
    <col min="12284" max="12284" width="30" customWidth="1"/>
    <col min="12285" max="12285" width="8.5703125" customWidth="1"/>
    <col min="12286" max="12286" width="15.85546875" customWidth="1"/>
    <col min="12287" max="12288" width="17.42578125" customWidth="1"/>
    <col min="12289" max="12289" width="19.28515625" customWidth="1"/>
    <col min="12290" max="12539" width="8.7109375" bestFit="1" customWidth="1"/>
    <col min="12540" max="12540" width="30" customWidth="1"/>
    <col min="12541" max="12541" width="8.5703125" customWidth="1"/>
    <col min="12542" max="12542" width="15.85546875" customWidth="1"/>
    <col min="12543" max="12544" width="17.42578125" customWidth="1"/>
    <col min="12545" max="12545" width="19.28515625" customWidth="1"/>
    <col min="12546" max="12795" width="8.7109375" bestFit="1" customWidth="1"/>
    <col min="12796" max="12796" width="30" customWidth="1"/>
    <col min="12797" max="12797" width="8.5703125" customWidth="1"/>
    <col min="12798" max="12798" width="15.85546875" customWidth="1"/>
    <col min="12799" max="12800" width="17.42578125" customWidth="1"/>
    <col min="12801" max="12801" width="19.28515625" customWidth="1"/>
    <col min="12802" max="13051" width="8.7109375" bestFit="1" customWidth="1"/>
    <col min="13052" max="13052" width="30" customWidth="1"/>
    <col min="13053" max="13053" width="8.5703125" customWidth="1"/>
    <col min="13054" max="13054" width="15.85546875" customWidth="1"/>
    <col min="13055" max="13056" width="17.42578125" customWidth="1"/>
    <col min="13057" max="13057" width="19.28515625" customWidth="1"/>
    <col min="13058" max="13307" width="8.7109375" bestFit="1" customWidth="1"/>
    <col min="13308" max="13308" width="30" customWidth="1"/>
    <col min="13309" max="13309" width="8.5703125" customWidth="1"/>
    <col min="13310" max="13310" width="15.85546875" customWidth="1"/>
    <col min="13311" max="13312" width="17.42578125" customWidth="1"/>
    <col min="13313" max="13313" width="19.28515625" customWidth="1"/>
    <col min="13314" max="13563" width="8.7109375" bestFit="1" customWidth="1"/>
    <col min="13564" max="13564" width="30" customWidth="1"/>
    <col min="13565" max="13565" width="8.5703125" customWidth="1"/>
    <col min="13566" max="13566" width="15.85546875" customWidth="1"/>
    <col min="13567" max="13568" width="17.42578125" customWidth="1"/>
    <col min="13569" max="13569" width="19.28515625" customWidth="1"/>
    <col min="13570" max="13819" width="8.7109375" bestFit="1" customWidth="1"/>
    <col min="13820" max="13820" width="30" customWidth="1"/>
    <col min="13821" max="13821" width="8.5703125" customWidth="1"/>
    <col min="13822" max="13822" width="15.85546875" customWidth="1"/>
    <col min="13823" max="13824" width="17.42578125" customWidth="1"/>
    <col min="13825" max="13825" width="19.28515625" customWidth="1"/>
    <col min="13826" max="14075" width="8.7109375" bestFit="1" customWidth="1"/>
    <col min="14076" max="14076" width="30" customWidth="1"/>
    <col min="14077" max="14077" width="8.5703125" customWidth="1"/>
    <col min="14078" max="14078" width="15.85546875" customWidth="1"/>
    <col min="14079" max="14080" width="17.42578125" customWidth="1"/>
    <col min="14081" max="14081" width="19.28515625" customWidth="1"/>
    <col min="14082" max="14331" width="8.7109375" bestFit="1" customWidth="1"/>
    <col min="14332" max="14332" width="30" customWidth="1"/>
    <col min="14333" max="14333" width="8.5703125" customWidth="1"/>
    <col min="14334" max="14334" width="15.85546875" customWidth="1"/>
    <col min="14335" max="14336" width="17.42578125" customWidth="1"/>
    <col min="14337" max="14337" width="19.28515625" customWidth="1"/>
    <col min="14338" max="14587" width="8.7109375" bestFit="1" customWidth="1"/>
    <col min="14588" max="14588" width="30" customWidth="1"/>
    <col min="14589" max="14589" width="8.5703125" customWidth="1"/>
    <col min="14590" max="14590" width="15.85546875" customWidth="1"/>
    <col min="14591" max="14592" width="17.42578125" customWidth="1"/>
    <col min="14593" max="14593" width="19.28515625" customWidth="1"/>
    <col min="14594" max="14843" width="8.7109375" bestFit="1" customWidth="1"/>
    <col min="14844" max="14844" width="30" customWidth="1"/>
    <col min="14845" max="14845" width="8.5703125" customWidth="1"/>
    <col min="14846" max="14846" width="15.85546875" customWidth="1"/>
    <col min="14847" max="14848" width="17.42578125" customWidth="1"/>
    <col min="14849" max="14849" width="19.28515625" customWidth="1"/>
    <col min="14850" max="15099" width="8.7109375" bestFit="1" customWidth="1"/>
    <col min="15100" max="15100" width="30" customWidth="1"/>
    <col min="15101" max="15101" width="8.5703125" customWidth="1"/>
    <col min="15102" max="15102" width="15.85546875" customWidth="1"/>
    <col min="15103" max="15104" width="17.42578125" customWidth="1"/>
    <col min="15105" max="15105" width="19.28515625" customWidth="1"/>
    <col min="15106" max="15355" width="8.7109375" bestFit="1" customWidth="1"/>
    <col min="15356" max="15356" width="30" customWidth="1"/>
    <col min="15357" max="15357" width="8.5703125" customWidth="1"/>
    <col min="15358" max="15358" width="15.85546875" customWidth="1"/>
    <col min="15359" max="15360" width="17.42578125" customWidth="1"/>
    <col min="15361" max="15361" width="19.28515625" customWidth="1"/>
    <col min="15362" max="15611" width="8.7109375" bestFit="1" customWidth="1"/>
    <col min="15612" max="15612" width="30" customWidth="1"/>
    <col min="15613" max="15613" width="8.5703125" customWidth="1"/>
    <col min="15614" max="15614" width="15.85546875" customWidth="1"/>
    <col min="15615" max="15616" width="17.42578125" customWidth="1"/>
    <col min="15617" max="15617" width="19.28515625" customWidth="1"/>
    <col min="15618" max="15867" width="8.7109375" bestFit="1" customWidth="1"/>
    <col min="15868" max="15868" width="30" customWidth="1"/>
    <col min="15869" max="15869" width="8.5703125" customWidth="1"/>
    <col min="15870" max="15870" width="15.85546875" customWidth="1"/>
    <col min="15871" max="15872" width="17.42578125" customWidth="1"/>
    <col min="15873" max="15873" width="19.28515625" customWidth="1"/>
    <col min="15874" max="16123" width="8.7109375" bestFit="1" customWidth="1"/>
    <col min="16124" max="16124" width="30" customWidth="1"/>
    <col min="16125" max="16125" width="8.5703125" customWidth="1"/>
    <col min="16126" max="16126" width="15.85546875" customWidth="1"/>
    <col min="16127" max="16128" width="17.42578125" customWidth="1"/>
    <col min="16129" max="16129" width="19.28515625" customWidth="1"/>
  </cols>
  <sheetData>
    <row r="1" spans="1:16" ht="54.6" customHeight="1">
      <c r="A1" s="8"/>
      <c r="B1" s="8"/>
      <c r="C1" s="8"/>
      <c r="D1"/>
    </row>
    <row r="2" spans="1:16" ht="14.25">
      <c r="A2" s="197" t="s">
        <v>149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</row>
    <row r="3" spans="1:16" ht="14.25">
      <c r="A3" s="197" t="s">
        <v>213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</row>
    <row r="4" spans="1:16" ht="14.25">
      <c r="A4" s="201" t="s">
        <v>214</v>
      </c>
      <c r="B4" s="201"/>
      <c r="C4" s="201"/>
      <c r="D4" s="201"/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</row>
    <row r="5" spans="1:16" ht="14.25">
      <c r="A5" s="9"/>
      <c r="B5" s="9"/>
      <c r="C5" s="9"/>
      <c r="D5" s="9"/>
      <c r="E5" s="9"/>
      <c r="F5" s="9"/>
      <c r="G5" s="9"/>
    </row>
    <row r="6" spans="1:16" ht="14.25">
      <c r="A6" s="193" t="s">
        <v>116</v>
      </c>
      <c r="B6" s="193"/>
      <c r="C6" s="193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</row>
    <row r="9" spans="1:16">
      <c r="A9" s="198" t="s">
        <v>117</v>
      </c>
      <c r="B9" s="198"/>
      <c r="C9" s="207" t="s">
        <v>118</v>
      </c>
      <c r="D9" s="199"/>
      <c r="E9" s="199"/>
      <c r="F9" s="199"/>
      <c r="G9" s="208"/>
      <c r="H9" s="200" t="s">
        <v>53</v>
      </c>
      <c r="I9" s="200"/>
      <c r="J9" s="200"/>
      <c r="K9" s="202" t="s">
        <v>54</v>
      </c>
      <c r="L9" s="203"/>
      <c r="M9" s="203"/>
      <c r="N9" s="204"/>
      <c r="O9" s="7"/>
      <c r="P9" s="7"/>
    </row>
    <row r="10" spans="1:16" ht="51">
      <c r="A10" s="55" t="s">
        <v>55</v>
      </c>
      <c r="B10" s="55" t="s">
        <v>56</v>
      </c>
      <c r="C10" s="55" t="s">
        <v>57</v>
      </c>
      <c r="D10" s="55" t="s">
        <v>58</v>
      </c>
      <c r="E10" s="55" t="s">
        <v>59</v>
      </c>
      <c r="F10" s="55" t="s">
        <v>60</v>
      </c>
      <c r="G10" s="56" t="s">
        <v>61</v>
      </c>
      <c r="H10" s="57" t="s">
        <v>62</v>
      </c>
      <c r="I10" s="57" t="s">
        <v>63</v>
      </c>
      <c r="J10" s="57" t="s">
        <v>64</v>
      </c>
      <c r="K10" s="56" t="s">
        <v>61</v>
      </c>
      <c r="L10" s="57" t="s">
        <v>62</v>
      </c>
      <c r="M10" s="57" t="s">
        <v>63</v>
      </c>
      <c r="N10" s="57" t="s">
        <v>64</v>
      </c>
      <c r="O10" s="58" t="s">
        <v>65</v>
      </c>
      <c r="P10" s="59"/>
    </row>
    <row r="11" spans="1:16">
      <c r="A11" s="2" t="s">
        <v>66</v>
      </c>
      <c r="B11" s="2">
        <v>135032</v>
      </c>
      <c r="C11" s="47" t="s">
        <v>119</v>
      </c>
      <c r="D11" s="2" t="s">
        <v>67</v>
      </c>
      <c r="E11" s="50" t="s">
        <v>120</v>
      </c>
      <c r="F11" s="48">
        <v>45267</v>
      </c>
      <c r="G11" s="49">
        <v>38.299999999999997</v>
      </c>
      <c r="H11" s="60">
        <f>ROUND(AVERAGE(G12:G15),2)</f>
        <v>48.8</v>
      </c>
      <c r="I11" s="61">
        <f>(((G11-H11)*100)/H11)/100</f>
        <v>-0.21516393442622953</v>
      </c>
      <c r="J11" s="62" t="str">
        <f>IF(I11&gt;30%,"EXCESSIVAMENTE ELEVADO","VÁLIDO")</f>
        <v>VÁLIDO</v>
      </c>
      <c r="K11" s="49">
        <f>G11</f>
        <v>38.299999999999997</v>
      </c>
      <c r="L11" s="60">
        <f>ROUND(AVERAGE(K12:K15),2)</f>
        <v>42.19</v>
      </c>
      <c r="M11" s="61">
        <f>((K11*100)/L11)/100</f>
        <v>0.90779805641147193</v>
      </c>
      <c r="N11" s="62" t="str">
        <f>IF(M11&lt;70%,"INEXEQUÍVEL","EXEQUÍVEL")</f>
        <v>EXEQUÍVEL</v>
      </c>
      <c r="O11" s="63">
        <f>G11</f>
        <v>38.299999999999997</v>
      </c>
      <c r="P11" s="7"/>
    </row>
    <row r="12" spans="1:16" ht="25.5">
      <c r="A12" s="2" t="s">
        <v>66</v>
      </c>
      <c r="B12" s="2">
        <v>926265</v>
      </c>
      <c r="C12" s="47" t="s">
        <v>121</v>
      </c>
      <c r="D12" s="2" t="s">
        <v>67</v>
      </c>
      <c r="E12" s="50" t="s">
        <v>120</v>
      </c>
      <c r="F12" s="48">
        <v>45257</v>
      </c>
      <c r="G12" s="49">
        <v>68.62</v>
      </c>
      <c r="H12" s="60">
        <f>ROUND(AVERAGE(G13:G15,G11),2)</f>
        <v>41.22</v>
      </c>
      <c r="I12" s="61">
        <f>(((G12-H12)*100)/H12)/100</f>
        <v>0.66472586123241162</v>
      </c>
      <c r="J12" s="62" t="str">
        <f>IF(I12&gt;30%,"EXCESSIVAMENTE ELEVADO","VÁLIDO")</f>
        <v>EXCESSIVAMENTE ELEVADO</v>
      </c>
      <c r="K12" s="49" t="s">
        <v>10</v>
      </c>
      <c r="L12" s="60" t="s">
        <v>10</v>
      </c>
      <c r="M12" s="61" t="s">
        <v>10</v>
      </c>
      <c r="N12" s="76" t="s">
        <v>69</v>
      </c>
      <c r="O12" s="63" t="s">
        <v>10</v>
      </c>
      <c r="P12" s="7"/>
    </row>
    <row r="13" spans="1:16">
      <c r="A13" s="2" t="s">
        <v>66</v>
      </c>
      <c r="B13" s="2">
        <v>929391</v>
      </c>
      <c r="C13" s="47" t="s">
        <v>122</v>
      </c>
      <c r="D13" s="2" t="s">
        <v>67</v>
      </c>
      <c r="E13" s="50" t="s">
        <v>123</v>
      </c>
      <c r="F13" s="48">
        <v>45188</v>
      </c>
      <c r="G13" s="49">
        <v>16.29</v>
      </c>
      <c r="H13" s="60">
        <f>ROUND(AVERAGE(G14:G15,G11:G12),2)</f>
        <v>54.3</v>
      </c>
      <c r="I13" s="61">
        <f>(((G13-H13)*100)/H13)/100</f>
        <v>-0.7</v>
      </c>
      <c r="J13" s="62" t="str">
        <f>IF(I13&gt;30%,"EXCESSIVAMENTE ELEVADO","VÁLIDO")</f>
        <v>VÁLIDO</v>
      </c>
      <c r="K13" s="49">
        <f>G13</f>
        <v>16.29</v>
      </c>
      <c r="L13" s="60">
        <f>ROUND(AVERAGE(K14:K15,K11:K12),2)</f>
        <v>49.52</v>
      </c>
      <c r="M13" s="61">
        <f>((K13*100)/L13)/100</f>
        <v>0.32895799676898219</v>
      </c>
      <c r="N13" s="62" t="str">
        <f>IF(M13&lt;70%,"INEXEQUÍVEL","EXEQUÍVEL")</f>
        <v>INEXEQUÍVEL</v>
      </c>
      <c r="O13" s="63" t="s">
        <v>10</v>
      </c>
      <c r="P13" s="7"/>
    </row>
    <row r="14" spans="1:16">
      <c r="A14" s="2" t="s">
        <v>66</v>
      </c>
      <c r="B14" s="2">
        <v>985867</v>
      </c>
      <c r="C14" s="47" t="s">
        <v>89</v>
      </c>
      <c r="D14" s="2" t="s">
        <v>67</v>
      </c>
      <c r="E14" s="50" t="s">
        <v>124</v>
      </c>
      <c r="F14" s="48">
        <v>45163</v>
      </c>
      <c r="G14" s="49">
        <v>53.19</v>
      </c>
      <c r="H14" s="60">
        <f>ROUND(AVERAGE(G15:G15,G11:G13),2)</f>
        <v>45.07</v>
      </c>
      <c r="I14" s="61">
        <f>(((G14-H14)*100)/H14)/100</f>
        <v>0.1801641890392722</v>
      </c>
      <c r="J14" s="62" t="str">
        <f>IF(I14&gt;30%,"EXCESSIVAMENTE ELEVADO","VÁLIDO")</f>
        <v>VÁLIDO</v>
      </c>
      <c r="K14" s="49">
        <f>G14</f>
        <v>53.19</v>
      </c>
      <c r="L14" s="60">
        <f>ROUND(AVERAGE(K15:K15,K11:K13),2)</f>
        <v>37.22</v>
      </c>
      <c r="M14" s="61">
        <f>((K14*100)/L14)/100</f>
        <v>1.4290703922622245</v>
      </c>
      <c r="N14" s="62" t="str">
        <f>IF(M14&lt;70%,"INEXEQUÍVEL","EXEQUÍVEL")</f>
        <v>EXEQUÍVEL</v>
      </c>
      <c r="O14" s="63">
        <f>G14</f>
        <v>53.19</v>
      </c>
      <c r="P14" s="7"/>
    </row>
    <row r="15" spans="1:16" ht="19.5" customHeight="1">
      <c r="A15" s="2" t="s">
        <v>66</v>
      </c>
      <c r="B15" s="2">
        <v>988655</v>
      </c>
      <c r="C15" s="47" t="s">
        <v>125</v>
      </c>
      <c r="D15" s="2" t="s">
        <v>67</v>
      </c>
      <c r="E15" s="50" t="s">
        <v>126</v>
      </c>
      <c r="F15" s="48">
        <v>45177</v>
      </c>
      <c r="G15" s="49">
        <v>57.08</v>
      </c>
      <c r="H15" s="60">
        <f>ROUND(AVERAGE(G11:G14),2)</f>
        <v>44.1</v>
      </c>
      <c r="I15" s="61">
        <f>(((G15-H15)*100)/H15)/100</f>
        <v>0.29433106575963713</v>
      </c>
      <c r="J15" s="62" t="str">
        <f>IF(I15&gt;30%,"EXCESSIVAMENTE ELEVADO","VÁLIDO")</f>
        <v>VÁLIDO</v>
      </c>
      <c r="K15" s="49">
        <f>G15</f>
        <v>57.08</v>
      </c>
      <c r="L15" s="60">
        <f>ROUND(AVERAGE(K11:K14),2)</f>
        <v>35.93</v>
      </c>
      <c r="M15" s="61">
        <f>((K15*100)/L15)/100</f>
        <v>1.5886445866963541</v>
      </c>
      <c r="N15" s="62" t="str">
        <f>IF(M15&lt;70%,"INEXEQUÍVEL","EXEQUÍVEL")</f>
        <v>EXEQUÍVEL</v>
      </c>
      <c r="O15" s="63">
        <f>G15</f>
        <v>57.08</v>
      </c>
    </row>
    <row r="16" spans="1:16" ht="13.5" thickBot="1"/>
    <row r="17" spans="1:15">
      <c r="A17" s="80" t="s">
        <v>70</v>
      </c>
      <c r="N17" s="65" t="s">
        <v>71</v>
      </c>
      <c r="O17" s="66">
        <f>ROUND(AVERAGE(O11:O15),2)</f>
        <v>49.52</v>
      </c>
    </row>
    <row r="18" spans="1:15">
      <c r="A18" s="67" t="s">
        <v>72</v>
      </c>
      <c r="N18" s="68" t="s">
        <v>73</v>
      </c>
      <c r="O18" s="69">
        <f>_xlfn.STDEV.P(O11:O15)</f>
        <v>8.0934308066618126</v>
      </c>
    </row>
    <row r="19" spans="1:15">
      <c r="A19" s="67"/>
      <c r="N19" s="68" t="s">
        <v>74</v>
      </c>
      <c r="O19" s="70">
        <f>O18/O17</f>
        <v>0.16343761725892189</v>
      </c>
    </row>
    <row r="20" spans="1:15" ht="13.5" thickBot="1">
      <c r="A20" s="7"/>
      <c r="N20" s="71" t="s">
        <v>75</v>
      </c>
      <c r="O20" s="72">
        <f>ROUND(MEDIAN(O11:O15),2)</f>
        <v>53.19</v>
      </c>
    </row>
    <row r="21" spans="1:15" ht="13.5" thickBot="1">
      <c r="A21" s="73" t="s">
        <v>76</v>
      </c>
      <c r="N21" s="74" t="str">
        <f>IF(O19&gt;25%,"PREÇO MEDIANA","PREÇO MÉDIA")</f>
        <v>PREÇO MÉDIA</v>
      </c>
      <c r="O21" s="75">
        <f>IF(O19&gt;25%,O20,O17)</f>
        <v>49.52</v>
      </c>
    </row>
    <row r="22" spans="1:15">
      <c r="A22" s="7" t="s">
        <v>77</v>
      </c>
    </row>
    <row r="23" spans="1:15">
      <c r="A23" s="7" t="s">
        <v>78</v>
      </c>
    </row>
    <row r="24" spans="1:15">
      <c r="A24" s="7" t="s">
        <v>79</v>
      </c>
    </row>
    <row r="25" spans="1:15">
      <c r="A25" s="7" t="s">
        <v>80</v>
      </c>
    </row>
  </sheetData>
  <mergeCells count="8">
    <mergeCell ref="A9:B9"/>
    <mergeCell ref="C9:G9"/>
    <mergeCell ref="H9:J9"/>
    <mergeCell ref="K9:N9"/>
    <mergeCell ref="A2:O2"/>
    <mergeCell ref="A3:O3"/>
    <mergeCell ref="A4:O4"/>
    <mergeCell ref="A6:O6"/>
  </mergeCells>
  <conditionalFormatting sqref="N11 N13:N15">
    <cfRule type="beginsWith" dxfId="23" priority="9" operator="beginsWith" text="EXEQUÍVEL">
      <formula>LEFT(N11,LEN("EXEQUÍVEL"))="EXEQUÍVEL"</formula>
    </cfRule>
    <cfRule type="beginsWith" dxfId="22" priority="10" operator="beginsWith" text="INEXEQUÍVEL">
      <formula>LEFT(N11,LEN("INEXEQUÍVEL"))="INEXEQUÍVEL"</formula>
    </cfRule>
  </conditionalFormatting>
  <conditionalFormatting sqref="J11:J15">
    <cfRule type="containsText" dxfId="21" priority="11" operator="containsText" text="VÁLIDO">
      <formula>NOT(ISERROR(SEARCH("VÁLIDO",J11)))</formula>
    </cfRule>
    <cfRule type="containsText" dxfId="20" priority="12" operator="containsText" text="EXCESSIVAMENTE ELEVADO">
      <formula>NOT(ISERROR(SEARCH("EXCESSIVAMENTE ELEVADO",J11)))</formula>
    </cfRule>
  </conditionalFormatting>
  <conditionalFormatting sqref="N12">
    <cfRule type="beginsWith" dxfId="19" priority="1" operator="beginsWith" text="EXEQUÍVEL">
      <formula>LEFT(N12,LEN("EXEQUÍVEL"))="EXEQUÍVEL"</formula>
    </cfRule>
    <cfRule type="beginsWith" dxfId="18" priority="2" operator="beginsWith" text="INEXEQUÍVEL">
      <formula>LEFT(N12,LEN("INEXEQUÍVEL"))="INEXEQUÍVEL"</formula>
    </cfRule>
  </conditionalFormatting>
  <pageMargins left="0.511811024" right="0.511811024" top="0.78740157499999996" bottom="0.78740157499999996" header="0.31496062000000002" footer="0.31496062000000002"/>
  <pageSetup paperSize="9" scale="5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zoomScaleNormal="100" workbookViewId="0">
      <selection activeCell="A4" sqref="A4:O4"/>
    </sheetView>
  </sheetViews>
  <sheetFormatPr defaultRowHeight="12.75"/>
  <cols>
    <col min="2" max="2" width="10.140625" customWidth="1"/>
    <col min="3" max="3" width="51.28515625" customWidth="1"/>
    <col min="4" max="4" width="13.28515625" style="16" customWidth="1"/>
    <col min="5" max="5" width="14" customWidth="1"/>
    <col min="6" max="6" width="14.7109375" customWidth="1"/>
    <col min="7" max="7" width="16" customWidth="1"/>
    <col min="8" max="8" width="14.7109375" customWidth="1"/>
    <col min="9" max="9" width="14" customWidth="1"/>
    <col min="10" max="10" width="17.85546875" customWidth="1"/>
    <col min="11" max="11" width="15" customWidth="1"/>
    <col min="12" max="12" width="15.5703125" customWidth="1"/>
    <col min="13" max="13" width="14.42578125" customWidth="1"/>
    <col min="14" max="14" width="14.28515625" customWidth="1"/>
    <col min="15" max="15" width="16.7109375" customWidth="1"/>
    <col min="16" max="251" width="8.7109375" bestFit="1" customWidth="1"/>
    <col min="252" max="252" width="30" customWidth="1"/>
    <col min="253" max="253" width="8.5703125" customWidth="1"/>
    <col min="254" max="254" width="15.85546875" customWidth="1"/>
    <col min="255" max="256" width="17.42578125" customWidth="1"/>
    <col min="257" max="257" width="19.28515625" customWidth="1"/>
    <col min="258" max="507" width="8.7109375" bestFit="1" customWidth="1"/>
    <col min="508" max="508" width="30" customWidth="1"/>
    <col min="509" max="509" width="8.5703125" customWidth="1"/>
    <col min="510" max="510" width="15.85546875" customWidth="1"/>
    <col min="511" max="512" width="17.42578125" customWidth="1"/>
    <col min="513" max="513" width="19.28515625" customWidth="1"/>
    <col min="514" max="763" width="8.7109375" bestFit="1" customWidth="1"/>
    <col min="764" max="764" width="30" customWidth="1"/>
    <col min="765" max="765" width="8.5703125" customWidth="1"/>
    <col min="766" max="766" width="15.85546875" customWidth="1"/>
    <col min="767" max="768" width="17.42578125" customWidth="1"/>
    <col min="769" max="769" width="19.28515625" customWidth="1"/>
    <col min="770" max="1019" width="8.7109375" bestFit="1" customWidth="1"/>
    <col min="1020" max="1020" width="30" customWidth="1"/>
    <col min="1021" max="1021" width="8.5703125" customWidth="1"/>
    <col min="1022" max="1022" width="15.85546875" customWidth="1"/>
    <col min="1023" max="1024" width="17.42578125" customWidth="1"/>
    <col min="1025" max="1025" width="19.28515625" customWidth="1"/>
    <col min="1026" max="1275" width="8.7109375" bestFit="1" customWidth="1"/>
    <col min="1276" max="1276" width="30" customWidth="1"/>
    <col min="1277" max="1277" width="8.5703125" customWidth="1"/>
    <col min="1278" max="1278" width="15.85546875" customWidth="1"/>
    <col min="1279" max="1280" width="17.42578125" customWidth="1"/>
    <col min="1281" max="1281" width="19.28515625" customWidth="1"/>
    <col min="1282" max="1531" width="8.7109375" bestFit="1" customWidth="1"/>
    <col min="1532" max="1532" width="30" customWidth="1"/>
    <col min="1533" max="1533" width="8.5703125" customWidth="1"/>
    <col min="1534" max="1534" width="15.85546875" customWidth="1"/>
    <col min="1535" max="1536" width="17.42578125" customWidth="1"/>
    <col min="1537" max="1537" width="19.28515625" customWidth="1"/>
    <col min="1538" max="1787" width="8.7109375" bestFit="1" customWidth="1"/>
    <col min="1788" max="1788" width="30" customWidth="1"/>
    <col min="1789" max="1789" width="8.5703125" customWidth="1"/>
    <col min="1790" max="1790" width="15.85546875" customWidth="1"/>
    <col min="1791" max="1792" width="17.42578125" customWidth="1"/>
    <col min="1793" max="1793" width="19.28515625" customWidth="1"/>
    <col min="1794" max="2043" width="8.7109375" bestFit="1" customWidth="1"/>
    <col min="2044" max="2044" width="30" customWidth="1"/>
    <col min="2045" max="2045" width="8.5703125" customWidth="1"/>
    <col min="2046" max="2046" width="15.85546875" customWidth="1"/>
    <col min="2047" max="2048" width="17.42578125" customWidth="1"/>
    <col min="2049" max="2049" width="19.28515625" customWidth="1"/>
    <col min="2050" max="2299" width="8.7109375" bestFit="1" customWidth="1"/>
    <col min="2300" max="2300" width="30" customWidth="1"/>
    <col min="2301" max="2301" width="8.5703125" customWidth="1"/>
    <col min="2302" max="2302" width="15.85546875" customWidth="1"/>
    <col min="2303" max="2304" width="17.42578125" customWidth="1"/>
    <col min="2305" max="2305" width="19.28515625" customWidth="1"/>
    <col min="2306" max="2555" width="8.7109375" bestFit="1" customWidth="1"/>
    <col min="2556" max="2556" width="30" customWidth="1"/>
    <col min="2557" max="2557" width="8.5703125" customWidth="1"/>
    <col min="2558" max="2558" width="15.85546875" customWidth="1"/>
    <col min="2559" max="2560" width="17.42578125" customWidth="1"/>
    <col min="2561" max="2561" width="19.28515625" customWidth="1"/>
    <col min="2562" max="2811" width="8.7109375" bestFit="1" customWidth="1"/>
    <col min="2812" max="2812" width="30" customWidth="1"/>
    <col min="2813" max="2813" width="8.5703125" customWidth="1"/>
    <col min="2814" max="2814" width="15.85546875" customWidth="1"/>
    <col min="2815" max="2816" width="17.42578125" customWidth="1"/>
    <col min="2817" max="2817" width="19.28515625" customWidth="1"/>
    <col min="2818" max="3067" width="8.7109375" bestFit="1" customWidth="1"/>
    <col min="3068" max="3068" width="30" customWidth="1"/>
    <col min="3069" max="3069" width="8.5703125" customWidth="1"/>
    <col min="3070" max="3070" width="15.85546875" customWidth="1"/>
    <col min="3071" max="3072" width="17.42578125" customWidth="1"/>
    <col min="3073" max="3073" width="19.28515625" customWidth="1"/>
    <col min="3074" max="3323" width="8.7109375" bestFit="1" customWidth="1"/>
    <col min="3324" max="3324" width="30" customWidth="1"/>
    <col min="3325" max="3325" width="8.5703125" customWidth="1"/>
    <col min="3326" max="3326" width="15.85546875" customWidth="1"/>
    <col min="3327" max="3328" width="17.42578125" customWidth="1"/>
    <col min="3329" max="3329" width="19.28515625" customWidth="1"/>
    <col min="3330" max="3579" width="8.7109375" bestFit="1" customWidth="1"/>
    <col min="3580" max="3580" width="30" customWidth="1"/>
    <col min="3581" max="3581" width="8.5703125" customWidth="1"/>
    <col min="3582" max="3582" width="15.85546875" customWidth="1"/>
    <col min="3583" max="3584" width="17.42578125" customWidth="1"/>
    <col min="3585" max="3585" width="19.28515625" customWidth="1"/>
    <col min="3586" max="3835" width="8.7109375" bestFit="1" customWidth="1"/>
    <col min="3836" max="3836" width="30" customWidth="1"/>
    <col min="3837" max="3837" width="8.5703125" customWidth="1"/>
    <col min="3838" max="3838" width="15.85546875" customWidth="1"/>
    <col min="3839" max="3840" width="17.42578125" customWidth="1"/>
    <col min="3841" max="3841" width="19.28515625" customWidth="1"/>
    <col min="3842" max="4091" width="8.7109375" bestFit="1" customWidth="1"/>
    <col min="4092" max="4092" width="30" customWidth="1"/>
    <col min="4093" max="4093" width="8.5703125" customWidth="1"/>
    <col min="4094" max="4094" width="15.85546875" customWidth="1"/>
    <col min="4095" max="4096" width="17.42578125" customWidth="1"/>
    <col min="4097" max="4097" width="19.28515625" customWidth="1"/>
    <col min="4098" max="4347" width="8.7109375" bestFit="1" customWidth="1"/>
    <col min="4348" max="4348" width="30" customWidth="1"/>
    <col min="4349" max="4349" width="8.5703125" customWidth="1"/>
    <col min="4350" max="4350" width="15.85546875" customWidth="1"/>
    <col min="4351" max="4352" width="17.42578125" customWidth="1"/>
    <col min="4353" max="4353" width="19.28515625" customWidth="1"/>
    <col min="4354" max="4603" width="8.7109375" bestFit="1" customWidth="1"/>
    <col min="4604" max="4604" width="30" customWidth="1"/>
    <col min="4605" max="4605" width="8.5703125" customWidth="1"/>
    <col min="4606" max="4606" width="15.85546875" customWidth="1"/>
    <col min="4607" max="4608" width="17.42578125" customWidth="1"/>
    <col min="4609" max="4609" width="19.28515625" customWidth="1"/>
    <col min="4610" max="4859" width="8.7109375" bestFit="1" customWidth="1"/>
    <col min="4860" max="4860" width="30" customWidth="1"/>
    <col min="4861" max="4861" width="8.5703125" customWidth="1"/>
    <col min="4862" max="4862" width="15.85546875" customWidth="1"/>
    <col min="4863" max="4864" width="17.42578125" customWidth="1"/>
    <col min="4865" max="4865" width="19.28515625" customWidth="1"/>
    <col min="4866" max="5115" width="8.7109375" bestFit="1" customWidth="1"/>
    <col min="5116" max="5116" width="30" customWidth="1"/>
    <col min="5117" max="5117" width="8.5703125" customWidth="1"/>
    <col min="5118" max="5118" width="15.85546875" customWidth="1"/>
    <col min="5119" max="5120" width="17.42578125" customWidth="1"/>
    <col min="5121" max="5121" width="19.28515625" customWidth="1"/>
    <col min="5122" max="5371" width="8.7109375" bestFit="1" customWidth="1"/>
    <col min="5372" max="5372" width="30" customWidth="1"/>
    <col min="5373" max="5373" width="8.5703125" customWidth="1"/>
    <col min="5374" max="5374" width="15.85546875" customWidth="1"/>
    <col min="5375" max="5376" width="17.42578125" customWidth="1"/>
    <col min="5377" max="5377" width="19.28515625" customWidth="1"/>
    <col min="5378" max="5627" width="8.7109375" bestFit="1" customWidth="1"/>
    <col min="5628" max="5628" width="30" customWidth="1"/>
    <col min="5629" max="5629" width="8.5703125" customWidth="1"/>
    <col min="5630" max="5630" width="15.85546875" customWidth="1"/>
    <col min="5631" max="5632" width="17.42578125" customWidth="1"/>
    <col min="5633" max="5633" width="19.28515625" customWidth="1"/>
    <col min="5634" max="5883" width="8.7109375" bestFit="1" customWidth="1"/>
    <col min="5884" max="5884" width="30" customWidth="1"/>
    <col min="5885" max="5885" width="8.5703125" customWidth="1"/>
    <col min="5886" max="5886" width="15.85546875" customWidth="1"/>
    <col min="5887" max="5888" width="17.42578125" customWidth="1"/>
    <col min="5889" max="5889" width="19.28515625" customWidth="1"/>
    <col min="5890" max="6139" width="8.7109375" bestFit="1" customWidth="1"/>
    <col min="6140" max="6140" width="30" customWidth="1"/>
    <col min="6141" max="6141" width="8.5703125" customWidth="1"/>
    <col min="6142" max="6142" width="15.85546875" customWidth="1"/>
    <col min="6143" max="6144" width="17.42578125" customWidth="1"/>
    <col min="6145" max="6145" width="19.28515625" customWidth="1"/>
    <col min="6146" max="6395" width="8.7109375" bestFit="1" customWidth="1"/>
    <col min="6396" max="6396" width="30" customWidth="1"/>
    <col min="6397" max="6397" width="8.5703125" customWidth="1"/>
    <col min="6398" max="6398" width="15.85546875" customWidth="1"/>
    <col min="6399" max="6400" width="17.42578125" customWidth="1"/>
    <col min="6401" max="6401" width="19.28515625" customWidth="1"/>
    <col min="6402" max="6651" width="8.7109375" bestFit="1" customWidth="1"/>
    <col min="6652" max="6652" width="30" customWidth="1"/>
    <col min="6653" max="6653" width="8.5703125" customWidth="1"/>
    <col min="6654" max="6654" width="15.85546875" customWidth="1"/>
    <col min="6655" max="6656" width="17.42578125" customWidth="1"/>
    <col min="6657" max="6657" width="19.28515625" customWidth="1"/>
    <col min="6658" max="6907" width="8.7109375" bestFit="1" customWidth="1"/>
    <col min="6908" max="6908" width="30" customWidth="1"/>
    <col min="6909" max="6909" width="8.5703125" customWidth="1"/>
    <col min="6910" max="6910" width="15.85546875" customWidth="1"/>
    <col min="6911" max="6912" width="17.42578125" customWidth="1"/>
    <col min="6913" max="6913" width="19.28515625" customWidth="1"/>
    <col min="6914" max="7163" width="8.7109375" bestFit="1" customWidth="1"/>
    <col min="7164" max="7164" width="30" customWidth="1"/>
    <col min="7165" max="7165" width="8.5703125" customWidth="1"/>
    <col min="7166" max="7166" width="15.85546875" customWidth="1"/>
    <col min="7167" max="7168" width="17.42578125" customWidth="1"/>
    <col min="7169" max="7169" width="19.28515625" customWidth="1"/>
    <col min="7170" max="7419" width="8.7109375" bestFit="1" customWidth="1"/>
    <col min="7420" max="7420" width="30" customWidth="1"/>
    <col min="7421" max="7421" width="8.5703125" customWidth="1"/>
    <col min="7422" max="7422" width="15.85546875" customWidth="1"/>
    <col min="7423" max="7424" width="17.42578125" customWidth="1"/>
    <col min="7425" max="7425" width="19.28515625" customWidth="1"/>
    <col min="7426" max="7675" width="8.7109375" bestFit="1" customWidth="1"/>
    <col min="7676" max="7676" width="30" customWidth="1"/>
    <col min="7677" max="7677" width="8.5703125" customWidth="1"/>
    <col min="7678" max="7678" width="15.85546875" customWidth="1"/>
    <col min="7679" max="7680" width="17.42578125" customWidth="1"/>
    <col min="7681" max="7681" width="19.28515625" customWidth="1"/>
    <col min="7682" max="7931" width="8.7109375" bestFit="1" customWidth="1"/>
    <col min="7932" max="7932" width="30" customWidth="1"/>
    <col min="7933" max="7933" width="8.5703125" customWidth="1"/>
    <col min="7934" max="7934" width="15.85546875" customWidth="1"/>
    <col min="7935" max="7936" width="17.42578125" customWidth="1"/>
    <col min="7937" max="7937" width="19.28515625" customWidth="1"/>
    <col min="7938" max="8187" width="8.7109375" bestFit="1" customWidth="1"/>
    <col min="8188" max="8188" width="30" customWidth="1"/>
    <col min="8189" max="8189" width="8.5703125" customWidth="1"/>
    <col min="8190" max="8190" width="15.85546875" customWidth="1"/>
    <col min="8191" max="8192" width="17.42578125" customWidth="1"/>
    <col min="8193" max="8193" width="19.28515625" customWidth="1"/>
    <col min="8194" max="8443" width="8.7109375" bestFit="1" customWidth="1"/>
    <col min="8444" max="8444" width="30" customWidth="1"/>
    <col min="8445" max="8445" width="8.5703125" customWidth="1"/>
    <col min="8446" max="8446" width="15.85546875" customWidth="1"/>
    <col min="8447" max="8448" width="17.42578125" customWidth="1"/>
    <col min="8449" max="8449" width="19.28515625" customWidth="1"/>
    <col min="8450" max="8699" width="8.7109375" bestFit="1" customWidth="1"/>
    <col min="8700" max="8700" width="30" customWidth="1"/>
    <col min="8701" max="8701" width="8.5703125" customWidth="1"/>
    <col min="8702" max="8702" width="15.85546875" customWidth="1"/>
    <col min="8703" max="8704" width="17.42578125" customWidth="1"/>
    <col min="8705" max="8705" width="19.28515625" customWidth="1"/>
    <col min="8706" max="8955" width="8.7109375" bestFit="1" customWidth="1"/>
    <col min="8956" max="8956" width="30" customWidth="1"/>
    <col min="8957" max="8957" width="8.5703125" customWidth="1"/>
    <col min="8958" max="8958" width="15.85546875" customWidth="1"/>
    <col min="8959" max="8960" width="17.42578125" customWidth="1"/>
    <col min="8961" max="8961" width="19.28515625" customWidth="1"/>
    <col min="8962" max="9211" width="8.7109375" bestFit="1" customWidth="1"/>
    <col min="9212" max="9212" width="30" customWidth="1"/>
    <col min="9213" max="9213" width="8.5703125" customWidth="1"/>
    <col min="9214" max="9214" width="15.85546875" customWidth="1"/>
    <col min="9215" max="9216" width="17.42578125" customWidth="1"/>
    <col min="9217" max="9217" width="19.28515625" customWidth="1"/>
    <col min="9218" max="9467" width="8.7109375" bestFit="1" customWidth="1"/>
    <col min="9468" max="9468" width="30" customWidth="1"/>
    <col min="9469" max="9469" width="8.5703125" customWidth="1"/>
    <col min="9470" max="9470" width="15.85546875" customWidth="1"/>
    <col min="9471" max="9472" width="17.42578125" customWidth="1"/>
    <col min="9473" max="9473" width="19.28515625" customWidth="1"/>
    <col min="9474" max="9723" width="8.7109375" bestFit="1" customWidth="1"/>
    <col min="9724" max="9724" width="30" customWidth="1"/>
    <col min="9725" max="9725" width="8.5703125" customWidth="1"/>
    <col min="9726" max="9726" width="15.85546875" customWidth="1"/>
    <col min="9727" max="9728" width="17.42578125" customWidth="1"/>
    <col min="9729" max="9729" width="19.28515625" customWidth="1"/>
    <col min="9730" max="9979" width="8.7109375" bestFit="1" customWidth="1"/>
    <col min="9980" max="9980" width="30" customWidth="1"/>
    <col min="9981" max="9981" width="8.5703125" customWidth="1"/>
    <col min="9982" max="9982" width="15.85546875" customWidth="1"/>
    <col min="9983" max="9984" width="17.42578125" customWidth="1"/>
    <col min="9985" max="9985" width="19.28515625" customWidth="1"/>
    <col min="9986" max="10235" width="8.7109375" bestFit="1" customWidth="1"/>
    <col min="10236" max="10236" width="30" customWidth="1"/>
    <col min="10237" max="10237" width="8.5703125" customWidth="1"/>
    <col min="10238" max="10238" width="15.85546875" customWidth="1"/>
    <col min="10239" max="10240" width="17.42578125" customWidth="1"/>
    <col min="10241" max="10241" width="19.28515625" customWidth="1"/>
    <col min="10242" max="10491" width="8.7109375" bestFit="1" customWidth="1"/>
    <col min="10492" max="10492" width="30" customWidth="1"/>
    <col min="10493" max="10493" width="8.5703125" customWidth="1"/>
    <col min="10494" max="10494" width="15.85546875" customWidth="1"/>
    <col min="10495" max="10496" width="17.42578125" customWidth="1"/>
    <col min="10497" max="10497" width="19.28515625" customWidth="1"/>
    <col min="10498" max="10747" width="8.7109375" bestFit="1" customWidth="1"/>
    <col min="10748" max="10748" width="30" customWidth="1"/>
    <col min="10749" max="10749" width="8.5703125" customWidth="1"/>
    <col min="10750" max="10750" width="15.85546875" customWidth="1"/>
    <col min="10751" max="10752" width="17.42578125" customWidth="1"/>
    <col min="10753" max="10753" width="19.28515625" customWidth="1"/>
    <col min="10754" max="11003" width="8.7109375" bestFit="1" customWidth="1"/>
    <col min="11004" max="11004" width="30" customWidth="1"/>
    <col min="11005" max="11005" width="8.5703125" customWidth="1"/>
    <col min="11006" max="11006" width="15.85546875" customWidth="1"/>
    <col min="11007" max="11008" width="17.42578125" customWidth="1"/>
    <col min="11009" max="11009" width="19.28515625" customWidth="1"/>
    <col min="11010" max="11259" width="8.7109375" bestFit="1" customWidth="1"/>
    <col min="11260" max="11260" width="30" customWidth="1"/>
    <col min="11261" max="11261" width="8.5703125" customWidth="1"/>
    <col min="11262" max="11262" width="15.85546875" customWidth="1"/>
    <col min="11263" max="11264" width="17.42578125" customWidth="1"/>
    <col min="11265" max="11265" width="19.28515625" customWidth="1"/>
    <col min="11266" max="11515" width="8.7109375" bestFit="1" customWidth="1"/>
    <col min="11516" max="11516" width="30" customWidth="1"/>
    <col min="11517" max="11517" width="8.5703125" customWidth="1"/>
    <col min="11518" max="11518" width="15.85546875" customWidth="1"/>
    <col min="11519" max="11520" width="17.42578125" customWidth="1"/>
    <col min="11521" max="11521" width="19.28515625" customWidth="1"/>
    <col min="11522" max="11771" width="8.7109375" bestFit="1" customWidth="1"/>
    <col min="11772" max="11772" width="30" customWidth="1"/>
    <col min="11773" max="11773" width="8.5703125" customWidth="1"/>
    <col min="11774" max="11774" width="15.85546875" customWidth="1"/>
    <col min="11775" max="11776" width="17.42578125" customWidth="1"/>
    <col min="11777" max="11777" width="19.28515625" customWidth="1"/>
    <col min="11778" max="12027" width="8.7109375" bestFit="1" customWidth="1"/>
    <col min="12028" max="12028" width="30" customWidth="1"/>
    <col min="12029" max="12029" width="8.5703125" customWidth="1"/>
    <col min="12030" max="12030" width="15.85546875" customWidth="1"/>
    <col min="12031" max="12032" width="17.42578125" customWidth="1"/>
    <col min="12033" max="12033" width="19.28515625" customWidth="1"/>
    <col min="12034" max="12283" width="8.7109375" bestFit="1" customWidth="1"/>
    <col min="12284" max="12284" width="30" customWidth="1"/>
    <col min="12285" max="12285" width="8.5703125" customWidth="1"/>
    <col min="12286" max="12286" width="15.85546875" customWidth="1"/>
    <col min="12287" max="12288" width="17.42578125" customWidth="1"/>
    <col min="12289" max="12289" width="19.28515625" customWidth="1"/>
    <col min="12290" max="12539" width="8.7109375" bestFit="1" customWidth="1"/>
    <col min="12540" max="12540" width="30" customWidth="1"/>
    <col min="12541" max="12541" width="8.5703125" customWidth="1"/>
    <col min="12542" max="12542" width="15.85546875" customWidth="1"/>
    <col min="12543" max="12544" width="17.42578125" customWidth="1"/>
    <col min="12545" max="12545" width="19.28515625" customWidth="1"/>
    <col min="12546" max="12795" width="8.7109375" bestFit="1" customWidth="1"/>
    <col min="12796" max="12796" width="30" customWidth="1"/>
    <col min="12797" max="12797" width="8.5703125" customWidth="1"/>
    <col min="12798" max="12798" width="15.85546875" customWidth="1"/>
    <col min="12799" max="12800" width="17.42578125" customWidth="1"/>
    <col min="12801" max="12801" width="19.28515625" customWidth="1"/>
    <col min="12802" max="13051" width="8.7109375" bestFit="1" customWidth="1"/>
    <col min="13052" max="13052" width="30" customWidth="1"/>
    <col min="13053" max="13053" width="8.5703125" customWidth="1"/>
    <col min="13054" max="13054" width="15.85546875" customWidth="1"/>
    <col min="13055" max="13056" width="17.42578125" customWidth="1"/>
    <col min="13057" max="13057" width="19.28515625" customWidth="1"/>
    <col min="13058" max="13307" width="8.7109375" bestFit="1" customWidth="1"/>
    <col min="13308" max="13308" width="30" customWidth="1"/>
    <col min="13309" max="13309" width="8.5703125" customWidth="1"/>
    <col min="13310" max="13310" width="15.85546875" customWidth="1"/>
    <col min="13311" max="13312" width="17.42578125" customWidth="1"/>
    <col min="13313" max="13313" width="19.28515625" customWidth="1"/>
    <col min="13314" max="13563" width="8.7109375" bestFit="1" customWidth="1"/>
    <col min="13564" max="13564" width="30" customWidth="1"/>
    <col min="13565" max="13565" width="8.5703125" customWidth="1"/>
    <col min="13566" max="13566" width="15.85546875" customWidth="1"/>
    <col min="13567" max="13568" width="17.42578125" customWidth="1"/>
    <col min="13569" max="13569" width="19.28515625" customWidth="1"/>
    <col min="13570" max="13819" width="8.7109375" bestFit="1" customWidth="1"/>
    <col min="13820" max="13820" width="30" customWidth="1"/>
    <col min="13821" max="13821" width="8.5703125" customWidth="1"/>
    <col min="13822" max="13822" width="15.85546875" customWidth="1"/>
    <col min="13823" max="13824" width="17.42578125" customWidth="1"/>
    <col min="13825" max="13825" width="19.28515625" customWidth="1"/>
    <col min="13826" max="14075" width="8.7109375" bestFit="1" customWidth="1"/>
    <col min="14076" max="14076" width="30" customWidth="1"/>
    <col min="14077" max="14077" width="8.5703125" customWidth="1"/>
    <col min="14078" max="14078" width="15.85546875" customWidth="1"/>
    <col min="14079" max="14080" width="17.42578125" customWidth="1"/>
    <col min="14081" max="14081" width="19.28515625" customWidth="1"/>
    <col min="14082" max="14331" width="8.7109375" bestFit="1" customWidth="1"/>
    <col min="14332" max="14332" width="30" customWidth="1"/>
    <col min="14333" max="14333" width="8.5703125" customWidth="1"/>
    <col min="14334" max="14334" width="15.85546875" customWidth="1"/>
    <col min="14335" max="14336" width="17.42578125" customWidth="1"/>
    <col min="14337" max="14337" width="19.28515625" customWidth="1"/>
    <col min="14338" max="14587" width="8.7109375" bestFit="1" customWidth="1"/>
    <col min="14588" max="14588" width="30" customWidth="1"/>
    <col min="14589" max="14589" width="8.5703125" customWidth="1"/>
    <col min="14590" max="14590" width="15.85546875" customWidth="1"/>
    <col min="14591" max="14592" width="17.42578125" customWidth="1"/>
    <col min="14593" max="14593" width="19.28515625" customWidth="1"/>
    <col min="14594" max="14843" width="8.7109375" bestFit="1" customWidth="1"/>
    <col min="14844" max="14844" width="30" customWidth="1"/>
    <col min="14845" max="14845" width="8.5703125" customWidth="1"/>
    <col min="14846" max="14846" width="15.85546875" customWidth="1"/>
    <col min="14847" max="14848" width="17.42578125" customWidth="1"/>
    <col min="14849" max="14849" width="19.28515625" customWidth="1"/>
    <col min="14850" max="15099" width="8.7109375" bestFit="1" customWidth="1"/>
    <col min="15100" max="15100" width="30" customWidth="1"/>
    <col min="15101" max="15101" width="8.5703125" customWidth="1"/>
    <col min="15102" max="15102" width="15.85546875" customWidth="1"/>
    <col min="15103" max="15104" width="17.42578125" customWidth="1"/>
    <col min="15105" max="15105" width="19.28515625" customWidth="1"/>
    <col min="15106" max="15355" width="8.7109375" bestFit="1" customWidth="1"/>
    <col min="15356" max="15356" width="30" customWidth="1"/>
    <col min="15357" max="15357" width="8.5703125" customWidth="1"/>
    <col min="15358" max="15358" width="15.85546875" customWidth="1"/>
    <col min="15359" max="15360" width="17.42578125" customWidth="1"/>
    <col min="15361" max="15361" width="19.28515625" customWidth="1"/>
    <col min="15362" max="15611" width="8.7109375" bestFit="1" customWidth="1"/>
    <col min="15612" max="15612" width="30" customWidth="1"/>
    <col min="15613" max="15613" width="8.5703125" customWidth="1"/>
    <col min="15614" max="15614" width="15.85546875" customWidth="1"/>
    <col min="15615" max="15616" width="17.42578125" customWidth="1"/>
    <col min="15617" max="15617" width="19.28515625" customWidth="1"/>
    <col min="15618" max="15867" width="8.7109375" bestFit="1" customWidth="1"/>
    <col min="15868" max="15868" width="30" customWidth="1"/>
    <col min="15869" max="15869" width="8.5703125" customWidth="1"/>
    <col min="15870" max="15870" width="15.85546875" customWidth="1"/>
    <col min="15871" max="15872" width="17.42578125" customWidth="1"/>
    <col min="15873" max="15873" width="19.28515625" customWidth="1"/>
    <col min="15874" max="16123" width="8.7109375" bestFit="1" customWidth="1"/>
    <col min="16124" max="16124" width="30" customWidth="1"/>
    <col min="16125" max="16125" width="8.5703125" customWidth="1"/>
    <col min="16126" max="16126" width="15.85546875" customWidth="1"/>
    <col min="16127" max="16128" width="17.42578125" customWidth="1"/>
    <col min="16129" max="16129" width="19.28515625" customWidth="1"/>
  </cols>
  <sheetData>
    <row r="1" spans="1:15" ht="59.45" customHeight="1">
      <c r="A1" s="8"/>
      <c r="B1" s="8"/>
      <c r="C1" s="8"/>
      <c r="D1"/>
    </row>
    <row r="2" spans="1:15" ht="14.25" customHeight="1">
      <c r="A2" s="197" t="s">
        <v>149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</row>
    <row r="3" spans="1:15" ht="14.25" customHeight="1">
      <c r="A3" s="197" t="s">
        <v>213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</row>
    <row r="4" spans="1:15" ht="14.25" customHeight="1">
      <c r="A4" s="201" t="s">
        <v>214</v>
      </c>
      <c r="B4" s="201"/>
      <c r="C4" s="201"/>
      <c r="D4" s="201"/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</row>
    <row r="5" spans="1:15" ht="14.25">
      <c r="A5" s="9"/>
      <c r="B5" s="9"/>
      <c r="C5" s="9"/>
      <c r="D5" s="9"/>
      <c r="E5" s="9"/>
      <c r="F5" s="9"/>
      <c r="G5" s="9"/>
    </row>
    <row r="6" spans="1:15" ht="14.25">
      <c r="A6" s="193" t="s">
        <v>127</v>
      </c>
      <c r="B6" s="193"/>
      <c r="C6" s="193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</row>
    <row r="8" spans="1:15" ht="12.75" customHeight="1">
      <c r="A8" s="198" t="s">
        <v>117</v>
      </c>
      <c r="B8" s="198"/>
      <c r="C8" s="207" t="s">
        <v>191</v>
      </c>
      <c r="D8" s="199"/>
      <c r="E8" s="199"/>
      <c r="F8" s="199"/>
      <c r="G8" s="208"/>
      <c r="H8" s="200" t="s">
        <v>53</v>
      </c>
      <c r="I8" s="200"/>
      <c r="J8" s="200"/>
      <c r="K8" s="202" t="s">
        <v>54</v>
      </c>
      <c r="L8" s="203"/>
      <c r="M8" s="203"/>
      <c r="N8" s="204"/>
      <c r="O8" s="7"/>
    </row>
    <row r="9" spans="1:15" ht="51">
      <c r="A9" s="55" t="s">
        <v>55</v>
      </c>
      <c r="B9" s="55" t="s">
        <v>56</v>
      </c>
      <c r="C9" s="55" t="s">
        <v>57</v>
      </c>
      <c r="D9" s="55" t="s">
        <v>58</v>
      </c>
      <c r="E9" s="55" t="s">
        <v>59</v>
      </c>
      <c r="F9" s="55" t="s">
        <v>60</v>
      </c>
      <c r="G9" s="56" t="s">
        <v>61</v>
      </c>
      <c r="H9" s="57" t="s">
        <v>62</v>
      </c>
      <c r="I9" s="57" t="s">
        <v>63</v>
      </c>
      <c r="J9" s="57" t="s">
        <v>64</v>
      </c>
      <c r="K9" s="56" t="s">
        <v>61</v>
      </c>
      <c r="L9" s="57" t="s">
        <v>62</v>
      </c>
      <c r="M9" s="57" t="s">
        <v>63</v>
      </c>
      <c r="N9" s="57" t="s">
        <v>64</v>
      </c>
      <c r="O9" s="58" t="s">
        <v>65</v>
      </c>
    </row>
    <row r="10" spans="1:15">
      <c r="A10" s="2" t="s">
        <v>66</v>
      </c>
      <c r="B10" s="2">
        <v>90021</v>
      </c>
      <c r="C10" s="52" t="s">
        <v>189</v>
      </c>
      <c r="D10" s="4" t="s">
        <v>130</v>
      </c>
      <c r="E10" s="53" t="s">
        <v>190</v>
      </c>
      <c r="F10" s="48">
        <v>45418</v>
      </c>
      <c r="G10" s="49">
        <v>150</v>
      </c>
      <c r="H10" s="60">
        <f>ROUND(AVERAGE(G11:G13),2)</f>
        <v>129</v>
      </c>
      <c r="I10" s="61">
        <f t="shared" ref="I10:I13" si="0">(((G10-H10)*100)/H10)/100</f>
        <v>0.16279069767441862</v>
      </c>
      <c r="J10" s="62" t="str">
        <f t="shared" ref="J10:J13" si="1">IF(I10&gt;30%,"EXCESSIVAMENTE ELEVADO","VÁLIDO")</f>
        <v>VÁLIDO</v>
      </c>
      <c r="K10" s="49">
        <f>G10</f>
        <v>150</v>
      </c>
      <c r="L10" s="60">
        <f>ROUND(AVERAGE(K11:K13),2)</f>
        <v>129</v>
      </c>
      <c r="M10" s="61">
        <f>((K10*100)/L10)/100</f>
        <v>1.1627906976744184</v>
      </c>
      <c r="N10" s="62" t="str">
        <f>IF(M10&lt;70%,"INEXEQUÍVEL","EXEQUÍVEL")</f>
        <v>EXEQUÍVEL</v>
      </c>
      <c r="O10" s="63">
        <f>G10</f>
        <v>150</v>
      </c>
    </row>
    <row r="11" spans="1:15">
      <c r="A11" s="2" t="s">
        <v>66</v>
      </c>
      <c r="B11" s="2">
        <v>400045</v>
      </c>
      <c r="C11" s="47" t="s">
        <v>128</v>
      </c>
      <c r="D11" s="2" t="s">
        <v>67</v>
      </c>
      <c r="E11" s="50" t="s">
        <v>82</v>
      </c>
      <c r="F11" s="48">
        <v>45027</v>
      </c>
      <c r="G11" s="49">
        <v>140</v>
      </c>
      <c r="H11" s="60">
        <f>ROUND(AVERAGE(G12:G13,G10),2)</f>
        <v>132.33000000000001</v>
      </c>
      <c r="I11" s="61">
        <f t="shared" si="0"/>
        <v>5.7961157711781057E-2</v>
      </c>
      <c r="J11" s="62" t="str">
        <f t="shared" si="1"/>
        <v>VÁLIDO</v>
      </c>
      <c r="K11" s="49">
        <f>G11</f>
        <v>140</v>
      </c>
      <c r="L11" s="60">
        <f>ROUND(AVERAGE(K12:K13,K10),2)</f>
        <v>132.33000000000001</v>
      </c>
      <c r="M11" s="61">
        <f>((K11*100)/L11)/100</f>
        <v>1.0579611577117811</v>
      </c>
      <c r="N11" s="62" t="str">
        <f>IF(M11&lt;70%,"INEXEQUÍVEL","EXEQUÍVEL")</f>
        <v>EXEQUÍVEL</v>
      </c>
      <c r="O11" s="63">
        <f>G11</f>
        <v>140</v>
      </c>
    </row>
    <row r="12" spans="1:15">
      <c r="A12" s="2" t="s">
        <v>66</v>
      </c>
      <c r="B12" s="2">
        <v>987989</v>
      </c>
      <c r="C12" s="47" t="s">
        <v>87</v>
      </c>
      <c r="D12" s="2" t="s">
        <v>67</v>
      </c>
      <c r="E12" s="50" t="s">
        <v>129</v>
      </c>
      <c r="F12" s="48">
        <v>45272</v>
      </c>
      <c r="G12" s="49">
        <v>123</v>
      </c>
      <c r="H12" s="60">
        <f>ROUND(AVERAGE(G13:G13,G10:G11),2)</f>
        <v>138</v>
      </c>
      <c r="I12" s="61">
        <f t="shared" si="0"/>
        <v>-0.10869565217391304</v>
      </c>
      <c r="J12" s="62" t="str">
        <f t="shared" si="1"/>
        <v>VÁLIDO</v>
      </c>
      <c r="K12" s="49">
        <f>G12</f>
        <v>123</v>
      </c>
      <c r="L12" s="60">
        <f>ROUND(AVERAGE(K13:K13,K10:K11),2)</f>
        <v>138</v>
      </c>
      <c r="M12" s="61">
        <f>((K12*100)/L12)/100</f>
        <v>0.89130434782608703</v>
      </c>
      <c r="N12" s="62" t="str">
        <f>IF(M12&lt;70%,"INEXEQUÍVEL","EXEQUÍVEL")</f>
        <v>EXEQUÍVEL</v>
      </c>
      <c r="O12" s="63">
        <f>G12</f>
        <v>123</v>
      </c>
    </row>
    <row r="13" spans="1:15">
      <c r="A13" s="2" t="s">
        <v>66</v>
      </c>
      <c r="B13" s="2">
        <v>926625</v>
      </c>
      <c r="C13" s="52" t="s">
        <v>192</v>
      </c>
      <c r="D13" s="2" t="s">
        <v>67</v>
      </c>
      <c r="E13" s="53" t="s">
        <v>193</v>
      </c>
      <c r="F13" s="48">
        <v>45398</v>
      </c>
      <c r="G13" s="49">
        <v>124</v>
      </c>
      <c r="H13" s="60">
        <f>ROUND(AVERAGE(G10:G12),2)</f>
        <v>137.66999999999999</v>
      </c>
      <c r="I13" s="61">
        <f t="shared" si="0"/>
        <v>-9.9295416575869738E-2</v>
      </c>
      <c r="J13" s="62" t="str">
        <f t="shared" si="1"/>
        <v>VÁLIDO</v>
      </c>
      <c r="K13" s="49">
        <f>G13</f>
        <v>124</v>
      </c>
      <c r="L13" s="60">
        <f>ROUND(AVERAGE(K10:K12),2)</f>
        <v>137.66999999999999</v>
      </c>
      <c r="M13" s="61">
        <f>((K13*100)/L13)/100</f>
        <v>0.90070458342413018</v>
      </c>
      <c r="N13" s="62" t="str">
        <f>IF(M13&lt;70%,"INEXEQUÍVEL","EXEQUÍVEL")</f>
        <v>EXEQUÍVEL</v>
      </c>
      <c r="O13" s="63">
        <f>G13</f>
        <v>124</v>
      </c>
    </row>
    <row r="14" spans="1:15" ht="13.5" thickBot="1"/>
    <row r="15" spans="1:15">
      <c r="A15" s="80" t="s">
        <v>70</v>
      </c>
      <c r="N15" s="65" t="s">
        <v>71</v>
      </c>
      <c r="O15" s="66">
        <f>ROUND(AVERAGE(O10:O13),2)</f>
        <v>134.25</v>
      </c>
    </row>
    <row r="16" spans="1:15">
      <c r="A16" s="67" t="s">
        <v>72</v>
      </c>
      <c r="N16" s="68" t="s">
        <v>73</v>
      </c>
      <c r="O16" s="69">
        <f>_xlfn.STDEV.P(O10:O13)</f>
        <v>11.321991874224253</v>
      </c>
    </row>
    <row r="17" spans="1:15">
      <c r="A17" s="67"/>
      <c r="N17" s="68" t="s">
        <v>74</v>
      </c>
      <c r="O17" s="70">
        <f>O16/O15</f>
        <v>8.433513500353261E-2</v>
      </c>
    </row>
    <row r="18" spans="1:15" ht="13.5" thickBot="1">
      <c r="A18" s="7"/>
      <c r="N18" s="71" t="s">
        <v>75</v>
      </c>
      <c r="O18" s="72">
        <f>ROUND(MEDIAN(O10:O13),2)</f>
        <v>132</v>
      </c>
    </row>
    <row r="19" spans="1:15" ht="13.5" thickBot="1">
      <c r="A19" s="73" t="s">
        <v>76</v>
      </c>
      <c r="N19" s="74" t="str">
        <f>IF(O17&gt;25%,"PREÇO MEDIANA","PREÇO MÉDIA")</f>
        <v>PREÇO MÉDIA</v>
      </c>
      <c r="O19" s="75">
        <f>IF(O17&gt;25%,O18,O15)</f>
        <v>134.25</v>
      </c>
    </row>
    <row r="20" spans="1:15">
      <c r="A20" s="7" t="s">
        <v>77</v>
      </c>
    </row>
    <row r="21" spans="1:15">
      <c r="A21" s="7" t="s">
        <v>78</v>
      </c>
    </row>
    <row r="22" spans="1:15">
      <c r="A22" s="7" t="s">
        <v>79</v>
      </c>
    </row>
    <row r="23" spans="1:15">
      <c r="A23" s="7" t="s">
        <v>80</v>
      </c>
    </row>
  </sheetData>
  <mergeCells count="8">
    <mergeCell ref="A8:B8"/>
    <mergeCell ref="C8:G8"/>
    <mergeCell ref="H8:J8"/>
    <mergeCell ref="K8:N8"/>
    <mergeCell ref="A2:O2"/>
    <mergeCell ref="A3:O3"/>
    <mergeCell ref="A4:O4"/>
    <mergeCell ref="A6:O6"/>
  </mergeCells>
  <conditionalFormatting sqref="J10:J13">
    <cfRule type="containsText" dxfId="17" priority="17" operator="containsText" text="VÁLIDO">
      <formula>NOT(ISERROR(SEARCH("VÁLIDO",J10)))</formula>
    </cfRule>
    <cfRule type="containsText" dxfId="16" priority="18" operator="containsText" text="EXCESSIVAMENTE ELEVADO">
      <formula>NOT(ISERROR(SEARCH("EXCESSIVAMENTE ELEVADO",J10)))</formula>
    </cfRule>
  </conditionalFormatting>
  <conditionalFormatting sqref="N10:N13">
    <cfRule type="beginsWith" dxfId="15" priority="7" operator="beginsWith" text="EXEQUÍVEL">
      <formula>LEFT(N10,LEN("EXEQUÍVEL"))="EXEQUÍVEL"</formula>
    </cfRule>
    <cfRule type="beginsWith" dxfId="14" priority="8" operator="beginsWith" text="INEXEQUÍVEL">
      <formula>LEFT(N10,LEN("INEXEQUÍVEL"))="INEXEQUÍVEL"</formula>
    </cfRule>
  </conditionalFormatting>
  <pageMargins left="0.511811024" right="0.511811024" top="0.78740157499999996" bottom="0.78740157499999996" header="0.31496062000000002" footer="0.31496062000000002"/>
  <pageSetup paperSize="9" scale="55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zoomScaleNormal="100" workbookViewId="0">
      <selection activeCell="A4" sqref="A4:O4"/>
    </sheetView>
  </sheetViews>
  <sheetFormatPr defaultRowHeight="12.75"/>
  <cols>
    <col min="2" max="2" width="10.140625" customWidth="1"/>
    <col min="3" max="3" width="51.28515625" customWidth="1"/>
    <col min="4" max="4" width="13.28515625" style="16" customWidth="1"/>
    <col min="5" max="5" width="14" style="84" customWidth="1"/>
    <col min="6" max="6" width="14.7109375" customWidth="1"/>
    <col min="7" max="7" width="16" style="84" customWidth="1"/>
    <col min="8" max="8" width="14.7109375" customWidth="1"/>
    <col min="9" max="9" width="14" customWidth="1"/>
    <col min="10" max="10" width="17.85546875" customWidth="1"/>
    <col min="11" max="11" width="15" customWidth="1"/>
    <col min="12" max="12" width="15.5703125" customWidth="1"/>
    <col min="13" max="13" width="14.42578125" customWidth="1"/>
    <col min="14" max="14" width="14.28515625" customWidth="1"/>
    <col min="15" max="15" width="16.7109375" customWidth="1"/>
    <col min="16" max="251" width="8.7109375" bestFit="1" customWidth="1"/>
    <col min="252" max="252" width="30" customWidth="1"/>
    <col min="253" max="253" width="8.5703125" customWidth="1"/>
    <col min="254" max="254" width="15.85546875" customWidth="1"/>
    <col min="255" max="256" width="17.42578125" customWidth="1"/>
    <col min="257" max="257" width="19.28515625" customWidth="1"/>
    <col min="258" max="507" width="8.7109375" bestFit="1" customWidth="1"/>
    <col min="508" max="508" width="30" customWidth="1"/>
    <col min="509" max="509" width="8.5703125" customWidth="1"/>
    <col min="510" max="510" width="15.85546875" customWidth="1"/>
    <col min="511" max="512" width="17.42578125" customWidth="1"/>
    <col min="513" max="513" width="19.28515625" customWidth="1"/>
    <col min="514" max="763" width="8.7109375" bestFit="1" customWidth="1"/>
    <col min="764" max="764" width="30" customWidth="1"/>
    <col min="765" max="765" width="8.5703125" customWidth="1"/>
    <col min="766" max="766" width="15.85546875" customWidth="1"/>
    <col min="767" max="768" width="17.42578125" customWidth="1"/>
    <col min="769" max="769" width="19.28515625" customWidth="1"/>
    <col min="770" max="1019" width="8.7109375" bestFit="1" customWidth="1"/>
    <col min="1020" max="1020" width="30" customWidth="1"/>
    <col min="1021" max="1021" width="8.5703125" customWidth="1"/>
    <col min="1022" max="1022" width="15.85546875" customWidth="1"/>
    <col min="1023" max="1024" width="17.42578125" customWidth="1"/>
    <col min="1025" max="1025" width="19.28515625" customWidth="1"/>
    <col min="1026" max="1275" width="8.7109375" bestFit="1" customWidth="1"/>
    <col min="1276" max="1276" width="30" customWidth="1"/>
    <col min="1277" max="1277" width="8.5703125" customWidth="1"/>
    <col min="1278" max="1278" width="15.85546875" customWidth="1"/>
    <col min="1279" max="1280" width="17.42578125" customWidth="1"/>
    <col min="1281" max="1281" width="19.28515625" customWidth="1"/>
    <col min="1282" max="1531" width="8.7109375" bestFit="1" customWidth="1"/>
    <col min="1532" max="1532" width="30" customWidth="1"/>
    <col min="1533" max="1533" width="8.5703125" customWidth="1"/>
    <col min="1534" max="1534" width="15.85546875" customWidth="1"/>
    <col min="1535" max="1536" width="17.42578125" customWidth="1"/>
    <col min="1537" max="1537" width="19.28515625" customWidth="1"/>
    <col min="1538" max="1787" width="8.7109375" bestFit="1" customWidth="1"/>
    <col min="1788" max="1788" width="30" customWidth="1"/>
    <col min="1789" max="1789" width="8.5703125" customWidth="1"/>
    <col min="1790" max="1790" width="15.85546875" customWidth="1"/>
    <col min="1791" max="1792" width="17.42578125" customWidth="1"/>
    <col min="1793" max="1793" width="19.28515625" customWidth="1"/>
    <col min="1794" max="2043" width="8.7109375" bestFit="1" customWidth="1"/>
    <col min="2044" max="2044" width="30" customWidth="1"/>
    <col min="2045" max="2045" width="8.5703125" customWidth="1"/>
    <col min="2046" max="2046" width="15.85546875" customWidth="1"/>
    <col min="2047" max="2048" width="17.42578125" customWidth="1"/>
    <col min="2049" max="2049" width="19.28515625" customWidth="1"/>
    <col min="2050" max="2299" width="8.7109375" bestFit="1" customWidth="1"/>
    <col min="2300" max="2300" width="30" customWidth="1"/>
    <col min="2301" max="2301" width="8.5703125" customWidth="1"/>
    <col min="2302" max="2302" width="15.85546875" customWidth="1"/>
    <col min="2303" max="2304" width="17.42578125" customWidth="1"/>
    <col min="2305" max="2305" width="19.28515625" customWidth="1"/>
    <col min="2306" max="2555" width="8.7109375" bestFit="1" customWidth="1"/>
    <col min="2556" max="2556" width="30" customWidth="1"/>
    <col min="2557" max="2557" width="8.5703125" customWidth="1"/>
    <col min="2558" max="2558" width="15.85546875" customWidth="1"/>
    <col min="2559" max="2560" width="17.42578125" customWidth="1"/>
    <col min="2561" max="2561" width="19.28515625" customWidth="1"/>
    <col min="2562" max="2811" width="8.7109375" bestFit="1" customWidth="1"/>
    <col min="2812" max="2812" width="30" customWidth="1"/>
    <col min="2813" max="2813" width="8.5703125" customWidth="1"/>
    <col min="2814" max="2814" width="15.85546875" customWidth="1"/>
    <col min="2815" max="2816" width="17.42578125" customWidth="1"/>
    <col min="2817" max="2817" width="19.28515625" customWidth="1"/>
    <col min="2818" max="3067" width="8.7109375" bestFit="1" customWidth="1"/>
    <col min="3068" max="3068" width="30" customWidth="1"/>
    <col min="3069" max="3069" width="8.5703125" customWidth="1"/>
    <col min="3070" max="3070" width="15.85546875" customWidth="1"/>
    <col min="3071" max="3072" width="17.42578125" customWidth="1"/>
    <col min="3073" max="3073" width="19.28515625" customWidth="1"/>
    <col min="3074" max="3323" width="8.7109375" bestFit="1" customWidth="1"/>
    <col min="3324" max="3324" width="30" customWidth="1"/>
    <col min="3325" max="3325" width="8.5703125" customWidth="1"/>
    <col min="3326" max="3326" width="15.85546875" customWidth="1"/>
    <col min="3327" max="3328" width="17.42578125" customWidth="1"/>
    <col min="3329" max="3329" width="19.28515625" customWidth="1"/>
    <col min="3330" max="3579" width="8.7109375" bestFit="1" customWidth="1"/>
    <col min="3580" max="3580" width="30" customWidth="1"/>
    <col min="3581" max="3581" width="8.5703125" customWidth="1"/>
    <col min="3582" max="3582" width="15.85546875" customWidth="1"/>
    <col min="3583" max="3584" width="17.42578125" customWidth="1"/>
    <col min="3585" max="3585" width="19.28515625" customWidth="1"/>
    <col min="3586" max="3835" width="8.7109375" bestFit="1" customWidth="1"/>
    <col min="3836" max="3836" width="30" customWidth="1"/>
    <col min="3837" max="3837" width="8.5703125" customWidth="1"/>
    <col min="3838" max="3838" width="15.85546875" customWidth="1"/>
    <col min="3839" max="3840" width="17.42578125" customWidth="1"/>
    <col min="3841" max="3841" width="19.28515625" customWidth="1"/>
    <col min="3842" max="4091" width="8.7109375" bestFit="1" customWidth="1"/>
    <col min="4092" max="4092" width="30" customWidth="1"/>
    <col min="4093" max="4093" width="8.5703125" customWidth="1"/>
    <col min="4094" max="4094" width="15.85546875" customWidth="1"/>
    <col min="4095" max="4096" width="17.42578125" customWidth="1"/>
    <col min="4097" max="4097" width="19.28515625" customWidth="1"/>
    <col min="4098" max="4347" width="8.7109375" bestFit="1" customWidth="1"/>
    <col min="4348" max="4348" width="30" customWidth="1"/>
    <col min="4349" max="4349" width="8.5703125" customWidth="1"/>
    <col min="4350" max="4350" width="15.85546875" customWidth="1"/>
    <col min="4351" max="4352" width="17.42578125" customWidth="1"/>
    <col min="4353" max="4353" width="19.28515625" customWidth="1"/>
    <col min="4354" max="4603" width="8.7109375" bestFit="1" customWidth="1"/>
    <col min="4604" max="4604" width="30" customWidth="1"/>
    <col min="4605" max="4605" width="8.5703125" customWidth="1"/>
    <col min="4606" max="4606" width="15.85546875" customWidth="1"/>
    <col min="4607" max="4608" width="17.42578125" customWidth="1"/>
    <col min="4609" max="4609" width="19.28515625" customWidth="1"/>
    <col min="4610" max="4859" width="8.7109375" bestFit="1" customWidth="1"/>
    <col min="4860" max="4860" width="30" customWidth="1"/>
    <col min="4861" max="4861" width="8.5703125" customWidth="1"/>
    <col min="4862" max="4862" width="15.85546875" customWidth="1"/>
    <col min="4863" max="4864" width="17.42578125" customWidth="1"/>
    <col min="4865" max="4865" width="19.28515625" customWidth="1"/>
    <col min="4866" max="5115" width="8.7109375" bestFit="1" customWidth="1"/>
    <col min="5116" max="5116" width="30" customWidth="1"/>
    <col min="5117" max="5117" width="8.5703125" customWidth="1"/>
    <col min="5118" max="5118" width="15.85546875" customWidth="1"/>
    <col min="5119" max="5120" width="17.42578125" customWidth="1"/>
    <col min="5121" max="5121" width="19.28515625" customWidth="1"/>
    <col min="5122" max="5371" width="8.7109375" bestFit="1" customWidth="1"/>
    <col min="5372" max="5372" width="30" customWidth="1"/>
    <col min="5373" max="5373" width="8.5703125" customWidth="1"/>
    <col min="5374" max="5374" width="15.85546875" customWidth="1"/>
    <col min="5375" max="5376" width="17.42578125" customWidth="1"/>
    <col min="5377" max="5377" width="19.28515625" customWidth="1"/>
    <col min="5378" max="5627" width="8.7109375" bestFit="1" customWidth="1"/>
    <col min="5628" max="5628" width="30" customWidth="1"/>
    <col min="5629" max="5629" width="8.5703125" customWidth="1"/>
    <col min="5630" max="5630" width="15.85546875" customWidth="1"/>
    <col min="5631" max="5632" width="17.42578125" customWidth="1"/>
    <col min="5633" max="5633" width="19.28515625" customWidth="1"/>
    <col min="5634" max="5883" width="8.7109375" bestFit="1" customWidth="1"/>
    <col min="5884" max="5884" width="30" customWidth="1"/>
    <col min="5885" max="5885" width="8.5703125" customWidth="1"/>
    <col min="5886" max="5886" width="15.85546875" customWidth="1"/>
    <col min="5887" max="5888" width="17.42578125" customWidth="1"/>
    <col min="5889" max="5889" width="19.28515625" customWidth="1"/>
    <col min="5890" max="6139" width="8.7109375" bestFit="1" customWidth="1"/>
    <col min="6140" max="6140" width="30" customWidth="1"/>
    <col min="6141" max="6141" width="8.5703125" customWidth="1"/>
    <col min="6142" max="6142" width="15.85546875" customWidth="1"/>
    <col min="6143" max="6144" width="17.42578125" customWidth="1"/>
    <col min="6145" max="6145" width="19.28515625" customWidth="1"/>
    <col min="6146" max="6395" width="8.7109375" bestFit="1" customWidth="1"/>
    <col min="6396" max="6396" width="30" customWidth="1"/>
    <col min="6397" max="6397" width="8.5703125" customWidth="1"/>
    <col min="6398" max="6398" width="15.85546875" customWidth="1"/>
    <col min="6399" max="6400" width="17.42578125" customWidth="1"/>
    <col min="6401" max="6401" width="19.28515625" customWidth="1"/>
    <col min="6402" max="6651" width="8.7109375" bestFit="1" customWidth="1"/>
    <col min="6652" max="6652" width="30" customWidth="1"/>
    <col min="6653" max="6653" width="8.5703125" customWidth="1"/>
    <col min="6654" max="6654" width="15.85546875" customWidth="1"/>
    <col min="6655" max="6656" width="17.42578125" customWidth="1"/>
    <col min="6657" max="6657" width="19.28515625" customWidth="1"/>
    <col min="6658" max="6907" width="8.7109375" bestFit="1" customWidth="1"/>
    <col min="6908" max="6908" width="30" customWidth="1"/>
    <col min="6909" max="6909" width="8.5703125" customWidth="1"/>
    <col min="6910" max="6910" width="15.85546875" customWidth="1"/>
    <col min="6911" max="6912" width="17.42578125" customWidth="1"/>
    <col min="6913" max="6913" width="19.28515625" customWidth="1"/>
    <col min="6914" max="7163" width="8.7109375" bestFit="1" customWidth="1"/>
    <col min="7164" max="7164" width="30" customWidth="1"/>
    <col min="7165" max="7165" width="8.5703125" customWidth="1"/>
    <col min="7166" max="7166" width="15.85546875" customWidth="1"/>
    <col min="7167" max="7168" width="17.42578125" customWidth="1"/>
    <col min="7169" max="7169" width="19.28515625" customWidth="1"/>
    <col min="7170" max="7419" width="8.7109375" bestFit="1" customWidth="1"/>
    <col min="7420" max="7420" width="30" customWidth="1"/>
    <col min="7421" max="7421" width="8.5703125" customWidth="1"/>
    <col min="7422" max="7422" width="15.85546875" customWidth="1"/>
    <col min="7423" max="7424" width="17.42578125" customWidth="1"/>
    <col min="7425" max="7425" width="19.28515625" customWidth="1"/>
    <col min="7426" max="7675" width="8.7109375" bestFit="1" customWidth="1"/>
    <col min="7676" max="7676" width="30" customWidth="1"/>
    <col min="7677" max="7677" width="8.5703125" customWidth="1"/>
    <col min="7678" max="7678" width="15.85546875" customWidth="1"/>
    <col min="7679" max="7680" width="17.42578125" customWidth="1"/>
    <col min="7681" max="7681" width="19.28515625" customWidth="1"/>
    <col min="7682" max="7931" width="8.7109375" bestFit="1" customWidth="1"/>
    <col min="7932" max="7932" width="30" customWidth="1"/>
    <col min="7933" max="7933" width="8.5703125" customWidth="1"/>
    <col min="7934" max="7934" width="15.85546875" customWidth="1"/>
    <col min="7935" max="7936" width="17.42578125" customWidth="1"/>
    <col min="7937" max="7937" width="19.28515625" customWidth="1"/>
    <col min="7938" max="8187" width="8.7109375" bestFit="1" customWidth="1"/>
    <col min="8188" max="8188" width="30" customWidth="1"/>
    <col min="8189" max="8189" width="8.5703125" customWidth="1"/>
    <col min="8190" max="8190" width="15.85546875" customWidth="1"/>
    <col min="8191" max="8192" width="17.42578125" customWidth="1"/>
    <col min="8193" max="8193" width="19.28515625" customWidth="1"/>
    <col min="8194" max="8443" width="8.7109375" bestFit="1" customWidth="1"/>
    <col min="8444" max="8444" width="30" customWidth="1"/>
    <col min="8445" max="8445" width="8.5703125" customWidth="1"/>
    <col min="8446" max="8446" width="15.85546875" customWidth="1"/>
    <col min="8447" max="8448" width="17.42578125" customWidth="1"/>
    <col min="8449" max="8449" width="19.28515625" customWidth="1"/>
    <col min="8450" max="8699" width="8.7109375" bestFit="1" customWidth="1"/>
    <col min="8700" max="8700" width="30" customWidth="1"/>
    <col min="8701" max="8701" width="8.5703125" customWidth="1"/>
    <col min="8702" max="8702" width="15.85546875" customWidth="1"/>
    <col min="8703" max="8704" width="17.42578125" customWidth="1"/>
    <col min="8705" max="8705" width="19.28515625" customWidth="1"/>
    <col min="8706" max="8955" width="8.7109375" bestFit="1" customWidth="1"/>
    <col min="8956" max="8956" width="30" customWidth="1"/>
    <col min="8957" max="8957" width="8.5703125" customWidth="1"/>
    <col min="8958" max="8958" width="15.85546875" customWidth="1"/>
    <col min="8959" max="8960" width="17.42578125" customWidth="1"/>
    <col min="8961" max="8961" width="19.28515625" customWidth="1"/>
    <col min="8962" max="9211" width="8.7109375" bestFit="1" customWidth="1"/>
    <col min="9212" max="9212" width="30" customWidth="1"/>
    <col min="9213" max="9213" width="8.5703125" customWidth="1"/>
    <col min="9214" max="9214" width="15.85546875" customWidth="1"/>
    <col min="9215" max="9216" width="17.42578125" customWidth="1"/>
    <col min="9217" max="9217" width="19.28515625" customWidth="1"/>
    <col min="9218" max="9467" width="8.7109375" bestFit="1" customWidth="1"/>
    <col min="9468" max="9468" width="30" customWidth="1"/>
    <col min="9469" max="9469" width="8.5703125" customWidth="1"/>
    <col min="9470" max="9470" width="15.85546875" customWidth="1"/>
    <col min="9471" max="9472" width="17.42578125" customWidth="1"/>
    <col min="9473" max="9473" width="19.28515625" customWidth="1"/>
    <col min="9474" max="9723" width="8.7109375" bestFit="1" customWidth="1"/>
    <col min="9724" max="9724" width="30" customWidth="1"/>
    <col min="9725" max="9725" width="8.5703125" customWidth="1"/>
    <col min="9726" max="9726" width="15.85546875" customWidth="1"/>
    <col min="9727" max="9728" width="17.42578125" customWidth="1"/>
    <col min="9729" max="9729" width="19.28515625" customWidth="1"/>
    <col min="9730" max="9979" width="8.7109375" bestFit="1" customWidth="1"/>
    <col min="9980" max="9980" width="30" customWidth="1"/>
    <col min="9981" max="9981" width="8.5703125" customWidth="1"/>
    <col min="9982" max="9982" width="15.85546875" customWidth="1"/>
    <col min="9983" max="9984" width="17.42578125" customWidth="1"/>
    <col min="9985" max="9985" width="19.28515625" customWidth="1"/>
    <col min="9986" max="10235" width="8.7109375" bestFit="1" customWidth="1"/>
    <col min="10236" max="10236" width="30" customWidth="1"/>
    <col min="10237" max="10237" width="8.5703125" customWidth="1"/>
    <col min="10238" max="10238" width="15.85546875" customWidth="1"/>
    <col min="10239" max="10240" width="17.42578125" customWidth="1"/>
    <col min="10241" max="10241" width="19.28515625" customWidth="1"/>
    <col min="10242" max="10491" width="8.7109375" bestFit="1" customWidth="1"/>
    <col min="10492" max="10492" width="30" customWidth="1"/>
    <col min="10493" max="10493" width="8.5703125" customWidth="1"/>
    <col min="10494" max="10494" width="15.85546875" customWidth="1"/>
    <col min="10495" max="10496" width="17.42578125" customWidth="1"/>
    <col min="10497" max="10497" width="19.28515625" customWidth="1"/>
    <col min="10498" max="10747" width="8.7109375" bestFit="1" customWidth="1"/>
    <col min="10748" max="10748" width="30" customWidth="1"/>
    <col min="10749" max="10749" width="8.5703125" customWidth="1"/>
    <col min="10750" max="10750" width="15.85546875" customWidth="1"/>
    <col min="10751" max="10752" width="17.42578125" customWidth="1"/>
    <col min="10753" max="10753" width="19.28515625" customWidth="1"/>
    <col min="10754" max="11003" width="8.7109375" bestFit="1" customWidth="1"/>
    <col min="11004" max="11004" width="30" customWidth="1"/>
    <col min="11005" max="11005" width="8.5703125" customWidth="1"/>
    <col min="11006" max="11006" width="15.85546875" customWidth="1"/>
    <col min="11007" max="11008" width="17.42578125" customWidth="1"/>
    <col min="11009" max="11009" width="19.28515625" customWidth="1"/>
    <col min="11010" max="11259" width="8.7109375" bestFit="1" customWidth="1"/>
    <col min="11260" max="11260" width="30" customWidth="1"/>
    <col min="11261" max="11261" width="8.5703125" customWidth="1"/>
    <col min="11262" max="11262" width="15.85546875" customWidth="1"/>
    <col min="11263" max="11264" width="17.42578125" customWidth="1"/>
    <col min="11265" max="11265" width="19.28515625" customWidth="1"/>
    <col min="11266" max="11515" width="8.7109375" bestFit="1" customWidth="1"/>
    <col min="11516" max="11516" width="30" customWidth="1"/>
    <col min="11517" max="11517" width="8.5703125" customWidth="1"/>
    <col min="11518" max="11518" width="15.85546875" customWidth="1"/>
    <col min="11519" max="11520" width="17.42578125" customWidth="1"/>
    <col min="11521" max="11521" width="19.28515625" customWidth="1"/>
    <col min="11522" max="11771" width="8.7109375" bestFit="1" customWidth="1"/>
    <col min="11772" max="11772" width="30" customWidth="1"/>
    <col min="11773" max="11773" width="8.5703125" customWidth="1"/>
    <col min="11774" max="11774" width="15.85546875" customWidth="1"/>
    <col min="11775" max="11776" width="17.42578125" customWidth="1"/>
    <col min="11777" max="11777" width="19.28515625" customWidth="1"/>
    <col min="11778" max="12027" width="8.7109375" bestFit="1" customWidth="1"/>
    <col min="12028" max="12028" width="30" customWidth="1"/>
    <col min="12029" max="12029" width="8.5703125" customWidth="1"/>
    <col min="12030" max="12030" width="15.85546875" customWidth="1"/>
    <col min="12031" max="12032" width="17.42578125" customWidth="1"/>
    <col min="12033" max="12033" width="19.28515625" customWidth="1"/>
    <col min="12034" max="12283" width="8.7109375" bestFit="1" customWidth="1"/>
    <col min="12284" max="12284" width="30" customWidth="1"/>
    <col min="12285" max="12285" width="8.5703125" customWidth="1"/>
    <col min="12286" max="12286" width="15.85546875" customWidth="1"/>
    <col min="12287" max="12288" width="17.42578125" customWidth="1"/>
    <col min="12289" max="12289" width="19.28515625" customWidth="1"/>
    <col min="12290" max="12539" width="8.7109375" bestFit="1" customWidth="1"/>
    <col min="12540" max="12540" width="30" customWidth="1"/>
    <col min="12541" max="12541" width="8.5703125" customWidth="1"/>
    <col min="12542" max="12542" width="15.85546875" customWidth="1"/>
    <col min="12543" max="12544" width="17.42578125" customWidth="1"/>
    <col min="12545" max="12545" width="19.28515625" customWidth="1"/>
    <col min="12546" max="12795" width="8.7109375" bestFit="1" customWidth="1"/>
    <col min="12796" max="12796" width="30" customWidth="1"/>
    <col min="12797" max="12797" width="8.5703125" customWidth="1"/>
    <col min="12798" max="12798" width="15.85546875" customWidth="1"/>
    <col min="12799" max="12800" width="17.42578125" customWidth="1"/>
    <col min="12801" max="12801" width="19.28515625" customWidth="1"/>
    <col min="12802" max="13051" width="8.7109375" bestFit="1" customWidth="1"/>
    <col min="13052" max="13052" width="30" customWidth="1"/>
    <col min="13053" max="13053" width="8.5703125" customWidth="1"/>
    <col min="13054" max="13054" width="15.85546875" customWidth="1"/>
    <col min="13055" max="13056" width="17.42578125" customWidth="1"/>
    <col min="13057" max="13057" width="19.28515625" customWidth="1"/>
    <col min="13058" max="13307" width="8.7109375" bestFit="1" customWidth="1"/>
    <col min="13308" max="13308" width="30" customWidth="1"/>
    <col min="13309" max="13309" width="8.5703125" customWidth="1"/>
    <col min="13310" max="13310" width="15.85546875" customWidth="1"/>
    <col min="13311" max="13312" width="17.42578125" customWidth="1"/>
    <col min="13313" max="13313" width="19.28515625" customWidth="1"/>
    <col min="13314" max="13563" width="8.7109375" bestFit="1" customWidth="1"/>
    <col min="13564" max="13564" width="30" customWidth="1"/>
    <col min="13565" max="13565" width="8.5703125" customWidth="1"/>
    <col min="13566" max="13566" width="15.85546875" customWidth="1"/>
    <col min="13567" max="13568" width="17.42578125" customWidth="1"/>
    <col min="13569" max="13569" width="19.28515625" customWidth="1"/>
    <col min="13570" max="13819" width="8.7109375" bestFit="1" customWidth="1"/>
    <col min="13820" max="13820" width="30" customWidth="1"/>
    <col min="13821" max="13821" width="8.5703125" customWidth="1"/>
    <col min="13822" max="13822" width="15.85546875" customWidth="1"/>
    <col min="13823" max="13824" width="17.42578125" customWidth="1"/>
    <col min="13825" max="13825" width="19.28515625" customWidth="1"/>
    <col min="13826" max="14075" width="8.7109375" bestFit="1" customWidth="1"/>
    <col min="14076" max="14076" width="30" customWidth="1"/>
    <col min="14077" max="14077" width="8.5703125" customWidth="1"/>
    <col min="14078" max="14078" width="15.85546875" customWidth="1"/>
    <col min="14079" max="14080" width="17.42578125" customWidth="1"/>
    <col min="14081" max="14081" width="19.28515625" customWidth="1"/>
    <col min="14082" max="14331" width="8.7109375" bestFit="1" customWidth="1"/>
    <col min="14332" max="14332" width="30" customWidth="1"/>
    <col min="14333" max="14333" width="8.5703125" customWidth="1"/>
    <col min="14334" max="14334" width="15.85546875" customWidth="1"/>
    <col min="14335" max="14336" width="17.42578125" customWidth="1"/>
    <col min="14337" max="14337" width="19.28515625" customWidth="1"/>
    <col min="14338" max="14587" width="8.7109375" bestFit="1" customWidth="1"/>
    <col min="14588" max="14588" width="30" customWidth="1"/>
    <col min="14589" max="14589" width="8.5703125" customWidth="1"/>
    <col min="14590" max="14590" width="15.85546875" customWidth="1"/>
    <col min="14591" max="14592" width="17.42578125" customWidth="1"/>
    <col min="14593" max="14593" width="19.28515625" customWidth="1"/>
    <col min="14594" max="14843" width="8.7109375" bestFit="1" customWidth="1"/>
    <col min="14844" max="14844" width="30" customWidth="1"/>
    <col min="14845" max="14845" width="8.5703125" customWidth="1"/>
    <col min="14846" max="14846" width="15.85546875" customWidth="1"/>
    <col min="14847" max="14848" width="17.42578125" customWidth="1"/>
    <col min="14849" max="14849" width="19.28515625" customWidth="1"/>
    <col min="14850" max="15099" width="8.7109375" bestFit="1" customWidth="1"/>
    <col min="15100" max="15100" width="30" customWidth="1"/>
    <col min="15101" max="15101" width="8.5703125" customWidth="1"/>
    <col min="15102" max="15102" width="15.85546875" customWidth="1"/>
    <col min="15103" max="15104" width="17.42578125" customWidth="1"/>
    <col min="15105" max="15105" width="19.28515625" customWidth="1"/>
    <col min="15106" max="15355" width="8.7109375" bestFit="1" customWidth="1"/>
    <col min="15356" max="15356" width="30" customWidth="1"/>
    <col min="15357" max="15357" width="8.5703125" customWidth="1"/>
    <col min="15358" max="15358" width="15.85546875" customWidth="1"/>
    <col min="15359" max="15360" width="17.42578125" customWidth="1"/>
    <col min="15361" max="15361" width="19.28515625" customWidth="1"/>
    <col min="15362" max="15611" width="8.7109375" bestFit="1" customWidth="1"/>
    <col min="15612" max="15612" width="30" customWidth="1"/>
    <col min="15613" max="15613" width="8.5703125" customWidth="1"/>
    <col min="15614" max="15614" width="15.85546875" customWidth="1"/>
    <col min="15615" max="15616" width="17.42578125" customWidth="1"/>
    <col min="15617" max="15617" width="19.28515625" customWidth="1"/>
    <col min="15618" max="15867" width="8.7109375" bestFit="1" customWidth="1"/>
    <col min="15868" max="15868" width="30" customWidth="1"/>
    <col min="15869" max="15869" width="8.5703125" customWidth="1"/>
    <col min="15870" max="15870" width="15.85546875" customWidth="1"/>
    <col min="15871" max="15872" width="17.42578125" customWidth="1"/>
    <col min="15873" max="15873" width="19.28515625" customWidth="1"/>
    <col min="15874" max="16123" width="8.7109375" bestFit="1" customWidth="1"/>
    <col min="16124" max="16124" width="30" customWidth="1"/>
    <col min="16125" max="16125" width="8.5703125" customWidth="1"/>
    <col min="16126" max="16126" width="15.85546875" customWidth="1"/>
    <col min="16127" max="16128" width="17.42578125" customWidth="1"/>
    <col min="16129" max="16129" width="19.28515625" customWidth="1"/>
  </cols>
  <sheetData>
    <row r="1" spans="1:15" ht="60.95" customHeight="1">
      <c r="A1" s="8"/>
      <c r="B1" s="8"/>
      <c r="C1" s="8"/>
      <c r="D1"/>
    </row>
    <row r="2" spans="1:15" ht="14.25" customHeight="1">
      <c r="A2" s="197" t="s">
        <v>149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</row>
    <row r="3" spans="1:15" ht="14.25" customHeight="1">
      <c r="A3" s="197" t="s">
        <v>213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</row>
    <row r="4" spans="1:15" ht="14.25" customHeight="1">
      <c r="A4" s="201" t="s">
        <v>214</v>
      </c>
      <c r="B4" s="201"/>
      <c r="C4" s="201"/>
      <c r="D4" s="201"/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</row>
    <row r="5" spans="1:15" ht="14.25">
      <c r="A5" s="9"/>
      <c r="B5" s="9"/>
      <c r="C5" s="9"/>
      <c r="D5" s="9"/>
      <c r="E5" s="85"/>
      <c r="F5" s="9"/>
      <c r="G5" s="85"/>
    </row>
    <row r="6" spans="1:15" ht="14.25">
      <c r="A6" s="193" t="s">
        <v>132</v>
      </c>
      <c r="B6" s="193"/>
      <c r="C6" s="193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</row>
    <row r="9" spans="1:15" ht="12.75" customHeight="1">
      <c r="A9" s="198" t="s">
        <v>117</v>
      </c>
      <c r="B9" s="198"/>
      <c r="C9" s="207" t="s">
        <v>194</v>
      </c>
      <c r="D9" s="199"/>
      <c r="E9" s="199"/>
      <c r="F9" s="199"/>
      <c r="G9" s="208"/>
      <c r="H9" s="200" t="s">
        <v>53</v>
      </c>
      <c r="I9" s="200"/>
      <c r="J9" s="200"/>
      <c r="K9" s="202" t="s">
        <v>54</v>
      </c>
      <c r="L9" s="203"/>
      <c r="M9" s="203"/>
      <c r="N9" s="204"/>
      <c r="O9" s="7"/>
    </row>
    <row r="10" spans="1:15" ht="51">
      <c r="A10" s="55" t="s">
        <v>55</v>
      </c>
      <c r="B10" s="55" t="s">
        <v>56</v>
      </c>
      <c r="C10" s="55" t="s">
        <v>57</v>
      </c>
      <c r="D10" s="55" t="s">
        <v>58</v>
      </c>
      <c r="E10" s="55" t="s">
        <v>59</v>
      </c>
      <c r="F10" s="55" t="s">
        <v>60</v>
      </c>
      <c r="G10" s="56" t="s">
        <v>61</v>
      </c>
      <c r="H10" s="57" t="s">
        <v>62</v>
      </c>
      <c r="I10" s="57" t="s">
        <v>63</v>
      </c>
      <c r="J10" s="57" t="s">
        <v>64</v>
      </c>
      <c r="K10" s="56" t="s">
        <v>61</v>
      </c>
      <c r="L10" s="57" t="s">
        <v>62</v>
      </c>
      <c r="M10" s="57" t="s">
        <v>63</v>
      </c>
      <c r="N10" s="57" t="s">
        <v>64</v>
      </c>
      <c r="O10" s="58" t="s">
        <v>65</v>
      </c>
    </row>
    <row r="11" spans="1:15" ht="25.5">
      <c r="A11" s="2" t="s">
        <v>66</v>
      </c>
      <c r="B11" s="2">
        <v>926720</v>
      </c>
      <c r="C11" s="47" t="s">
        <v>133</v>
      </c>
      <c r="D11" s="2" t="s">
        <v>67</v>
      </c>
      <c r="E11" s="93" t="s">
        <v>81</v>
      </c>
      <c r="F11" s="48">
        <v>45071</v>
      </c>
      <c r="G11" s="86">
        <v>50</v>
      </c>
      <c r="H11" s="60">
        <f>ROUND(AVERAGE(G12:G15),2)</f>
        <v>36.119999999999997</v>
      </c>
      <c r="I11" s="61">
        <f t="shared" ref="I11:I15" si="0">(((G11-H11)*100)/H11)/100</f>
        <v>0.38427464008859369</v>
      </c>
      <c r="J11" s="62" t="str">
        <f t="shared" ref="J11:J15" si="1">IF(I11&gt;30%,"EXCESSIVAMENTE ELEVADO","VÁLIDO")</f>
        <v>EXCESSIVAMENTE ELEVADO</v>
      </c>
      <c r="K11" s="77" t="s">
        <v>10</v>
      </c>
      <c r="L11" s="60" t="s">
        <v>10</v>
      </c>
      <c r="M11" s="61" t="s">
        <v>10</v>
      </c>
      <c r="N11" s="76" t="s">
        <v>69</v>
      </c>
      <c r="O11" s="83" t="s">
        <v>10</v>
      </c>
    </row>
    <row r="12" spans="1:15">
      <c r="A12" s="2" t="s">
        <v>66</v>
      </c>
      <c r="B12" s="2">
        <v>987091</v>
      </c>
      <c r="C12" s="47" t="s">
        <v>134</v>
      </c>
      <c r="D12" s="2" t="s">
        <v>67</v>
      </c>
      <c r="E12" s="93" t="s">
        <v>135</v>
      </c>
      <c r="F12" s="48">
        <v>45274</v>
      </c>
      <c r="G12" s="86">
        <v>23</v>
      </c>
      <c r="H12" s="60">
        <f>ROUND(AVERAGE(G13:G15,G11:G11),2)</f>
        <v>42.87</v>
      </c>
      <c r="I12" s="61">
        <f t="shared" si="0"/>
        <v>-0.46349428504781898</v>
      </c>
      <c r="J12" s="62" t="str">
        <f t="shared" si="1"/>
        <v>VÁLIDO</v>
      </c>
      <c r="K12" s="49">
        <f>G12</f>
        <v>23</v>
      </c>
      <c r="L12" s="60">
        <f>ROUND(AVERAGE(K13:K15,K11:K11),2)</f>
        <v>23.23</v>
      </c>
      <c r="M12" s="61">
        <f>((K12*100)/L12)/100</f>
        <v>0.99009900990099009</v>
      </c>
      <c r="N12" s="62" t="str">
        <f>IF(M12&lt;70%,"INEXEQUÍVEL","EXEQUÍVEL")</f>
        <v>EXEQUÍVEL</v>
      </c>
      <c r="O12" s="63">
        <f>G12</f>
        <v>23</v>
      </c>
    </row>
    <row r="13" spans="1:15">
      <c r="A13" s="2" t="s">
        <v>66</v>
      </c>
      <c r="B13" s="2">
        <v>987837</v>
      </c>
      <c r="C13" s="47" t="s">
        <v>136</v>
      </c>
      <c r="D13" s="2" t="s">
        <v>67</v>
      </c>
      <c r="E13" s="93" t="s">
        <v>137</v>
      </c>
      <c r="F13" s="48">
        <v>45266</v>
      </c>
      <c r="G13" s="86">
        <v>24.5</v>
      </c>
      <c r="H13" s="60">
        <f>ROUND(AVERAGE(G14:G15,G11:G12),2)</f>
        <v>42.49</v>
      </c>
      <c r="I13" s="61">
        <f t="shared" si="0"/>
        <v>-0.42339373970345967</v>
      </c>
      <c r="J13" s="62" t="str">
        <f t="shared" si="1"/>
        <v>VÁLIDO</v>
      </c>
      <c r="K13" s="49">
        <f>G13</f>
        <v>24.5</v>
      </c>
      <c r="L13" s="60">
        <f>ROUND(AVERAGE(K14:K15,K11:K12),2)</f>
        <v>22.48</v>
      </c>
      <c r="M13" s="61">
        <f>((K13*100)/L13)/100</f>
        <v>1.0898576512455516</v>
      </c>
      <c r="N13" s="62" t="str">
        <f>IF(M13&lt;70%,"INEXEQUÍVEL","EXEQUÍVEL")</f>
        <v>EXEQUÍVEL</v>
      </c>
      <c r="O13" s="63">
        <f>G13</f>
        <v>24.5</v>
      </c>
    </row>
    <row r="14" spans="1:15" ht="25.5">
      <c r="A14" s="2" t="s">
        <v>66</v>
      </c>
      <c r="B14" s="2">
        <v>925509</v>
      </c>
      <c r="C14" s="47" t="s">
        <v>138</v>
      </c>
      <c r="D14" s="2" t="s">
        <v>67</v>
      </c>
      <c r="E14" s="93" t="s">
        <v>131</v>
      </c>
      <c r="F14" s="48">
        <v>45168</v>
      </c>
      <c r="G14" s="86">
        <v>75</v>
      </c>
      <c r="H14" s="60">
        <f>ROUND(AVERAGE(G15,G11:G13),2)</f>
        <v>29.87</v>
      </c>
      <c r="I14" s="61">
        <f t="shared" si="0"/>
        <v>1.5108804820890527</v>
      </c>
      <c r="J14" s="62" t="str">
        <f t="shared" si="1"/>
        <v>EXCESSIVAMENTE ELEVADO</v>
      </c>
      <c r="K14" s="77" t="s">
        <v>10</v>
      </c>
      <c r="L14" s="60" t="s">
        <v>10</v>
      </c>
      <c r="M14" s="61" t="s">
        <v>10</v>
      </c>
      <c r="N14" s="76" t="s">
        <v>69</v>
      </c>
      <c r="O14" s="63" t="s">
        <v>10</v>
      </c>
    </row>
    <row r="15" spans="1:15">
      <c r="A15" s="2" t="s">
        <v>66</v>
      </c>
      <c r="B15" s="2">
        <v>926486</v>
      </c>
      <c r="C15" s="47" t="s">
        <v>139</v>
      </c>
      <c r="D15" s="2" t="s">
        <v>67</v>
      </c>
      <c r="E15" s="93" t="s">
        <v>140</v>
      </c>
      <c r="F15" s="48">
        <v>45266</v>
      </c>
      <c r="G15" s="86">
        <v>21.96</v>
      </c>
      <c r="H15" s="60">
        <f>ROUND(AVERAGE(G11:G14),2)</f>
        <v>43.13</v>
      </c>
      <c r="I15" s="61">
        <f t="shared" si="0"/>
        <v>-0.49084164154880588</v>
      </c>
      <c r="J15" s="62" t="str">
        <f t="shared" si="1"/>
        <v>VÁLIDO</v>
      </c>
      <c r="K15" s="49">
        <f>G15</f>
        <v>21.96</v>
      </c>
      <c r="L15" s="60">
        <f>ROUND(AVERAGE(K11:K14),2)</f>
        <v>23.75</v>
      </c>
      <c r="M15" s="61">
        <f>((K15*100)/L15)/100</f>
        <v>0.92463157894736836</v>
      </c>
      <c r="N15" s="62" t="str">
        <f>IF(M15&lt;70%,"INEXEQUÍVEL","EXEQUÍVEL")</f>
        <v>EXEQUÍVEL</v>
      </c>
      <c r="O15" s="63">
        <f>G15</f>
        <v>21.96</v>
      </c>
    </row>
    <row r="16" spans="1:15" ht="13.5" thickBot="1"/>
    <row r="17" spans="1:15">
      <c r="A17" s="80" t="s">
        <v>70</v>
      </c>
      <c r="N17" s="65" t="s">
        <v>71</v>
      </c>
      <c r="O17" s="66">
        <f>ROUND(AVERAGE(O11:O15),2)</f>
        <v>23.15</v>
      </c>
    </row>
    <row r="18" spans="1:15">
      <c r="A18" s="67" t="s">
        <v>72</v>
      </c>
      <c r="N18" s="68" t="s">
        <v>73</v>
      </c>
      <c r="O18" s="69">
        <f>_xlfn.STDEV.P(O11:O15)</f>
        <v>1.0426035786540451</v>
      </c>
    </row>
    <row r="19" spans="1:15">
      <c r="A19" s="67"/>
      <c r="N19" s="68" t="s">
        <v>74</v>
      </c>
      <c r="O19" s="70">
        <f>O18/O17</f>
        <v>4.5036871648122902E-2</v>
      </c>
    </row>
    <row r="20" spans="1:15" ht="13.5" thickBot="1">
      <c r="A20" s="7"/>
      <c r="N20" s="71" t="s">
        <v>75</v>
      </c>
      <c r="O20" s="72">
        <f>ROUND(MEDIAN(O11:O15),2)</f>
        <v>23</v>
      </c>
    </row>
    <row r="21" spans="1:15" ht="13.5" thickBot="1">
      <c r="A21" s="73" t="s">
        <v>76</v>
      </c>
      <c r="N21" s="74" t="str">
        <f>IF(O19&gt;25%,"PREÇO MEDIANA","PREÇO MÉDIA")</f>
        <v>PREÇO MÉDIA</v>
      </c>
      <c r="O21" s="75">
        <f>IF(O19&gt;25%,O20,O17)</f>
        <v>23.15</v>
      </c>
    </row>
    <row r="22" spans="1:15">
      <c r="A22" s="7" t="s">
        <v>77</v>
      </c>
    </row>
    <row r="23" spans="1:15">
      <c r="A23" s="7" t="s">
        <v>78</v>
      </c>
    </row>
    <row r="24" spans="1:15">
      <c r="A24" s="7" t="s">
        <v>79</v>
      </c>
    </row>
    <row r="25" spans="1:15">
      <c r="A25" s="7" t="s">
        <v>80</v>
      </c>
    </row>
  </sheetData>
  <mergeCells count="8">
    <mergeCell ref="A9:B9"/>
    <mergeCell ref="C9:G9"/>
    <mergeCell ref="H9:J9"/>
    <mergeCell ref="K9:N9"/>
    <mergeCell ref="A2:O2"/>
    <mergeCell ref="A3:O3"/>
    <mergeCell ref="A4:O4"/>
    <mergeCell ref="A6:O6"/>
  </mergeCells>
  <conditionalFormatting sqref="N15 N12:N13">
    <cfRule type="beginsWith" dxfId="13" priority="5" operator="beginsWith" text="EXEQUÍVEL">
      <formula>LEFT(N12,LEN("EXEQUÍVEL"))="EXEQUÍVEL"</formula>
    </cfRule>
    <cfRule type="beginsWith" dxfId="12" priority="6" operator="beginsWith" text="INEXEQUÍVEL">
      <formula>LEFT(N12,LEN("INEXEQUÍVEL"))="INEXEQUÍVEL"</formula>
    </cfRule>
  </conditionalFormatting>
  <conditionalFormatting sqref="J11:J15">
    <cfRule type="containsText" dxfId="11" priority="7" operator="containsText" text="VÁLIDO">
      <formula>NOT(ISERROR(SEARCH("VÁLIDO",J11)))</formula>
    </cfRule>
    <cfRule type="containsText" dxfId="10" priority="8" operator="containsText" text="EXCESSIVAMENTE ELEVADO">
      <formula>NOT(ISERROR(SEARCH("EXCESSIVAMENTE ELEVADO",J11)))</formula>
    </cfRule>
  </conditionalFormatting>
  <conditionalFormatting sqref="N11">
    <cfRule type="beginsWith" dxfId="9" priority="3" operator="beginsWith" text="EXEQUÍVEL">
      <formula>LEFT(N11,LEN("EXEQUÍVEL"))="EXEQUÍVEL"</formula>
    </cfRule>
    <cfRule type="beginsWith" dxfId="8" priority="4" operator="beginsWith" text="INEXEQUÍVEL">
      <formula>LEFT(N11,LEN("INEXEQUÍVEL"))="INEXEQUÍVEL"</formula>
    </cfRule>
  </conditionalFormatting>
  <conditionalFormatting sqref="N14">
    <cfRule type="beginsWith" dxfId="7" priority="1" operator="beginsWith" text="EXEQUÍVEL">
      <formula>LEFT(N14,LEN("EXEQUÍVEL"))="EXEQUÍVEL"</formula>
    </cfRule>
    <cfRule type="beginsWith" dxfId="6" priority="2" operator="beginsWith" text="INEXEQUÍVEL">
      <formula>LEFT(N14,LEN("INEXEQUÍVEL"))="INEXEQUÍVEL"</formula>
    </cfRule>
  </conditionalFormatting>
  <pageMargins left="0.511811024" right="0.511811024" top="0.78740157499999996" bottom="0.78740157499999996" header="0.31496062000000002" footer="0.31496062000000002"/>
  <pageSetup paperSize="9" scale="5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zoomScaleNormal="100" workbookViewId="0">
      <selection activeCell="A4" sqref="A4:O4"/>
    </sheetView>
  </sheetViews>
  <sheetFormatPr defaultRowHeight="12.75"/>
  <cols>
    <col min="2" max="2" width="10.140625" customWidth="1"/>
    <col min="3" max="3" width="51.28515625" customWidth="1"/>
    <col min="4" max="4" width="13.28515625" style="16" customWidth="1"/>
    <col min="5" max="5" width="14" customWidth="1"/>
    <col min="6" max="6" width="14.7109375" customWidth="1"/>
    <col min="7" max="7" width="16" style="84" customWidth="1"/>
    <col min="8" max="8" width="14.7109375" customWidth="1"/>
    <col min="9" max="9" width="14" customWidth="1"/>
    <col min="10" max="10" width="17.85546875" customWidth="1"/>
    <col min="11" max="11" width="15" customWidth="1"/>
    <col min="12" max="12" width="15.5703125" customWidth="1"/>
    <col min="13" max="13" width="14.42578125" customWidth="1"/>
    <col min="14" max="14" width="14.28515625" customWidth="1"/>
    <col min="15" max="15" width="16.7109375" customWidth="1"/>
    <col min="16" max="251" width="8.7109375" bestFit="1" customWidth="1"/>
    <col min="252" max="252" width="30" customWidth="1"/>
    <col min="253" max="253" width="8.5703125" customWidth="1"/>
    <col min="254" max="254" width="15.85546875" customWidth="1"/>
    <col min="255" max="256" width="17.42578125" customWidth="1"/>
    <col min="257" max="257" width="19.28515625" customWidth="1"/>
    <col min="258" max="507" width="8.7109375" bestFit="1" customWidth="1"/>
    <col min="508" max="508" width="30" customWidth="1"/>
    <col min="509" max="509" width="8.5703125" customWidth="1"/>
    <col min="510" max="510" width="15.85546875" customWidth="1"/>
    <col min="511" max="512" width="17.42578125" customWidth="1"/>
    <col min="513" max="513" width="19.28515625" customWidth="1"/>
    <col min="514" max="763" width="8.7109375" bestFit="1" customWidth="1"/>
    <col min="764" max="764" width="30" customWidth="1"/>
    <col min="765" max="765" width="8.5703125" customWidth="1"/>
    <col min="766" max="766" width="15.85546875" customWidth="1"/>
    <col min="767" max="768" width="17.42578125" customWidth="1"/>
    <col min="769" max="769" width="19.28515625" customWidth="1"/>
    <col min="770" max="1019" width="8.7109375" bestFit="1" customWidth="1"/>
    <col min="1020" max="1020" width="30" customWidth="1"/>
    <col min="1021" max="1021" width="8.5703125" customWidth="1"/>
    <col min="1022" max="1022" width="15.85546875" customWidth="1"/>
    <col min="1023" max="1024" width="17.42578125" customWidth="1"/>
    <col min="1025" max="1025" width="19.28515625" customWidth="1"/>
    <col min="1026" max="1275" width="8.7109375" bestFit="1" customWidth="1"/>
    <col min="1276" max="1276" width="30" customWidth="1"/>
    <col min="1277" max="1277" width="8.5703125" customWidth="1"/>
    <col min="1278" max="1278" width="15.85546875" customWidth="1"/>
    <col min="1279" max="1280" width="17.42578125" customWidth="1"/>
    <col min="1281" max="1281" width="19.28515625" customWidth="1"/>
    <col min="1282" max="1531" width="8.7109375" bestFit="1" customWidth="1"/>
    <col min="1532" max="1532" width="30" customWidth="1"/>
    <col min="1533" max="1533" width="8.5703125" customWidth="1"/>
    <col min="1534" max="1534" width="15.85546875" customWidth="1"/>
    <col min="1535" max="1536" width="17.42578125" customWidth="1"/>
    <col min="1537" max="1537" width="19.28515625" customWidth="1"/>
    <col min="1538" max="1787" width="8.7109375" bestFit="1" customWidth="1"/>
    <col min="1788" max="1788" width="30" customWidth="1"/>
    <col min="1789" max="1789" width="8.5703125" customWidth="1"/>
    <col min="1790" max="1790" width="15.85546875" customWidth="1"/>
    <col min="1791" max="1792" width="17.42578125" customWidth="1"/>
    <col min="1793" max="1793" width="19.28515625" customWidth="1"/>
    <col min="1794" max="2043" width="8.7109375" bestFit="1" customWidth="1"/>
    <col min="2044" max="2044" width="30" customWidth="1"/>
    <col min="2045" max="2045" width="8.5703125" customWidth="1"/>
    <col min="2046" max="2046" width="15.85546875" customWidth="1"/>
    <col min="2047" max="2048" width="17.42578125" customWidth="1"/>
    <col min="2049" max="2049" width="19.28515625" customWidth="1"/>
    <col min="2050" max="2299" width="8.7109375" bestFit="1" customWidth="1"/>
    <col min="2300" max="2300" width="30" customWidth="1"/>
    <col min="2301" max="2301" width="8.5703125" customWidth="1"/>
    <col min="2302" max="2302" width="15.85546875" customWidth="1"/>
    <col min="2303" max="2304" width="17.42578125" customWidth="1"/>
    <col min="2305" max="2305" width="19.28515625" customWidth="1"/>
    <col min="2306" max="2555" width="8.7109375" bestFit="1" customWidth="1"/>
    <col min="2556" max="2556" width="30" customWidth="1"/>
    <col min="2557" max="2557" width="8.5703125" customWidth="1"/>
    <col min="2558" max="2558" width="15.85546875" customWidth="1"/>
    <col min="2559" max="2560" width="17.42578125" customWidth="1"/>
    <col min="2561" max="2561" width="19.28515625" customWidth="1"/>
    <col min="2562" max="2811" width="8.7109375" bestFit="1" customWidth="1"/>
    <col min="2812" max="2812" width="30" customWidth="1"/>
    <col min="2813" max="2813" width="8.5703125" customWidth="1"/>
    <col min="2814" max="2814" width="15.85546875" customWidth="1"/>
    <col min="2815" max="2816" width="17.42578125" customWidth="1"/>
    <col min="2817" max="2817" width="19.28515625" customWidth="1"/>
    <col min="2818" max="3067" width="8.7109375" bestFit="1" customWidth="1"/>
    <col min="3068" max="3068" width="30" customWidth="1"/>
    <col min="3069" max="3069" width="8.5703125" customWidth="1"/>
    <col min="3070" max="3070" width="15.85546875" customWidth="1"/>
    <col min="3071" max="3072" width="17.42578125" customWidth="1"/>
    <col min="3073" max="3073" width="19.28515625" customWidth="1"/>
    <col min="3074" max="3323" width="8.7109375" bestFit="1" customWidth="1"/>
    <col min="3324" max="3324" width="30" customWidth="1"/>
    <col min="3325" max="3325" width="8.5703125" customWidth="1"/>
    <col min="3326" max="3326" width="15.85546875" customWidth="1"/>
    <col min="3327" max="3328" width="17.42578125" customWidth="1"/>
    <col min="3329" max="3329" width="19.28515625" customWidth="1"/>
    <col min="3330" max="3579" width="8.7109375" bestFit="1" customWidth="1"/>
    <col min="3580" max="3580" width="30" customWidth="1"/>
    <col min="3581" max="3581" width="8.5703125" customWidth="1"/>
    <col min="3582" max="3582" width="15.85546875" customWidth="1"/>
    <col min="3583" max="3584" width="17.42578125" customWidth="1"/>
    <col min="3585" max="3585" width="19.28515625" customWidth="1"/>
    <col min="3586" max="3835" width="8.7109375" bestFit="1" customWidth="1"/>
    <col min="3836" max="3836" width="30" customWidth="1"/>
    <col min="3837" max="3837" width="8.5703125" customWidth="1"/>
    <col min="3838" max="3838" width="15.85546875" customWidth="1"/>
    <col min="3839" max="3840" width="17.42578125" customWidth="1"/>
    <col min="3841" max="3841" width="19.28515625" customWidth="1"/>
    <col min="3842" max="4091" width="8.7109375" bestFit="1" customWidth="1"/>
    <col min="4092" max="4092" width="30" customWidth="1"/>
    <col min="4093" max="4093" width="8.5703125" customWidth="1"/>
    <col min="4094" max="4094" width="15.85546875" customWidth="1"/>
    <col min="4095" max="4096" width="17.42578125" customWidth="1"/>
    <col min="4097" max="4097" width="19.28515625" customWidth="1"/>
    <col min="4098" max="4347" width="8.7109375" bestFit="1" customWidth="1"/>
    <col min="4348" max="4348" width="30" customWidth="1"/>
    <col min="4349" max="4349" width="8.5703125" customWidth="1"/>
    <col min="4350" max="4350" width="15.85546875" customWidth="1"/>
    <col min="4351" max="4352" width="17.42578125" customWidth="1"/>
    <col min="4353" max="4353" width="19.28515625" customWidth="1"/>
    <col min="4354" max="4603" width="8.7109375" bestFit="1" customWidth="1"/>
    <col min="4604" max="4604" width="30" customWidth="1"/>
    <col min="4605" max="4605" width="8.5703125" customWidth="1"/>
    <col min="4606" max="4606" width="15.85546875" customWidth="1"/>
    <col min="4607" max="4608" width="17.42578125" customWidth="1"/>
    <col min="4609" max="4609" width="19.28515625" customWidth="1"/>
    <col min="4610" max="4859" width="8.7109375" bestFit="1" customWidth="1"/>
    <col min="4860" max="4860" width="30" customWidth="1"/>
    <col min="4861" max="4861" width="8.5703125" customWidth="1"/>
    <col min="4862" max="4862" width="15.85546875" customWidth="1"/>
    <col min="4863" max="4864" width="17.42578125" customWidth="1"/>
    <col min="4865" max="4865" width="19.28515625" customWidth="1"/>
    <col min="4866" max="5115" width="8.7109375" bestFit="1" customWidth="1"/>
    <col min="5116" max="5116" width="30" customWidth="1"/>
    <col min="5117" max="5117" width="8.5703125" customWidth="1"/>
    <col min="5118" max="5118" width="15.85546875" customWidth="1"/>
    <col min="5119" max="5120" width="17.42578125" customWidth="1"/>
    <col min="5121" max="5121" width="19.28515625" customWidth="1"/>
    <col min="5122" max="5371" width="8.7109375" bestFit="1" customWidth="1"/>
    <col min="5372" max="5372" width="30" customWidth="1"/>
    <col min="5373" max="5373" width="8.5703125" customWidth="1"/>
    <col min="5374" max="5374" width="15.85546875" customWidth="1"/>
    <col min="5375" max="5376" width="17.42578125" customWidth="1"/>
    <col min="5377" max="5377" width="19.28515625" customWidth="1"/>
    <col min="5378" max="5627" width="8.7109375" bestFit="1" customWidth="1"/>
    <col min="5628" max="5628" width="30" customWidth="1"/>
    <col min="5629" max="5629" width="8.5703125" customWidth="1"/>
    <col min="5630" max="5630" width="15.85546875" customWidth="1"/>
    <col min="5631" max="5632" width="17.42578125" customWidth="1"/>
    <col min="5633" max="5633" width="19.28515625" customWidth="1"/>
    <col min="5634" max="5883" width="8.7109375" bestFit="1" customWidth="1"/>
    <col min="5884" max="5884" width="30" customWidth="1"/>
    <col min="5885" max="5885" width="8.5703125" customWidth="1"/>
    <col min="5886" max="5886" width="15.85546875" customWidth="1"/>
    <col min="5887" max="5888" width="17.42578125" customWidth="1"/>
    <col min="5889" max="5889" width="19.28515625" customWidth="1"/>
    <col min="5890" max="6139" width="8.7109375" bestFit="1" customWidth="1"/>
    <col min="6140" max="6140" width="30" customWidth="1"/>
    <col min="6141" max="6141" width="8.5703125" customWidth="1"/>
    <col min="6142" max="6142" width="15.85546875" customWidth="1"/>
    <col min="6143" max="6144" width="17.42578125" customWidth="1"/>
    <col min="6145" max="6145" width="19.28515625" customWidth="1"/>
    <col min="6146" max="6395" width="8.7109375" bestFit="1" customWidth="1"/>
    <col min="6396" max="6396" width="30" customWidth="1"/>
    <col min="6397" max="6397" width="8.5703125" customWidth="1"/>
    <col min="6398" max="6398" width="15.85546875" customWidth="1"/>
    <col min="6399" max="6400" width="17.42578125" customWidth="1"/>
    <col min="6401" max="6401" width="19.28515625" customWidth="1"/>
    <col min="6402" max="6651" width="8.7109375" bestFit="1" customWidth="1"/>
    <col min="6652" max="6652" width="30" customWidth="1"/>
    <col min="6653" max="6653" width="8.5703125" customWidth="1"/>
    <col min="6654" max="6654" width="15.85546875" customWidth="1"/>
    <col min="6655" max="6656" width="17.42578125" customWidth="1"/>
    <col min="6657" max="6657" width="19.28515625" customWidth="1"/>
    <col min="6658" max="6907" width="8.7109375" bestFit="1" customWidth="1"/>
    <col min="6908" max="6908" width="30" customWidth="1"/>
    <col min="6909" max="6909" width="8.5703125" customWidth="1"/>
    <col min="6910" max="6910" width="15.85546875" customWidth="1"/>
    <col min="6911" max="6912" width="17.42578125" customWidth="1"/>
    <col min="6913" max="6913" width="19.28515625" customWidth="1"/>
    <col min="6914" max="7163" width="8.7109375" bestFit="1" customWidth="1"/>
    <col min="7164" max="7164" width="30" customWidth="1"/>
    <col min="7165" max="7165" width="8.5703125" customWidth="1"/>
    <col min="7166" max="7166" width="15.85546875" customWidth="1"/>
    <col min="7167" max="7168" width="17.42578125" customWidth="1"/>
    <col min="7169" max="7169" width="19.28515625" customWidth="1"/>
    <col min="7170" max="7419" width="8.7109375" bestFit="1" customWidth="1"/>
    <col min="7420" max="7420" width="30" customWidth="1"/>
    <col min="7421" max="7421" width="8.5703125" customWidth="1"/>
    <col min="7422" max="7422" width="15.85546875" customWidth="1"/>
    <col min="7423" max="7424" width="17.42578125" customWidth="1"/>
    <col min="7425" max="7425" width="19.28515625" customWidth="1"/>
    <col min="7426" max="7675" width="8.7109375" bestFit="1" customWidth="1"/>
    <col min="7676" max="7676" width="30" customWidth="1"/>
    <col min="7677" max="7677" width="8.5703125" customWidth="1"/>
    <col min="7678" max="7678" width="15.85546875" customWidth="1"/>
    <col min="7679" max="7680" width="17.42578125" customWidth="1"/>
    <col min="7681" max="7681" width="19.28515625" customWidth="1"/>
    <col min="7682" max="7931" width="8.7109375" bestFit="1" customWidth="1"/>
    <col min="7932" max="7932" width="30" customWidth="1"/>
    <col min="7933" max="7933" width="8.5703125" customWidth="1"/>
    <col min="7934" max="7934" width="15.85546875" customWidth="1"/>
    <col min="7935" max="7936" width="17.42578125" customWidth="1"/>
    <col min="7937" max="7937" width="19.28515625" customWidth="1"/>
    <col min="7938" max="8187" width="8.7109375" bestFit="1" customWidth="1"/>
    <col min="8188" max="8188" width="30" customWidth="1"/>
    <col min="8189" max="8189" width="8.5703125" customWidth="1"/>
    <col min="8190" max="8190" width="15.85546875" customWidth="1"/>
    <col min="8191" max="8192" width="17.42578125" customWidth="1"/>
    <col min="8193" max="8193" width="19.28515625" customWidth="1"/>
    <col min="8194" max="8443" width="8.7109375" bestFit="1" customWidth="1"/>
    <col min="8444" max="8444" width="30" customWidth="1"/>
    <col min="8445" max="8445" width="8.5703125" customWidth="1"/>
    <col min="8446" max="8446" width="15.85546875" customWidth="1"/>
    <col min="8447" max="8448" width="17.42578125" customWidth="1"/>
    <col min="8449" max="8449" width="19.28515625" customWidth="1"/>
    <col min="8450" max="8699" width="8.7109375" bestFit="1" customWidth="1"/>
    <col min="8700" max="8700" width="30" customWidth="1"/>
    <col min="8701" max="8701" width="8.5703125" customWidth="1"/>
    <col min="8702" max="8702" width="15.85546875" customWidth="1"/>
    <col min="8703" max="8704" width="17.42578125" customWidth="1"/>
    <col min="8705" max="8705" width="19.28515625" customWidth="1"/>
    <col min="8706" max="8955" width="8.7109375" bestFit="1" customWidth="1"/>
    <col min="8956" max="8956" width="30" customWidth="1"/>
    <col min="8957" max="8957" width="8.5703125" customWidth="1"/>
    <col min="8958" max="8958" width="15.85546875" customWidth="1"/>
    <col min="8959" max="8960" width="17.42578125" customWidth="1"/>
    <col min="8961" max="8961" width="19.28515625" customWidth="1"/>
    <col min="8962" max="9211" width="8.7109375" bestFit="1" customWidth="1"/>
    <col min="9212" max="9212" width="30" customWidth="1"/>
    <col min="9213" max="9213" width="8.5703125" customWidth="1"/>
    <col min="9214" max="9214" width="15.85546875" customWidth="1"/>
    <col min="9215" max="9216" width="17.42578125" customWidth="1"/>
    <col min="9217" max="9217" width="19.28515625" customWidth="1"/>
    <col min="9218" max="9467" width="8.7109375" bestFit="1" customWidth="1"/>
    <col min="9468" max="9468" width="30" customWidth="1"/>
    <col min="9469" max="9469" width="8.5703125" customWidth="1"/>
    <col min="9470" max="9470" width="15.85546875" customWidth="1"/>
    <col min="9471" max="9472" width="17.42578125" customWidth="1"/>
    <col min="9473" max="9473" width="19.28515625" customWidth="1"/>
    <col min="9474" max="9723" width="8.7109375" bestFit="1" customWidth="1"/>
    <col min="9724" max="9724" width="30" customWidth="1"/>
    <col min="9725" max="9725" width="8.5703125" customWidth="1"/>
    <col min="9726" max="9726" width="15.85546875" customWidth="1"/>
    <col min="9727" max="9728" width="17.42578125" customWidth="1"/>
    <col min="9729" max="9729" width="19.28515625" customWidth="1"/>
    <col min="9730" max="9979" width="8.7109375" bestFit="1" customWidth="1"/>
    <col min="9980" max="9980" width="30" customWidth="1"/>
    <col min="9981" max="9981" width="8.5703125" customWidth="1"/>
    <col min="9982" max="9982" width="15.85546875" customWidth="1"/>
    <col min="9983" max="9984" width="17.42578125" customWidth="1"/>
    <col min="9985" max="9985" width="19.28515625" customWidth="1"/>
    <col min="9986" max="10235" width="8.7109375" bestFit="1" customWidth="1"/>
    <col min="10236" max="10236" width="30" customWidth="1"/>
    <col min="10237" max="10237" width="8.5703125" customWidth="1"/>
    <col min="10238" max="10238" width="15.85546875" customWidth="1"/>
    <col min="10239" max="10240" width="17.42578125" customWidth="1"/>
    <col min="10241" max="10241" width="19.28515625" customWidth="1"/>
    <col min="10242" max="10491" width="8.7109375" bestFit="1" customWidth="1"/>
    <col min="10492" max="10492" width="30" customWidth="1"/>
    <col min="10493" max="10493" width="8.5703125" customWidth="1"/>
    <col min="10494" max="10494" width="15.85546875" customWidth="1"/>
    <col min="10495" max="10496" width="17.42578125" customWidth="1"/>
    <col min="10497" max="10497" width="19.28515625" customWidth="1"/>
    <col min="10498" max="10747" width="8.7109375" bestFit="1" customWidth="1"/>
    <col min="10748" max="10748" width="30" customWidth="1"/>
    <col min="10749" max="10749" width="8.5703125" customWidth="1"/>
    <col min="10750" max="10750" width="15.85546875" customWidth="1"/>
    <col min="10751" max="10752" width="17.42578125" customWidth="1"/>
    <col min="10753" max="10753" width="19.28515625" customWidth="1"/>
    <col min="10754" max="11003" width="8.7109375" bestFit="1" customWidth="1"/>
    <col min="11004" max="11004" width="30" customWidth="1"/>
    <col min="11005" max="11005" width="8.5703125" customWidth="1"/>
    <col min="11006" max="11006" width="15.85546875" customWidth="1"/>
    <col min="11007" max="11008" width="17.42578125" customWidth="1"/>
    <col min="11009" max="11009" width="19.28515625" customWidth="1"/>
    <col min="11010" max="11259" width="8.7109375" bestFit="1" customWidth="1"/>
    <col min="11260" max="11260" width="30" customWidth="1"/>
    <col min="11261" max="11261" width="8.5703125" customWidth="1"/>
    <col min="11262" max="11262" width="15.85546875" customWidth="1"/>
    <col min="11263" max="11264" width="17.42578125" customWidth="1"/>
    <col min="11265" max="11265" width="19.28515625" customWidth="1"/>
    <col min="11266" max="11515" width="8.7109375" bestFit="1" customWidth="1"/>
    <col min="11516" max="11516" width="30" customWidth="1"/>
    <col min="11517" max="11517" width="8.5703125" customWidth="1"/>
    <col min="11518" max="11518" width="15.85546875" customWidth="1"/>
    <col min="11519" max="11520" width="17.42578125" customWidth="1"/>
    <col min="11521" max="11521" width="19.28515625" customWidth="1"/>
    <col min="11522" max="11771" width="8.7109375" bestFit="1" customWidth="1"/>
    <col min="11772" max="11772" width="30" customWidth="1"/>
    <col min="11773" max="11773" width="8.5703125" customWidth="1"/>
    <col min="11774" max="11774" width="15.85546875" customWidth="1"/>
    <col min="11775" max="11776" width="17.42578125" customWidth="1"/>
    <col min="11777" max="11777" width="19.28515625" customWidth="1"/>
    <col min="11778" max="12027" width="8.7109375" bestFit="1" customWidth="1"/>
    <col min="12028" max="12028" width="30" customWidth="1"/>
    <col min="12029" max="12029" width="8.5703125" customWidth="1"/>
    <col min="12030" max="12030" width="15.85546875" customWidth="1"/>
    <col min="12031" max="12032" width="17.42578125" customWidth="1"/>
    <col min="12033" max="12033" width="19.28515625" customWidth="1"/>
    <col min="12034" max="12283" width="8.7109375" bestFit="1" customWidth="1"/>
    <col min="12284" max="12284" width="30" customWidth="1"/>
    <col min="12285" max="12285" width="8.5703125" customWidth="1"/>
    <col min="12286" max="12286" width="15.85546875" customWidth="1"/>
    <col min="12287" max="12288" width="17.42578125" customWidth="1"/>
    <col min="12289" max="12289" width="19.28515625" customWidth="1"/>
    <col min="12290" max="12539" width="8.7109375" bestFit="1" customWidth="1"/>
    <col min="12540" max="12540" width="30" customWidth="1"/>
    <col min="12541" max="12541" width="8.5703125" customWidth="1"/>
    <col min="12542" max="12542" width="15.85546875" customWidth="1"/>
    <col min="12543" max="12544" width="17.42578125" customWidth="1"/>
    <col min="12545" max="12545" width="19.28515625" customWidth="1"/>
    <col min="12546" max="12795" width="8.7109375" bestFit="1" customWidth="1"/>
    <col min="12796" max="12796" width="30" customWidth="1"/>
    <col min="12797" max="12797" width="8.5703125" customWidth="1"/>
    <col min="12798" max="12798" width="15.85546875" customWidth="1"/>
    <col min="12799" max="12800" width="17.42578125" customWidth="1"/>
    <col min="12801" max="12801" width="19.28515625" customWidth="1"/>
    <col min="12802" max="13051" width="8.7109375" bestFit="1" customWidth="1"/>
    <col min="13052" max="13052" width="30" customWidth="1"/>
    <col min="13053" max="13053" width="8.5703125" customWidth="1"/>
    <col min="13054" max="13054" width="15.85546875" customWidth="1"/>
    <col min="13055" max="13056" width="17.42578125" customWidth="1"/>
    <col min="13057" max="13057" width="19.28515625" customWidth="1"/>
    <col min="13058" max="13307" width="8.7109375" bestFit="1" customWidth="1"/>
    <col min="13308" max="13308" width="30" customWidth="1"/>
    <col min="13309" max="13309" width="8.5703125" customWidth="1"/>
    <col min="13310" max="13310" width="15.85546875" customWidth="1"/>
    <col min="13311" max="13312" width="17.42578125" customWidth="1"/>
    <col min="13313" max="13313" width="19.28515625" customWidth="1"/>
    <col min="13314" max="13563" width="8.7109375" bestFit="1" customWidth="1"/>
    <col min="13564" max="13564" width="30" customWidth="1"/>
    <col min="13565" max="13565" width="8.5703125" customWidth="1"/>
    <col min="13566" max="13566" width="15.85546875" customWidth="1"/>
    <col min="13567" max="13568" width="17.42578125" customWidth="1"/>
    <col min="13569" max="13569" width="19.28515625" customWidth="1"/>
    <col min="13570" max="13819" width="8.7109375" bestFit="1" customWidth="1"/>
    <col min="13820" max="13820" width="30" customWidth="1"/>
    <col min="13821" max="13821" width="8.5703125" customWidth="1"/>
    <col min="13822" max="13822" width="15.85546875" customWidth="1"/>
    <col min="13823" max="13824" width="17.42578125" customWidth="1"/>
    <col min="13825" max="13825" width="19.28515625" customWidth="1"/>
    <col min="13826" max="14075" width="8.7109375" bestFit="1" customWidth="1"/>
    <col min="14076" max="14076" width="30" customWidth="1"/>
    <col min="14077" max="14077" width="8.5703125" customWidth="1"/>
    <col min="14078" max="14078" width="15.85546875" customWidth="1"/>
    <col min="14079" max="14080" width="17.42578125" customWidth="1"/>
    <col min="14081" max="14081" width="19.28515625" customWidth="1"/>
    <col min="14082" max="14331" width="8.7109375" bestFit="1" customWidth="1"/>
    <col min="14332" max="14332" width="30" customWidth="1"/>
    <col min="14333" max="14333" width="8.5703125" customWidth="1"/>
    <col min="14334" max="14334" width="15.85546875" customWidth="1"/>
    <col min="14335" max="14336" width="17.42578125" customWidth="1"/>
    <col min="14337" max="14337" width="19.28515625" customWidth="1"/>
    <col min="14338" max="14587" width="8.7109375" bestFit="1" customWidth="1"/>
    <col min="14588" max="14588" width="30" customWidth="1"/>
    <col min="14589" max="14589" width="8.5703125" customWidth="1"/>
    <col min="14590" max="14590" width="15.85546875" customWidth="1"/>
    <col min="14591" max="14592" width="17.42578125" customWidth="1"/>
    <col min="14593" max="14593" width="19.28515625" customWidth="1"/>
    <col min="14594" max="14843" width="8.7109375" bestFit="1" customWidth="1"/>
    <col min="14844" max="14844" width="30" customWidth="1"/>
    <col min="14845" max="14845" width="8.5703125" customWidth="1"/>
    <col min="14846" max="14846" width="15.85546875" customWidth="1"/>
    <col min="14847" max="14848" width="17.42578125" customWidth="1"/>
    <col min="14849" max="14849" width="19.28515625" customWidth="1"/>
    <col min="14850" max="15099" width="8.7109375" bestFit="1" customWidth="1"/>
    <col min="15100" max="15100" width="30" customWidth="1"/>
    <col min="15101" max="15101" width="8.5703125" customWidth="1"/>
    <col min="15102" max="15102" width="15.85546875" customWidth="1"/>
    <col min="15103" max="15104" width="17.42578125" customWidth="1"/>
    <col min="15105" max="15105" width="19.28515625" customWidth="1"/>
    <col min="15106" max="15355" width="8.7109375" bestFit="1" customWidth="1"/>
    <col min="15356" max="15356" width="30" customWidth="1"/>
    <col min="15357" max="15357" width="8.5703125" customWidth="1"/>
    <col min="15358" max="15358" width="15.85546875" customWidth="1"/>
    <col min="15359" max="15360" width="17.42578125" customWidth="1"/>
    <col min="15361" max="15361" width="19.28515625" customWidth="1"/>
    <col min="15362" max="15611" width="8.7109375" bestFit="1" customWidth="1"/>
    <col min="15612" max="15612" width="30" customWidth="1"/>
    <col min="15613" max="15613" width="8.5703125" customWidth="1"/>
    <col min="15614" max="15614" width="15.85546875" customWidth="1"/>
    <col min="15615" max="15616" width="17.42578125" customWidth="1"/>
    <col min="15617" max="15617" width="19.28515625" customWidth="1"/>
    <col min="15618" max="15867" width="8.7109375" bestFit="1" customWidth="1"/>
    <col min="15868" max="15868" width="30" customWidth="1"/>
    <col min="15869" max="15869" width="8.5703125" customWidth="1"/>
    <col min="15870" max="15870" width="15.85546875" customWidth="1"/>
    <col min="15871" max="15872" width="17.42578125" customWidth="1"/>
    <col min="15873" max="15873" width="19.28515625" customWidth="1"/>
    <col min="15874" max="16123" width="8.7109375" bestFit="1" customWidth="1"/>
    <col min="16124" max="16124" width="30" customWidth="1"/>
    <col min="16125" max="16125" width="8.5703125" customWidth="1"/>
    <col min="16126" max="16126" width="15.85546875" customWidth="1"/>
    <col min="16127" max="16128" width="17.42578125" customWidth="1"/>
    <col min="16129" max="16129" width="19.28515625" customWidth="1"/>
  </cols>
  <sheetData>
    <row r="1" spans="1:16" ht="57.95" customHeight="1">
      <c r="A1" s="8"/>
      <c r="B1" s="8"/>
      <c r="C1" s="8"/>
      <c r="D1"/>
    </row>
    <row r="2" spans="1:16" ht="14.25" customHeight="1">
      <c r="A2" s="197" t="s">
        <v>149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</row>
    <row r="3" spans="1:16" ht="14.25" customHeight="1">
      <c r="A3" s="197" t="s">
        <v>213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</row>
    <row r="4" spans="1:16" ht="14.25" customHeight="1">
      <c r="A4" s="201" t="s">
        <v>214</v>
      </c>
      <c r="B4" s="201"/>
      <c r="C4" s="201"/>
      <c r="D4" s="201"/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</row>
    <row r="5" spans="1:16" ht="14.25">
      <c r="A5" s="9"/>
      <c r="B5" s="9"/>
      <c r="C5" s="9"/>
      <c r="D5" s="9"/>
      <c r="E5" s="9"/>
      <c r="F5" s="9"/>
      <c r="G5" s="85"/>
    </row>
    <row r="6" spans="1:16" ht="14.25">
      <c r="A6" s="193" t="s">
        <v>195</v>
      </c>
      <c r="B6" s="193"/>
      <c r="C6" s="193"/>
      <c r="D6" s="193"/>
      <c r="E6" s="193"/>
      <c r="F6" s="193"/>
      <c r="G6" s="193"/>
      <c r="H6" s="193"/>
      <c r="I6" s="193"/>
      <c r="J6" s="193"/>
      <c r="K6" s="193"/>
      <c r="L6" s="193"/>
      <c r="M6" s="193"/>
      <c r="N6" s="193"/>
      <c r="O6" s="193"/>
    </row>
    <row r="9" spans="1:16">
      <c r="A9" s="198" t="s">
        <v>117</v>
      </c>
      <c r="B9" s="198"/>
      <c r="C9" s="207" t="s">
        <v>141</v>
      </c>
      <c r="D9" s="199"/>
      <c r="E9" s="199"/>
      <c r="F9" s="199"/>
      <c r="G9" s="208"/>
      <c r="H9" s="200" t="s">
        <v>53</v>
      </c>
      <c r="I9" s="200"/>
      <c r="J9" s="200"/>
      <c r="K9" s="202" t="s">
        <v>54</v>
      </c>
      <c r="L9" s="203"/>
      <c r="M9" s="203"/>
      <c r="N9" s="204"/>
      <c r="O9" s="7"/>
      <c r="P9" s="7"/>
    </row>
    <row r="10" spans="1:16" ht="51">
      <c r="A10" s="55" t="s">
        <v>55</v>
      </c>
      <c r="B10" s="55" t="s">
        <v>56</v>
      </c>
      <c r="C10" s="55" t="s">
        <v>57</v>
      </c>
      <c r="D10" s="55" t="s">
        <v>58</v>
      </c>
      <c r="E10" s="55" t="s">
        <v>59</v>
      </c>
      <c r="F10" s="55" t="s">
        <v>60</v>
      </c>
      <c r="G10" s="56" t="s">
        <v>61</v>
      </c>
      <c r="H10" s="57" t="s">
        <v>62</v>
      </c>
      <c r="I10" s="57" t="s">
        <v>63</v>
      </c>
      <c r="J10" s="57" t="s">
        <v>64</v>
      </c>
      <c r="K10" s="56" t="s">
        <v>61</v>
      </c>
      <c r="L10" s="57" t="s">
        <v>62</v>
      </c>
      <c r="M10" s="57" t="s">
        <v>63</v>
      </c>
      <c r="N10" s="57" t="s">
        <v>64</v>
      </c>
      <c r="O10" s="58" t="s">
        <v>65</v>
      </c>
      <c r="P10" s="59"/>
    </row>
    <row r="11" spans="1:16">
      <c r="A11" s="2" t="s">
        <v>68</v>
      </c>
      <c r="B11" s="2" t="s">
        <v>10</v>
      </c>
      <c r="C11" s="47" t="s">
        <v>142</v>
      </c>
      <c r="D11" s="2" t="s">
        <v>10</v>
      </c>
      <c r="E11" s="50" t="s">
        <v>10</v>
      </c>
      <c r="F11" s="48">
        <v>45274</v>
      </c>
      <c r="G11" s="86">
        <f>46.28*2</f>
        <v>92.56</v>
      </c>
      <c r="H11" s="60">
        <f>ROUND(AVERAGE(G12:G15),2)</f>
        <v>169.88</v>
      </c>
      <c r="I11" s="61">
        <f>(((G11-H11)*100)/H11)/100</f>
        <v>-0.4551448080998351</v>
      </c>
      <c r="J11" s="62" t="str">
        <f>IF(I11&gt;30%,"EXCESSIVAMENTE ELEVADO","VÁLIDO")</f>
        <v>VÁLIDO</v>
      </c>
      <c r="K11" s="49">
        <f>G11</f>
        <v>92.56</v>
      </c>
      <c r="L11" s="60">
        <f>ROUND(AVERAGE(K12:K15),2)</f>
        <v>148.5</v>
      </c>
      <c r="M11" s="61">
        <f>((K11*100)/L11)/100</f>
        <v>0.62329966329966335</v>
      </c>
      <c r="N11" s="62" t="str">
        <f>IF(M11&lt;70%,"INEXEQUÍVEL","EXEQUÍVEL")</f>
        <v>INEXEQUÍVEL</v>
      </c>
      <c r="O11" s="63" t="s">
        <v>10</v>
      </c>
      <c r="P11" s="7"/>
    </row>
    <row r="12" spans="1:16">
      <c r="A12" s="2" t="s">
        <v>68</v>
      </c>
      <c r="B12" s="2" t="s">
        <v>10</v>
      </c>
      <c r="C12" s="47" t="s">
        <v>143</v>
      </c>
      <c r="D12" s="2" t="s">
        <v>10</v>
      </c>
      <c r="E12" s="50" t="s">
        <v>10</v>
      </c>
      <c r="F12" s="48">
        <v>45274</v>
      </c>
      <c r="G12" s="86">
        <v>135</v>
      </c>
      <c r="H12" s="60">
        <f>ROUND(AVERAGE(G13:G15,G11),2)</f>
        <v>159.27000000000001</v>
      </c>
      <c r="I12" s="61">
        <f>(((G12-H12)*100)/H12)/100</f>
        <v>-0.15238274627990209</v>
      </c>
      <c r="J12" s="62" t="str">
        <f>IF(I12&gt;30%,"EXCESSIVAMENTE ELEVADO","VÁLIDO")</f>
        <v>VÁLIDO</v>
      </c>
      <c r="K12" s="49">
        <f>G12</f>
        <v>135</v>
      </c>
      <c r="L12" s="60">
        <f>ROUND(AVERAGE(K13:K15,K11),2)</f>
        <v>134.35</v>
      </c>
      <c r="M12" s="61">
        <f>((K12*100)/L12)/100</f>
        <v>1.0048381094157053</v>
      </c>
      <c r="N12" s="62" t="str">
        <f>IF(M12&lt;70%,"INEXEQUÍVEL","EXEQUÍVEL")</f>
        <v>EXEQUÍVEL</v>
      </c>
      <c r="O12" s="63">
        <f>G12</f>
        <v>135</v>
      </c>
      <c r="P12" s="7"/>
    </row>
    <row r="13" spans="1:16">
      <c r="A13" s="2" t="s">
        <v>68</v>
      </c>
      <c r="B13" s="2" t="s">
        <v>10</v>
      </c>
      <c r="C13" s="47" t="s">
        <v>144</v>
      </c>
      <c r="D13" s="2" t="s">
        <v>10</v>
      </c>
      <c r="E13" s="50" t="s">
        <v>10</v>
      </c>
      <c r="F13" s="48">
        <v>45274</v>
      </c>
      <c r="G13" s="86">
        <v>180.6</v>
      </c>
      <c r="H13" s="60">
        <f>ROUND(AVERAGE(G14:G15,G11:G12),2)</f>
        <v>147.87</v>
      </c>
      <c r="I13" s="61">
        <f>(((G13-H13)*100)/H13)/100</f>
        <v>0.22134307161696079</v>
      </c>
      <c r="J13" s="62" t="str">
        <f>IF(I13&gt;30%,"EXCESSIVAMENTE ELEVADO","VÁLIDO")</f>
        <v>VÁLIDO</v>
      </c>
      <c r="K13" s="49">
        <f>G13</f>
        <v>180.6</v>
      </c>
      <c r="L13" s="60">
        <f>ROUND(AVERAGE(K14:K15,K11:K12),2)</f>
        <v>119.15</v>
      </c>
      <c r="M13" s="61">
        <f>((K13*100)/L13)/100</f>
        <v>1.5157364666386905</v>
      </c>
      <c r="N13" s="62" t="str">
        <f>IF(M13&lt;70%,"INEXEQUÍVEL","EXEQUÍVEL")</f>
        <v>EXEQUÍVEL</v>
      </c>
      <c r="O13" s="63">
        <f>G13</f>
        <v>180.6</v>
      </c>
      <c r="P13" s="7"/>
    </row>
    <row r="14" spans="1:16" ht="25.5">
      <c r="A14" s="2" t="s">
        <v>68</v>
      </c>
      <c r="B14" s="2" t="s">
        <v>10</v>
      </c>
      <c r="C14" s="47" t="s">
        <v>145</v>
      </c>
      <c r="D14" s="2" t="s">
        <v>10</v>
      </c>
      <c r="E14" s="50" t="s">
        <v>10</v>
      </c>
      <c r="F14" s="48">
        <v>45274</v>
      </c>
      <c r="G14" s="86">
        <v>234</v>
      </c>
      <c r="H14" s="60">
        <f>ROUND(AVERAGE(G15:G15,G11:G13),2)</f>
        <v>134.52000000000001</v>
      </c>
      <c r="I14" s="61">
        <f>(((G14-H14)*100)/H14)/100</f>
        <v>0.7395182872435323</v>
      </c>
      <c r="J14" s="62" t="str">
        <f>IF(I14&gt;30%,"EXCESSIVAMENTE ELEVADO","VÁLIDO")</f>
        <v>EXCESSIVAMENTE ELEVADO</v>
      </c>
      <c r="K14" s="49" t="s">
        <v>10</v>
      </c>
      <c r="L14" s="60" t="s">
        <v>10</v>
      </c>
      <c r="M14" s="61" t="s">
        <v>10</v>
      </c>
      <c r="N14" s="76" t="s">
        <v>69</v>
      </c>
      <c r="O14" s="63" t="s">
        <v>10</v>
      </c>
      <c r="P14" s="7"/>
    </row>
    <row r="15" spans="1:16" ht="19.5" customHeight="1">
      <c r="A15" s="2" t="s">
        <v>68</v>
      </c>
      <c r="B15" s="2" t="s">
        <v>10</v>
      </c>
      <c r="C15" s="47" t="s">
        <v>146</v>
      </c>
      <c r="D15" s="2" t="s">
        <v>10</v>
      </c>
      <c r="E15" s="50" t="s">
        <v>10</v>
      </c>
      <c r="F15" s="48">
        <v>45274</v>
      </c>
      <c r="G15" s="86">
        <v>129.9</v>
      </c>
      <c r="H15" s="60">
        <f>ROUND(AVERAGE(G11:G14),2)</f>
        <v>160.54</v>
      </c>
      <c r="I15" s="61">
        <f>(((G15-H15)*100)/H15)/100</f>
        <v>-0.19085586146754696</v>
      </c>
      <c r="J15" s="62" t="str">
        <f>IF(I15&gt;30%,"EXCESSIVAMENTE ELEVADO","VÁLIDO")</f>
        <v>VÁLIDO</v>
      </c>
      <c r="K15" s="49">
        <f>G15</f>
        <v>129.9</v>
      </c>
      <c r="L15" s="60">
        <f>ROUND(AVERAGE(K11:K14),2)</f>
        <v>136.05000000000001</v>
      </c>
      <c r="M15" s="61">
        <f>((K15*100)/L15)/100</f>
        <v>0.95479603087100329</v>
      </c>
      <c r="N15" s="62" t="str">
        <f>IF(M15&lt;70%,"INEXEQUÍVEL","EXEQUÍVEL")</f>
        <v>EXEQUÍVEL</v>
      </c>
      <c r="O15" s="63">
        <f>G15</f>
        <v>129.9</v>
      </c>
    </row>
    <row r="16" spans="1:16" ht="13.5" thickBot="1"/>
    <row r="17" spans="1:15">
      <c r="A17" s="80" t="s">
        <v>70</v>
      </c>
      <c r="N17" s="65" t="s">
        <v>71</v>
      </c>
      <c r="O17" s="66">
        <f>ROUND(AVERAGE(O11:O15),2)</f>
        <v>148.5</v>
      </c>
    </row>
    <row r="18" spans="1:15">
      <c r="A18" s="67" t="s">
        <v>72</v>
      </c>
      <c r="N18" s="68" t="s">
        <v>73</v>
      </c>
      <c r="O18" s="69">
        <f>_xlfn.STDEV.P(O11:O15)</f>
        <v>22.793420103178867</v>
      </c>
    </row>
    <row r="19" spans="1:15">
      <c r="A19" s="67"/>
      <c r="N19" s="68" t="s">
        <v>74</v>
      </c>
      <c r="O19" s="70">
        <f>O18/O17</f>
        <v>0.15349104446585096</v>
      </c>
    </row>
    <row r="20" spans="1:15" ht="13.5" thickBot="1">
      <c r="A20" s="7"/>
      <c r="N20" s="71" t="s">
        <v>75</v>
      </c>
      <c r="O20" s="72">
        <f>ROUND(MEDIAN(O11:O15),2)</f>
        <v>135</v>
      </c>
    </row>
    <row r="21" spans="1:15" ht="13.5" thickBot="1">
      <c r="A21" s="73" t="s">
        <v>76</v>
      </c>
      <c r="N21" s="74" t="str">
        <f>IF(O19&gt;25%,"PREÇO MEDIANA","PREÇO MÉDIA")</f>
        <v>PREÇO MÉDIA</v>
      </c>
      <c r="O21" s="75">
        <f>IF(O19&gt;25%,O20,O17)</f>
        <v>148.5</v>
      </c>
    </row>
    <row r="22" spans="1:15">
      <c r="A22" s="7" t="s">
        <v>77</v>
      </c>
    </row>
    <row r="23" spans="1:15">
      <c r="A23" s="7" t="s">
        <v>78</v>
      </c>
    </row>
    <row r="24" spans="1:15">
      <c r="A24" s="7" t="s">
        <v>79</v>
      </c>
    </row>
    <row r="25" spans="1:15">
      <c r="A25" s="7" t="s">
        <v>80</v>
      </c>
    </row>
  </sheetData>
  <mergeCells count="8">
    <mergeCell ref="A9:B9"/>
    <mergeCell ref="C9:G9"/>
    <mergeCell ref="H9:J9"/>
    <mergeCell ref="K9:N9"/>
    <mergeCell ref="A2:O2"/>
    <mergeCell ref="A3:O3"/>
    <mergeCell ref="A4:O4"/>
    <mergeCell ref="A6:O6"/>
  </mergeCells>
  <conditionalFormatting sqref="N15 N11:N13">
    <cfRule type="beginsWith" dxfId="5" priority="11" operator="beginsWith" text="EXEQUÍVEL">
      <formula>LEFT(N11,LEN("EXEQUÍVEL"))="EXEQUÍVEL"</formula>
    </cfRule>
    <cfRule type="beginsWith" dxfId="4" priority="12" operator="beginsWith" text="INEXEQUÍVEL">
      <formula>LEFT(N11,LEN("INEXEQUÍVEL"))="INEXEQUÍVEL"</formula>
    </cfRule>
  </conditionalFormatting>
  <conditionalFormatting sqref="J11:J15">
    <cfRule type="containsText" dxfId="3" priority="13" operator="containsText" text="VÁLIDO">
      <formula>NOT(ISERROR(SEARCH("VÁLIDO",J11)))</formula>
    </cfRule>
    <cfRule type="containsText" dxfId="2" priority="14" operator="containsText" text="EXCESSIVAMENTE ELEVADO">
      <formula>NOT(ISERROR(SEARCH("EXCESSIVAMENTE ELEVADO",J11)))</formula>
    </cfRule>
  </conditionalFormatting>
  <conditionalFormatting sqref="N14">
    <cfRule type="beginsWith" dxfId="1" priority="1" operator="beginsWith" text="EXEQUÍVEL">
      <formula>LEFT(N14,LEN("EXEQUÍVEL"))="EXEQUÍVEL"</formula>
    </cfRule>
    <cfRule type="beginsWith" dxfId="0" priority="2" operator="beginsWith" text="INEXEQUÍVEL">
      <formula>LEFT(N14,LEN("INEXEQUÍVEL"))="INEXEQUÍVEL"</formula>
    </cfRule>
  </conditionalFormatting>
  <pageMargins left="0.511811024" right="0.511811024" top="0.78740157499999996" bottom="0.78740157499999996" header="0.31496062000000002" footer="0.31496062000000002"/>
  <pageSetup paperSize="9" scale="5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E8B9C93F1C21B48926902C52476A23D" ma:contentTypeVersion="15" ma:contentTypeDescription="Create a new document." ma:contentTypeScope="" ma:versionID="9276cc609b015eb5903b41a0be062278">
  <xsd:schema xmlns:xsd="http://www.w3.org/2001/XMLSchema" xmlns:xs="http://www.w3.org/2001/XMLSchema" xmlns:p="http://schemas.microsoft.com/office/2006/metadata/properties" xmlns:ns2="a52ffb0e-9178-482f-aa95-5f5e7c7c3050" xmlns:ns3="f63b13f1-5269-43c4-b1ef-0a2b004c872c" targetNamespace="http://schemas.microsoft.com/office/2006/metadata/properties" ma:root="true" ma:fieldsID="8e3a28f4a7f53594284067464f868444" ns2:_="" ns3:_="">
    <xsd:import namespace="a52ffb0e-9178-482f-aa95-5f5e7c7c3050"/>
    <xsd:import namespace="f63b13f1-5269-43c4-b1ef-0a2b004c872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2ffb0e-9178-482f-aa95-5f5e7c7c30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f959e577-b2f7-4427-8dd6-cea986f8b08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3b13f1-5269-43c4-b1ef-0a2b004c872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57b52ade-ec6f-4620-8fcb-3134eb0e46cf}" ma:internalName="TaxCatchAll" ma:showField="CatchAllData" ma:web="f63b13f1-5269-43c4-b1ef-0a2b004c872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63b13f1-5269-43c4-b1ef-0a2b004c872c" xsi:nil="true"/>
    <lcf76f155ced4ddcb4097134ff3c332f xmlns="a52ffb0e-9178-482f-aa95-5f5e7c7c3050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250DB2B-31A8-443E-BB05-C96F719E90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52ffb0e-9178-482f-aa95-5f5e7c7c3050"/>
    <ds:schemaRef ds:uri="f63b13f1-5269-43c4-b1ef-0a2b004c872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01457E8-516C-4055-9095-2B7D7B27F23A}">
  <ds:schemaRefs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f63b13f1-5269-43c4-b1ef-0a2b004c872c"/>
    <ds:schemaRef ds:uri="a52ffb0e-9178-482f-aa95-5f5e7c7c3050"/>
    <ds:schemaRef ds:uri="http://schemas.microsoft.com/office/2006/metadata/properties"/>
    <ds:schemaRef ds:uri="http://purl.org/dc/dcmitype/"/>
    <ds:schemaRef ds:uri="http://www.w3.org/XML/1998/namespace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6D899FDC-4D00-48FD-95A7-59D8AC3876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3</vt:i4>
      </vt:variant>
    </vt:vector>
  </HeadingPairs>
  <TitlesOfParts>
    <vt:vector size="13" baseType="lpstr">
      <vt:lpstr>Quadro Resumo</vt:lpstr>
      <vt:lpstr>Locação - Veículo Cat I</vt:lpstr>
      <vt:lpstr>Composição - Depreciação</vt:lpstr>
      <vt:lpstr>Pesquisa de Veículos</vt:lpstr>
      <vt:lpstr>Pesquisa - Manutenções</vt:lpstr>
      <vt:lpstr>Pesquisa - Seguro</vt:lpstr>
      <vt:lpstr>Pesquisa - Rastreamento</vt:lpstr>
      <vt:lpstr>Pesquisa - Lavagem</vt:lpstr>
      <vt:lpstr>Pesquisa - Borracharia</vt:lpstr>
      <vt:lpstr>Pesquisa - Manta Magnética</vt:lpstr>
      <vt:lpstr>'Composição - Depreciação'!Area_de_impressao</vt:lpstr>
      <vt:lpstr>'Pesquisa - Seguro'!Area_de_impressao</vt:lpstr>
      <vt:lpstr>'Quadro Resumo'!Area_de_impressao</vt:lpstr>
    </vt:vector>
  </TitlesOfParts>
  <Manager/>
  <Company>TCU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Encargos Sociais e Trabalhistas</dc:title>
  <dc:subject/>
  <dc:creator>DIPAC</dc:creator>
  <cp:keywords/>
  <dc:description/>
  <cp:lastModifiedBy>adm.rede</cp:lastModifiedBy>
  <cp:revision/>
  <cp:lastPrinted>2024-06-02T14:57:18Z</cp:lastPrinted>
  <dcterms:created xsi:type="dcterms:W3CDTF">1999-03-22T20:47:50Z</dcterms:created>
  <dcterms:modified xsi:type="dcterms:W3CDTF">2024-10-24T15:59:45Z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0x010100AE8B9C93F1C21B48926902C52476A23D</vt:lpwstr>
  </property>
  <property fmtid="{D5CDD505-2E9C-101B-9397-08002B2CF9AE}" pid="3" name="MediaServiceImageTags">
    <vt:lpwstr/>
  </property>
</Properties>
</file>